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20370" windowHeight="5520" tabRatio="97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  <sheet name="Arkusz1" sheetId="15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'Tab. 6A -Drogi'!$A$11:$EA$515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-Drogi'!$A$1:$O$642</definedName>
    <definedName name="_xlnm.Print_Area" localSheetId="2">'Tab. 6B Polit społ i rozwój prz'!$A$1:$O$249</definedName>
    <definedName name="_xlnm.Print_Area" localSheetId="3">'Tab. 6C - Ochrona zdrowia'!$A$1:$O$60</definedName>
    <definedName name="_xlnm.Print_Area" localSheetId="4">'Tab. 6D - Oświata'!$A$1:$O$70</definedName>
    <definedName name="_xlnm.Print_Area" localSheetId="5">'Tab. 6E - Administracja'!$A$1:$O$266</definedName>
    <definedName name="_xlnm.Print_Area" localSheetId="6">'Tab. 6F - Kultura'!$A$1:$O$162</definedName>
    <definedName name="_xlnm.Print_Area" localSheetId="7">'Tab. 6G - Roln i ochrona środ.'!$A$1:$O$111</definedName>
    <definedName name="_xlnm.Print_Area" localSheetId="8">'Tab. 6H - Kultura fiz. i turyst'!$A$1:$O$257</definedName>
    <definedName name="_xlnm.Print_Area" localSheetId="9">'Tab.6I - Planow. przestrz.'!$A$1:$O$101</definedName>
    <definedName name="_xlnm.Print_Area" localSheetId="0">'Tabela nr 6'!$A$1:$L$93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G108" i="6"/>
  <c r="G110"/>
  <c r="G98"/>
  <c r="G100"/>
  <c r="N56" i="7"/>
  <c r="N39" i="9"/>
  <c r="P220" i="6"/>
  <c r="P147" l="1"/>
  <c r="P137"/>
  <c r="P88"/>
  <c r="P77"/>
  <c r="P66"/>
  <c r="P54"/>
  <c r="P35"/>
  <c r="P91" i="3"/>
  <c r="P70"/>
  <c r="P54"/>
  <c r="P37"/>
  <c r="P130"/>
  <c r="P122"/>
  <c r="P21" i="9"/>
  <c r="Q25" i="2"/>
  <c r="F63" i="6" l="1"/>
  <c r="F62"/>
  <c r="G52" i="9" l="1"/>
  <c r="N93" i="7" l="1"/>
  <c r="G42" i="5" l="1"/>
  <c r="F42"/>
  <c r="F37"/>
  <c r="F35"/>
  <c r="M86" i="1" l="1"/>
  <c r="D221" i="3"/>
  <c r="M646" i="2"/>
  <c r="J645"/>
  <c r="K645"/>
  <c r="L645"/>
  <c r="M645"/>
  <c r="L10" l="1"/>
  <c r="J10"/>
  <c r="K10"/>
  <c r="E22" i="3"/>
  <c r="J22"/>
  <c r="K22"/>
  <c r="E19"/>
  <c r="F19"/>
  <c r="G19"/>
  <c r="H19"/>
  <c r="I19"/>
  <c r="J19"/>
  <c r="K19"/>
  <c r="L19"/>
  <c r="E13"/>
  <c r="F13"/>
  <c r="D249"/>
  <c r="D248" s="1"/>
  <c r="L248"/>
  <c r="K248"/>
  <c r="J248"/>
  <c r="I248"/>
  <c r="H248"/>
  <c r="G248"/>
  <c r="F248"/>
  <c r="E248"/>
  <c r="D247"/>
  <c r="D246" s="1"/>
  <c r="L246"/>
  <c r="K246"/>
  <c r="J246"/>
  <c r="I246"/>
  <c r="H246"/>
  <c r="G246"/>
  <c r="F246"/>
  <c r="E246"/>
  <c r="L243"/>
  <c r="K243"/>
  <c r="J243"/>
  <c r="I243"/>
  <c r="H243"/>
  <c r="F243"/>
  <c r="E243"/>
  <c r="L241"/>
  <c r="K241"/>
  <c r="J241"/>
  <c r="I241"/>
  <c r="H241"/>
  <c r="M241"/>
  <c r="F241"/>
  <c r="E241"/>
  <c r="D238"/>
  <c r="D237" s="1"/>
  <c r="L237"/>
  <c r="K237"/>
  <c r="J237"/>
  <c r="I237"/>
  <c r="H237"/>
  <c r="G237"/>
  <c r="F237"/>
  <c r="E237"/>
  <c r="D236"/>
  <c r="D235" s="1"/>
  <c r="L235"/>
  <c r="K235"/>
  <c r="J235"/>
  <c r="I235"/>
  <c r="H235"/>
  <c r="G235"/>
  <c r="F235"/>
  <c r="E235"/>
  <c r="N233"/>
  <c r="D233"/>
  <c r="N232"/>
  <c r="D232"/>
  <c r="L231"/>
  <c r="L230" s="1"/>
  <c r="K231"/>
  <c r="K230" s="1"/>
  <c r="J231"/>
  <c r="J230" s="1"/>
  <c r="I231"/>
  <c r="I230" s="1"/>
  <c r="H231"/>
  <c r="H230" s="1"/>
  <c r="G231"/>
  <c r="G230" s="1"/>
  <c r="F230"/>
  <c r="E230"/>
  <c r="N229"/>
  <c r="D229"/>
  <c r="N228"/>
  <c r="D228"/>
  <c r="L227"/>
  <c r="L226" s="1"/>
  <c r="K227"/>
  <c r="K226" s="1"/>
  <c r="J227"/>
  <c r="J226" s="1"/>
  <c r="I227"/>
  <c r="I226" s="1"/>
  <c r="H227"/>
  <c r="H226" s="1"/>
  <c r="G227"/>
  <c r="M226"/>
  <c r="F226"/>
  <c r="E226"/>
  <c r="M251"/>
  <c r="D223"/>
  <c r="D222" s="1"/>
  <c r="L222"/>
  <c r="K222"/>
  <c r="J222"/>
  <c r="I222"/>
  <c r="H222"/>
  <c r="G222"/>
  <c r="F222"/>
  <c r="E222"/>
  <c r="L220"/>
  <c r="K220"/>
  <c r="J220"/>
  <c r="I220"/>
  <c r="H220"/>
  <c r="G220"/>
  <c r="F220"/>
  <c r="E220"/>
  <c r="N218"/>
  <c r="D218"/>
  <c r="N217"/>
  <c r="D217"/>
  <c r="L216"/>
  <c r="L215" s="1"/>
  <c r="K216"/>
  <c r="K215" s="1"/>
  <c r="J216"/>
  <c r="J215" s="1"/>
  <c r="I216"/>
  <c r="I215" s="1"/>
  <c r="H216"/>
  <c r="H215" s="1"/>
  <c r="G216"/>
  <c r="D216" s="1"/>
  <c r="F215"/>
  <c r="E215"/>
  <c r="N214"/>
  <c r="D214"/>
  <c r="N213"/>
  <c r="D213"/>
  <c r="L212"/>
  <c r="K212"/>
  <c r="J212"/>
  <c r="I212"/>
  <c r="H212"/>
  <c r="G212"/>
  <c r="N211"/>
  <c r="D211"/>
  <c r="N210"/>
  <c r="D210"/>
  <c r="L209"/>
  <c r="K209"/>
  <c r="J209"/>
  <c r="I209"/>
  <c r="H209"/>
  <c r="G209"/>
  <c r="F208"/>
  <c r="E208"/>
  <c r="H35" i="8"/>
  <c r="G35"/>
  <c r="H40"/>
  <c r="G40"/>
  <c r="E21" i="3"/>
  <c r="K21"/>
  <c r="L21"/>
  <c r="E21" i="9"/>
  <c r="F21"/>
  <c r="G21"/>
  <c r="H21"/>
  <c r="I21"/>
  <c r="J21"/>
  <c r="K21"/>
  <c r="L21"/>
  <c r="E14"/>
  <c r="F14"/>
  <c r="G14"/>
  <c r="H14"/>
  <c r="I14"/>
  <c r="J14"/>
  <c r="K14"/>
  <c r="L14"/>
  <c r="D220" i="3" l="1"/>
  <c r="D219" s="1"/>
  <c r="H245"/>
  <c r="L245"/>
  <c r="J245"/>
  <c r="E225"/>
  <c r="F219"/>
  <c r="J219"/>
  <c r="F207"/>
  <c r="F234"/>
  <c r="J234"/>
  <c r="E207"/>
  <c r="H219"/>
  <c r="G234"/>
  <c r="K234"/>
  <c r="F240"/>
  <c r="D234"/>
  <c r="H234"/>
  <c r="L234"/>
  <c r="E245"/>
  <c r="I245"/>
  <c r="K208"/>
  <c r="K207" s="1"/>
  <c r="L219"/>
  <c r="G245"/>
  <c r="K245"/>
  <c r="K240"/>
  <c r="F245"/>
  <c r="L208"/>
  <c r="L207" s="1"/>
  <c r="G219"/>
  <c r="K219"/>
  <c r="I225"/>
  <c r="E234"/>
  <c r="E240"/>
  <c r="H240"/>
  <c r="L240"/>
  <c r="F225"/>
  <c r="N242"/>
  <c r="N241" s="1"/>
  <c r="E219"/>
  <c r="I219"/>
  <c r="D227"/>
  <c r="G241"/>
  <c r="D242"/>
  <c r="D241" s="1"/>
  <c r="J240"/>
  <c r="M244"/>
  <c r="M243" s="1"/>
  <c r="M240" s="1"/>
  <c r="I240"/>
  <c r="D245"/>
  <c r="G243"/>
  <c r="D244"/>
  <c r="D243" s="1"/>
  <c r="N244"/>
  <c r="N243" s="1"/>
  <c r="I234"/>
  <c r="K225"/>
  <c r="J225"/>
  <c r="D231"/>
  <c r="D230" s="1"/>
  <c r="P230" s="1"/>
  <c r="H225"/>
  <c r="L225"/>
  <c r="N227"/>
  <c r="N226" s="1"/>
  <c r="N231"/>
  <c r="N230" s="1"/>
  <c r="M231"/>
  <c r="M230" s="1"/>
  <c r="M225" s="1"/>
  <c r="G226"/>
  <c r="G225" s="1"/>
  <c r="J208"/>
  <c r="J207" s="1"/>
  <c r="I208"/>
  <c r="I207" s="1"/>
  <c r="H208"/>
  <c r="H207" s="1"/>
  <c r="M216"/>
  <c r="M215" s="1"/>
  <c r="M209"/>
  <c r="M208" s="1"/>
  <c r="N212"/>
  <c r="D212"/>
  <c r="P212" s="1"/>
  <c r="G208"/>
  <c r="D209"/>
  <c r="N209"/>
  <c r="G215"/>
  <c r="D215"/>
  <c r="P215" s="1"/>
  <c r="N216"/>
  <c r="N215" s="1"/>
  <c r="D97" i="7"/>
  <c r="D98"/>
  <c r="D99"/>
  <c r="D100"/>
  <c r="E97"/>
  <c r="E99"/>
  <c r="E96" s="1"/>
  <c r="E94"/>
  <c r="D94"/>
  <c r="D95"/>
  <c r="D92"/>
  <c r="D91" s="1"/>
  <c r="D90" s="1"/>
  <c r="D93"/>
  <c r="F92" i="6"/>
  <c r="F90"/>
  <c r="F87"/>
  <c r="F85"/>
  <c r="D96" i="7" l="1"/>
  <c r="D226" i="3"/>
  <c r="D225" s="1"/>
  <c r="P227"/>
  <c r="G240"/>
  <c r="D240"/>
  <c r="N240"/>
  <c r="N225"/>
  <c r="G207"/>
  <c r="M207"/>
  <c r="D208"/>
  <c r="D207" s="1"/>
  <c r="N208"/>
  <c r="N207" s="1"/>
  <c r="I404" i="2"/>
  <c r="H401"/>
  <c r="H399"/>
  <c r="G401"/>
  <c r="G399"/>
  <c r="I395"/>
  <c r="H392"/>
  <c r="H390"/>
  <c r="G392"/>
  <c r="G390"/>
  <c r="H386"/>
  <c r="G386"/>
  <c r="G383"/>
  <c r="G381"/>
  <c r="F381"/>
  <c r="H371"/>
  <c r="H373"/>
  <c r="H370" s="1"/>
  <c r="I376"/>
  <c r="I375" s="1"/>
  <c r="H377"/>
  <c r="G377"/>
  <c r="G374"/>
  <c r="G372"/>
  <c r="F372"/>
  <c r="H362"/>
  <c r="H359"/>
  <c r="H358" s="1"/>
  <c r="H368"/>
  <c r="G368"/>
  <c r="G363"/>
  <c r="G360"/>
  <c r="H355"/>
  <c r="H354" s="1"/>
  <c r="G356"/>
  <c r="G353"/>
  <c r="F353"/>
  <c r="G351"/>
  <c r="F351"/>
  <c r="H12" i="7"/>
  <c r="I12"/>
  <c r="J12"/>
  <c r="K12"/>
  <c r="L12"/>
  <c r="J61"/>
  <c r="J60" s="1"/>
  <c r="J63"/>
  <c r="D64"/>
  <c r="D63" s="1"/>
  <c r="D62"/>
  <c r="D61" s="1"/>
  <c r="D59"/>
  <c r="D58" s="1"/>
  <c r="D57"/>
  <c r="D56"/>
  <c r="D55" s="1"/>
  <c r="D54" s="1"/>
  <c r="J58"/>
  <c r="J55"/>
  <c r="F107" i="3"/>
  <c r="F102"/>
  <c r="F99"/>
  <c r="H95"/>
  <c r="H90"/>
  <c r="H87"/>
  <c r="G95"/>
  <c r="G90"/>
  <c r="G87"/>
  <c r="F95"/>
  <c r="F90"/>
  <c r="F87"/>
  <c r="F83"/>
  <c r="F78"/>
  <c r="F75"/>
  <c r="H68"/>
  <c r="I68"/>
  <c r="J68"/>
  <c r="K68"/>
  <c r="L68"/>
  <c r="J70"/>
  <c r="K70"/>
  <c r="L70"/>
  <c r="I71"/>
  <c r="H71"/>
  <c r="G71"/>
  <c r="F71"/>
  <c r="J62"/>
  <c r="K62"/>
  <c r="L62"/>
  <c r="J65"/>
  <c r="K65"/>
  <c r="L65"/>
  <c r="I66"/>
  <c r="H66"/>
  <c r="G66"/>
  <c r="F66"/>
  <c r="I63"/>
  <c r="G63"/>
  <c r="H63"/>
  <c r="F63"/>
  <c r="H51" i="2"/>
  <c r="J51"/>
  <c r="K51"/>
  <c r="L51"/>
  <c r="J42"/>
  <c r="K42"/>
  <c r="L42"/>
  <c r="I37"/>
  <c r="J37"/>
  <c r="K37"/>
  <c r="L37"/>
  <c r="I274"/>
  <c r="I271"/>
  <c r="I269"/>
  <c r="I265"/>
  <c r="I266"/>
  <c r="D275"/>
  <c r="D274" s="1"/>
  <c r="H274"/>
  <c r="G274"/>
  <c r="F274"/>
  <c r="E274"/>
  <c r="D273"/>
  <c r="G272"/>
  <c r="F272"/>
  <c r="E272"/>
  <c r="D272"/>
  <c r="H271"/>
  <c r="F271"/>
  <c r="E271"/>
  <c r="N270"/>
  <c r="N269" s="1"/>
  <c r="M270"/>
  <c r="M269" s="1"/>
  <c r="D270"/>
  <c r="D269" s="1"/>
  <c r="H269"/>
  <c r="H265" s="1"/>
  <c r="G269"/>
  <c r="F269"/>
  <c r="E269"/>
  <c r="N268"/>
  <c r="M268"/>
  <c r="D268"/>
  <c r="N267"/>
  <c r="N266" s="1"/>
  <c r="M267"/>
  <c r="M266" s="1"/>
  <c r="H266"/>
  <c r="G266"/>
  <c r="F266"/>
  <c r="E266"/>
  <c r="E265" s="1"/>
  <c r="F265"/>
  <c r="G179"/>
  <c r="G174"/>
  <c r="G171"/>
  <c r="F179"/>
  <c r="F177"/>
  <c r="F174"/>
  <c r="F172"/>
  <c r="F171"/>
  <c r="G215"/>
  <c r="G213"/>
  <c r="G210"/>
  <c r="G208"/>
  <c r="F215"/>
  <c r="F213"/>
  <c r="F210"/>
  <c r="F208"/>
  <c r="F207"/>
  <c r="H282"/>
  <c r="H281" s="1"/>
  <c r="H278"/>
  <c r="G279"/>
  <c r="F279"/>
  <c r="H222"/>
  <c r="H219"/>
  <c r="H37" s="1"/>
  <c r="H227"/>
  <c r="G227"/>
  <c r="F222"/>
  <c r="F219"/>
  <c r="E225"/>
  <c r="E220"/>
  <c r="E219"/>
  <c r="G258"/>
  <c r="G255"/>
  <c r="F258"/>
  <c r="F255"/>
  <c r="G203"/>
  <c r="F203"/>
  <c r="F198"/>
  <c r="F195"/>
  <c r="G186"/>
  <c r="G183"/>
  <c r="F183"/>
  <c r="F186"/>
  <c r="G271" l="1"/>
  <c r="G265"/>
  <c r="D60" i="7"/>
  <c r="P225" i="3"/>
  <c r="L61"/>
  <c r="J67"/>
  <c r="K67"/>
  <c r="J61"/>
  <c r="L67"/>
  <c r="K61"/>
  <c r="H42" i="2"/>
  <c r="J54" i="7"/>
  <c r="N265" i="2"/>
  <c r="D271"/>
  <c r="H277"/>
  <c r="M265"/>
  <c r="D267"/>
  <c r="D266" s="1"/>
  <c r="D265" s="1"/>
  <c r="N222" i="9" l="1"/>
  <c r="E16"/>
  <c r="E15" s="1"/>
  <c r="E12"/>
  <c r="E13"/>
  <c r="F13"/>
  <c r="G13"/>
  <c r="H13"/>
  <c r="I13"/>
  <c r="J13"/>
  <c r="K13"/>
  <c r="D203"/>
  <c r="D201"/>
  <c r="D200"/>
  <c r="D208"/>
  <c r="N29"/>
  <c r="N320" i="2"/>
  <c r="N318"/>
  <c r="N317"/>
  <c r="G323"/>
  <c r="G322" s="1"/>
  <c r="G321" s="1"/>
  <c r="E324"/>
  <c r="F324"/>
  <c r="G324"/>
  <c r="E316"/>
  <c r="F316"/>
  <c r="G316"/>
  <c r="E319"/>
  <c r="F319"/>
  <c r="G319"/>
  <c r="G313"/>
  <c r="E40"/>
  <c r="H40"/>
  <c r="J40"/>
  <c r="K40"/>
  <c r="L40"/>
  <c r="E48"/>
  <c r="H48"/>
  <c r="I48"/>
  <c r="J48"/>
  <c r="K48"/>
  <c r="L48"/>
  <c r="G307"/>
  <c r="G303"/>
  <c r="E315" l="1"/>
  <c r="E11" i="9"/>
  <c r="G315" i="2"/>
  <c r="F315"/>
  <c r="N316"/>
  <c r="F323"/>
  <c r="F49" i="8"/>
  <c r="F40"/>
  <c r="G37"/>
  <c r="F37"/>
  <c r="F35"/>
  <c r="H99"/>
  <c r="G99"/>
  <c r="G95"/>
  <c r="F99"/>
  <c r="F95"/>
  <c r="J15" i="3"/>
  <c r="K15"/>
  <c r="L15"/>
  <c r="E18"/>
  <c r="F18"/>
  <c r="G18"/>
  <c r="H18"/>
  <c r="I18"/>
  <c r="J18"/>
  <c r="K18"/>
  <c r="L18"/>
  <c r="K20"/>
  <c r="E193"/>
  <c r="F193"/>
  <c r="D205"/>
  <c r="D204" s="1"/>
  <c r="L204"/>
  <c r="K204"/>
  <c r="J204"/>
  <c r="I204"/>
  <c r="H204"/>
  <c r="G204"/>
  <c r="F204"/>
  <c r="E204"/>
  <c r="D203"/>
  <c r="D202" s="1"/>
  <c r="L202"/>
  <c r="K202"/>
  <c r="J202"/>
  <c r="I202"/>
  <c r="H202"/>
  <c r="G202"/>
  <c r="F202"/>
  <c r="E202"/>
  <c r="N200"/>
  <c r="D200"/>
  <c r="N199"/>
  <c r="D199"/>
  <c r="L198"/>
  <c r="L197" s="1"/>
  <c r="K198"/>
  <c r="K197" s="1"/>
  <c r="J198"/>
  <c r="J197" s="1"/>
  <c r="I198"/>
  <c r="I197" s="1"/>
  <c r="H198"/>
  <c r="H197" s="1"/>
  <c r="G198"/>
  <c r="G197" s="1"/>
  <c r="F197"/>
  <c r="E197"/>
  <c r="N196"/>
  <c r="D196"/>
  <c r="N195"/>
  <c r="D195"/>
  <c r="L194"/>
  <c r="L193" s="1"/>
  <c r="K194"/>
  <c r="K193" s="1"/>
  <c r="J194"/>
  <c r="J193" s="1"/>
  <c r="I194"/>
  <c r="I193" s="1"/>
  <c r="H194"/>
  <c r="H193" s="1"/>
  <c r="G194"/>
  <c r="G193" s="1"/>
  <c r="M252"/>
  <c r="G179"/>
  <c r="H179"/>
  <c r="D177"/>
  <c r="D178"/>
  <c r="D180"/>
  <c r="D181"/>
  <c r="D190"/>
  <c r="D189" s="1"/>
  <c r="L189"/>
  <c r="K189"/>
  <c r="J189"/>
  <c r="I189"/>
  <c r="H189"/>
  <c r="G189"/>
  <c r="F189"/>
  <c r="E189"/>
  <c r="D188"/>
  <c r="D187" s="1"/>
  <c r="L187"/>
  <c r="K187"/>
  <c r="J187"/>
  <c r="I187"/>
  <c r="H187"/>
  <c r="G187"/>
  <c r="F187"/>
  <c r="E187"/>
  <c r="N185"/>
  <c r="D185"/>
  <c r="N184"/>
  <c r="D184"/>
  <c r="L183"/>
  <c r="L182" s="1"/>
  <c r="K183"/>
  <c r="K182" s="1"/>
  <c r="J183"/>
  <c r="J182" s="1"/>
  <c r="I183"/>
  <c r="I182" s="1"/>
  <c r="H183"/>
  <c r="H182" s="1"/>
  <c r="G183"/>
  <c r="G182" s="1"/>
  <c r="F182"/>
  <c r="E182"/>
  <c r="N181"/>
  <c r="N180"/>
  <c r="L179"/>
  <c r="K179"/>
  <c r="J179"/>
  <c r="I179"/>
  <c r="N178"/>
  <c r="N177"/>
  <c r="L176"/>
  <c r="K176"/>
  <c r="J176"/>
  <c r="I176"/>
  <c r="H176"/>
  <c r="G176"/>
  <c r="F175"/>
  <c r="F174" s="1"/>
  <c r="E175"/>
  <c r="E174" s="1"/>
  <c r="G65" i="8"/>
  <c r="F65"/>
  <c r="G74"/>
  <c r="F74"/>
  <c r="G71"/>
  <c r="G69"/>
  <c r="F71"/>
  <c r="F69"/>
  <c r="F81" i="6"/>
  <c r="F79"/>
  <c r="F76"/>
  <c r="F74"/>
  <c r="K186" i="3" l="1"/>
  <c r="J175"/>
  <c r="J174" s="1"/>
  <c r="G201"/>
  <c r="E20"/>
  <c r="E17" s="1"/>
  <c r="E201"/>
  <c r="E186"/>
  <c r="I186"/>
  <c r="F322" i="2"/>
  <c r="F321" s="1"/>
  <c r="E323"/>
  <c r="E322" s="1"/>
  <c r="E321" s="1"/>
  <c r="L186" i="3"/>
  <c r="G186"/>
  <c r="L201"/>
  <c r="J24" i="10" s="1"/>
  <c r="F192" i="3"/>
  <c r="K17"/>
  <c r="N194"/>
  <c r="N193" s="1"/>
  <c r="K192"/>
  <c r="I23" i="10" s="1"/>
  <c r="D198" i="3"/>
  <c r="H201"/>
  <c r="I192"/>
  <c r="I175"/>
  <c r="I174" s="1"/>
  <c r="K175"/>
  <c r="K174" s="1"/>
  <c r="E192"/>
  <c r="D194"/>
  <c r="D193" s="1"/>
  <c r="K201"/>
  <c r="I24" i="10" s="1"/>
  <c r="L175" i="3"/>
  <c r="L174" s="1"/>
  <c r="F186"/>
  <c r="J186"/>
  <c r="G192"/>
  <c r="F201"/>
  <c r="J201"/>
  <c r="H24" i="10" s="1"/>
  <c r="D201" i="3"/>
  <c r="I201"/>
  <c r="H192"/>
  <c r="L192"/>
  <c r="J23" i="10" s="1"/>
  <c r="J192" i="3"/>
  <c r="H23" i="10" s="1"/>
  <c r="N198" i="3"/>
  <c r="N197" s="1"/>
  <c r="M193"/>
  <c r="M198"/>
  <c r="M197" s="1"/>
  <c r="D183"/>
  <c r="D182" s="1"/>
  <c r="G175"/>
  <c r="G174" s="1"/>
  <c r="D186"/>
  <c r="H186"/>
  <c r="D179"/>
  <c r="D176"/>
  <c r="H175"/>
  <c r="H174" s="1"/>
  <c r="N179"/>
  <c r="N176"/>
  <c r="N183"/>
  <c r="N182" s="1"/>
  <c r="M176"/>
  <c r="M175" s="1"/>
  <c r="M183"/>
  <c r="M182" s="1"/>
  <c r="G67" i="5"/>
  <c r="F67"/>
  <c r="F70"/>
  <c r="I121" i="9"/>
  <c r="H121"/>
  <c r="G121"/>
  <c r="H118"/>
  <c r="H116"/>
  <c r="G118"/>
  <c r="G116"/>
  <c r="F118"/>
  <c r="F116"/>
  <c r="I112"/>
  <c r="H112"/>
  <c r="G112"/>
  <c r="F112"/>
  <c r="F109"/>
  <c r="H108"/>
  <c r="H107" s="1"/>
  <c r="G108"/>
  <c r="G107" s="1"/>
  <c r="F108"/>
  <c r="F105"/>
  <c r="H104"/>
  <c r="H103" s="1"/>
  <c r="G104"/>
  <c r="G103" s="1"/>
  <c r="F104"/>
  <c r="F103" s="1"/>
  <c r="G174"/>
  <c r="G171"/>
  <c r="G169"/>
  <c r="H165"/>
  <c r="G161"/>
  <c r="G157"/>
  <c r="F161"/>
  <c r="F157"/>
  <c r="F156" s="1"/>
  <c r="L136" i="6"/>
  <c r="K136"/>
  <c r="J136"/>
  <c r="I136"/>
  <c r="H136"/>
  <c r="G136"/>
  <c r="F136"/>
  <c r="H132"/>
  <c r="F130"/>
  <c r="L128"/>
  <c r="K128"/>
  <c r="J128"/>
  <c r="I128"/>
  <c r="H128"/>
  <c r="G128"/>
  <c r="F128"/>
  <c r="H127"/>
  <c r="F127"/>
  <c r="H122"/>
  <c r="F122"/>
  <c r="H117"/>
  <c r="E117"/>
  <c r="H108"/>
  <c r="D136" l="1"/>
  <c r="D197" i="3"/>
  <c r="D192" s="1"/>
  <c r="P198"/>
  <c r="P194"/>
  <c r="M192"/>
  <c r="N192"/>
  <c r="M174"/>
  <c r="D175"/>
  <c r="D174" s="1"/>
  <c r="N175"/>
  <c r="N174" s="1"/>
  <c r="F107" i="9"/>
  <c r="J108" i="6"/>
  <c r="J100"/>
  <c r="I100"/>
  <c r="H113"/>
  <c r="H103"/>
  <c r="H100"/>
  <c r="F114"/>
  <c r="F113"/>
  <c r="F103"/>
  <c r="L117"/>
  <c r="K117"/>
  <c r="J117"/>
  <c r="I117"/>
  <c r="G117"/>
  <c r="F117"/>
  <c r="D117" s="1"/>
  <c r="H110"/>
  <c r="F110"/>
  <c r="H112"/>
  <c r="F112"/>
  <c r="F111"/>
  <c r="L109"/>
  <c r="K109"/>
  <c r="J109"/>
  <c r="I109"/>
  <c r="H109"/>
  <c r="G109"/>
  <c r="F109"/>
  <c r="F108"/>
  <c r="E108"/>
  <c r="F100"/>
  <c r="F98"/>
  <c r="I204" l="1"/>
  <c r="H177"/>
  <c r="G172"/>
  <c r="F172"/>
  <c r="H176"/>
  <c r="F176"/>
  <c r="I177"/>
  <c r="G177"/>
  <c r="H183"/>
  <c r="F183"/>
  <c r="I184"/>
  <c r="H184"/>
  <c r="G184"/>
  <c r="I199"/>
  <c r="H199"/>
  <c r="H204"/>
  <c r="I211"/>
  <c r="H211"/>
  <c r="G535" i="2" l="1"/>
  <c r="I535"/>
  <c r="H535"/>
  <c r="F535"/>
  <c r="F630"/>
  <c r="F631"/>
  <c r="F634"/>
  <c r="F622"/>
  <c r="G618"/>
  <c r="F642"/>
  <c r="F626"/>
  <c r="F184" i="9"/>
  <c r="F180"/>
  <c r="G184"/>
  <c r="G183"/>
  <c r="F183"/>
  <c r="G180"/>
  <c r="G179"/>
  <c r="F179"/>
  <c r="G117" i="3"/>
  <c r="F117"/>
  <c r="G116"/>
  <c r="F116"/>
  <c r="G113"/>
  <c r="F113"/>
  <c r="G112"/>
  <c r="F112"/>
  <c r="F131" i="9"/>
  <c r="F127"/>
  <c r="G130"/>
  <c r="G131"/>
  <c r="G126"/>
  <c r="G127"/>
  <c r="H131"/>
  <c r="H127"/>
  <c r="I255" i="6"/>
  <c r="H255"/>
  <c r="G255"/>
  <c r="F255"/>
  <c r="I142" i="3"/>
  <c r="H142"/>
  <c r="G142"/>
  <c r="H138"/>
  <c r="G138"/>
  <c r="I137"/>
  <c r="H137"/>
  <c r="G137"/>
  <c r="I132"/>
  <c r="I22" s="1"/>
  <c r="H132"/>
  <c r="H22" s="1"/>
  <c r="G132"/>
  <c r="G22" s="1"/>
  <c r="G129"/>
  <c r="F129"/>
  <c r="H128"/>
  <c r="G128"/>
  <c r="F128"/>
  <c r="H126"/>
  <c r="G126"/>
  <c r="F126"/>
  <c r="I125"/>
  <c r="H125"/>
  <c r="G125"/>
  <c r="F581" i="2" l="1"/>
  <c r="F582"/>
  <c r="F578"/>
  <c r="F577"/>
  <c r="F614"/>
  <c r="F573"/>
  <c r="G104" i="7"/>
  <c r="G12" s="1"/>
  <c r="G105"/>
  <c r="F104"/>
  <c r="F12" s="1"/>
  <c r="G129" i="9"/>
  <c r="F129"/>
  <c r="G125"/>
  <c r="F125"/>
  <c r="F126"/>
  <c r="F130"/>
  <c r="G239" i="2"/>
  <c r="G234"/>
  <c r="G231"/>
  <c r="F239"/>
  <c r="F234"/>
  <c r="F231"/>
  <c r="E51" i="9"/>
  <c r="G60"/>
  <c r="G55"/>
  <c r="G51"/>
  <c r="F55"/>
  <c r="F52"/>
  <c r="F51" s="1"/>
  <c r="D58"/>
  <c r="D57" s="1"/>
  <c r="L57"/>
  <c r="K57"/>
  <c r="J57"/>
  <c r="I57"/>
  <c r="H57"/>
  <c r="G57"/>
  <c r="F57"/>
  <c r="E57"/>
  <c r="N53"/>
  <c r="D53"/>
  <c r="N41"/>
  <c r="G40"/>
  <c r="G39" s="1"/>
  <c r="E39"/>
  <c r="H48"/>
  <c r="G48"/>
  <c r="D46"/>
  <c r="D45" s="1"/>
  <c r="L45"/>
  <c r="K45"/>
  <c r="J45"/>
  <c r="I45"/>
  <c r="H45"/>
  <c r="G45"/>
  <c r="F45"/>
  <c r="E45"/>
  <c r="G43"/>
  <c r="F43"/>
  <c r="D41"/>
  <c r="F40"/>
  <c r="F39" s="1"/>
  <c r="H36"/>
  <c r="G36"/>
  <c r="D34"/>
  <c r="D33" s="1"/>
  <c r="L33"/>
  <c r="K33"/>
  <c r="J33"/>
  <c r="I33"/>
  <c r="H33"/>
  <c r="G33"/>
  <c r="F33"/>
  <c r="E33"/>
  <c r="G31"/>
  <c r="F31"/>
  <c r="E27"/>
  <c r="D29"/>
  <c r="G28"/>
  <c r="F28"/>
  <c r="N14" l="1"/>
  <c r="G27"/>
  <c r="N31"/>
  <c r="F27"/>
  <c r="G224" i="6"/>
  <c r="F224"/>
  <c r="G222"/>
  <c r="F222"/>
  <c r="G219"/>
  <c r="F219"/>
  <c r="G216"/>
  <c r="F216"/>
  <c r="H138" i="7"/>
  <c r="G138"/>
  <c r="H136"/>
  <c r="G136"/>
  <c r="H135"/>
  <c r="G135"/>
  <c r="H132"/>
  <c r="G132"/>
  <c r="H130"/>
  <c r="G130"/>
  <c r="H129"/>
  <c r="G129"/>
  <c r="G40"/>
  <c r="F40"/>
  <c r="G35"/>
  <c r="F35"/>
  <c r="H162"/>
  <c r="G162"/>
  <c r="H160"/>
  <c r="G160"/>
  <c r="H157"/>
  <c r="G157"/>
  <c r="H155"/>
  <c r="G155"/>
  <c r="I150"/>
  <c r="H150"/>
  <c r="G150"/>
  <c r="I148"/>
  <c r="H148"/>
  <c r="G148"/>
  <c r="I145"/>
  <c r="H145"/>
  <c r="G145"/>
  <c r="I143"/>
  <c r="H143"/>
  <c r="G143"/>
  <c r="G117"/>
  <c r="F117"/>
  <c r="H52"/>
  <c r="G52"/>
  <c r="H50"/>
  <c r="G50"/>
  <c r="H47"/>
  <c r="G47"/>
  <c r="H45"/>
  <c r="F45"/>
  <c r="G167" i="2"/>
  <c r="F167"/>
  <c r="G162"/>
  <c r="F162"/>
  <c r="G159"/>
  <c r="F159"/>
  <c r="G130"/>
  <c r="G129" s="1"/>
  <c r="G143"/>
  <c r="F136"/>
  <c r="F131"/>
  <c r="G81"/>
  <c r="G80" s="1"/>
  <c r="F82"/>
  <c r="G251"/>
  <c r="F251"/>
  <c r="G246"/>
  <c r="F246"/>
  <c r="G243"/>
  <c r="F243"/>
  <c r="G237"/>
  <c r="F237"/>
  <c r="G232"/>
  <c r="F232"/>
  <c r="G215" i="6"/>
  <c r="F215"/>
  <c r="F37" i="2" l="1"/>
  <c r="G42"/>
  <c r="L47" i="8"/>
  <c r="L49"/>
  <c r="J47"/>
  <c r="J49"/>
  <c r="I47"/>
  <c r="I49"/>
  <c r="H47"/>
  <c r="H49"/>
  <c r="F47"/>
  <c r="L52"/>
  <c r="J52"/>
  <c r="I52"/>
  <c r="H52"/>
  <c r="F52"/>
  <c r="L55"/>
  <c r="K55"/>
  <c r="J55"/>
  <c r="I55"/>
  <c r="H55"/>
  <c r="F55"/>
  <c r="G217" i="6"/>
  <c r="F217"/>
  <c r="G43" l="1"/>
  <c r="F43"/>
  <c r="G44"/>
  <c r="F44"/>
  <c r="E44"/>
  <c r="G47"/>
  <c r="F47"/>
  <c r="G48"/>
  <c r="F48"/>
  <c r="E48"/>
  <c r="G52"/>
  <c r="F52"/>
  <c r="G53"/>
  <c r="F53"/>
  <c r="E53"/>
  <c r="H56"/>
  <c r="G56"/>
  <c r="H58"/>
  <c r="G58"/>
  <c r="H37"/>
  <c r="G37"/>
  <c r="F65"/>
  <c r="G68"/>
  <c r="G70"/>
  <c r="G29"/>
  <c r="F29"/>
  <c r="G33"/>
  <c r="F33"/>
  <c r="G34"/>
  <c r="F34"/>
  <c r="G29" i="3" l="1"/>
  <c r="F29"/>
  <c r="G28"/>
  <c r="F28"/>
  <c r="G35"/>
  <c r="F35"/>
  <c r="G34"/>
  <c r="F34"/>
  <c r="I41"/>
  <c r="H41"/>
  <c r="G41"/>
  <c r="G21" s="1"/>
  <c r="G425" i="2"/>
  <c r="F425"/>
  <c r="G426"/>
  <c r="F426"/>
  <c r="G430"/>
  <c r="F430"/>
  <c r="G431"/>
  <c r="F431"/>
  <c r="H434"/>
  <c r="G434"/>
  <c r="G411"/>
  <c r="F411"/>
  <c r="G410"/>
  <c r="F410"/>
  <c r="G416"/>
  <c r="F416"/>
  <c r="F415"/>
  <c r="G415"/>
  <c r="H419"/>
  <c r="G419"/>
  <c r="F419"/>
  <c r="I21" i="3" l="1"/>
  <c r="I20" s="1"/>
  <c r="I17" s="1"/>
  <c r="H21"/>
  <c r="H20" s="1"/>
  <c r="H17" s="1"/>
  <c r="P428" i="2"/>
  <c r="D224" i="9" l="1"/>
  <c r="D229" l="1"/>
  <c r="L228"/>
  <c r="K228"/>
  <c r="J228"/>
  <c r="I228"/>
  <c r="H228"/>
  <c r="G228"/>
  <c r="F228"/>
  <c r="E228"/>
  <c r="D227"/>
  <c r="L226"/>
  <c r="K226"/>
  <c r="K225" s="1"/>
  <c r="J226"/>
  <c r="I226"/>
  <c r="H226"/>
  <c r="G226"/>
  <c r="G225" s="1"/>
  <c r="F226"/>
  <c r="E226"/>
  <c r="N224"/>
  <c r="N223" s="1"/>
  <c r="M224"/>
  <c r="M223" s="1"/>
  <c r="D223"/>
  <c r="L223"/>
  <c r="K223"/>
  <c r="J223"/>
  <c r="I223"/>
  <c r="H223"/>
  <c r="G223"/>
  <c r="E223"/>
  <c r="M222"/>
  <c r="D222"/>
  <c r="D14" s="1"/>
  <c r="N221"/>
  <c r="N220" s="1"/>
  <c r="M221"/>
  <c r="D221"/>
  <c r="L220"/>
  <c r="K220"/>
  <c r="J220"/>
  <c r="I220"/>
  <c r="H220"/>
  <c r="G220"/>
  <c r="F220"/>
  <c r="E220"/>
  <c r="D217"/>
  <c r="D216" s="1"/>
  <c r="D215" s="1"/>
  <c r="L216"/>
  <c r="K216"/>
  <c r="J216"/>
  <c r="I216"/>
  <c r="H216"/>
  <c r="G216"/>
  <c r="F216"/>
  <c r="E216"/>
  <c r="E215"/>
  <c r="N214"/>
  <c r="N213" s="1"/>
  <c r="M214"/>
  <c r="M213" s="1"/>
  <c r="D214"/>
  <c r="D213" s="1"/>
  <c r="I213"/>
  <c r="G213"/>
  <c r="E213"/>
  <c r="N212"/>
  <c r="N211" s="1"/>
  <c r="M212"/>
  <c r="M211" s="1"/>
  <c r="D212"/>
  <c r="D211" s="1"/>
  <c r="L211"/>
  <c r="K211"/>
  <c r="J211"/>
  <c r="I211"/>
  <c r="H211"/>
  <c r="G211"/>
  <c r="F211"/>
  <c r="E211"/>
  <c r="F210"/>
  <c r="E225" l="1"/>
  <c r="I225"/>
  <c r="I210"/>
  <c r="G215"/>
  <c r="G210" s="1"/>
  <c r="D220"/>
  <c r="E210"/>
  <c r="K215"/>
  <c r="K210" s="1"/>
  <c r="I219"/>
  <c r="J210"/>
  <c r="H225"/>
  <c r="L225"/>
  <c r="I215"/>
  <c r="F215"/>
  <c r="H215"/>
  <c r="H210" s="1"/>
  <c r="J215"/>
  <c r="L215"/>
  <c r="L210" s="1"/>
  <c r="G219"/>
  <c r="K219"/>
  <c r="F219"/>
  <c r="H219"/>
  <c r="J219"/>
  <c r="L219"/>
  <c r="E219"/>
  <c r="J225"/>
  <c r="D228"/>
  <c r="D226"/>
  <c r="M210"/>
  <c r="D210"/>
  <c r="M220"/>
  <c r="M219" s="1"/>
  <c r="F225"/>
  <c r="D219"/>
  <c r="N219"/>
  <c r="N210"/>
  <c r="D225" l="1"/>
  <c r="F282" i="2"/>
  <c r="L57" i="3" l="1"/>
  <c r="K57"/>
  <c r="J57"/>
  <c r="I57"/>
  <c r="L55"/>
  <c r="L54" s="1"/>
  <c r="K55"/>
  <c r="J55"/>
  <c r="I55"/>
  <c r="I54" s="1"/>
  <c r="L51"/>
  <c r="K51"/>
  <c r="K50" s="1"/>
  <c r="J51"/>
  <c r="J50" s="1"/>
  <c r="I51"/>
  <c r="L46"/>
  <c r="K46"/>
  <c r="J46"/>
  <c r="I46"/>
  <c r="E46"/>
  <c r="I50" l="1"/>
  <c r="L50"/>
  <c r="K45"/>
  <c r="K44" s="1"/>
  <c r="I45"/>
  <c r="J45"/>
  <c r="J44" s="1"/>
  <c r="L45"/>
  <c r="J54"/>
  <c r="K54"/>
  <c r="L44"/>
  <c r="I44"/>
  <c r="N47" l="1"/>
  <c r="N48"/>
  <c r="F51"/>
  <c r="E51"/>
  <c r="E16" s="1"/>
  <c r="D172" l="1"/>
  <c r="D171" s="1"/>
  <c r="L171"/>
  <c r="K171"/>
  <c r="J171"/>
  <c r="I171"/>
  <c r="H171"/>
  <c r="G171"/>
  <c r="F171"/>
  <c r="E171"/>
  <c r="D170"/>
  <c r="D169" s="1"/>
  <c r="L169"/>
  <c r="K169"/>
  <c r="J169"/>
  <c r="J168" s="1"/>
  <c r="I169"/>
  <c r="H169"/>
  <c r="G169"/>
  <c r="F169"/>
  <c r="E169"/>
  <c r="K166"/>
  <c r="J166"/>
  <c r="I166"/>
  <c r="H166"/>
  <c r="L166"/>
  <c r="F166"/>
  <c r="E166"/>
  <c r="L163"/>
  <c r="K163"/>
  <c r="J163"/>
  <c r="I163"/>
  <c r="H163"/>
  <c r="G163"/>
  <c r="F163"/>
  <c r="E163"/>
  <c r="E162" s="1"/>
  <c r="E145"/>
  <c r="F145"/>
  <c r="D160"/>
  <c r="L157"/>
  <c r="K157"/>
  <c r="J157"/>
  <c r="I157"/>
  <c r="H157"/>
  <c r="G157"/>
  <c r="F157"/>
  <c r="E157"/>
  <c r="D158"/>
  <c r="D157" s="1"/>
  <c r="L149"/>
  <c r="L13" s="1"/>
  <c r="K149"/>
  <c r="K13" s="1"/>
  <c r="J149"/>
  <c r="J13" s="1"/>
  <c r="I149"/>
  <c r="I13" s="1"/>
  <c r="H149"/>
  <c r="H13" s="1"/>
  <c r="G149"/>
  <c r="G13" s="1"/>
  <c r="D151"/>
  <c r="D150"/>
  <c r="N151"/>
  <c r="N150"/>
  <c r="L168" l="1"/>
  <c r="F168"/>
  <c r="H168"/>
  <c r="M167"/>
  <c r="M166" s="1"/>
  <c r="E168"/>
  <c r="G168"/>
  <c r="I168"/>
  <c r="K168"/>
  <c r="N149"/>
  <c r="F162"/>
  <c r="J162"/>
  <c r="I162"/>
  <c r="K162"/>
  <c r="M164"/>
  <c r="M163" s="1"/>
  <c r="D165"/>
  <c r="P170" s="1"/>
  <c r="H162"/>
  <c r="L162"/>
  <c r="D168"/>
  <c r="G166"/>
  <c r="D167"/>
  <c r="D166" s="1"/>
  <c r="D149"/>
  <c r="D164"/>
  <c r="N164"/>
  <c r="N165"/>
  <c r="N167"/>
  <c r="N166" s="1"/>
  <c r="M162" l="1"/>
  <c r="P158"/>
  <c r="G162"/>
  <c r="D163"/>
  <c r="D162" s="1"/>
  <c r="P172"/>
  <c r="N163"/>
  <c r="N162" s="1"/>
  <c r="L153" l="1"/>
  <c r="K153"/>
  <c r="J153"/>
  <c r="I153"/>
  <c r="H153"/>
  <c r="G153"/>
  <c r="N155"/>
  <c r="N154"/>
  <c r="N148"/>
  <c r="N147"/>
  <c r="H146"/>
  <c r="I146"/>
  <c r="J146"/>
  <c r="K146"/>
  <c r="L146"/>
  <c r="G146"/>
  <c r="H145" l="1"/>
  <c r="J145"/>
  <c r="K145"/>
  <c r="L145"/>
  <c r="I145"/>
  <c r="G145"/>
  <c r="N146"/>
  <c r="N145" s="1"/>
  <c r="D153"/>
  <c r="D159"/>
  <c r="D156" s="1"/>
  <c r="L159"/>
  <c r="K159"/>
  <c r="J159"/>
  <c r="I159"/>
  <c r="H159"/>
  <c r="G159"/>
  <c r="F159"/>
  <c r="F156" s="1"/>
  <c r="E159"/>
  <c r="E156" s="1"/>
  <c r="D155"/>
  <c r="D154"/>
  <c r="M153"/>
  <c r="M152" s="1"/>
  <c r="N153"/>
  <c r="N152" s="1"/>
  <c r="L152"/>
  <c r="K152"/>
  <c r="J152"/>
  <c r="I152"/>
  <c r="H152"/>
  <c r="G152"/>
  <c r="F152"/>
  <c r="E152"/>
  <c r="D148"/>
  <c r="D147"/>
  <c r="M146"/>
  <c r="M145" s="1"/>
  <c r="P160" l="1"/>
  <c r="I156"/>
  <c r="K156"/>
  <c r="J156"/>
  <c r="L156"/>
  <c r="J144"/>
  <c r="N144"/>
  <c r="H156"/>
  <c r="G156"/>
  <c r="D152"/>
  <c r="H144"/>
  <c r="L144"/>
  <c r="F144"/>
  <c r="E144"/>
  <c r="K144"/>
  <c r="G144"/>
  <c r="I144"/>
  <c r="M144"/>
  <c r="D146"/>
  <c r="D145" s="1"/>
  <c r="F413" i="2"/>
  <c r="D144" i="3" l="1"/>
  <c r="P143" l="1"/>
  <c r="F59" i="13"/>
  <c r="F65"/>
  <c r="N172" i="2" l="1"/>
  <c r="N232"/>
  <c r="O18" i="4" l="1"/>
  <c r="L18"/>
  <c r="O21" i="10" l="1"/>
  <c r="M249" i="9" l="1"/>
  <c r="M172" i="2" l="1"/>
  <c r="M129" i="7"/>
  <c r="L15" i="4"/>
  <c r="M56"/>
  <c r="M51"/>
  <c r="M46"/>
  <c r="M34"/>
  <c r="M155" i="7"/>
  <c r="M143"/>
  <c r="M15" i="4" l="1"/>
  <c r="E30" i="7"/>
  <c r="E29" s="1"/>
  <c r="D415" i="2" l="1"/>
  <c r="E8" i="7" l="1"/>
  <c r="F8"/>
  <c r="G8"/>
  <c r="H8"/>
  <c r="I8"/>
  <c r="J8"/>
  <c r="K8"/>
  <c r="L8"/>
  <c r="E9"/>
  <c r="H9"/>
  <c r="I9"/>
  <c r="J9"/>
  <c r="L9"/>
  <c r="E22"/>
  <c r="F22"/>
  <c r="G22"/>
  <c r="H22"/>
  <c r="I22"/>
  <c r="J22"/>
  <c r="K22"/>
  <c r="L22"/>
  <c r="E13" i="8"/>
  <c r="H13"/>
  <c r="I13"/>
  <c r="J13"/>
  <c r="K13"/>
  <c r="L13"/>
  <c r="I113" i="6" l="1"/>
  <c r="I108"/>
  <c r="I103"/>
  <c r="E31" l="1"/>
  <c r="G653" i="2" l="1"/>
  <c r="H653"/>
  <c r="I653"/>
  <c r="J653"/>
  <c r="K653"/>
  <c r="L653"/>
  <c r="I19" i="7"/>
  <c r="M201" i="9"/>
  <c r="M14" s="1"/>
  <c r="G78" l="1"/>
  <c r="F78"/>
  <c r="G75"/>
  <c r="F75"/>
  <c r="G73"/>
  <c r="F73"/>
  <c r="H37" i="8"/>
  <c r="M35" l="1"/>
  <c r="M15" s="1"/>
  <c r="E19" i="7"/>
  <c r="H19"/>
  <c r="J19"/>
  <c r="K19"/>
  <c r="L19"/>
  <c r="E16"/>
  <c r="F16"/>
  <c r="G16"/>
  <c r="H16"/>
  <c r="I16"/>
  <c r="J16"/>
  <c r="K16"/>
  <c r="L16"/>
  <c r="E13"/>
  <c r="H13"/>
  <c r="I13"/>
  <c r="J13"/>
  <c r="L13"/>
  <c r="E142"/>
  <c r="E12" s="1"/>
  <c r="D162"/>
  <c r="D161" s="1"/>
  <c r="K161"/>
  <c r="J161"/>
  <c r="I161"/>
  <c r="H161"/>
  <c r="G161"/>
  <c r="F161"/>
  <c r="E161"/>
  <c r="D160"/>
  <c r="D159" s="1"/>
  <c r="K159"/>
  <c r="J159"/>
  <c r="J158" s="1"/>
  <c r="I159"/>
  <c r="H159"/>
  <c r="G159"/>
  <c r="F159"/>
  <c r="F158" s="1"/>
  <c r="E159"/>
  <c r="K158"/>
  <c r="D157"/>
  <c r="D156" s="1"/>
  <c r="N156"/>
  <c r="M156"/>
  <c r="K156"/>
  <c r="J156"/>
  <c r="I156"/>
  <c r="H156"/>
  <c r="G156"/>
  <c r="F156"/>
  <c r="E156"/>
  <c r="N155"/>
  <c r="N153" s="1"/>
  <c r="N152" s="1"/>
  <c r="M153"/>
  <c r="M152" s="1"/>
  <c r="D154"/>
  <c r="K153"/>
  <c r="K152" s="1"/>
  <c r="J153"/>
  <c r="I153"/>
  <c r="I152" s="1"/>
  <c r="H153"/>
  <c r="G153"/>
  <c r="F153"/>
  <c r="E153"/>
  <c r="E152" s="1"/>
  <c r="J152"/>
  <c r="D150"/>
  <c r="D149" s="1"/>
  <c r="K149"/>
  <c r="J149"/>
  <c r="I149"/>
  <c r="H149"/>
  <c r="G149"/>
  <c r="F149"/>
  <c r="E149"/>
  <c r="D148"/>
  <c r="D147" s="1"/>
  <c r="K147"/>
  <c r="J147"/>
  <c r="J146" s="1"/>
  <c r="I147"/>
  <c r="H147"/>
  <c r="G147"/>
  <c r="G146" s="1"/>
  <c r="F147"/>
  <c r="F146" s="1"/>
  <c r="E147"/>
  <c r="K146"/>
  <c r="D145"/>
  <c r="D144" s="1"/>
  <c r="N144"/>
  <c r="M144"/>
  <c r="K144"/>
  <c r="J144"/>
  <c r="I144"/>
  <c r="H144"/>
  <c r="G144"/>
  <c r="F144"/>
  <c r="E144"/>
  <c r="N143"/>
  <c r="N141" s="1"/>
  <c r="N140" s="1"/>
  <c r="M141"/>
  <c r="M140" s="1"/>
  <c r="D142"/>
  <c r="K141"/>
  <c r="K140" s="1"/>
  <c r="J141"/>
  <c r="I141"/>
  <c r="H141"/>
  <c r="G141"/>
  <c r="G140" s="1"/>
  <c r="F141"/>
  <c r="F140" s="1"/>
  <c r="J140"/>
  <c r="G19"/>
  <c r="F50"/>
  <c r="F19" s="1"/>
  <c r="G45"/>
  <c r="E146" l="1"/>
  <c r="I140"/>
  <c r="G158"/>
  <c r="H152"/>
  <c r="G152"/>
  <c r="F152"/>
  <c r="E158"/>
  <c r="I158"/>
  <c r="I146"/>
  <c r="H140"/>
  <c r="H146"/>
  <c r="E141"/>
  <c r="E140" s="1"/>
  <c r="H158"/>
  <c r="D158"/>
  <c r="D146"/>
  <c r="D155"/>
  <c r="D143"/>
  <c r="D141" s="1"/>
  <c r="D140" s="1"/>
  <c r="G199" i="6"/>
  <c r="F251"/>
  <c r="M251" s="1"/>
  <c r="G250"/>
  <c r="G249" s="1"/>
  <c r="I43"/>
  <c r="H43"/>
  <c r="E43"/>
  <c r="E41" s="1"/>
  <c r="I44"/>
  <c r="H44"/>
  <c r="I47"/>
  <c r="H47"/>
  <c r="E47"/>
  <c r="I48"/>
  <c r="H48"/>
  <c r="I53"/>
  <c r="I52"/>
  <c r="H52"/>
  <c r="E52"/>
  <c r="E50" s="1"/>
  <c r="H53"/>
  <c r="F58"/>
  <c r="K33"/>
  <c r="F37"/>
  <c r="N52" l="1"/>
  <c r="D44"/>
  <c r="D48"/>
  <c r="D33"/>
  <c r="M33"/>
  <c r="D52"/>
  <c r="M199"/>
  <c r="D153" i="7"/>
  <c r="D152" s="1"/>
  <c r="E45" i="6"/>
  <c r="D47"/>
  <c r="G66" i="5"/>
  <c r="G65" s="1"/>
  <c r="G69"/>
  <c r="G68" s="1"/>
  <c r="I28" i="3"/>
  <c r="H28"/>
  <c r="I29"/>
  <c r="H29"/>
  <c r="E29"/>
  <c r="E26" s="1"/>
  <c r="I34"/>
  <c r="H34"/>
  <c r="I35"/>
  <c r="H35"/>
  <c r="E35"/>
  <c r="J41"/>
  <c r="F41"/>
  <c r="F21" s="1"/>
  <c r="I425" i="2"/>
  <c r="H425"/>
  <c r="I426"/>
  <c r="H426"/>
  <c r="I430"/>
  <c r="H430"/>
  <c r="I431"/>
  <c r="H431"/>
  <c r="I419"/>
  <c r="H411"/>
  <c r="E411"/>
  <c r="H416"/>
  <c r="E416"/>
  <c r="E413" s="1"/>
  <c r="E12" i="3" l="1"/>
  <c r="E11" s="1"/>
  <c r="J21"/>
  <c r="J20" s="1"/>
  <c r="J17" s="1"/>
  <c r="D416" i="2"/>
  <c r="D411"/>
  <c r="E408"/>
  <c r="D34" i="3"/>
  <c r="D28"/>
  <c r="D35"/>
  <c r="E32"/>
  <c r="E15" s="1"/>
  <c r="E14" s="1"/>
  <c r="D29"/>
  <c r="H95" i="8"/>
  <c r="E10" i="3" l="1"/>
  <c r="H29" i="8"/>
  <c r="I29"/>
  <c r="L29"/>
  <c r="E29"/>
  <c r="G62"/>
  <c r="F62"/>
  <c r="G60"/>
  <c r="F60"/>
  <c r="D206" i="9"/>
  <c r="D21" s="1"/>
  <c r="L205"/>
  <c r="K205"/>
  <c r="J205"/>
  <c r="I205"/>
  <c r="H205"/>
  <c r="G205"/>
  <c r="F205"/>
  <c r="E205"/>
  <c r="E199"/>
  <c r="F199"/>
  <c r="G199"/>
  <c r="H199"/>
  <c r="I199"/>
  <c r="H202"/>
  <c r="I202"/>
  <c r="J202"/>
  <c r="K202"/>
  <c r="L202"/>
  <c r="E194"/>
  <c r="E195"/>
  <c r="F198"/>
  <c r="J199"/>
  <c r="K199"/>
  <c r="L199"/>
  <c r="L198" s="1"/>
  <c r="J195"/>
  <c r="I192"/>
  <c r="I190"/>
  <c r="J190"/>
  <c r="K190"/>
  <c r="L190"/>
  <c r="H190"/>
  <c r="D207"/>
  <c r="L207"/>
  <c r="K207"/>
  <c r="J207"/>
  <c r="I207"/>
  <c r="H207"/>
  <c r="G207"/>
  <c r="F207"/>
  <c r="E207"/>
  <c r="N203"/>
  <c r="N202" s="1"/>
  <c r="M203"/>
  <c r="M202" s="1"/>
  <c r="D202"/>
  <c r="G202"/>
  <c r="E202"/>
  <c r="N200"/>
  <c r="N199" s="1"/>
  <c r="M200"/>
  <c r="M199" s="1"/>
  <c r="D199"/>
  <c r="E198"/>
  <c r="D196"/>
  <c r="D195" s="1"/>
  <c r="D194" s="1"/>
  <c r="L195"/>
  <c r="K195"/>
  <c r="K23" s="1"/>
  <c r="I195"/>
  <c r="I23" s="1"/>
  <c r="H195"/>
  <c r="G195"/>
  <c r="F195"/>
  <c r="N193"/>
  <c r="N192" s="1"/>
  <c r="M193"/>
  <c r="D193"/>
  <c r="D192" s="1"/>
  <c r="M192"/>
  <c r="G192"/>
  <c r="E192"/>
  <c r="N191"/>
  <c r="N190" s="1"/>
  <c r="M191"/>
  <c r="M190" s="1"/>
  <c r="M189" s="1"/>
  <c r="D191"/>
  <c r="D190" s="1"/>
  <c r="G190"/>
  <c r="F190"/>
  <c r="E190"/>
  <c r="F189"/>
  <c r="E189" l="1"/>
  <c r="K198"/>
  <c r="D198"/>
  <c r="J198"/>
  <c r="C38" i="10"/>
  <c r="L194" i="9"/>
  <c r="L23"/>
  <c r="J189"/>
  <c r="J23"/>
  <c r="I198"/>
  <c r="H198"/>
  <c r="D205"/>
  <c r="D38" i="10"/>
  <c r="G198" i="9"/>
  <c r="I189"/>
  <c r="E23"/>
  <c r="G194"/>
  <c r="I194"/>
  <c r="L189"/>
  <c r="J38" i="10" s="1"/>
  <c r="G204" i="9"/>
  <c r="I204"/>
  <c r="J194"/>
  <c r="F194"/>
  <c r="H194"/>
  <c r="K194"/>
  <c r="H204"/>
  <c r="J204"/>
  <c r="F204"/>
  <c r="L204"/>
  <c r="K204"/>
  <c r="E204"/>
  <c r="C39" i="10" s="1"/>
  <c r="D204" i="9"/>
  <c r="M198"/>
  <c r="N198"/>
  <c r="D189"/>
  <c r="N189"/>
  <c r="F91"/>
  <c r="G99"/>
  <c r="F99"/>
  <c r="F39" i="10" l="1"/>
  <c r="H39"/>
  <c r="G38"/>
  <c r="H38"/>
  <c r="I39"/>
  <c r="D39"/>
  <c r="G39"/>
  <c r="G189" i="9"/>
  <c r="E38" i="10" s="1"/>
  <c r="E39"/>
  <c r="J39"/>
  <c r="K189" i="9"/>
  <c r="I38" i="10" s="1"/>
  <c r="H189" i="9"/>
  <c r="F38" i="10" s="1"/>
  <c r="G94" i="9"/>
  <c r="F94"/>
  <c r="G91"/>
  <c r="K39" i="10" l="1"/>
  <c r="M38"/>
  <c r="K38"/>
  <c r="I41" i="13"/>
  <c r="G38"/>
  <c r="L38" i="10" l="1"/>
  <c r="G27" i="13"/>
  <c r="F36"/>
  <c r="I32"/>
  <c r="F38"/>
  <c r="F27"/>
  <c r="F29"/>
  <c r="G36"/>
  <c r="G29"/>
  <c r="G134" i="9" l="1"/>
  <c r="F134"/>
  <c r="E20" i="7" l="1"/>
  <c r="F20"/>
  <c r="G20"/>
  <c r="H20"/>
  <c r="I20"/>
  <c r="I18" s="1"/>
  <c r="J20"/>
  <c r="K20"/>
  <c r="L20"/>
  <c r="E14"/>
  <c r="E11" s="1"/>
  <c r="F14"/>
  <c r="G14"/>
  <c r="H14"/>
  <c r="I14"/>
  <c r="J14"/>
  <c r="J11" s="1"/>
  <c r="K14"/>
  <c r="L14"/>
  <c r="E18"/>
  <c r="F18"/>
  <c r="H18"/>
  <c r="J18"/>
  <c r="K18"/>
  <c r="L18"/>
  <c r="H11"/>
  <c r="I11"/>
  <c r="L11"/>
  <c r="D136"/>
  <c r="D20" s="1"/>
  <c r="E134"/>
  <c r="F134"/>
  <c r="G134"/>
  <c r="H134"/>
  <c r="I134"/>
  <c r="J134"/>
  <c r="K134"/>
  <c r="E127"/>
  <c r="F127"/>
  <c r="G127"/>
  <c r="H127"/>
  <c r="I127"/>
  <c r="J127"/>
  <c r="K127"/>
  <c r="L127"/>
  <c r="D130"/>
  <c r="D14" s="1"/>
  <c r="D138"/>
  <c r="K137"/>
  <c r="K133" s="1"/>
  <c r="J137"/>
  <c r="I137"/>
  <c r="I133" s="1"/>
  <c r="H137"/>
  <c r="G137"/>
  <c r="F137"/>
  <c r="E137"/>
  <c r="E133" s="1"/>
  <c r="D137"/>
  <c r="D135"/>
  <c r="D132"/>
  <c r="D131" s="1"/>
  <c r="N131"/>
  <c r="M131"/>
  <c r="K131"/>
  <c r="J131"/>
  <c r="I131"/>
  <c r="I126" s="1"/>
  <c r="H131"/>
  <c r="G131"/>
  <c r="F131"/>
  <c r="F126" s="1"/>
  <c r="E131"/>
  <c r="E126" s="1"/>
  <c r="M127"/>
  <c r="M126" s="1"/>
  <c r="D129"/>
  <c r="D128"/>
  <c r="K126"/>
  <c r="E7"/>
  <c r="H7"/>
  <c r="I7"/>
  <c r="J7"/>
  <c r="L7"/>
  <c r="F39"/>
  <c r="F38" s="1"/>
  <c r="D40"/>
  <c r="D39" s="1"/>
  <c r="D38" s="1"/>
  <c r="G39"/>
  <c r="G38" s="1"/>
  <c r="D37"/>
  <c r="D36" s="1"/>
  <c r="G34"/>
  <c r="G33" s="1"/>
  <c r="M35"/>
  <c r="D35"/>
  <c r="I34"/>
  <c r="H34"/>
  <c r="F34"/>
  <c r="F33" s="1"/>
  <c r="E34"/>
  <c r="E33" s="1"/>
  <c r="I33"/>
  <c r="H33"/>
  <c r="L95" i="3"/>
  <c r="L22" s="1"/>
  <c r="L90"/>
  <c r="L87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H257"/>
  <c r="H254"/>
  <c r="D263"/>
  <c r="D262" s="1"/>
  <c r="G262"/>
  <c r="E262"/>
  <c r="D261"/>
  <c r="D260" s="1"/>
  <c r="G260"/>
  <c r="F260"/>
  <c r="E260"/>
  <c r="N258"/>
  <c r="N257" s="1"/>
  <c r="D258"/>
  <c r="D257" s="1"/>
  <c r="G257"/>
  <c r="E257"/>
  <c r="N256"/>
  <c r="M256"/>
  <c r="D256"/>
  <c r="N255"/>
  <c r="N254" s="1"/>
  <c r="D255"/>
  <c r="G254"/>
  <c r="E254"/>
  <c r="G550"/>
  <c r="G549" s="1"/>
  <c r="F551"/>
  <c r="L20" i="3" l="1"/>
  <c r="L17" s="1"/>
  <c r="J126" i="7"/>
  <c r="M174" i="2"/>
  <c r="D254"/>
  <c r="D253" s="1"/>
  <c r="M171"/>
  <c r="M170" s="1"/>
  <c r="G20" i="3"/>
  <c r="G17" s="1"/>
  <c r="N87"/>
  <c r="E253" i="2"/>
  <c r="D134" i="7"/>
  <c r="D133" s="1"/>
  <c r="G133"/>
  <c r="G126"/>
  <c r="H126"/>
  <c r="H259" i="2"/>
  <c r="N171"/>
  <c r="N170" s="1"/>
  <c r="M34" i="7"/>
  <c r="M33" s="1"/>
  <c r="M8"/>
  <c r="G253" i="2"/>
  <c r="H253"/>
  <c r="D34" i="7"/>
  <c r="D33" s="1"/>
  <c r="D8"/>
  <c r="M66" i="3"/>
  <c r="M63"/>
  <c r="G18" i="7"/>
  <c r="J133"/>
  <c r="H133"/>
  <c r="F133"/>
  <c r="D127"/>
  <c r="D126" s="1"/>
  <c r="N129"/>
  <c r="N127" s="1"/>
  <c r="N126" s="1"/>
  <c r="N35"/>
  <c r="N34" s="1"/>
  <c r="N33" s="1"/>
  <c r="G259" i="2"/>
  <c r="E259"/>
  <c r="D259"/>
  <c r="N253"/>
  <c r="M255"/>
  <c r="M254" s="1"/>
  <c r="M258"/>
  <c r="M257" s="1"/>
  <c r="F254"/>
  <c r="F257"/>
  <c r="F262"/>
  <c r="G350"/>
  <c r="G352"/>
  <c r="G349" l="1"/>
  <c r="F259"/>
  <c r="F253"/>
  <c r="M253"/>
  <c r="G100" i="13" l="1"/>
  <c r="F100"/>
  <c r="M215" i="6" l="1"/>
  <c r="M219"/>
  <c r="M216"/>
  <c r="F142" i="3" l="1"/>
  <c r="G139"/>
  <c r="F139"/>
  <c r="F138"/>
  <c r="D138" s="1"/>
  <c r="F137"/>
  <c r="F132"/>
  <c r="F22" s="1"/>
  <c r="I129"/>
  <c r="H129"/>
  <c r="H127"/>
  <c r="G127"/>
  <c r="F127"/>
  <c r="F125"/>
  <c r="D139" l="1"/>
  <c r="D129"/>
  <c r="D126"/>
  <c r="D128"/>
  <c r="D137"/>
  <c r="D125"/>
  <c r="D127"/>
  <c r="L18" i="8"/>
  <c r="E18"/>
  <c r="H18"/>
  <c r="I18"/>
  <c r="D74"/>
  <c r="D73" s="1"/>
  <c r="D72" s="1"/>
  <c r="H73"/>
  <c r="G73"/>
  <c r="F73"/>
  <c r="E73"/>
  <c r="H72"/>
  <c r="G72"/>
  <c r="N71"/>
  <c r="M71"/>
  <c r="M70" s="1"/>
  <c r="D71"/>
  <c r="D70" s="1"/>
  <c r="N70"/>
  <c r="H70"/>
  <c r="G70"/>
  <c r="F70"/>
  <c r="E70"/>
  <c r="N69"/>
  <c r="N68" s="1"/>
  <c r="M69"/>
  <c r="M68" s="1"/>
  <c r="D69"/>
  <c r="D68" s="1"/>
  <c r="H68"/>
  <c r="G68"/>
  <c r="F68"/>
  <c r="E68"/>
  <c r="H67"/>
  <c r="G67"/>
  <c r="J116"/>
  <c r="K116"/>
  <c r="L116"/>
  <c r="J10"/>
  <c r="K10"/>
  <c r="L10"/>
  <c r="F20"/>
  <c r="G20"/>
  <c r="H20"/>
  <c r="I20"/>
  <c r="J20"/>
  <c r="K20"/>
  <c r="L20"/>
  <c r="D65"/>
  <c r="D64" s="1"/>
  <c r="D63" s="1"/>
  <c r="I64"/>
  <c r="H64"/>
  <c r="G64"/>
  <c r="F64"/>
  <c r="E64"/>
  <c r="H63"/>
  <c r="N62"/>
  <c r="N61" s="1"/>
  <c r="M62"/>
  <c r="M61" s="1"/>
  <c r="D62"/>
  <c r="D61" s="1"/>
  <c r="I61"/>
  <c r="H61"/>
  <c r="G61"/>
  <c r="F61"/>
  <c r="E61"/>
  <c r="N60"/>
  <c r="N59" s="1"/>
  <c r="M60"/>
  <c r="D60"/>
  <c r="I59"/>
  <c r="H59"/>
  <c r="G59"/>
  <c r="F59"/>
  <c r="E59"/>
  <c r="I58"/>
  <c r="D77"/>
  <c r="E77"/>
  <c r="F77"/>
  <c r="G77"/>
  <c r="H77"/>
  <c r="I77"/>
  <c r="J77"/>
  <c r="F63" l="1"/>
  <c r="G58"/>
  <c r="E63"/>
  <c r="I63"/>
  <c r="I116" s="1"/>
  <c r="E58"/>
  <c r="N77"/>
  <c r="E67"/>
  <c r="G63"/>
  <c r="F72"/>
  <c r="N67"/>
  <c r="D67"/>
  <c r="F67"/>
  <c r="M67"/>
  <c r="E72"/>
  <c r="N58"/>
  <c r="F58"/>
  <c r="H58"/>
  <c r="I10"/>
  <c r="M59"/>
  <c r="M58" s="1"/>
  <c r="D59"/>
  <c r="D58" s="1"/>
  <c r="K29"/>
  <c r="K52"/>
  <c r="K49"/>
  <c r="K18" s="1"/>
  <c r="K47"/>
  <c r="J29"/>
  <c r="J18"/>
  <c r="G55"/>
  <c r="G29" s="1"/>
  <c r="G52"/>
  <c r="G49"/>
  <c r="G18" s="1"/>
  <c r="G47"/>
  <c r="F554" i="2" l="1"/>
  <c r="E551"/>
  <c r="E251" i="6"/>
  <c r="K21" i="10"/>
  <c r="K15"/>
  <c r="M21"/>
  <c r="L21"/>
  <c r="M15"/>
  <c r="L15"/>
  <c r="M11"/>
  <c r="L11"/>
  <c r="M9"/>
  <c r="L9"/>
  <c r="M46" i="5"/>
  <c r="M26"/>
  <c r="M24"/>
  <c r="G17" i="10"/>
  <c r="H17"/>
  <c r="I17"/>
  <c r="J17"/>
  <c r="G18"/>
  <c r="H18"/>
  <c r="I18"/>
  <c r="J18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I18" s="1"/>
  <c r="J22"/>
  <c r="K22"/>
  <c r="K18" s="1"/>
  <c r="L22"/>
  <c r="E14" i="8"/>
  <c r="G14"/>
  <c r="H14"/>
  <c r="I14"/>
  <c r="J14"/>
  <c r="K14"/>
  <c r="L14"/>
  <c r="E15"/>
  <c r="F15"/>
  <c r="G15"/>
  <c r="H15"/>
  <c r="I15"/>
  <c r="J15"/>
  <c r="K15"/>
  <c r="L15"/>
  <c r="G16"/>
  <c r="H16"/>
  <c r="I16"/>
  <c r="J16"/>
  <c r="K16"/>
  <c r="L16"/>
  <c r="E20"/>
  <c r="E16" s="1"/>
  <c r="E23"/>
  <c r="G23"/>
  <c r="H23"/>
  <c r="I23"/>
  <c r="J23"/>
  <c r="K23"/>
  <c r="L23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V66" i="4"/>
  <c r="L64"/>
  <c r="G64"/>
  <c r="H64"/>
  <c r="I64"/>
  <c r="J64"/>
  <c r="K64"/>
  <c r="F64"/>
  <c r="M18"/>
  <c r="E15"/>
  <c r="F15"/>
  <c r="G15"/>
  <c r="H15"/>
  <c r="I15"/>
  <c r="J15"/>
  <c r="K15"/>
  <c r="E16"/>
  <c r="F16"/>
  <c r="G16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/>
  <c r="G17"/>
  <c r="H17"/>
  <c r="I17"/>
  <c r="J17"/>
  <c r="G68" i="1" s="1"/>
  <c r="K17" i="4"/>
  <c r="L17"/>
  <c r="I68" i="1" s="1"/>
  <c r="E18" i="4"/>
  <c r="F18"/>
  <c r="G18"/>
  <c r="H18"/>
  <c r="I18"/>
  <c r="J18"/>
  <c r="K18"/>
  <c r="E20"/>
  <c r="F20"/>
  <c r="G20"/>
  <c r="H20"/>
  <c r="I20"/>
  <c r="J20"/>
  <c r="K20"/>
  <c r="L20"/>
  <c r="E21"/>
  <c r="F21"/>
  <c r="G21"/>
  <c r="H21"/>
  <c r="I21"/>
  <c r="J21"/>
  <c r="K21"/>
  <c r="L21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M11"/>
  <c r="E11"/>
  <c r="F11"/>
  <c r="G11"/>
  <c r="H11"/>
  <c r="I11"/>
  <c r="J11"/>
  <c r="K11"/>
  <c r="L11"/>
  <c r="E12"/>
  <c r="F12"/>
  <c r="G12"/>
  <c r="H12"/>
  <c r="I12"/>
  <c r="J12"/>
  <c r="K12"/>
  <c r="L12"/>
  <c r="J18" i="9" l="1"/>
  <c r="L18"/>
  <c r="M13"/>
  <c r="G45" i="8"/>
  <c r="G44" s="1"/>
  <c r="G13"/>
  <c r="G12" s="1"/>
  <c r="G11" s="1"/>
  <c r="N13" i="9"/>
  <c r="K24" i="4"/>
  <c r="I24"/>
  <c r="I23" s="1"/>
  <c r="G24"/>
  <c r="E24"/>
  <c r="E23" s="1"/>
  <c r="L24"/>
  <c r="J24"/>
  <c r="J23" s="1"/>
  <c r="H24"/>
  <c r="F24"/>
  <c r="F23" s="1"/>
  <c r="L14"/>
  <c r="L13" s="1"/>
  <c r="J14"/>
  <c r="H14"/>
  <c r="H13" s="1"/>
  <c r="K14"/>
  <c r="I14"/>
  <c r="I13" s="1"/>
  <c r="G14"/>
  <c r="E14"/>
  <c r="E13" s="1"/>
  <c r="E13" i="10"/>
  <c r="G9" i="8"/>
  <c r="K22"/>
  <c r="I22"/>
  <c r="I21" s="1"/>
  <c r="E22"/>
  <c r="E21" s="1"/>
  <c r="I12"/>
  <c r="E12"/>
  <c r="L22"/>
  <c r="L21" s="1"/>
  <c r="J22"/>
  <c r="J21" s="1"/>
  <c r="H22"/>
  <c r="H21" s="1"/>
  <c r="L12"/>
  <c r="L11" s="1"/>
  <c r="G22"/>
  <c r="H12"/>
  <c r="H11" s="1"/>
  <c r="F14" i="4"/>
  <c r="F13" s="1"/>
  <c r="K12" i="8"/>
  <c r="K11" s="1"/>
  <c r="J12"/>
  <c r="J11" s="1"/>
  <c r="G50"/>
  <c r="E10" i="9"/>
  <c r="K21" i="8"/>
  <c r="I11"/>
  <c r="E11"/>
  <c r="L23" i="4"/>
  <c r="H23"/>
  <c r="K23"/>
  <c r="G23"/>
  <c r="K13"/>
  <c r="G13"/>
  <c r="J13"/>
  <c r="O13" i="10" l="1"/>
  <c r="E14"/>
  <c r="G115" i="8"/>
  <c r="E351" i="2"/>
  <c r="E39"/>
  <c r="F39"/>
  <c r="G39"/>
  <c r="H39"/>
  <c r="I39"/>
  <c r="J39"/>
  <c r="K39"/>
  <c r="L39"/>
  <c r="H41"/>
  <c r="J41"/>
  <c r="K41"/>
  <c r="L41"/>
  <c r="E46"/>
  <c r="F46"/>
  <c r="G46"/>
  <c r="H46"/>
  <c r="I46"/>
  <c r="J46"/>
  <c r="K46"/>
  <c r="L46"/>
  <c r="E50"/>
  <c r="F50"/>
  <c r="G50"/>
  <c r="H50"/>
  <c r="H49" s="1"/>
  <c r="I50"/>
  <c r="J50"/>
  <c r="J49" s="1"/>
  <c r="K50"/>
  <c r="K49" s="1"/>
  <c r="L50"/>
  <c r="L49" s="1"/>
  <c r="E198"/>
  <c r="E195"/>
  <c r="G138"/>
  <c r="E143"/>
  <c r="F143"/>
  <c r="E140"/>
  <c r="F140"/>
  <c r="F45" s="1"/>
  <c r="E136"/>
  <c r="E133"/>
  <c r="F133"/>
  <c r="F38" s="1"/>
  <c r="E131"/>
  <c r="E90"/>
  <c r="E51" s="1"/>
  <c r="E88"/>
  <c r="E85"/>
  <c r="E42" s="1"/>
  <c r="E83"/>
  <c r="E38" s="1"/>
  <c r="E82"/>
  <c r="E37" l="1"/>
  <c r="E41"/>
  <c r="E45"/>
  <c r="E44" s="1"/>
  <c r="E49"/>
  <c r="K44"/>
  <c r="K43" s="1"/>
  <c r="I44"/>
  <c r="K36"/>
  <c r="L44"/>
  <c r="L43" s="1"/>
  <c r="J44"/>
  <c r="J43" s="1"/>
  <c r="H44"/>
  <c r="H43" s="1"/>
  <c r="L36"/>
  <c r="L35" s="1"/>
  <c r="J36"/>
  <c r="J35" s="1"/>
  <c r="H36"/>
  <c r="H35" s="1"/>
  <c r="K35"/>
  <c r="E36" l="1"/>
  <c r="E35" s="1"/>
  <c r="E43"/>
  <c r="M100" i="13"/>
  <c r="M99" s="1"/>
  <c r="M98" s="1"/>
  <c r="M96"/>
  <c r="M95" s="1"/>
  <c r="M94" s="1"/>
  <c r="M85"/>
  <c r="M76"/>
  <c r="M75" s="1"/>
  <c r="M74"/>
  <c r="M73" s="1"/>
  <c r="M60"/>
  <c r="M47"/>
  <c r="M46" s="1"/>
  <c r="M44"/>
  <c r="M43" s="1"/>
  <c r="M38"/>
  <c r="M37" s="1"/>
  <c r="M36"/>
  <c r="M35" s="1"/>
  <c r="M29"/>
  <c r="M28" s="1"/>
  <c r="M27"/>
  <c r="M26" s="1"/>
  <c r="M16"/>
  <c r="M252" i="9"/>
  <c r="M251" s="1"/>
  <c r="M248"/>
  <c r="M247" s="1"/>
  <c r="M245"/>
  <c r="M244" s="1"/>
  <c r="M243" s="1"/>
  <c r="M184"/>
  <c r="M183"/>
  <c r="M180"/>
  <c r="M179"/>
  <c r="M171"/>
  <c r="M170" s="1"/>
  <c r="M169"/>
  <c r="M168" s="1"/>
  <c r="M162"/>
  <c r="M161"/>
  <c r="M158"/>
  <c r="M157"/>
  <c r="M149"/>
  <c r="M148" s="1"/>
  <c r="M147"/>
  <c r="M146" s="1"/>
  <c r="M140"/>
  <c r="M139" s="1"/>
  <c r="M138"/>
  <c r="M137" s="1"/>
  <c r="M129"/>
  <c r="M128" s="1"/>
  <c r="M125"/>
  <c r="M124" s="1"/>
  <c r="M118"/>
  <c r="M117" s="1"/>
  <c r="M116"/>
  <c r="M115" s="1"/>
  <c r="M92"/>
  <c r="M84"/>
  <c r="M83" s="1"/>
  <c r="M82"/>
  <c r="M81" s="1"/>
  <c r="M104" i="8"/>
  <c r="M103" s="1"/>
  <c r="M102" s="1"/>
  <c r="M96"/>
  <c r="M95"/>
  <c r="M94" s="1"/>
  <c r="M93" s="1"/>
  <c r="M118" i="7"/>
  <c r="M117"/>
  <c r="M115" s="1"/>
  <c r="M114" s="1"/>
  <c r="M106"/>
  <c r="M94"/>
  <c r="M93"/>
  <c r="M91" s="1"/>
  <c r="M90" s="1"/>
  <c r="M82"/>
  <c r="M81"/>
  <c r="M79" s="1"/>
  <c r="M78" s="1"/>
  <c r="M70"/>
  <c r="M68"/>
  <c r="M67" s="1"/>
  <c r="M66" s="1"/>
  <c r="M58"/>
  <c r="M56"/>
  <c r="M55" s="1"/>
  <c r="M54" s="1"/>
  <c r="M46"/>
  <c r="M15"/>
  <c r="M260" i="6"/>
  <c r="M259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4"/>
  <c r="M43"/>
  <c r="M64" i="4"/>
  <c r="M55"/>
  <c r="M54" s="1"/>
  <c r="M53" s="1"/>
  <c r="M50"/>
  <c r="M49"/>
  <c r="M48" s="1"/>
  <c r="M45"/>
  <c r="M44"/>
  <c r="M43" s="1"/>
  <c r="M35"/>
  <c r="M20" s="1"/>
  <c r="M33"/>
  <c r="M100" i="3"/>
  <c r="M88"/>
  <c r="M78"/>
  <c r="M77" s="1"/>
  <c r="M76"/>
  <c r="M75"/>
  <c r="M65"/>
  <c r="M64"/>
  <c r="M62" s="1"/>
  <c r="M49"/>
  <c r="M36"/>
  <c r="M35"/>
  <c r="M34"/>
  <c r="M30"/>
  <c r="M29"/>
  <c r="M28"/>
  <c r="M642" i="2"/>
  <c r="M641" s="1"/>
  <c r="M640" s="1"/>
  <c r="M638"/>
  <c r="M637" s="1"/>
  <c r="M636" s="1"/>
  <c r="M630"/>
  <c r="M610"/>
  <c r="M609" s="1"/>
  <c r="M608" s="1"/>
  <c r="M606"/>
  <c r="M605" s="1"/>
  <c r="M604" s="1"/>
  <c r="M599"/>
  <c r="M598"/>
  <c r="M591"/>
  <c r="M590"/>
  <c r="M566"/>
  <c r="M565" s="1"/>
  <c r="M564" s="1"/>
  <c r="M559"/>
  <c r="M558"/>
  <c r="M557" s="1"/>
  <c r="M556" s="1"/>
  <c r="M544"/>
  <c r="M543"/>
  <c r="M539"/>
  <c r="M538" s="1"/>
  <c r="M537" s="1"/>
  <c r="M528"/>
  <c r="M492"/>
  <c r="M491" s="1"/>
  <c r="M490"/>
  <c r="M489" s="1"/>
  <c r="M474"/>
  <c r="M473" s="1"/>
  <c r="M472"/>
  <c r="M471" s="1"/>
  <c r="M459"/>
  <c r="M458"/>
  <c r="M456"/>
  <c r="M455"/>
  <c r="M454"/>
  <c r="M431"/>
  <c r="M430"/>
  <c r="M426"/>
  <c r="M425"/>
  <c r="M401"/>
  <c r="M400" s="1"/>
  <c r="M399"/>
  <c r="M398" s="1"/>
  <c r="M392"/>
  <c r="M391" s="1"/>
  <c r="M390"/>
  <c r="M389" s="1"/>
  <c r="M361"/>
  <c r="M343"/>
  <c r="M342" s="1"/>
  <c r="M341"/>
  <c r="M340" s="1"/>
  <c r="M303"/>
  <c r="M320"/>
  <c r="M319" s="1"/>
  <c r="M318"/>
  <c r="M317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65" s="1"/>
  <c r="K152"/>
  <c r="K147"/>
  <c r="K146"/>
  <c r="K145"/>
  <c r="K144"/>
  <c r="K143"/>
  <c r="K142"/>
  <c r="K141"/>
  <c r="K140"/>
  <c r="K139"/>
  <c r="K138"/>
  <c r="K137"/>
  <c r="K136"/>
  <c r="M38" i="6" l="1"/>
  <c r="M12" i="4"/>
  <c r="M61" i="3"/>
  <c r="M388" i="2"/>
  <c r="M397"/>
  <c r="M316"/>
  <c r="M315" s="1"/>
  <c r="M453"/>
  <c r="M258" i="6"/>
  <c r="M257" s="1"/>
  <c r="M178" i="9"/>
  <c r="M177" s="1"/>
  <c r="M156"/>
  <c r="M155" s="1"/>
  <c r="M182"/>
  <c r="M181" s="1"/>
  <c r="M542" i="2"/>
  <c r="M541" s="1"/>
  <c r="M61" i="6"/>
  <c r="M60" s="1"/>
  <c r="V65" i="4"/>
  <c r="V67" s="1"/>
  <c r="K148" i="1"/>
  <c r="M83" i="6"/>
  <c r="M457" i="2"/>
  <c r="M31" i="4"/>
  <c r="M30" s="1"/>
  <c r="M34" i="13"/>
  <c r="M25"/>
  <c r="M213" i="6"/>
  <c r="M145" i="9"/>
  <c r="M136"/>
  <c r="M72" i="13"/>
  <c r="M114" i="9"/>
  <c r="M80"/>
  <c r="M123"/>
  <c r="M167"/>
  <c r="M14" i="4"/>
  <c r="M13" s="1"/>
  <c r="M10"/>
  <c r="M74" i="3"/>
  <c r="M73" s="1"/>
  <c r="M589" i="2"/>
  <c r="M588" s="1"/>
  <c r="M597"/>
  <c r="M596" s="1"/>
  <c r="M470"/>
  <c r="M488"/>
  <c r="M339"/>
  <c r="M112" i="5"/>
  <c r="M111" s="1"/>
  <c r="M102"/>
  <c r="M99"/>
  <c r="M98" s="1"/>
  <c r="M92"/>
  <c r="M91" s="1"/>
  <c r="M90" s="1"/>
  <c r="M74"/>
  <c r="M67"/>
  <c r="M66" s="1"/>
  <c r="M65" s="1"/>
  <c r="M60"/>
  <c r="M59" s="1"/>
  <c r="M58" s="1"/>
  <c r="M53"/>
  <c r="M52" s="1"/>
  <c r="M51" s="1"/>
  <c r="M45"/>
  <c r="M44" s="1"/>
  <c r="M25"/>
  <c r="M23"/>
  <c r="M12"/>
  <c r="E70"/>
  <c r="E67"/>
  <c r="E42"/>
  <c r="M37"/>
  <c r="M36" s="1"/>
  <c r="E37"/>
  <c r="M35"/>
  <c r="M34" s="1"/>
  <c r="E35"/>
  <c r="M452" i="2" l="1"/>
  <c r="M176" i="9"/>
  <c r="M33" i="5"/>
  <c r="M22"/>
  <c r="E333" i="2"/>
  <c r="E337" l="1"/>
  <c r="E335"/>
  <c r="E332"/>
  <c r="E331" s="1"/>
  <c r="E330"/>
  <c r="M353" l="1"/>
  <c r="M352" s="1"/>
  <c r="M351"/>
  <c r="M350" s="1"/>
  <c r="M527"/>
  <c r="M526" s="1"/>
  <c r="M525" s="1"/>
  <c r="M551"/>
  <c r="M550" s="1"/>
  <c r="M549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49"/>
  <c r="M133"/>
  <c r="M130" s="1"/>
  <c r="M129" s="1"/>
  <c r="M147"/>
  <c r="M146" s="1"/>
  <c r="M145" s="1"/>
  <c r="E149"/>
  <c r="E146"/>
  <c r="E154"/>
  <c r="E151" s="1"/>
  <c r="Q51" i="4"/>
  <c r="N51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85" i="13"/>
  <c r="N100"/>
  <c r="N96"/>
  <c r="N74"/>
  <c r="N73" s="1"/>
  <c r="N76"/>
  <c r="N75" s="1"/>
  <c r="N60"/>
  <c r="N38"/>
  <c r="N36"/>
  <c r="N29"/>
  <c r="N27"/>
  <c r="N158" i="6" l="1"/>
  <c r="N162"/>
  <c r="N72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37" i="9"/>
  <c r="N249"/>
  <c r="N245"/>
  <c r="N184"/>
  <c r="N183"/>
  <c r="N180"/>
  <c r="N179"/>
  <c r="N171"/>
  <c r="N169"/>
  <c r="N158"/>
  <c r="N157"/>
  <c r="N149"/>
  <c r="N147"/>
  <c r="N140"/>
  <c r="N138"/>
  <c r="N129"/>
  <c r="N125"/>
  <c r="N118"/>
  <c r="N116"/>
  <c r="N92"/>
  <c r="N84"/>
  <c r="N82"/>
  <c r="N95" i="8"/>
  <c r="N49"/>
  <c r="N18" s="1"/>
  <c r="N47"/>
  <c r="N14" s="1"/>
  <c r="N35"/>
  <c r="N15" s="1"/>
  <c r="N156" i="9" l="1"/>
  <c r="F163" i="6"/>
  <c r="D163" s="1"/>
  <c r="N178" i="9"/>
  <c r="N177" s="1"/>
  <c r="N182"/>
  <c r="N181" s="1"/>
  <c r="D156" i="6"/>
  <c r="M156" s="1"/>
  <c r="N156"/>
  <c r="D160"/>
  <c r="M160" s="1"/>
  <c r="N160"/>
  <c r="N176" i="9" l="1"/>
  <c r="N117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35" i="5"/>
  <c r="N37"/>
  <c r="N67"/>
  <c r="N53"/>
  <c r="N56" i="4"/>
  <c r="N55"/>
  <c r="N50"/>
  <c r="N45"/>
  <c r="N46"/>
  <c r="N35"/>
  <c r="N20" s="1"/>
  <c r="N34"/>
  <c r="N18" s="1"/>
  <c r="N33"/>
  <c r="N13" i="3"/>
  <c r="N102"/>
  <c r="N100"/>
  <c r="N99"/>
  <c r="N88"/>
  <c r="N78"/>
  <c r="N76"/>
  <c r="N75"/>
  <c r="N64"/>
  <c r="N642" i="2"/>
  <c r="N638"/>
  <c r="N631"/>
  <c r="N630"/>
  <c r="N623"/>
  <c r="N622"/>
  <c r="N618"/>
  <c r="N578"/>
  <c r="N551"/>
  <c r="N539"/>
  <c r="N528"/>
  <c r="N527"/>
  <c r="N401"/>
  <c r="N399"/>
  <c r="N392"/>
  <c r="N390"/>
  <c r="N383"/>
  <c r="N381"/>
  <c r="N374"/>
  <c r="N372"/>
  <c r="N363"/>
  <c r="N361"/>
  <c r="N360"/>
  <c r="N353"/>
  <c r="N351"/>
  <c r="N303"/>
  <c r="N282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15" i="4" l="1"/>
  <c r="N11"/>
  <c r="N12"/>
  <c r="M13" i="3"/>
  <c r="M631" i="2" l="1"/>
  <c r="M629" s="1"/>
  <c r="M628" s="1"/>
  <c r="F618" l="1"/>
  <c r="M618" s="1"/>
  <c r="M617" s="1"/>
  <c r="M616" s="1"/>
  <c r="F60" i="9" l="1"/>
  <c r="N55"/>
  <c r="M55"/>
  <c r="M54" s="1"/>
  <c r="N52"/>
  <c r="M52"/>
  <c r="M51" s="1"/>
  <c r="F48"/>
  <c r="N43"/>
  <c r="M43"/>
  <c r="M42" s="1"/>
  <c r="N40"/>
  <c r="G23"/>
  <c r="G22" s="1"/>
  <c r="G18" s="1"/>
  <c r="F36"/>
  <c r="F23" l="1"/>
  <c r="F22" s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G219"/>
  <c r="N210"/>
  <c r="M210"/>
  <c r="M209" s="1"/>
  <c r="M207"/>
  <c r="G141"/>
  <c r="G137" s="1"/>
  <c r="N174"/>
  <c r="G191"/>
  <c r="G51" s="1"/>
  <c r="F191"/>
  <c r="N186"/>
  <c r="N183"/>
  <c r="N219" l="1"/>
  <c r="G37"/>
  <c r="N27" i="9"/>
  <c r="M27"/>
  <c r="M26" s="1"/>
  <c r="M219" i="2"/>
  <c r="M218" s="1"/>
  <c r="M217" s="1"/>
  <c r="H217"/>
  <c r="M279"/>
  <c r="M278" s="1"/>
  <c r="M208"/>
  <c r="M206" s="1"/>
  <c r="M205" s="1"/>
  <c r="N208"/>
  <c r="N279"/>
  <c r="M183"/>
  <c r="M182" s="1"/>
  <c r="M186"/>
  <c r="M185" s="1"/>
  <c r="M173"/>
  <c r="H223"/>
  <c r="M169" l="1"/>
  <c r="M181"/>
  <c r="D53" i="6"/>
  <c r="J614" i="2" l="1"/>
  <c r="J613"/>
  <c r="I614"/>
  <c r="G614"/>
  <c r="H614"/>
  <c r="J573"/>
  <c r="J572" s="1"/>
  <c r="J571" s="1"/>
  <c r="I573"/>
  <c r="I572" s="1"/>
  <c r="I571" s="1"/>
  <c r="H573"/>
  <c r="G573"/>
  <c r="N573" l="1"/>
  <c r="M614"/>
  <c r="M613" s="1"/>
  <c r="M612" s="1"/>
  <c r="M573"/>
  <c r="M572" s="1"/>
  <c r="M571" s="1"/>
  <c r="N614"/>
  <c r="J612"/>
  <c r="G136" i="3"/>
  <c r="H136"/>
  <c r="I136"/>
  <c r="J136"/>
  <c r="K136"/>
  <c r="F136"/>
  <c r="M136" l="1"/>
  <c r="M135" s="1"/>
  <c r="M134" s="1"/>
  <c r="N621" i="2"/>
  <c r="M130" i="6" l="1"/>
  <c r="L108"/>
  <c r="L100"/>
  <c r="L96" s="1"/>
  <c r="F104"/>
  <c r="E125"/>
  <c r="E121"/>
  <c r="E102"/>
  <c r="F96"/>
  <c r="D130"/>
  <c r="D129"/>
  <c r="E109"/>
  <c r="E110"/>
  <c r="E100"/>
  <c r="E96" s="1"/>
  <c r="E14" s="1"/>
  <c r="E106" l="1"/>
  <c r="E17"/>
  <c r="N16" i="13" l="1"/>
  <c r="F20"/>
  <c r="D240" i="9"/>
  <c r="D239" s="1"/>
  <c r="D56" i="8"/>
  <c r="D110" i="7"/>
  <c r="D117"/>
  <c r="D44"/>
  <c r="D28"/>
  <c r="D116"/>
  <c r="D263" i="6"/>
  <c r="D260"/>
  <c r="D40" i="5"/>
  <c r="D39" s="1"/>
  <c r="D105" i="3"/>
  <c r="D100"/>
  <c r="D93"/>
  <c r="D88"/>
  <c r="D42"/>
  <c r="D39"/>
  <c r="D36"/>
  <c r="D30"/>
  <c r="D495" i="2"/>
  <c r="D492"/>
  <c r="D490"/>
  <c r="D477"/>
  <c r="D474"/>
  <c r="D472"/>
  <c r="D468"/>
  <c r="D467"/>
  <c r="D466"/>
  <c r="D464"/>
  <c r="D463"/>
  <c r="D462"/>
  <c r="D459"/>
  <c r="D458"/>
  <c r="D456"/>
  <c r="D455"/>
  <c r="D454"/>
  <c r="D431"/>
  <c r="D430"/>
  <c r="D562"/>
  <c r="D559"/>
  <c r="D558"/>
  <c r="D547"/>
  <c r="D544"/>
  <c r="D543"/>
  <c r="D346"/>
  <c r="D343"/>
  <c r="D341"/>
  <c r="D297"/>
  <c r="D325"/>
  <c r="D323"/>
  <c r="D320"/>
  <c r="D318"/>
  <c r="D317"/>
  <c r="D285"/>
  <c r="D280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151"/>
  <c r="E152"/>
  <c r="E23"/>
  <c r="E21" s="1"/>
  <c r="N15" i="1"/>
  <c r="H20" i="10"/>
  <c r="I20"/>
  <c r="J20"/>
  <c r="H19"/>
  <c r="I19"/>
  <c r="J19"/>
  <c r="E150" i="6" l="1"/>
  <c r="E25"/>
  <c r="E24" s="1"/>
  <c r="E20" s="1"/>
  <c r="E13"/>
  <c r="E170"/>
  <c r="E178"/>
  <c r="E142"/>
  <c r="E18"/>
  <c r="E12" l="1"/>
  <c r="E255"/>
  <c r="E23" i="13"/>
  <c r="E21" s="1"/>
  <c r="E20"/>
  <c r="E19" s="1"/>
  <c r="E17"/>
  <c r="E14"/>
  <c r="E13"/>
  <c r="E21" i="7"/>
  <c r="E17" s="1"/>
  <c r="E15"/>
  <c r="E243" i="6"/>
  <c r="E242" s="1"/>
  <c r="E241" s="1"/>
  <c r="E20" i="5"/>
  <c r="E19" s="1"/>
  <c r="E18" s="1"/>
  <c r="E17"/>
  <c r="E16" s="1"/>
  <c r="E15"/>
  <c r="E14" s="1"/>
  <c r="E511" i="2"/>
  <c r="E510"/>
  <c r="E509"/>
  <c r="E508"/>
  <c r="E505"/>
  <c r="E504"/>
  <c r="E503"/>
  <c r="E502"/>
  <c r="E28"/>
  <c r="E15"/>
  <c r="B21" i="1" s="1"/>
  <c r="C35" i="10"/>
  <c r="E99" i="13"/>
  <c r="E98" s="1"/>
  <c r="E95"/>
  <c r="E94" s="1"/>
  <c r="E80"/>
  <c r="E78"/>
  <c r="E75"/>
  <c r="E73"/>
  <c r="E69"/>
  <c r="E67"/>
  <c r="E61"/>
  <c r="E55"/>
  <c r="E37"/>
  <c r="E35"/>
  <c r="E28"/>
  <c r="E26"/>
  <c r="D100"/>
  <c r="D60"/>
  <c r="D96"/>
  <c r="D81"/>
  <c r="D80" s="1"/>
  <c r="D79"/>
  <c r="D78" s="1"/>
  <c r="D76"/>
  <c r="D75" s="1"/>
  <c r="D74"/>
  <c r="D73" s="1"/>
  <c r="D57"/>
  <c r="D29"/>
  <c r="D27"/>
  <c r="E248" i="9"/>
  <c r="E247" s="1"/>
  <c r="E244"/>
  <c r="E243" s="1"/>
  <c r="E186"/>
  <c r="E181"/>
  <c r="E177"/>
  <c r="E173"/>
  <c r="E172" s="1"/>
  <c r="E170"/>
  <c r="E168"/>
  <c r="E164"/>
  <c r="E163" s="1"/>
  <c r="E159"/>
  <c r="E155"/>
  <c r="E151"/>
  <c r="E148"/>
  <c r="E146"/>
  <c r="E142"/>
  <c r="E139"/>
  <c r="E137"/>
  <c r="E133"/>
  <c r="E132" s="1"/>
  <c r="E128"/>
  <c r="E124"/>
  <c r="E120"/>
  <c r="E119" s="1"/>
  <c r="E117"/>
  <c r="E115"/>
  <c r="E111"/>
  <c r="E110" s="1"/>
  <c r="E106"/>
  <c r="E102"/>
  <c r="E96"/>
  <c r="E98"/>
  <c r="E93"/>
  <c r="E90"/>
  <c r="E86"/>
  <c r="E85" s="1"/>
  <c r="E83"/>
  <c r="E81"/>
  <c r="E77"/>
  <c r="E76" s="1"/>
  <c r="E74"/>
  <c r="E72"/>
  <c r="E68"/>
  <c r="E67" s="1"/>
  <c r="E65"/>
  <c r="E63"/>
  <c r="E59"/>
  <c r="E56" s="1"/>
  <c r="E54"/>
  <c r="E47"/>
  <c r="E44" s="1"/>
  <c r="E42"/>
  <c r="E38" s="1"/>
  <c r="E35"/>
  <c r="E32" s="1"/>
  <c r="E30"/>
  <c r="D249"/>
  <c r="D245"/>
  <c r="D187"/>
  <c r="D174"/>
  <c r="D171"/>
  <c r="D169"/>
  <c r="D165"/>
  <c r="D143"/>
  <c r="D134"/>
  <c r="D133" s="1"/>
  <c r="D132" s="1"/>
  <c r="D129"/>
  <c r="D125"/>
  <c r="D121"/>
  <c r="D120" s="1"/>
  <c r="D119" s="1"/>
  <c r="D118"/>
  <c r="D116"/>
  <c r="D112"/>
  <c r="D111" s="1"/>
  <c r="D110" s="1"/>
  <c r="D97"/>
  <c r="D92"/>
  <c r="D13" s="1"/>
  <c r="D87"/>
  <c r="D86" s="1"/>
  <c r="D85" s="1"/>
  <c r="D84"/>
  <c r="D82"/>
  <c r="D69"/>
  <c r="E54" i="8"/>
  <c r="E51"/>
  <c r="E48"/>
  <c r="E45"/>
  <c r="E41"/>
  <c r="E39"/>
  <c r="E38" s="1"/>
  <c r="C18" i="10" s="1"/>
  <c r="E36" i="8"/>
  <c r="E34"/>
  <c r="E94"/>
  <c r="E93" s="1"/>
  <c r="E78" s="1"/>
  <c r="E76" s="1"/>
  <c r="D99"/>
  <c r="D95"/>
  <c r="D53"/>
  <c r="E115" i="7"/>
  <c r="E109"/>
  <c r="E111"/>
  <c r="E106"/>
  <c r="E103"/>
  <c r="E51"/>
  <c r="E49"/>
  <c r="E46"/>
  <c r="E43"/>
  <c r="E42" s="1"/>
  <c r="E25"/>
  <c r="E24" s="1"/>
  <c r="D104"/>
  <c r="D12" s="1"/>
  <c r="D107"/>
  <c r="D50"/>
  <c r="D47"/>
  <c r="D112"/>
  <c r="D52"/>
  <c r="D31"/>
  <c r="E258" i="6"/>
  <c r="E257" s="1"/>
  <c r="E254"/>
  <c r="E253" s="1"/>
  <c r="E250"/>
  <c r="E249" s="1"/>
  <c r="E234"/>
  <c r="E232"/>
  <c r="E229"/>
  <c r="E227"/>
  <c r="E223"/>
  <c r="E221"/>
  <c r="E218"/>
  <c r="E214"/>
  <c r="E148"/>
  <c r="E147" s="1"/>
  <c r="E139"/>
  <c r="E138" s="1"/>
  <c r="E135"/>
  <c r="E134" s="1"/>
  <c r="E124"/>
  <c r="E120"/>
  <c r="E116"/>
  <c r="E115" s="1"/>
  <c r="E105"/>
  <c r="E95"/>
  <c r="E91"/>
  <c r="E89"/>
  <c r="E86"/>
  <c r="E84"/>
  <c r="E83" s="1"/>
  <c r="E80"/>
  <c r="E78"/>
  <c r="E75"/>
  <c r="E73"/>
  <c r="E72" s="1"/>
  <c r="E69"/>
  <c r="E67"/>
  <c r="E64"/>
  <c r="E61"/>
  <c r="E57"/>
  <c r="E55"/>
  <c r="E49"/>
  <c r="E40"/>
  <c r="E36"/>
  <c r="E35" s="1"/>
  <c r="E30"/>
  <c r="E28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P63" s="1"/>
  <c r="D62"/>
  <c r="D58"/>
  <c r="D56"/>
  <c r="D43"/>
  <c r="E69" i="5"/>
  <c r="E68" s="1"/>
  <c r="E66"/>
  <c r="E65" s="1"/>
  <c r="E55"/>
  <c r="E54" s="1"/>
  <c r="E52"/>
  <c r="E51" s="1"/>
  <c r="E39"/>
  <c r="E41"/>
  <c r="E36"/>
  <c r="E34"/>
  <c r="D56"/>
  <c r="D56" i="4"/>
  <c r="D51"/>
  <c r="E54"/>
  <c r="E53" s="1"/>
  <c r="E49"/>
  <c r="E48" s="1"/>
  <c r="E44"/>
  <c r="E43" s="1"/>
  <c r="E31"/>
  <c r="E30" s="1"/>
  <c r="E39"/>
  <c r="E38"/>
  <c r="D55"/>
  <c r="D50"/>
  <c r="D46"/>
  <c r="D45"/>
  <c r="D25"/>
  <c r="D35"/>
  <c r="D34"/>
  <c r="D33"/>
  <c r="D17" s="1"/>
  <c r="D32"/>
  <c r="E141" i="3"/>
  <c r="E140" s="1"/>
  <c r="E135"/>
  <c r="E134" s="1"/>
  <c r="E131"/>
  <c r="E130" s="1"/>
  <c r="E123"/>
  <c r="E122" s="1"/>
  <c r="E119"/>
  <c r="E118" s="1"/>
  <c r="E114"/>
  <c r="E110"/>
  <c r="E104"/>
  <c r="E106"/>
  <c r="E101"/>
  <c r="E98"/>
  <c r="E92"/>
  <c r="E94"/>
  <c r="E89"/>
  <c r="E86"/>
  <c r="E80"/>
  <c r="E82"/>
  <c r="E77"/>
  <c r="E74"/>
  <c r="E68"/>
  <c r="E70"/>
  <c r="E65"/>
  <c r="E62"/>
  <c r="E55"/>
  <c r="E57"/>
  <c r="E50"/>
  <c r="E45"/>
  <c r="E31"/>
  <c r="E25"/>
  <c r="D75"/>
  <c r="E213" i="6" l="1"/>
  <c r="D22" i="7"/>
  <c r="E33" i="8"/>
  <c r="E54" i="6"/>
  <c r="E77"/>
  <c r="E231"/>
  <c r="D16" i="7"/>
  <c r="E44" i="8"/>
  <c r="E9" s="1"/>
  <c r="E48" i="7"/>
  <c r="E62" i="9"/>
  <c r="E102" i="7"/>
  <c r="E167" i="9"/>
  <c r="E18" i="13"/>
  <c r="E26" i="9"/>
  <c r="E185"/>
  <c r="D19" i="7"/>
  <c r="D18" s="1"/>
  <c r="D18" i="4"/>
  <c r="D12"/>
  <c r="E10" i="8"/>
  <c r="C17" i="10"/>
  <c r="E145" i="9"/>
  <c r="E141"/>
  <c r="E261" s="1"/>
  <c r="D15" i="4"/>
  <c r="D11"/>
  <c r="E50" i="8"/>
  <c r="C13" i="10"/>
  <c r="E8" i="8"/>
  <c r="E12" i="13"/>
  <c r="E15"/>
  <c r="E80" i="9"/>
  <c r="E95"/>
  <c r="E154"/>
  <c r="E136"/>
  <c r="E150"/>
  <c r="E501" i="2"/>
  <c r="E500" s="1"/>
  <c r="E38" i="5"/>
  <c r="E13"/>
  <c r="D67" i="6"/>
  <c r="E176" i="9"/>
  <c r="E226" i="6"/>
  <c r="E27"/>
  <c r="E39"/>
  <c r="C19" i="10"/>
  <c r="E24" i="3"/>
  <c r="E44"/>
  <c r="E61"/>
  <c r="E73"/>
  <c r="E85"/>
  <c r="E97"/>
  <c r="E109"/>
  <c r="E94" i="6"/>
  <c r="E119"/>
  <c r="E25" i="13"/>
  <c r="E34"/>
  <c r="E54"/>
  <c r="E66"/>
  <c r="E72"/>
  <c r="E10" s="1"/>
  <c r="P13" i="10"/>
  <c r="P19"/>
  <c r="D61" i="6"/>
  <c r="E88"/>
  <c r="D72" i="13"/>
  <c r="D77"/>
  <c r="E77"/>
  <c r="E50" i="9"/>
  <c r="C37" i="10"/>
  <c r="E123" i="9"/>
  <c r="E71"/>
  <c r="E89"/>
  <c r="E101"/>
  <c r="E114"/>
  <c r="E108" i="7"/>
  <c r="E10"/>
  <c r="E60" i="6"/>
  <c r="E66"/>
  <c r="C31" i="10" s="1"/>
  <c r="E220" i="6"/>
  <c r="E33" i="5"/>
  <c r="E10" i="4"/>
  <c r="E54" i="3"/>
  <c r="E67"/>
  <c r="E79"/>
  <c r="E91"/>
  <c r="E103"/>
  <c r="E507" i="2"/>
  <c r="E506" s="1"/>
  <c r="E11" i="13"/>
  <c r="E98" i="8"/>
  <c r="E97" s="1"/>
  <c r="D83" i="3"/>
  <c r="D78"/>
  <c r="D142"/>
  <c r="D132"/>
  <c r="P132" s="1"/>
  <c r="D120"/>
  <c r="E550" i="2"/>
  <c r="E549" s="1"/>
  <c r="E641"/>
  <c r="E640" s="1"/>
  <c r="E637"/>
  <c r="E636" s="1"/>
  <c r="E633"/>
  <c r="E632" s="1"/>
  <c r="E629"/>
  <c r="E628" s="1"/>
  <c r="E625"/>
  <c r="E624" s="1"/>
  <c r="E621"/>
  <c r="E620" s="1"/>
  <c r="E613"/>
  <c r="E612" s="1"/>
  <c r="E580"/>
  <c r="E579" s="1"/>
  <c r="E576"/>
  <c r="E575" s="1"/>
  <c r="E572"/>
  <c r="E571" s="1"/>
  <c r="E538"/>
  <c r="E537" s="1"/>
  <c r="E534"/>
  <c r="E533" s="1"/>
  <c r="E530"/>
  <c r="E529" s="1"/>
  <c r="E526"/>
  <c r="E525" s="1"/>
  <c r="E518"/>
  <c r="E517" s="1"/>
  <c r="E514"/>
  <c r="E513" s="1"/>
  <c r="E433"/>
  <c r="E432" s="1"/>
  <c r="E645" s="1"/>
  <c r="E427"/>
  <c r="E422"/>
  <c r="E412"/>
  <c r="E407"/>
  <c r="E403"/>
  <c r="E402" s="1"/>
  <c r="E400"/>
  <c r="E399"/>
  <c r="E394"/>
  <c r="E393" s="1"/>
  <c r="E391"/>
  <c r="E389"/>
  <c r="E252" i="3" l="1"/>
  <c r="C7" i="10"/>
  <c r="E9" i="3"/>
  <c r="E251"/>
  <c r="C8" i="10"/>
  <c r="E8" i="3"/>
  <c r="E8" i="9"/>
  <c r="E9"/>
  <c r="E653" i="2"/>
  <c r="P67" i="3"/>
  <c r="C24" i="10"/>
  <c r="C23"/>
  <c r="P23" s="1"/>
  <c r="E262" i="9"/>
  <c r="E652" i="2"/>
  <c r="E10" i="6"/>
  <c r="B103" i="1"/>
  <c r="C34" i="10"/>
  <c r="E7" i="9"/>
  <c r="C30" i="10"/>
  <c r="B102" i="1"/>
  <c r="E654" i="2"/>
  <c r="E655" s="1"/>
  <c r="C14" i="10"/>
  <c r="P14" s="1"/>
  <c r="E115" i="8"/>
  <c r="C36" i="10"/>
  <c r="E398" i="2"/>
  <c r="E397" s="1"/>
  <c r="E329"/>
  <c r="C20" i="10"/>
  <c r="P20" s="1"/>
  <c r="E11" i="6"/>
  <c r="E9" i="13"/>
  <c r="E498" i="2"/>
  <c r="E388"/>
  <c r="E406"/>
  <c r="E499"/>
  <c r="C33" i="10"/>
  <c r="C29"/>
  <c r="E421" i="2"/>
  <c r="E385"/>
  <c r="E384" s="1"/>
  <c r="E382"/>
  <c r="E380"/>
  <c r="E376"/>
  <c r="E375" s="1"/>
  <c r="E373"/>
  <c r="E371"/>
  <c r="E367"/>
  <c r="E365"/>
  <c r="E362"/>
  <c r="E359"/>
  <c r="E354"/>
  <c r="E352"/>
  <c r="E350"/>
  <c r="E312"/>
  <c r="E309"/>
  <c r="E306"/>
  <c r="E302"/>
  <c r="E286"/>
  <c r="E284"/>
  <c r="E281"/>
  <c r="E278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7" s="1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42"/>
  <c r="D638"/>
  <c r="D630"/>
  <c r="D614"/>
  <c r="D554"/>
  <c r="D539"/>
  <c r="D531"/>
  <c r="D528"/>
  <c r="D527"/>
  <c r="D519"/>
  <c r="D434"/>
  <c r="D404"/>
  <c r="D401"/>
  <c r="D399"/>
  <c r="D395"/>
  <c r="D392"/>
  <c r="D390"/>
  <c r="D366"/>
  <c r="D361"/>
  <c r="D303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9" i="6" l="1"/>
  <c r="E328" i="2"/>
  <c r="E327" s="1"/>
  <c r="C28" i="10" s="1"/>
  <c r="E497" i="2"/>
  <c r="C26" i="10"/>
  <c r="C32"/>
  <c r="E8" i="13"/>
  <c r="E199" i="2"/>
  <c r="E205"/>
  <c r="E217"/>
  <c r="E223"/>
  <c r="E229"/>
  <c r="E241"/>
  <c r="E169"/>
  <c r="E175"/>
  <c r="E277"/>
  <c r="E283"/>
  <c r="E301"/>
  <c r="E308"/>
  <c r="E114"/>
  <c r="E104"/>
  <c r="P24" i="10"/>
  <c r="E379" i="2"/>
  <c r="E247"/>
  <c r="E235"/>
  <c r="E358"/>
  <c r="E364"/>
  <c r="E370"/>
  <c r="E25"/>
  <c r="B37" i="1" s="1"/>
  <c r="E122" i="2"/>
  <c r="E121" s="1"/>
  <c r="E129"/>
  <c r="E157"/>
  <c r="E193"/>
  <c r="E349"/>
  <c r="E211"/>
  <c r="E181"/>
  <c r="C25" i="10" l="1"/>
  <c r="J337" i="2" l="1"/>
  <c r="I337"/>
  <c r="K335"/>
  <c r="J335"/>
  <c r="I335"/>
  <c r="H335"/>
  <c r="G335"/>
  <c r="F335"/>
  <c r="K337"/>
  <c r="D631" l="1"/>
  <c r="D634"/>
  <c r="B136" i="1" l="1"/>
  <c r="E136"/>
  <c r="G509" i="2" l="1"/>
  <c r="H509"/>
  <c r="I509"/>
  <c r="J509"/>
  <c r="K509"/>
  <c r="L509"/>
  <c r="G503"/>
  <c r="H503"/>
  <c r="I503"/>
  <c r="J503"/>
  <c r="K503"/>
  <c r="L503"/>
  <c r="G621"/>
  <c r="H621"/>
  <c r="I621"/>
  <c r="J621"/>
  <c r="K621"/>
  <c r="L621"/>
  <c r="F623"/>
  <c r="M623" s="1"/>
  <c r="F625"/>
  <c r="F624" s="1"/>
  <c r="L625"/>
  <c r="L624" s="1"/>
  <c r="K625"/>
  <c r="K624" s="1"/>
  <c r="J625"/>
  <c r="J624" s="1"/>
  <c r="I625"/>
  <c r="I624" s="1"/>
  <c r="H625"/>
  <c r="H624" s="1"/>
  <c r="G625"/>
  <c r="G624" s="1"/>
  <c r="N535"/>
  <c r="D551"/>
  <c r="F553"/>
  <c r="F552" s="1"/>
  <c r="G553"/>
  <c r="G552" s="1"/>
  <c r="H553"/>
  <c r="H552" s="1"/>
  <c r="I553"/>
  <c r="I552" s="1"/>
  <c r="J553"/>
  <c r="J552" s="1"/>
  <c r="K553"/>
  <c r="K552" s="1"/>
  <c r="L553"/>
  <c r="L552" s="1"/>
  <c r="D553"/>
  <c r="D552" s="1"/>
  <c r="M535" l="1"/>
  <c r="M534" s="1"/>
  <c r="M533" s="1"/>
  <c r="M499" s="1"/>
  <c r="D622"/>
  <c r="M622"/>
  <c r="M621" s="1"/>
  <c r="M620" s="1"/>
  <c r="D535"/>
  <c r="N503"/>
  <c r="D626"/>
  <c r="D625" s="1"/>
  <c r="D624" s="1"/>
  <c r="F503"/>
  <c r="M503" s="1"/>
  <c r="D623"/>
  <c r="D503" s="1"/>
  <c r="F621"/>
  <c r="F509"/>
  <c r="N75" i="9"/>
  <c r="N73"/>
  <c r="D509" i="2" l="1"/>
  <c r="D73" i="9"/>
  <c r="M73"/>
  <c r="M72" s="1"/>
  <c r="D75"/>
  <c r="M75"/>
  <c r="M74" s="1"/>
  <c r="D78"/>
  <c r="D180"/>
  <c r="D20"/>
  <c r="D19" s="1"/>
  <c r="M71" l="1"/>
  <c r="D77"/>
  <c r="D76" s="1"/>
  <c r="G382" i="2"/>
  <c r="G380"/>
  <c r="H385"/>
  <c r="H384" s="1"/>
  <c r="F386"/>
  <c r="D386" s="1"/>
  <c r="F383"/>
  <c r="G371"/>
  <c r="H376"/>
  <c r="H375" s="1"/>
  <c r="F377"/>
  <c r="G373"/>
  <c r="F374"/>
  <c r="G362"/>
  <c r="H367"/>
  <c r="H364" s="1"/>
  <c r="D356"/>
  <c r="D353"/>
  <c r="D351"/>
  <c r="G370" l="1"/>
  <c r="D374"/>
  <c r="M374"/>
  <c r="M373" s="1"/>
  <c r="D381"/>
  <c r="M381"/>
  <c r="M380" s="1"/>
  <c r="D363"/>
  <c r="M363"/>
  <c r="M362" s="1"/>
  <c r="D360"/>
  <c r="M360"/>
  <c r="M359" s="1"/>
  <c r="D372"/>
  <c r="M372"/>
  <c r="M371" s="1"/>
  <c r="M370" s="1"/>
  <c r="D383"/>
  <c r="M383"/>
  <c r="M382" s="1"/>
  <c r="D377"/>
  <c r="D368"/>
  <c r="G379"/>
  <c r="G286"/>
  <c r="G283" s="1"/>
  <c r="F287"/>
  <c r="D287" s="1"/>
  <c r="D279"/>
  <c r="D82"/>
  <c r="D56"/>
  <c r="D106"/>
  <c r="D94"/>
  <c r="M358" l="1"/>
  <c r="M379"/>
  <c r="D282"/>
  <c r="M282"/>
  <c r="M281" s="1"/>
  <c r="M277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05" i="7"/>
  <c r="D124"/>
  <c r="K123"/>
  <c r="J123"/>
  <c r="I123"/>
  <c r="H123"/>
  <c r="G123"/>
  <c r="F123"/>
  <c r="K121"/>
  <c r="J121"/>
  <c r="I121"/>
  <c r="I120" s="1"/>
  <c r="H121"/>
  <c r="H120" s="1"/>
  <c r="G121"/>
  <c r="F121"/>
  <c r="N118"/>
  <c r="K118"/>
  <c r="J118"/>
  <c r="I118"/>
  <c r="H118"/>
  <c r="G118"/>
  <c r="F118"/>
  <c r="N115"/>
  <c r="N114" s="1"/>
  <c r="D115"/>
  <c r="K115"/>
  <c r="J115"/>
  <c r="I115"/>
  <c r="H115"/>
  <c r="G115"/>
  <c r="F115"/>
  <c r="I114"/>
  <c r="G26"/>
  <c r="F26"/>
  <c r="H63" i="9"/>
  <c r="H65"/>
  <c r="G66"/>
  <c r="G64"/>
  <c r="F66"/>
  <c r="F64"/>
  <c r="D60"/>
  <c r="D55"/>
  <c r="D52"/>
  <c r="D51" s="1"/>
  <c r="D48"/>
  <c r="D43"/>
  <c r="D40"/>
  <c r="D39" s="1"/>
  <c r="H23"/>
  <c r="H22" s="1"/>
  <c r="H18" s="1"/>
  <c r="D28"/>
  <c r="G120" i="7" l="1"/>
  <c r="K120"/>
  <c r="D27" i="9"/>
  <c r="N66"/>
  <c r="G13" i="7"/>
  <c r="G9"/>
  <c r="G7" s="1"/>
  <c r="M105"/>
  <c r="M37" i="2"/>
  <c r="N64" i="9"/>
  <c r="F9" i="7"/>
  <c r="F7" s="1"/>
  <c r="F13"/>
  <c r="N105"/>
  <c r="G103"/>
  <c r="N26"/>
  <c r="M26"/>
  <c r="D105"/>
  <c r="M103"/>
  <c r="M102" s="1"/>
  <c r="D64" i="9"/>
  <c r="M64"/>
  <c r="D66"/>
  <c r="M66"/>
  <c r="M65" s="1"/>
  <c r="H62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22" i="7"/>
  <c r="D121" s="1"/>
  <c r="D26"/>
  <c r="F114"/>
  <c r="H114"/>
  <c r="J114"/>
  <c r="F120"/>
  <c r="D162" i="2"/>
  <c r="D183"/>
  <c r="D191"/>
  <c r="D171"/>
  <c r="D179"/>
  <c r="D234"/>
  <c r="G114" i="7"/>
  <c r="K114"/>
  <c r="J120"/>
  <c r="D123"/>
  <c r="E123"/>
  <c r="E118"/>
  <c r="E114" s="1"/>
  <c r="E121"/>
  <c r="F182" i="9"/>
  <c r="F181" s="1"/>
  <c r="L186"/>
  <c r="K186"/>
  <c r="J186"/>
  <c r="I186"/>
  <c r="H186"/>
  <c r="G186"/>
  <c r="F186"/>
  <c r="D184"/>
  <c r="D183"/>
  <c r="L182"/>
  <c r="L181" s="1"/>
  <c r="K182"/>
  <c r="K181" s="1"/>
  <c r="J182"/>
  <c r="J181" s="1"/>
  <c r="I182"/>
  <c r="I181" s="1"/>
  <c r="H182"/>
  <c r="G182"/>
  <c r="G181" s="1"/>
  <c r="H181"/>
  <c r="D179"/>
  <c r="L178"/>
  <c r="K178"/>
  <c r="J178"/>
  <c r="I178"/>
  <c r="H178"/>
  <c r="G178"/>
  <c r="F178"/>
  <c r="F12" s="1"/>
  <c r="F11" s="1"/>
  <c r="M63" l="1"/>
  <c r="J185"/>
  <c r="M229" i="2"/>
  <c r="Q7" i="7"/>
  <c r="F11"/>
  <c r="F177" i="9"/>
  <c r="F185"/>
  <c r="L185"/>
  <c r="G11" i="7"/>
  <c r="J177" i="9"/>
  <c r="H177"/>
  <c r="L177"/>
  <c r="G177"/>
  <c r="I177"/>
  <c r="K177"/>
  <c r="K185"/>
  <c r="M25" i="7"/>
  <c r="M24" s="1"/>
  <c r="M62" i="9"/>
  <c r="M241" i="2"/>
  <c r="H185" i="9"/>
  <c r="D178"/>
  <c r="G185"/>
  <c r="I185"/>
  <c r="D182"/>
  <c r="D120" i="7"/>
  <c r="D119"/>
  <c r="D118" s="1"/>
  <c r="D114" s="1"/>
  <c r="H176" i="9"/>
  <c r="D186"/>
  <c r="E120" i="7"/>
  <c r="D181" i="9"/>
  <c r="F131" i="6"/>
  <c r="G176" i="9" l="1"/>
  <c r="F176"/>
  <c r="L176"/>
  <c r="D185"/>
  <c r="J176"/>
  <c r="I176"/>
  <c r="K176"/>
  <c r="D131" i="6"/>
  <c r="M131"/>
  <c r="D177" i="9"/>
  <c r="D176" s="1"/>
  <c r="G132" i="6"/>
  <c r="N132" s="1"/>
  <c r="G127"/>
  <c r="G122"/>
  <c r="G112"/>
  <c r="M112" s="1"/>
  <c r="K100"/>
  <c r="K96" s="1"/>
  <c r="N127" l="1"/>
  <c r="M127"/>
  <c r="D112"/>
  <c r="N112"/>
  <c r="F106"/>
  <c r="F102"/>
  <c r="D127"/>
  <c r="D81"/>
  <c r="D76" l="1"/>
  <c r="M76"/>
  <c r="M75" s="1"/>
  <c r="D74"/>
  <c r="M74"/>
  <c r="M73" s="1"/>
  <c r="D79"/>
  <c r="G96" i="9"/>
  <c r="F96"/>
  <c r="N91"/>
  <c r="F90"/>
  <c r="G90"/>
  <c r="H90"/>
  <c r="I90"/>
  <c r="J90"/>
  <c r="K90"/>
  <c r="L90"/>
  <c r="G170"/>
  <c r="D170" s="1"/>
  <c r="F173"/>
  <c r="G173"/>
  <c r="H173"/>
  <c r="I173"/>
  <c r="J173"/>
  <c r="K173"/>
  <c r="L173"/>
  <c r="L172" s="1"/>
  <c r="F168"/>
  <c r="G168"/>
  <c r="H168"/>
  <c r="I168"/>
  <c r="J168"/>
  <c r="K168"/>
  <c r="L168"/>
  <c r="L167" s="1"/>
  <c r="D162"/>
  <c r="D161"/>
  <c r="D157"/>
  <c r="N170"/>
  <c r="N168"/>
  <c r="F164"/>
  <c r="G164"/>
  <c r="H164"/>
  <c r="I164"/>
  <c r="J164"/>
  <c r="K164"/>
  <c r="L164"/>
  <c r="N161"/>
  <c r="N162"/>
  <c r="F160"/>
  <c r="G160"/>
  <c r="H160"/>
  <c r="I160"/>
  <c r="J160"/>
  <c r="K160"/>
  <c r="L160"/>
  <c r="G156"/>
  <c r="G12" s="1"/>
  <c r="G11" s="1"/>
  <c r="H156"/>
  <c r="H12" s="1"/>
  <c r="H11" s="1"/>
  <c r="I156"/>
  <c r="I12" s="1"/>
  <c r="I11" s="1"/>
  <c r="J156"/>
  <c r="J12" s="1"/>
  <c r="J11" s="1"/>
  <c r="K156"/>
  <c r="K12" s="1"/>
  <c r="K11" s="1"/>
  <c r="L156"/>
  <c r="K16" l="1"/>
  <c r="K15" s="1"/>
  <c r="J16"/>
  <c r="J15" s="1"/>
  <c r="J10" s="1"/>
  <c r="F16"/>
  <c r="F15" s="1"/>
  <c r="L16"/>
  <c r="L15" s="1"/>
  <c r="H16"/>
  <c r="H15" s="1"/>
  <c r="I16"/>
  <c r="I15" s="1"/>
  <c r="I10" s="1"/>
  <c r="M72" i="6"/>
  <c r="N160" i="9"/>
  <c r="G16"/>
  <c r="G15" s="1"/>
  <c r="N90"/>
  <c r="L12"/>
  <c r="L11" s="1"/>
  <c r="D96"/>
  <c r="K10"/>
  <c r="H172"/>
  <c r="F172"/>
  <c r="J172"/>
  <c r="F167"/>
  <c r="M91"/>
  <c r="M160"/>
  <c r="M159" s="1"/>
  <c r="M154" s="1"/>
  <c r="N159"/>
  <c r="N155"/>
  <c r="G172"/>
  <c r="D91"/>
  <c r="K163"/>
  <c r="I163"/>
  <c r="G163"/>
  <c r="K167"/>
  <c r="G167"/>
  <c r="D160"/>
  <c r="D156"/>
  <c r="L163"/>
  <c r="J163"/>
  <c r="H163"/>
  <c r="F163"/>
  <c r="I167"/>
  <c r="J167"/>
  <c r="H167"/>
  <c r="K172"/>
  <c r="I172"/>
  <c r="K159"/>
  <c r="I159"/>
  <c r="G159"/>
  <c r="L159"/>
  <c r="J159"/>
  <c r="H159"/>
  <c r="F159"/>
  <c r="D159" s="1"/>
  <c r="L155"/>
  <c r="J155"/>
  <c r="H155"/>
  <c r="K155"/>
  <c r="I155"/>
  <c r="G155"/>
  <c r="D168"/>
  <c r="D164"/>
  <c r="D173"/>
  <c r="N167"/>
  <c r="F155"/>
  <c r="F105" i="13"/>
  <c r="H105"/>
  <c r="I105"/>
  <c r="J105"/>
  <c r="K105"/>
  <c r="L105"/>
  <c r="N641" i="2"/>
  <c r="N640" s="1"/>
  <c r="F641"/>
  <c r="F640" s="1"/>
  <c r="G641"/>
  <c r="G640" s="1"/>
  <c r="H641"/>
  <c r="H640" s="1"/>
  <c r="I641"/>
  <c r="I640" s="1"/>
  <c r="J641"/>
  <c r="J640" s="1"/>
  <c r="J499" s="1"/>
  <c r="K641"/>
  <c r="K640" s="1"/>
  <c r="K499" s="1"/>
  <c r="L641"/>
  <c r="L640" s="1"/>
  <c r="L499" s="1"/>
  <c r="D641"/>
  <c r="D640" s="1"/>
  <c r="I516"/>
  <c r="I515"/>
  <c r="H516"/>
  <c r="H515"/>
  <c r="G516"/>
  <c r="G515"/>
  <c r="F516"/>
  <c r="F515"/>
  <c r="I581"/>
  <c r="I508" s="1"/>
  <c r="H581"/>
  <c r="H508" s="1"/>
  <c r="G581"/>
  <c r="G508" s="1"/>
  <c r="I577"/>
  <c r="H577"/>
  <c r="G577"/>
  <c r="M90" i="9" l="1"/>
  <c r="L10"/>
  <c r="N516" i="2"/>
  <c r="N515"/>
  <c r="G154" i="9"/>
  <c r="N577" i="2"/>
  <c r="K154" i="9"/>
  <c r="M577" i="2"/>
  <c r="L154" i="9"/>
  <c r="D167"/>
  <c r="G10"/>
  <c r="D172"/>
  <c r="D155"/>
  <c r="D154" s="1"/>
  <c r="D515" i="2"/>
  <c r="M515"/>
  <c r="D516"/>
  <c r="M516"/>
  <c r="N154" i="9"/>
  <c r="D577" i="2"/>
  <c r="H154" i="9"/>
  <c r="D163"/>
  <c r="J154"/>
  <c r="I154"/>
  <c r="F508" i="2"/>
  <c r="D581"/>
  <c r="F154" i="9"/>
  <c r="M514" i="2" l="1"/>
  <c r="M513" s="1"/>
  <c r="L10" i="13" l="1"/>
  <c r="K10"/>
  <c r="J10"/>
  <c r="I10"/>
  <c r="H10"/>
  <c r="G10"/>
  <c r="H20"/>
  <c r="I20"/>
  <c r="J20"/>
  <c r="K20"/>
  <c r="N10" l="1"/>
  <c r="J30" i="10"/>
  <c r="I33"/>
  <c r="H33"/>
  <c r="I32"/>
  <c r="H32"/>
  <c r="D16" i="4" l="1"/>
  <c r="G68" i="13" l="1"/>
  <c r="G70"/>
  <c r="D70" s="1"/>
  <c r="H23"/>
  <c r="F23"/>
  <c r="F73"/>
  <c r="F75"/>
  <c r="G78"/>
  <c r="G80"/>
  <c r="G424" i="2"/>
  <c r="H424"/>
  <c r="I424"/>
  <c r="F424"/>
  <c r="F429"/>
  <c r="G429"/>
  <c r="H429"/>
  <c r="I429"/>
  <c r="J329"/>
  <c r="K332"/>
  <c r="J332"/>
  <c r="L337"/>
  <c r="G23" i="13" l="1"/>
  <c r="M429" i="2"/>
  <c r="M424"/>
  <c r="D68" i="13"/>
  <c r="D20" s="1"/>
  <c r="G20"/>
  <c r="F72"/>
  <c r="D429" i="2"/>
  <c r="G77" i="13"/>
  <c r="G105" l="1"/>
  <c r="D105"/>
  <c r="F10"/>
  <c r="M10" s="1"/>
  <c r="D424" i="2"/>
  <c r="D425"/>
  <c r="D426"/>
  <c r="N424"/>
  <c r="N425"/>
  <c r="N426"/>
  <c r="G423"/>
  <c r="H423"/>
  <c r="I423"/>
  <c r="I329" s="1"/>
  <c r="F423"/>
  <c r="N429"/>
  <c r="N430"/>
  <c r="N431"/>
  <c r="G428"/>
  <c r="H428"/>
  <c r="I428"/>
  <c r="I332" s="1"/>
  <c r="F428"/>
  <c r="D433"/>
  <c r="D432" s="1"/>
  <c r="H433"/>
  <c r="I433"/>
  <c r="G433"/>
  <c r="M423" l="1"/>
  <c r="M422" s="1"/>
  <c r="M428"/>
  <c r="M427" s="1"/>
  <c r="N428"/>
  <c r="N427" s="1"/>
  <c r="D423"/>
  <c r="N423"/>
  <c r="N422" s="1"/>
  <c r="D428"/>
  <c r="F427"/>
  <c r="I432"/>
  <c r="G432"/>
  <c r="H432"/>
  <c r="H422"/>
  <c r="I422"/>
  <c r="G422"/>
  <c r="F422"/>
  <c r="G427"/>
  <c r="H427"/>
  <c r="I427"/>
  <c r="N421" l="1"/>
  <c r="M421"/>
  <c r="D427"/>
  <c r="H421"/>
  <c r="G421"/>
  <c r="F421"/>
  <c r="D422"/>
  <c r="I421"/>
  <c r="G32" i="10" l="1"/>
  <c r="D421" i="2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N50" l="1"/>
  <c r="D45"/>
  <c r="M50"/>
  <c r="M49" s="1"/>
  <c r="M45"/>
  <c r="M41"/>
  <c r="N45"/>
  <c r="G49"/>
  <c r="N49"/>
  <c r="N41"/>
  <c r="F49"/>
  <c r="D50"/>
  <c r="D49" s="1"/>
  <c r="D41"/>
  <c r="J54"/>
  <c r="H54"/>
  <c r="F54"/>
  <c r="I54"/>
  <c r="G54"/>
  <c r="D54"/>
  <c r="I40"/>
  <c r="G40"/>
  <c r="H40"/>
  <c r="F40"/>
  <c r="N40" l="1"/>
  <c r="N39" s="1"/>
  <c r="M40"/>
  <c r="M39" s="1"/>
  <c r="F39"/>
  <c r="H39"/>
  <c r="I39"/>
  <c r="G39"/>
  <c r="D40"/>
  <c r="D39" s="1"/>
  <c r="M172" l="1"/>
  <c r="M171" s="1"/>
  <c r="N172"/>
  <c r="N171" s="1"/>
  <c r="G176"/>
  <c r="N177"/>
  <c r="G183"/>
  <c r="N199"/>
  <c r="I200"/>
  <c r="H200"/>
  <c r="I207"/>
  <c r="H207"/>
  <c r="N176" l="1"/>
  <c r="N175" s="1"/>
  <c r="N174" s="1"/>
  <c r="M176"/>
  <c r="D582" i="2" l="1"/>
  <c r="D578" l="1"/>
  <c r="M578"/>
  <c r="M576" s="1"/>
  <c r="M575" s="1"/>
  <c r="M498" s="1"/>
  <c r="M497" s="1"/>
  <c r="G510"/>
  <c r="H510"/>
  <c r="I510"/>
  <c r="J510"/>
  <c r="K510"/>
  <c r="L510"/>
  <c r="L504"/>
  <c r="K504"/>
  <c r="J504"/>
  <c r="I504"/>
  <c r="H504"/>
  <c r="G504"/>
  <c r="F504"/>
  <c r="F510"/>
  <c r="F633"/>
  <c r="F632" s="1"/>
  <c r="F653" s="1"/>
  <c r="D633"/>
  <c r="L629"/>
  <c r="K629"/>
  <c r="J629"/>
  <c r="I629"/>
  <c r="H629"/>
  <c r="G629"/>
  <c r="M504" l="1"/>
  <c r="N504"/>
  <c r="F629"/>
  <c r="D632"/>
  <c r="D127" i="9" l="1"/>
  <c r="D131"/>
  <c r="H126"/>
  <c r="H130"/>
  <c r="D126"/>
  <c r="D130"/>
  <c r="J41" i="13" l="1"/>
  <c r="D32" l="1"/>
  <c r="I23"/>
  <c r="D41"/>
  <c r="J23"/>
  <c r="K104" l="1"/>
  <c r="K106" s="1"/>
  <c r="L104"/>
  <c r="L106" s="1"/>
  <c r="M29" i="6" l="1"/>
  <c r="M28" s="1"/>
  <c r="M34" l="1"/>
  <c r="D34"/>
  <c r="D29"/>
  <c r="N29"/>
  <c r="M94" i="9"/>
  <c r="M93" s="1"/>
  <c r="M89" s="1"/>
  <c r="F81"/>
  <c r="N94" l="1"/>
  <c r="D94"/>
  <c r="D99"/>
  <c r="D23" s="1"/>
  <c r="D131" i="2"/>
  <c r="D98" i="9" l="1"/>
  <c r="D95" s="1"/>
  <c r="F84" i="6"/>
  <c r="F86"/>
  <c r="F89"/>
  <c r="F91"/>
  <c r="F88" l="1"/>
  <c r="F83"/>
  <c r="I84" i="13"/>
  <c r="J84"/>
  <c r="K84"/>
  <c r="L84"/>
  <c r="N99"/>
  <c r="N98" s="1"/>
  <c r="H99"/>
  <c r="H98" s="1"/>
  <c r="G99"/>
  <c r="G98" s="1"/>
  <c r="F99"/>
  <c r="F98" s="1"/>
  <c r="D99" l="1"/>
  <c r="D98" s="1"/>
  <c r="N34" i="6"/>
  <c r="N33"/>
  <c r="K31"/>
  <c r="J31"/>
  <c r="I31"/>
  <c r="H31"/>
  <c r="G31"/>
  <c r="F31"/>
  <c r="M31" l="1"/>
  <c r="M30" s="1"/>
  <c r="M27" s="1"/>
  <c r="N31"/>
  <c r="D31"/>
  <c r="D59" i="9"/>
  <c r="D56" s="1"/>
  <c r="H59"/>
  <c r="H56" s="1"/>
  <c r="G59"/>
  <c r="F59"/>
  <c r="G54"/>
  <c r="N54"/>
  <c r="D54"/>
  <c r="F54"/>
  <c r="N51"/>
  <c r="F56" l="1"/>
  <c r="G56"/>
  <c r="N50"/>
  <c r="G50"/>
  <c r="D50"/>
  <c r="F50" l="1"/>
  <c r="N255" i="6"/>
  <c r="L124" i="3" l="1"/>
  <c r="K124"/>
  <c r="J124"/>
  <c r="I124"/>
  <c r="J123"/>
  <c r="J122" s="1"/>
  <c r="H124"/>
  <c r="G124"/>
  <c r="F124"/>
  <c r="D141"/>
  <c r="D140" s="1"/>
  <c r="L141"/>
  <c r="K141"/>
  <c r="J141"/>
  <c r="I141"/>
  <c r="H141"/>
  <c r="G141"/>
  <c r="F141"/>
  <c r="L136"/>
  <c r="J135"/>
  <c r="I135"/>
  <c r="H135"/>
  <c r="K135"/>
  <c r="G135"/>
  <c r="D131"/>
  <c r="D130" s="1"/>
  <c r="L131"/>
  <c r="K131"/>
  <c r="J131"/>
  <c r="I131"/>
  <c r="H131"/>
  <c r="G131"/>
  <c r="F131"/>
  <c r="D119"/>
  <c r="D118" s="1"/>
  <c r="L119"/>
  <c r="L118" s="1"/>
  <c r="K119"/>
  <c r="K118" s="1"/>
  <c r="J119"/>
  <c r="J118" s="1"/>
  <c r="I119"/>
  <c r="H119"/>
  <c r="G119"/>
  <c r="F119"/>
  <c r="D117"/>
  <c r="D116"/>
  <c r="L115"/>
  <c r="L16" s="1"/>
  <c r="K115"/>
  <c r="K16" s="1"/>
  <c r="J115"/>
  <c r="I115"/>
  <c r="I16" s="1"/>
  <c r="H115"/>
  <c r="G115"/>
  <c r="F115"/>
  <c r="F16" s="1"/>
  <c r="D113"/>
  <c r="D112"/>
  <c r="L111"/>
  <c r="K111"/>
  <c r="J111"/>
  <c r="I111"/>
  <c r="H111"/>
  <c r="G111"/>
  <c r="F111"/>
  <c r="J12" l="1"/>
  <c r="J11" s="1"/>
  <c r="L12"/>
  <c r="L11" s="1"/>
  <c r="K12"/>
  <c r="K11" s="1"/>
  <c r="J16"/>
  <c r="J14" s="1"/>
  <c r="K123"/>
  <c r="K122" s="1"/>
  <c r="K14"/>
  <c r="L123"/>
  <c r="L122" s="1"/>
  <c r="L14"/>
  <c r="K140"/>
  <c r="K114"/>
  <c r="J114"/>
  <c r="J110"/>
  <c r="I110"/>
  <c r="H110"/>
  <c r="L110"/>
  <c r="K110"/>
  <c r="N111"/>
  <c r="N110" s="1"/>
  <c r="M115"/>
  <c r="M114" s="1"/>
  <c r="H123"/>
  <c r="H122" s="1"/>
  <c r="I123"/>
  <c r="I122" s="1"/>
  <c r="G123"/>
  <c r="G122" s="1"/>
  <c r="N136"/>
  <c r="F140"/>
  <c r="H140"/>
  <c r="J140"/>
  <c r="L140"/>
  <c r="L130"/>
  <c r="G140"/>
  <c r="I140"/>
  <c r="M124"/>
  <c r="M123" s="1"/>
  <c r="M122" s="1"/>
  <c r="D124"/>
  <c r="D123" s="1"/>
  <c r="D122" s="1"/>
  <c r="M111"/>
  <c r="M110" s="1"/>
  <c r="N124"/>
  <c r="G110"/>
  <c r="N115"/>
  <c r="L135"/>
  <c r="L134" s="1"/>
  <c r="D136"/>
  <c r="P137" s="1"/>
  <c r="F130"/>
  <c r="J130"/>
  <c r="F123"/>
  <c r="F122" s="1"/>
  <c r="D115"/>
  <c r="D111"/>
  <c r="H130"/>
  <c r="J109"/>
  <c r="G118"/>
  <c r="I118"/>
  <c r="G130"/>
  <c r="I130"/>
  <c r="K130"/>
  <c r="G134"/>
  <c r="H134"/>
  <c r="J134"/>
  <c r="F118"/>
  <c r="H118"/>
  <c r="K134"/>
  <c r="I134"/>
  <c r="G114"/>
  <c r="I114"/>
  <c r="F135"/>
  <c r="H114"/>
  <c r="L114"/>
  <c r="L109" s="1"/>
  <c r="F114"/>
  <c r="F110"/>
  <c r="L10" l="1"/>
  <c r="J10"/>
  <c r="K10"/>
  <c r="K109"/>
  <c r="H109"/>
  <c r="I109"/>
  <c r="M109"/>
  <c r="G109"/>
  <c r="F134"/>
  <c r="F109"/>
  <c r="N135"/>
  <c r="N134" s="1"/>
  <c r="D135"/>
  <c r="D134" s="1"/>
  <c r="N123"/>
  <c r="N122" s="1"/>
  <c r="N114"/>
  <c r="N109" s="1"/>
  <c r="D114"/>
  <c r="D110"/>
  <c r="D109" l="1"/>
  <c r="J502" i="2"/>
  <c r="K502"/>
  <c r="L502"/>
  <c r="N637"/>
  <c r="N636" s="1"/>
  <c r="D637"/>
  <c r="D636" s="1"/>
  <c r="I637"/>
  <c r="I636" s="1"/>
  <c r="H637"/>
  <c r="H636" s="1"/>
  <c r="G637"/>
  <c r="G636" s="1"/>
  <c r="F637"/>
  <c r="F636" s="1"/>
  <c r="L111" i="6" l="1"/>
  <c r="P105" l="1"/>
  <c r="P95"/>
  <c r="P94" l="1"/>
  <c r="J498" i="2"/>
  <c r="K498"/>
  <c r="L498"/>
  <c r="F505"/>
  <c r="G505"/>
  <c r="H505"/>
  <c r="I505"/>
  <c r="J505"/>
  <c r="K505"/>
  <c r="L505"/>
  <c r="F511"/>
  <c r="C79" i="1" s="1"/>
  <c r="G511" i="2"/>
  <c r="D79" i="1" s="1"/>
  <c r="H511" i="2"/>
  <c r="E79" i="1" s="1"/>
  <c r="I511" i="2"/>
  <c r="F79" i="1" s="1"/>
  <c r="J511" i="2"/>
  <c r="G79" i="1" s="1"/>
  <c r="K511" i="2"/>
  <c r="H79" i="1" s="1"/>
  <c r="L511" i="2"/>
  <c r="I79" i="1" s="1"/>
  <c r="H514" i="2"/>
  <c r="H513" s="1"/>
  <c r="I514"/>
  <c r="I513" s="1"/>
  <c r="D518"/>
  <c r="D517" s="1"/>
  <c r="G514"/>
  <c r="F518"/>
  <c r="F517" s="1"/>
  <c r="G518"/>
  <c r="G517" s="1"/>
  <c r="H518"/>
  <c r="H517" s="1"/>
  <c r="I518"/>
  <c r="I517" s="1"/>
  <c r="J518"/>
  <c r="J517" s="1"/>
  <c r="J652" s="1"/>
  <c r="K518"/>
  <c r="K517" s="1"/>
  <c r="K652" s="1"/>
  <c r="L518"/>
  <c r="L517" s="1"/>
  <c r="L652" s="1"/>
  <c r="D505"/>
  <c r="H102" i="1" l="1"/>
  <c r="K654" i="2"/>
  <c r="I102" i="1"/>
  <c r="L654" i="2"/>
  <c r="G102" i="1"/>
  <c r="J654" i="2"/>
  <c r="M505"/>
  <c r="N505"/>
  <c r="D511"/>
  <c r="N514"/>
  <c r="F514"/>
  <c r="F294" l="1"/>
  <c r="F299"/>
  <c r="F292"/>
  <c r="I313"/>
  <c r="G49"/>
  <c r="F313"/>
  <c r="G310"/>
  <c r="F310"/>
  <c r="I307"/>
  <c r="G41"/>
  <c r="F307"/>
  <c r="I304"/>
  <c r="G304"/>
  <c r="F304"/>
  <c r="F51" l="1"/>
  <c r="F42"/>
  <c r="I42"/>
  <c r="I41" s="1"/>
  <c r="I51"/>
  <c r="I49" s="1"/>
  <c r="I43" s="1"/>
  <c r="G48"/>
  <c r="G44" s="1"/>
  <c r="G43" s="1"/>
  <c r="F40"/>
  <c r="F36" s="1"/>
  <c r="G40"/>
  <c r="G36" s="1"/>
  <c r="G35" s="1"/>
  <c r="I40"/>
  <c r="I36" s="1"/>
  <c r="F48"/>
  <c r="F44" s="1"/>
  <c r="M307"/>
  <c r="M306" s="1"/>
  <c r="F49"/>
  <c r="M304"/>
  <c r="M302" s="1"/>
  <c r="D292"/>
  <c r="M292"/>
  <c r="M290" s="1"/>
  <c r="D294"/>
  <c r="M294"/>
  <c r="M293" s="1"/>
  <c r="D304"/>
  <c r="N307"/>
  <c r="D310"/>
  <c r="D48" s="1"/>
  <c r="D299"/>
  <c r="D313"/>
  <c r="D307"/>
  <c r="D42" l="1"/>
  <c r="I35"/>
  <c r="D40"/>
  <c r="F43"/>
  <c r="N40"/>
  <c r="M301"/>
  <c r="M42"/>
  <c r="F41"/>
  <c r="F35" s="1"/>
  <c r="M289"/>
  <c r="F54" i="4"/>
  <c r="F53" s="1"/>
  <c r="G54"/>
  <c r="G53" s="1"/>
  <c r="H54"/>
  <c r="H53" s="1"/>
  <c r="I54"/>
  <c r="I53" s="1"/>
  <c r="J54"/>
  <c r="J53" s="1"/>
  <c r="K54"/>
  <c r="K53" s="1"/>
  <c r="L54"/>
  <c r="L53" s="1"/>
  <c r="N54" l="1"/>
  <c r="N53" s="1"/>
  <c r="D54"/>
  <c r="D53" s="1"/>
  <c r="M103" i="9" l="1"/>
  <c r="N103"/>
  <c r="N12" s="1"/>
  <c r="N11" s="1"/>
  <c r="D103"/>
  <c r="D12" s="1"/>
  <c r="M102" l="1"/>
  <c r="M12"/>
  <c r="M11" s="1"/>
  <c r="M107"/>
  <c r="M106" s="1"/>
  <c r="D11"/>
  <c r="H10"/>
  <c r="N16"/>
  <c r="N107"/>
  <c r="D107"/>
  <c r="D16" s="1"/>
  <c r="M101" l="1"/>
  <c r="P23"/>
  <c r="F10"/>
  <c r="M16"/>
  <c r="M15" s="1"/>
  <c r="I34" i="10" l="1"/>
  <c r="J34"/>
  <c r="I35"/>
  <c r="J35"/>
  <c r="J32"/>
  <c r="J33"/>
  <c r="G146" i="9" l="1"/>
  <c r="D107" i="3" l="1"/>
  <c r="N90"/>
  <c r="F20"/>
  <c r="F17" s="1"/>
  <c r="D90" l="1"/>
  <c r="M90"/>
  <c r="M89" s="1"/>
  <c r="D87"/>
  <c r="P87" s="1"/>
  <c r="M87"/>
  <c r="M86" s="1"/>
  <c r="D95"/>
  <c r="D102"/>
  <c r="M102"/>
  <c r="M101" s="1"/>
  <c r="D99"/>
  <c r="M99"/>
  <c r="M98" s="1"/>
  <c r="D148" i="9"/>
  <c r="D151"/>
  <c r="D150" s="1"/>
  <c r="N137"/>
  <c r="N139"/>
  <c r="D137"/>
  <c r="G137"/>
  <c r="H137"/>
  <c r="F137"/>
  <c r="D139"/>
  <c r="G139"/>
  <c r="H139"/>
  <c r="F139"/>
  <c r="G142"/>
  <c r="H142"/>
  <c r="F142"/>
  <c r="D142"/>
  <c r="D141" s="1"/>
  <c r="D261" s="1"/>
  <c r="N146"/>
  <c r="N148"/>
  <c r="H146"/>
  <c r="I146"/>
  <c r="F146"/>
  <c r="D146"/>
  <c r="G148"/>
  <c r="H148"/>
  <c r="I148"/>
  <c r="F148"/>
  <c r="G151"/>
  <c r="H151"/>
  <c r="I151"/>
  <c r="F151"/>
  <c r="G58" i="13"/>
  <c r="G413" i="2"/>
  <c r="G412" s="1"/>
  <c r="H413"/>
  <c r="H332" s="1"/>
  <c r="H331" s="1"/>
  <c r="J31"/>
  <c r="I31"/>
  <c r="K31"/>
  <c r="L31"/>
  <c r="L332"/>
  <c r="G22" i="6"/>
  <c r="F22"/>
  <c r="N219"/>
  <c r="G15"/>
  <c r="F15"/>
  <c r="N215"/>
  <c r="N128"/>
  <c r="L123"/>
  <c r="K123"/>
  <c r="K121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G113"/>
  <c r="K111"/>
  <c r="J111"/>
  <c r="I111"/>
  <c r="H111"/>
  <c r="G111"/>
  <c r="L110"/>
  <c r="L106" s="1"/>
  <c r="K110"/>
  <c r="J110"/>
  <c r="I110"/>
  <c r="I106" s="1"/>
  <c r="M109"/>
  <c r="K108"/>
  <c r="L104"/>
  <c r="L102" s="1"/>
  <c r="K104"/>
  <c r="K102" s="1"/>
  <c r="J104"/>
  <c r="I104"/>
  <c r="I102" s="1"/>
  <c r="H104"/>
  <c r="G104"/>
  <c r="G103"/>
  <c r="H96"/>
  <c r="I98"/>
  <c r="N37" i="8"/>
  <c r="N20" s="1"/>
  <c r="N16" s="1"/>
  <c r="D67" i="5"/>
  <c r="D70"/>
  <c r="D35"/>
  <c r="D37"/>
  <c r="D42"/>
  <c r="F32" i="3"/>
  <c r="F15" s="1"/>
  <c r="F14" s="1"/>
  <c r="G26"/>
  <c r="H26"/>
  <c r="I26"/>
  <c r="J120" i="9"/>
  <c r="K120"/>
  <c r="L120"/>
  <c r="I117"/>
  <c r="J117"/>
  <c r="K117"/>
  <c r="L117"/>
  <c r="I115"/>
  <c r="J115"/>
  <c r="K115"/>
  <c r="L115"/>
  <c r="H115"/>
  <c r="F72"/>
  <c r="F30"/>
  <c r="F26" s="1"/>
  <c r="F93"/>
  <c r="F63"/>
  <c r="F65"/>
  <c r="F115"/>
  <c r="F117"/>
  <c r="G74"/>
  <c r="G72"/>
  <c r="G30"/>
  <c r="G26" s="1"/>
  <c r="G93"/>
  <c r="G63"/>
  <c r="G65"/>
  <c r="G115"/>
  <c r="G117"/>
  <c r="H117"/>
  <c r="H74"/>
  <c r="H72"/>
  <c r="H26"/>
  <c r="H89"/>
  <c r="I74"/>
  <c r="I72"/>
  <c r="I89"/>
  <c r="J74"/>
  <c r="J71" s="1"/>
  <c r="J89"/>
  <c r="K114"/>
  <c r="K74"/>
  <c r="K71" s="1"/>
  <c r="K9" s="1"/>
  <c r="K89"/>
  <c r="L74"/>
  <c r="L71" s="1"/>
  <c r="L89"/>
  <c r="F80"/>
  <c r="F102"/>
  <c r="F106"/>
  <c r="F124"/>
  <c r="F128"/>
  <c r="G86"/>
  <c r="G81"/>
  <c r="G102"/>
  <c r="G106"/>
  <c r="G124"/>
  <c r="G128"/>
  <c r="H80"/>
  <c r="H102"/>
  <c r="H106"/>
  <c r="H124"/>
  <c r="H128"/>
  <c r="I80"/>
  <c r="I101"/>
  <c r="I123"/>
  <c r="J80"/>
  <c r="J101"/>
  <c r="J123"/>
  <c r="K80"/>
  <c r="K101"/>
  <c r="K123"/>
  <c r="L80"/>
  <c r="L101"/>
  <c r="L123"/>
  <c r="D30"/>
  <c r="D26" s="1"/>
  <c r="D90"/>
  <c r="D115"/>
  <c r="D81"/>
  <c r="D102"/>
  <c r="D128"/>
  <c r="D35"/>
  <c r="D32" s="1"/>
  <c r="N66" i="3"/>
  <c r="N65" s="1"/>
  <c r="N63"/>
  <c r="D66"/>
  <c r="D111" i="7"/>
  <c r="K111"/>
  <c r="J111"/>
  <c r="I111"/>
  <c r="H111"/>
  <c r="G111"/>
  <c r="F111"/>
  <c r="D109"/>
  <c r="K109"/>
  <c r="J109"/>
  <c r="I109"/>
  <c r="H109"/>
  <c r="G109"/>
  <c r="F109"/>
  <c r="D106"/>
  <c r="N106"/>
  <c r="K106"/>
  <c r="J106"/>
  <c r="I106"/>
  <c r="H106"/>
  <c r="G106"/>
  <c r="F106"/>
  <c r="N103"/>
  <c r="N102" s="1"/>
  <c r="K103"/>
  <c r="J103"/>
  <c r="I103"/>
  <c r="H103"/>
  <c r="F103"/>
  <c r="G102"/>
  <c r="K45"/>
  <c r="L133" i="9"/>
  <c r="K133"/>
  <c r="J133"/>
  <c r="I133"/>
  <c r="H133"/>
  <c r="G133"/>
  <c r="F133"/>
  <c r="N128"/>
  <c r="N124"/>
  <c r="F120"/>
  <c r="G120"/>
  <c r="H120"/>
  <c r="I120"/>
  <c r="F111"/>
  <c r="G111"/>
  <c r="H111"/>
  <c r="I111"/>
  <c r="J111"/>
  <c r="K111"/>
  <c r="L111"/>
  <c r="N117"/>
  <c r="N115"/>
  <c r="N106"/>
  <c r="N102"/>
  <c r="F64" i="13"/>
  <c r="F58"/>
  <c r="G200" i="6"/>
  <c r="I203"/>
  <c r="H203"/>
  <c r="G204"/>
  <c r="M204" s="1"/>
  <c r="G207"/>
  <c r="I210"/>
  <c r="H210"/>
  <c r="G211"/>
  <c r="H337" i="2"/>
  <c r="H410"/>
  <c r="D410" s="1"/>
  <c r="M416"/>
  <c r="M411"/>
  <c r="I418"/>
  <c r="I417" s="1"/>
  <c r="I645" s="1"/>
  <c r="G337"/>
  <c r="F298"/>
  <c r="F296"/>
  <c r="F293"/>
  <c r="F290"/>
  <c r="G309"/>
  <c r="F68" i="9"/>
  <c r="G68"/>
  <c r="H68"/>
  <c r="I236"/>
  <c r="J236"/>
  <c r="K236"/>
  <c r="L236"/>
  <c r="E236"/>
  <c r="F236"/>
  <c r="G236"/>
  <c r="H236"/>
  <c r="D236"/>
  <c r="N248"/>
  <c r="N247" s="1"/>
  <c r="L248"/>
  <c r="K248"/>
  <c r="J248"/>
  <c r="I248"/>
  <c r="H248"/>
  <c r="G248"/>
  <c r="F248"/>
  <c r="D248"/>
  <c r="L247"/>
  <c r="K247"/>
  <c r="J247"/>
  <c r="I247"/>
  <c r="H247"/>
  <c r="G247"/>
  <c r="F247"/>
  <c r="D247"/>
  <c r="N63"/>
  <c r="N65"/>
  <c r="D203" i="2"/>
  <c r="D51" s="1"/>
  <c r="D250"/>
  <c r="G250"/>
  <c r="F250"/>
  <c r="D248"/>
  <c r="G248"/>
  <c r="F248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04" i="8"/>
  <c r="N103" s="1"/>
  <c r="N102" s="1"/>
  <c r="K77"/>
  <c r="L77"/>
  <c r="D81"/>
  <c r="E91"/>
  <c r="B79" i="1" s="1"/>
  <c r="J79" s="1"/>
  <c r="E90" i="8"/>
  <c r="B81" i="1" s="1"/>
  <c r="F90" i="8"/>
  <c r="G90"/>
  <c r="H90"/>
  <c r="H87" s="1"/>
  <c r="H86" s="1"/>
  <c r="I90"/>
  <c r="J90"/>
  <c r="K90"/>
  <c r="K87" s="1"/>
  <c r="K86" s="1"/>
  <c r="L90"/>
  <c r="E84"/>
  <c r="F84"/>
  <c r="G84"/>
  <c r="D72" i="1" s="1"/>
  <c r="H84" i="8"/>
  <c r="E72" i="1" s="1"/>
  <c r="I84" i="8"/>
  <c r="F72" i="1" s="1"/>
  <c r="J84" i="8"/>
  <c r="K84"/>
  <c r="H72" i="1" s="1"/>
  <c r="H125" s="1"/>
  <c r="H191" s="1"/>
  <c r="L84" i="8"/>
  <c r="I72" i="1" s="1"/>
  <c r="F87" i="8"/>
  <c r="F86" s="1"/>
  <c r="J87"/>
  <c r="J86" s="1"/>
  <c r="D84"/>
  <c r="F98"/>
  <c r="F97" s="1"/>
  <c r="C103" i="1" s="1"/>
  <c r="G98" i="8"/>
  <c r="G97" s="1"/>
  <c r="D103" i="1" s="1"/>
  <c r="H98" i="8"/>
  <c r="H97" s="1"/>
  <c r="E103" i="1" s="1"/>
  <c r="I98" i="8"/>
  <c r="I97" s="1"/>
  <c r="F103" i="1" s="1"/>
  <c r="J98" i="8"/>
  <c r="J97" s="1"/>
  <c r="G103" i="1" s="1"/>
  <c r="K98" i="8"/>
  <c r="K97" s="1"/>
  <c r="H103" i="1" s="1"/>
  <c r="L98" i="8"/>
  <c r="L97" s="1"/>
  <c r="I103" i="1" s="1"/>
  <c r="F94" i="8"/>
  <c r="F93" s="1"/>
  <c r="F78" s="1"/>
  <c r="F76" s="1"/>
  <c r="G94"/>
  <c r="G93" s="1"/>
  <c r="G78" s="1"/>
  <c r="H94"/>
  <c r="H93" s="1"/>
  <c r="H78" s="1"/>
  <c r="H76" s="1"/>
  <c r="I94"/>
  <c r="I93" s="1"/>
  <c r="I78" s="1"/>
  <c r="I76" s="1"/>
  <c r="J94"/>
  <c r="J93" s="1"/>
  <c r="J78" s="1"/>
  <c r="J76" s="1"/>
  <c r="K94"/>
  <c r="K93" s="1"/>
  <c r="K78" s="1"/>
  <c r="L94"/>
  <c r="L93" s="1"/>
  <c r="L78" s="1"/>
  <c r="D90"/>
  <c r="L81"/>
  <c r="L80" s="1"/>
  <c r="L79" s="1"/>
  <c r="H81"/>
  <c r="J81"/>
  <c r="J80" s="1"/>
  <c r="J79" s="1"/>
  <c r="F81"/>
  <c r="E81"/>
  <c r="K81"/>
  <c r="I81"/>
  <c r="I80" s="1"/>
  <c r="I79" s="1"/>
  <c r="G81"/>
  <c r="C72" i="1"/>
  <c r="G72"/>
  <c r="N44" i="4"/>
  <c r="N43" s="1"/>
  <c r="J25" i="3"/>
  <c r="J24" s="1"/>
  <c r="F40"/>
  <c r="F37" s="1"/>
  <c r="H40"/>
  <c r="J40"/>
  <c r="G70"/>
  <c r="F65"/>
  <c r="G62"/>
  <c r="G65"/>
  <c r="B152" i="1"/>
  <c r="B167"/>
  <c r="N28" i="3"/>
  <c r="N416" i="2"/>
  <c r="N411"/>
  <c r="D234" i="6"/>
  <c r="D258"/>
  <c r="D257" s="1"/>
  <c r="D229"/>
  <c r="D28"/>
  <c r="D67" i="13"/>
  <c r="P31"/>
  <c r="D44" i="4"/>
  <c r="D43" s="1"/>
  <c r="D74" i="3"/>
  <c r="D629" i="2"/>
  <c r="D628" s="1"/>
  <c r="D330"/>
  <c r="D296"/>
  <c r="N49" i="4"/>
  <c r="N48" s="1"/>
  <c r="N28" i="13"/>
  <c r="N81" i="9"/>
  <c r="N260" i="6"/>
  <c r="N258" s="1"/>
  <c r="N257" s="1"/>
  <c r="N73"/>
  <c r="N28"/>
  <c r="N60" i="5"/>
  <c r="F15"/>
  <c r="N12"/>
  <c r="N89" i="3"/>
  <c r="N629" i="2"/>
  <c r="N628" s="1"/>
  <c r="N610"/>
  <c r="N606"/>
  <c r="N605" s="1"/>
  <c r="N604" s="1"/>
  <c r="N599"/>
  <c r="N598"/>
  <c r="N591"/>
  <c r="N566"/>
  <c r="N565" s="1"/>
  <c r="N564" s="1"/>
  <c r="N294"/>
  <c r="N292"/>
  <c r="N319"/>
  <c r="N206"/>
  <c r="N81"/>
  <c r="F28" i="6"/>
  <c r="G28"/>
  <c r="H28"/>
  <c r="I28"/>
  <c r="J28"/>
  <c r="K28"/>
  <c r="H140"/>
  <c r="D58" i="3"/>
  <c r="F550" i="2"/>
  <c r="F549" s="1"/>
  <c r="N37"/>
  <c r="N382"/>
  <c r="N380"/>
  <c r="F115"/>
  <c r="F114" s="1"/>
  <c r="N149"/>
  <c r="D621"/>
  <c r="D620" s="1"/>
  <c r="D36" i="13"/>
  <c r="J30" i="6"/>
  <c r="K30"/>
  <c r="J36"/>
  <c r="J35" s="1"/>
  <c r="K36"/>
  <c r="K35" s="1"/>
  <c r="I31" i="10" s="1"/>
  <c r="L36" i="6"/>
  <c r="L35" s="1"/>
  <c r="J31" i="10" s="1"/>
  <c r="F177" i="6"/>
  <c r="F184"/>
  <c r="H243"/>
  <c r="G81" i="1"/>
  <c r="H81"/>
  <c r="F250" i="6"/>
  <c r="F249" s="1"/>
  <c r="F82" i="3"/>
  <c r="F77"/>
  <c r="F74"/>
  <c r="H70"/>
  <c r="I70"/>
  <c r="I67" s="1"/>
  <c r="G24" i="10" s="1"/>
  <c r="H65" i="3"/>
  <c r="I65"/>
  <c r="H62"/>
  <c r="I62"/>
  <c r="J51" i="7"/>
  <c r="K51"/>
  <c r="J49"/>
  <c r="K49"/>
  <c r="J46"/>
  <c r="K46"/>
  <c r="K43"/>
  <c r="J43"/>
  <c r="G30"/>
  <c r="G29" s="1"/>
  <c r="G234" i="6"/>
  <c r="F234"/>
  <c r="F232"/>
  <c r="G232"/>
  <c r="N229"/>
  <c r="G229"/>
  <c r="F229"/>
  <c r="G227"/>
  <c r="N227" s="1"/>
  <c r="F227"/>
  <c r="M49" i="8"/>
  <c r="M18" s="1"/>
  <c r="M47"/>
  <c r="M14" s="1"/>
  <c r="L106" i="3"/>
  <c r="K106"/>
  <c r="J106"/>
  <c r="I106"/>
  <c r="H106"/>
  <c r="G106"/>
  <c r="F106"/>
  <c r="L104"/>
  <c r="K104"/>
  <c r="J104"/>
  <c r="I104"/>
  <c r="H104"/>
  <c r="G104"/>
  <c r="F104"/>
  <c r="N101"/>
  <c r="L101"/>
  <c r="K101"/>
  <c r="J101"/>
  <c r="I101"/>
  <c r="H101"/>
  <c r="G101"/>
  <c r="F101"/>
  <c r="L98"/>
  <c r="K98"/>
  <c r="J98"/>
  <c r="I98"/>
  <c r="H98"/>
  <c r="G98"/>
  <c r="F98"/>
  <c r="F55" i="2"/>
  <c r="F54" s="1"/>
  <c r="F69"/>
  <c r="F68" s="1"/>
  <c r="F81"/>
  <c r="F80" s="1"/>
  <c r="F93"/>
  <c r="F92" s="1"/>
  <c r="F105"/>
  <c r="F104" s="1"/>
  <c r="N173"/>
  <c r="N169" s="1"/>
  <c r="N185"/>
  <c r="N182"/>
  <c r="G83" i="9"/>
  <c r="L98"/>
  <c r="L95" s="1"/>
  <c r="K98"/>
  <c r="K95" s="1"/>
  <c r="J98"/>
  <c r="J95" s="1"/>
  <c r="I98"/>
  <c r="I95" s="1"/>
  <c r="H98"/>
  <c r="H95" s="1"/>
  <c r="G98"/>
  <c r="F98"/>
  <c r="N93"/>
  <c r="L86"/>
  <c r="L85" s="1"/>
  <c r="K86"/>
  <c r="K85" s="1"/>
  <c r="J86"/>
  <c r="J85" s="1"/>
  <c r="I86"/>
  <c r="H86"/>
  <c r="F86"/>
  <c r="N83"/>
  <c r="N80" s="1"/>
  <c r="N513" i="2"/>
  <c r="F526"/>
  <c r="F525" s="1"/>
  <c r="H312"/>
  <c r="H309"/>
  <c r="I309"/>
  <c r="I312"/>
  <c r="H302"/>
  <c r="H306"/>
  <c r="I306"/>
  <c r="I302"/>
  <c r="N304"/>
  <c r="I628"/>
  <c r="H628"/>
  <c r="G628"/>
  <c r="F628"/>
  <c r="G620"/>
  <c r="H620"/>
  <c r="I620"/>
  <c r="N620"/>
  <c r="F620"/>
  <c r="I534"/>
  <c r="I533" s="1"/>
  <c r="N534"/>
  <c r="N533" s="1"/>
  <c r="N590"/>
  <c r="I59" i="13"/>
  <c r="H59"/>
  <c r="G59"/>
  <c r="I65"/>
  <c r="H65"/>
  <c r="G65"/>
  <c r="I64"/>
  <c r="H64"/>
  <c r="G64"/>
  <c r="I58"/>
  <c r="H58"/>
  <c r="F66" i="5"/>
  <c r="F65" s="1"/>
  <c r="F69"/>
  <c r="F36"/>
  <c r="F34"/>
  <c r="C71" i="1"/>
  <c r="K23" i="13"/>
  <c r="L23"/>
  <c r="L21" s="1"/>
  <c r="J17"/>
  <c r="J15" s="1"/>
  <c r="K17"/>
  <c r="L17"/>
  <c r="L15" s="1"/>
  <c r="F13"/>
  <c r="G13"/>
  <c r="H13"/>
  <c r="I13"/>
  <c r="J13"/>
  <c r="K13"/>
  <c r="L13"/>
  <c r="J14"/>
  <c r="K14"/>
  <c r="L14"/>
  <c r="F40"/>
  <c r="G40"/>
  <c r="H40"/>
  <c r="I40"/>
  <c r="J40"/>
  <c r="F35"/>
  <c r="G35"/>
  <c r="H35"/>
  <c r="I35"/>
  <c r="F37"/>
  <c r="G37"/>
  <c r="H37"/>
  <c r="I37"/>
  <c r="G31"/>
  <c r="H31"/>
  <c r="I31"/>
  <c r="F31"/>
  <c r="F28"/>
  <c r="G28"/>
  <c r="H28"/>
  <c r="F26"/>
  <c r="G26"/>
  <c r="H26"/>
  <c r="H47" i="9"/>
  <c r="G47"/>
  <c r="H27"/>
  <c r="I34" i="13"/>
  <c r="H30"/>
  <c r="F30"/>
  <c r="H34"/>
  <c r="J39"/>
  <c r="H39"/>
  <c r="F39"/>
  <c r="I39"/>
  <c r="N74" i="9"/>
  <c r="F130" i="2"/>
  <c r="D53" i="3"/>
  <c r="D52"/>
  <c r="D47"/>
  <c r="G51"/>
  <c r="G16" s="1"/>
  <c r="H51"/>
  <c r="H16" s="1"/>
  <c r="D48"/>
  <c r="F46"/>
  <c r="G46"/>
  <c r="H46"/>
  <c r="G57"/>
  <c r="H57"/>
  <c r="F55"/>
  <c r="G55"/>
  <c r="H55"/>
  <c r="G36" i="8"/>
  <c r="H36"/>
  <c r="G34"/>
  <c r="H34"/>
  <c r="H41"/>
  <c r="H39"/>
  <c r="H38" s="1"/>
  <c r="G42"/>
  <c r="D40"/>
  <c r="D25" s="1"/>
  <c r="F244" i="9"/>
  <c r="F243" s="1"/>
  <c r="F232" s="1"/>
  <c r="G244"/>
  <c r="G243" s="1"/>
  <c r="H244"/>
  <c r="H243" s="1"/>
  <c r="H232" s="1"/>
  <c r="H231" s="1"/>
  <c r="F408" i="2"/>
  <c r="H25" i="3"/>
  <c r="J508" i="2"/>
  <c r="K508"/>
  <c r="L508"/>
  <c r="I580"/>
  <c r="I579" s="1"/>
  <c r="I652" s="1"/>
  <c r="I502"/>
  <c r="I501" s="1"/>
  <c r="I500" s="1"/>
  <c r="H572"/>
  <c r="H571" s="1"/>
  <c r="H534"/>
  <c r="H533" s="1"/>
  <c r="D618"/>
  <c r="D617" s="1"/>
  <c r="D616" s="1"/>
  <c r="F617"/>
  <c r="F616" s="1"/>
  <c r="N609"/>
  <c r="N608" s="1"/>
  <c r="L335"/>
  <c r="F330"/>
  <c r="F25" s="1"/>
  <c r="C37" i="1" s="1"/>
  <c r="G330" i="2"/>
  <c r="H330"/>
  <c r="I330"/>
  <c r="J330"/>
  <c r="K330"/>
  <c r="L330"/>
  <c r="K329"/>
  <c r="L329"/>
  <c r="G202"/>
  <c r="F202"/>
  <c r="D201"/>
  <c r="D200" s="1"/>
  <c r="N197"/>
  <c r="G197"/>
  <c r="F197"/>
  <c r="D196"/>
  <c r="N194"/>
  <c r="G194"/>
  <c r="F194"/>
  <c r="G190"/>
  <c r="G187" s="1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403"/>
  <c r="H403"/>
  <c r="G403"/>
  <c r="F403"/>
  <c r="I402"/>
  <c r="N400"/>
  <c r="H400"/>
  <c r="G400"/>
  <c r="F400"/>
  <c r="N398"/>
  <c r="N397" s="1"/>
  <c r="H398"/>
  <c r="G398"/>
  <c r="F398"/>
  <c r="I394"/>
  <c r="G394"/>
  <c r="H394"/>
  <c r="G391"/>
  <c r="H391"/>
  <c r="G389"/>
  <c r="G388" s="1"/>
  <c r="H389"/>
  <c r="F394"/>
  <c r="N391"/>
  <c r="F391"/>
  <c r="N389"/>
  <c r="F389"/>
  <c r="G385"/>
  <c r="F385"/>
  <c r="D382"/>
  <c r="F382"/>
  <c r="F380"/>
  <c r="G376"/>
  <c r="G375" s="1"/>
  <c r="F376"/>
  <c r="F375" s="1"/>
  <c r="N373"/>
  <c r="F373"/>
  <c r="N371"/>
  <c r="F371"/>
  <c r="N617"/>
  <c r="N616" s="1"/>
  <c r="F175"/>
  <c r="G617"/>
  <c r="G616" s="1"/>
  <c r="G157"/>
  <c r="D194"/>
  <c r="G359"/>
  <c r="G358" s="1"/>
  <c r="G367"/>
  <c r="G364" s="1"/>
  <c r="N362"/>
  <c r="N359"/>
  <c r="G355"/>
  <c r="G354" s="1"/>
  <c r="F352"/>
  <c r="F350"/>
  <c r="D365"/>
  <c r="D335"/>
  <c r="D334" s="1"/>
  <c r="I54" i="8"/>
  <c r="J54"/>
  <c r="K54"/>
  <c r="L54"/>
  <c r="I51"/>
  <c r="I50" s="1"/>
  <c r="J51"/>
  <c r="J50" s="1"/>
  <c r="K51"/>
  <c r="L51"/>
  <c r="L50" s="1"/>
  <c r="I48"/>
  <c r="J48"/>
  <c r="K48"/>
  <c r="L48"/>
  <c r="I45"/>
  <c r="I44" s="1"/>
  <c r="I9" s="1"/>
  <c r="J45"/>
  <c r="K45"/>
  <c r="K44" s="1"/>
  <c r="K9" s="1"/>
  <c r="L45"/>
  <c r="J44"/>
  <c r="J9" s="1"/>
  <c r="K50"/>
  <c r="K115" s="1"/>
  <c r="K117" s="1"/>
  <c r="D207" i="6"/>
  <c r="D206" s="1"/>
  <c r="F17" i="5"/>
  <c r="F16" s="1"/>
  <c r="G17"/>
  <c r="G16" s="1"/>
  <c r="H17"/>
  <c r="I17"/>
  <c r="I16" s="1"/>
  <c r="J17"/>
  <c r="J16" s="1"/>
  <c r="K17"/>
  <c r="K16" s="1"/>
  <c r="L17"/>
  <c r="L16" s="1"/>
  <c r="F20"/>
  <c r="F19" s="1"/>
  <c r="F18" s="1"/>
  <c r="G20"/>
  <c r="G19" s="1"/>
  <c r="G18" s="1"/>
  <c r="H20"/>
  <c r="H19" s="1"/>
  <c r="H18" s="1"/>
  <c r="I20"/>
  <c r="I19" s="1"/>
  <c r="I18" s="1"/>
  <c r="J20"/>
  <c r="K20"/>
  <c r="K19" s="1"/>
  <c r="K18" s="1"/>
  <c r="L20"/>
  <c r="L19" s="1"/>
  <c r="L18" s="1"/>
  <c r="L12" i="13"/>
  <c r="L20"/>
  <c r="L19" s="1"/>
  <c r="H19"/>
  <c r="J19"/>
  <c r="K19"/>
  <c r="J9"/>
  <c r="K9"/>
  <c r="K8" s="1"/>
  <c r="L9"/>
  <c r="J67"/>
  <c r="J69"/>
  <c r="F67"/>
  <c r="G67"/>
  <c r="H67"/>
  <c r="I67"/>
  <c r="F69"/>
  <c r="G69"/>
  <c r="H69"/>
  <c r="I69"/>
  <c r="I19"/>
  <c r="G19"/>
  <c r="F140" i="6"/>
  <c r="F297"/>
  <c r="I191"/>
  <c r="I190" s="1"/>
  <c r="I189" s="1"/>
  <c r="H191"/>
  <c r="H144" s="1"/>
  <c r="H299" s="1"/>
  <c r="G191"/>
  <c r="G190" s="1"/>
  <c r="G189" s="1"/>
  <c r="I195"/>
  <c r="I297" s="1"/>
  <c r="H195"/>
  <c r="H297" s="1"/>
  <c r="G195"/>
  <c r="D66" i="5"/>
  <c r="D65" s="1"/>
  <c r="D69"/>
  <c r="D68" s="1"/>
  <c r="N66"/>
  <c r="N65" s="1"/>
  <c r="H408" i="2"/>
  <c r="H329" s="1"/>
  <c r="G408"/>
  <c r="G214" i="6"/>
  <c r="N306" i="2"/>
  <c r="N302"/>
  <c r="N293"/>
  <c r="N290"/>
  <c r="E298" i="6"/>
  <c r="E301" s="1"/>
  <c r="K297"/>
  <c r="K296"/>
  <c r="J297"/>
  <c r="J296"/>
  <c r="H296"/>
  <c r="G296"/>
  <c r="F296"/>
  <c r="G223"/>
  <c r="F221"/>
  <c r="G218"/>
  <c r="F218"/>
  <c r="G418" i="2"/>
  <c r="G417" s="1"/>
  <c r="G645" s="1"/>
  <c r="H418"/>
  <c r="F418"/>
  <c r="F417" s="1"/>
  <c r="F645" s="1"/>
  <c r="F312"/>
  <c r="G312"/>
  <c r="F306"/>
  <c r="G306"/>
  <c r="F309"/>
  <c r="F308" s="1"/>
  <c r="F302"/>
  <c r="G302"/>
  <c r="D291"/>
  <c r="D37" s="1"/>
  <c r="G281"/>
  <c r="G278"/>
  <c r="D180" i="6"/>
  <c r="G198"/>
  <c r="H198"/>
  <c r="F198"/>
  <c r="I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F153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7"/>
  <c r="D145" s="1"/>
  <c r="D173"/>
  <c r="D172"/>
  <c r="F179"/>
  <c r="G179"/>
  <c r="H179"/>
  <c r="I179"/>
  <c r="J179"/>
  <c r="K179"/>
  <c r="L179"/>
  <c r="F182"/>
  <c r="F181" s="1"/>
  <c r="G182"/>
  <c r="G181" s="1"/>
  <c r="H182"/>
  <c r="H181" s="1"/>
  <c r="I182"/>
  <c r="J182"/>
  <c r="J181" s="1"/>
  <c r="K182"/>
  <c r="L182"/>
  <c r="L181" s="1"/>
  <c r="D184"/>
  <c r="D153" s="1"/>
  <c r="F187"/>
  <c r="G187"/>
  <c r="H187"/>
  <c r="I187"/>
  <c r="J187"/>
  <c r="K187"/>
  <c r="L187"/>
  <c r="D188"/>
  <c r="M188" s="1"/>
  <c r="N188"/>
  <c r="F190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H202"/>
  <c r="H201" s="1"/>
  <c r="J202"/>
  <c r="J201" s="1"/>
  <c r="J197" s="1"/>
  <c r="K202"/>
  <c r="K201" s="1"/>
  <c r="L202"/>
  <c r="L201" s="1"/>
  <c r="L197" s="1"/>
  <c r="F209"/>
  <c r="F208" s="1"/>
  <c r="F205" s="1"/>
  <c r="H209"/>
  <c r="H208" s="1"/>
  <c r="H205" s="1"/>
  <c r="J209"/>
  <c r="J208" s="1"/>
  <c r="K209"/>
  <c r="K208" s="1"/>
  <c r="L209"/>
  <c r="L208" s="1"/>
  <c r="F189"/>
  <c r="J77" i="9"/>
  <c r="N59" i="5"/>
  <c r="N58" s="1"/>
  <c r="L83" i="13"/>
  <c r="K83"/>
  <c r="J83"/>
  <c r="H95"/>
  <c r="H94" s="1"/>
  <c r="H84" s="1"/>
  <c r="H83" s="1"/>
  <c r="G95"/>
  <c r="G94" s="1"/>
  <c r="G84" s="1"/>
  <c r="F95"/>
  <c r="F94" s="1"/>
  <c r="F84" s="1"/>
  <c r="N95"/>
  <c r="N94" s="1"/>
  <c r="Q97" s="1"/>
  <c r="I92"/>
  <c r="I91" s="1"/>
  <c r="I90" s="1"/>
  <c r="H92"/>
  <c r="H91" s="1"/>
  <c r="H90" s="1"/>
  <c r="G92"/>
  <c r="F92"/>
  <c r="F91" s="1"/>
  <c r="F90" s="1"/>
  <c r="D92"/>
  <c r="D91" s="1"/>
  <c r="D90" s="1"/>
  <c r="G91"/>
  <c r="G90" s="1"/>
  <c r="I89"/>
  <c r="H89"/>
  <c r="G89"/>
  <c r="F89"/>
  <c r="D89"/>
  <c r="I83"/>
  <c r="D95"/>
  <c r="D94" s="1"/>
  <c r="D84" s="1"/>
  <c r="D83" s="1"/>
  <c r="G34" i="5"/>
  <c r="H34"/>
  <c r="G36"/>
  <c r="H36"/>
  <c r="F39"/>
  <c r="G39"/>
  <c r="G33"/>
  <c r="H33"/>
  <c r="L494" i="2"/>
  <c r="L493" s="1"/>
  <c r="K494"/>
  <c r="K493" s="1"/>
  <c r="J494"/>
  <c r="J493" s="1"/>
  <c r="L491"/>
  <c r="K491"/>
  <c r="J491"/>
  <c r="L489"/>
  <c r="K489"/>
  <c r="J489"/>
  <c r="J501"/>
  <c r="J500" s="1"/>
  <c r="L501"/>
  <c r="L500" s="1"/>
  <c r="K501"/>
  <c r="K500" s="1"/>
  <c r="L254" i="6"/>
  <c r="L253" s="1"/>
  <c r="K254"/>
  <c r="K253" s="1"/>
  <c r="J254"/>
  <c r="J253" s="1"/>
  <c r="L262"/>
  <c r="L261" s="1"/>
  <c r="L241" i="9"/>
  <c r="K262" i="6"/>
  <c r="K261" s="1"/>
  <c r="J262"/>
  <c r="J261" s="1"/>
  <c r="J241" i="9"/>
  <c r="L258" i="6"/>
  <c r="L257" s="1"/>
  <c r="K258"/>
  <c r="J258"/>
  <c r="J257" s="1"/>
  <c r="K257"/>
  <c r="J49" i="4"/>
  <c r="J48" s="1"/>
  <c r="K49"/>
  <c r="K48" s="1"/>
  <c r="L49"/>
  <c r="L48" s="1"/>
  <c r="I49"/>
  <c r="I48" s="1"/>
  <c r="H49"/>
  <c r="H48" s="1"/>
  <c r="G49"/>
  <c r="G48" s="1"/>
  <c r="F49"/>
  <c r="F48" s="1"/>
  <c r="L39"/>
  <c r="L38" s="1"/>
  <c r="K39"/>
  <c r="K38" s="1"/>
  <c r="J39"/>
  <c r="J38" s="1"/>
  <c r="L31"/>
  <c r="L30" s="1"/>
  <c r="K31"/>
  <c r="K30" s="1"/>
  <c r="J31"/>
  <c r="J30" s="1"/>
  <c r="P541" i="2"/>
  <c r="J497"/>
  <c r="K497"/>
  <c r="D546"/>
  <c r="D545" s="1"/>
  <c r="L497"/>
  <c r="J34" i="5"/>
  <c r="K34"/>
  <c r="L34"/>
  <c r="J36"/>
  <c r="K36"/>
  <c r="L36"/>
  <c r="J41"/>
  <c r="J38" s="1"/>
  <c r="K41"/>
  <c r="K38" s="1"/>
  <c r="L41"/>
  <c r="L38" s="1"/>
  <c r="J45"/>
  <c r="K45"/>
  <c r="L45"/>
  <c r="J48"/>
  <c r="J47" s="1"/>
  <c r="H41" i="10" s="1"/>
  <c r="K48" i="5"/>
  <c r="K47" s="1"/>
  <c r="I41" i="10" s="1"/>
  <c r="L48" i="5"/>
  <c r="L47" s="1"/>
  <c r="J52"/>
  <c r="J51" s="1"/>
  <c r="K52"/>
  <c r="K51" s="1"/>
  <c r="L52"/>
  <c r="L51" s="1"/>
  <c r="J55"/>
  <c r="K55"/>
  <c r="L55"/>
  <c r="J75"/>
  <c r="J73" s="1"/>
  <c r="K75"/>
  <c r="K73" s="1"/>
  <c r="L75"/>
  <c r="L73" s="1"/>
  <c r="J81"/>
  <c r="K81"/>
  <c r="L81"/>
  <c r="J77"/>
  <c r="K77"/>
  <c r="L77"/>
  <c r="L76" s="1"/>
  <c r="J87"/>
  <c r="J83" s="1"/>
  <c r="K87"/>
  <c r="K83" s="1"/>
  <c r="L87"/>
  <c r="L83" s="1"/>
  <c r="J99"/>
  <c r="K99"/>
  <c r="L99"/>
  <c r="J105"/>
  <c r="K105"/>
  <c r="L105"/>
  <c r="J112"/>
  <c r="J111" s="1"/>
  <c r="K112"/>
  <c r="K111" s="1"/>
  <c r="L112"/>
  <c r="L111" s="1"/>
  <c r="J59"/>
  <c r="K59"/>
  <c r="L59"/>
  <c r="J62"/>
  <c r="J61" s="1"/>
  <c r="J58" s="1"/>
  <c r="K62"/>
  <c r="K61" s="1"/>
  <c r="L62"/>
  <c r="L61" s="1"/>
  <c r="I62"/>
  <c r="H62"/>
  <c r="G62"/>
  <c r="F62"/>
  <c r="I61"/>
  <c r="H61"/>
  <c r="G61"/>
  <c r="I59"/>
  <c r="H59"/>
  <c r="G59"/>
  <c r="G58" s="1"/>
  <c r="F59"/>
  <c r="F58"/>
  <c r="F75"/>
  <c r="F73" s="1"/>
  <c r="G75"/>
  <c r="H75"/>
  <c r="H73" s="1"/>
  <c r="I75"/>
  <c r="I73" s="1"/>
  <c r="N72" i="9"/>
  <c r="I241"/>
  <c r="I240" s="1"/>
  <c r="I239" s="1"/>
  <c r="K241"/>
  <c r="K240" s="1"/>
  <c r="K239" s="1"/>
  <c r="H241"/>
  <c r="H240" s="1"/>
  <c r="H239" s="1"/>
  <c r="J243"/>
  <c r="J232" s="1"/>
  <c r="K243"/>
  <c r="K233" s="1"/>
  <c r="L243"/>
  <c r="L232" s="1"/>
  <c r="K77"/>
  <c r="L77"/>
  <c r="J76"/>
  <c r="G68" i="3"/>
  <c r="G67" s="1"/>
  <c r="E24" i="10" s="1"/>
  <c r="F68" i="3"/>
  <c r="D68"/>
  <c r="D80"/>
  <c r="D77"/>
  <c r="N77"/>
  <c r="N74"/>
  <c r="L331" i="2"/>
  <c r="K336"/>
  <c r="K333" s="1"/>
  <c r="I29" i="10" s="1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E81"/>
  <c r="C152"/>
  <c r="D152"/>
  <c r="E152"/>
  <c r="F152"/>
  <c r="B164"/>
  <c r="B165" s="1"/>
  <c r="C164"/>
  <c r="D164"/>
  <c r="E164"/>
  <c r="F164"/>
  <c r="J164"/>
  <c r="C167"/>
  <c r="D167"/>
  <c r="E167"/>
  <c r="F167"/>
  <c r="B180"/>
  <c r="C180"/>
  <c r="D180"/>
  <c r="E180"/>
  <c r="F180"/>
  <c r="J180"/>
  <c r="D165"/>
  <c r="J152"/>
  <c r="J167"/>
  <c r="L135" i="6"/>
  <c r="L134" s="1"/>
  <c r="K135"/>
  <c r="K134" s="1"/>
  <c r="J135"/>
  <c r="J134" s="1"/>
  <c r="K120"/>
  <c r="L116"/>
  <c r="L115" s="1"/>
  <c r="K116"/>
  <c r="K115" s="1"/>
  <c r="K268" s="1"/>
  <c r="J8" i="13"/>
  <c r="K15"/>
  <c r="J21"/>
  <c r="J18" s="1"/>
  <c r="K21"/>
  <c r="K18" s="1"/>
  <c r="K107" s="1"/>
  <c r="K88" s="1"/>
  <c r="K87" s="1"/>
  <c r="K86" s="1"/>
  <c r="L8"/>
  <c r="J237" i="9"/>
  <c r="G66" i="1" s="1"/>
  <c r="K237" i="9"/>
  <c r="H66" i="1" s="1"/>
  <c r="L237" i="9"/>
  <c r="I66" i="1" s="1"/>
  <c r="J238" i="9"/>
  <c r="J235" s="1"/>
  <c r="J234" s="1"/>
  <c r="K238"/>
  <c r="K235" s="1"/>
  <c r="K234" s="1"/>
  <c r="L238"/>
  <c r="L235" s="1"/>
  <c r="L234" s="1"/>
  <c r="J15" i="7"/>
  <c r="J10" s="1"/>
  <c r="K15"/>
  <c r="L15"/>
  <c r="L10" s="1"/>
  <c r="J21"/>
  <c r="J17" s="1"/>
  <c r="K21"/>
  <c r="K17" s="1"/>
  <c r="L21"/>
  <c r="L10" i="4"/>
  <c r="G123" i="1"/>
  <c r="G185" s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44" i="4"/>
  <c r="J43" s="1"/>
  <c r="K44"/>
  <c r="K43" s="1"/>
  <c r="L44"/>
  <c r="L43" s="1"/>
  <c r="J15" i="5"/>
  <c r="J14" s="1"/>
  <c r="K15"/>
  <c r="K14" s="1"/>
  <c r="L15"/>
  <c r="L14" s="1"/>
  <c r="H74" i="1"/>
  <c r="H73" s="1"/>
  <c r="J19" i="5"/>
  <c r="J18" s="1"/>
  <c r="J10" i="4"/>
  <c r="K10"/>
  <c r="L17" i="7"/>
  <c r="J94" i="3"/>
  <c r="K94"/>
  <c r="L94"/>
  <c r="J92"/>
  <c r="K92"/>
  <c r="L92"/>
  <c r="J89"/>
  <c r="K89"/>
  <c r="L89"/>
  <c r="J86"/>
  <c r="K86"/>
  <c r="L86"/>
  <c r="I27" i="1"/>
  <c r="I30"/>
  <c r="I130" s="1"/>
  <c r="I192" s="1"/>
  <c r="I36"/>
  <c r="I35"/>
  <c r="I136" s="1"/>
  <c r="I198" s="1"/>
  <c r="I44"/>
  <c r="I142" s="1"/>
  <c r="I204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K328" i="2"/>
  <c r="J331"/>
  <c r="K331"/>
  <c r="J336"/>
  <c r="L336"/>
  <c r="L333" s="1"/>
  <c r="J29" i="10" s="1"/>
  <c r="J438" i="2"/>
  <c r="K438"/>
  <c r="L438"/>
  <c r="J439"/>
  <c r="J14" s="1"/>
  <c r="K439"/>
  <c r="K14" s="1"/>
  <c r="L439"/>
  <c r="J440"/>
  <c r="K440"/>
  <c r="K16" s="1"/>
  <c r="L440"/>
  <c r="J442"/>
  <c r="J20" s="1"/>
  <c r="K442"/>
  <c r="L442"/>
  <c r="J443"/>
  <c r="J21" s="1"/>
  <c r="G28" i="1" s="1"/>
  <c r="G131" s="1"/>
  <c r="G193" s="1"/>
  <c r="K443" i="2"/>
  <c r="K21" s="1"/>
  <c r="H28" i="1" s="1"/>
  <c r="H131" s="1"/>
  <c r="H193" s="1"/>
  <c r="L443" i="2"/>
  <c r="L21" s="1"/>
  <c r="J446"/>
  <c r="J24" s="1"/>
  <c r="G34" i="1" s="1"/>
  <c r="K446" i="2"/>
  <c r="K24" s="1"/>
  <c r="H34" i="1" s="1"/>
  <c r="L446" i="2"/>
  <c r="J447"/>
  <c r="K447"/>
  <c r="L447"/>
  <c r="L26" s="1"/>
  <c r="J449"/>
  <c r="K449"/>
  <c r="L449"/>
  <c r="J450"/>
  <c r="J33" s="1"/>
  <c r="G43" i="1" s="1"/>
  <c r="G146" s="1"/>
  <c r="G208" s="1"/>
  <c r="K450" i="2"/>
  <c r="K33" s="1"/>
  <c r="H43" i="1" s="1"/>
  <c r="H146" s="1"/>
  <c r="H208" s="1"/>
  <c r="L450" i="2"/>
  <c r="L33" s="1"/>
  <c r="I43" i="1" s="1"/>
  <c r="I146" s="1"/>
  <c r="I208" s="1"/>
  <c r="J481" i="2"/>
  <c r="J480" s="1"/>
  <c r="K481"/>
  <c r="K480" s="1"/>
  <c r="L481"/>
  <c r="J483"/>
  <c r="K483"/>
  <c r="L483"/>
  <c r="J486"/>
  <c r="J485" s="1"/>
  <c r="J484" s="1"/>
  <c r="K486"/>
  <c r="K485" s="1"/>
  <c r="K484" s="1"/>
  <c r="L486"/>
  <c r="L485" s="1"/>
  <c r="L484" s="1"/>
  <c r="L17"/>
  <c r="I24" i="1" s="1"/>
  <c r="I129" s="1"/>
  <c r="I190" s="1"/>
  <c r="L27" i="2"/>
  <c r="I39" i="1" s="1"/>
  <c r="I143" s="1"/>
  <c r="I205" s="1"/>
  <c r="L30" i="2"/>
  <c r="J17"/>
  <c r="G24" i="1" s="1"/>
  <c r="G129" s="1"/>
  <c r="G190" s="1"/>
  <c r="K17" i="2"/>
  <c r="H24" i="1" s="1"/>
  <c r="H129" s="1"/>
  <c r="H190" s="1"/>
  <c r="J25" i="2"/>
  <c r="G37" i="1" s="1"/>
  <c r="K25" i="2"/>
  <c r="H37" i="1" s="1"/>
  <c r="J27" i="2"/>
  <c r="G39" i="1" s="1"/>
  <c r="G143" s="1"/>
  <c r="G205" s="1"/>
  <c r="J28" i="2"/>
  <c r="G40" i="1" s="1"/>
  <c r="G144" s="1"/>
  <c r="G206" s="1"/>
  <c r="K28" i="2"/>
  <c r="H40" i="1" s="1"/>
  <c r="H144" s="1"/>
  <c r="H206" s="1"/>
  <c r="J30" i="2"/>
  <c r="K32"/>
  <c r="L28"/>
  <c r="I40" i="1" s="1"/>
  <c r="I144" s="1"/>
  <c r="I206" s="1"/>
  <c r="D483" i="2"/>
  <c r="D482" s="1"/>
  <c r="D439"/>
  <c r="J333"/>
  <c r="H29" i="10" s="1"/>
  <c r="K15" i="2"/>
  <c r="H21" i="1" s="1"/>
  <c r="L20" i="2"/>
  <c r="G92" i="3"/>
  <c r="H92"/>
  <c r="I92"/>
  <c r="G94"/>
  <c r="H94"/>
  <c r="I94"/>
  <c r="G89"/>
  <c r="H89"/>
  <c r="I89"/>
  <c r="G86"/>
  <c r="G85" s="1"/>
  <c r="H86"/>
  <c r="I86"/>
  <c r="N120" i="6"/>
  <c r="N102"/>
  <c r="I135"/>
  <c r="I134" s="1"/>
  <c r="H135"/>
  <c r="H134" s="1"/>
  <c r="G135"/>
  <c r="G134" s="1"/>
  <c r="F135"/>
  <c r="F134" s="1"/>
  <c r="I116"/>
  <c r="I115" s="1"/>
  <c r="G116"/>
  <c r="G115" s="1"/>
  <c r="Q106" s="1"/>
  <c r="G10" i="4"/>
  <c r="N44" i="13"/>
  <c r="N47"/>
  <c r="N46" s="1"/>
  <c r="N26"/>
  <c r="N96" i="8"/>
  <c r="N94" s="1"/>
  <c r="N93" s="1"/>
  <c r="N85"/>
  <c r="N46" i="7"/>
  <c r="N58"/>
  <c r="N70"/>
  <c r="N82"/>
  <c r="N94"/>
  <c r="N91"/>
  <c r="N90" s="1"/>
  <c r="N81"/>
  <c r="N79" s="1"/>
  <c r="N78" s="1"/>
  <c r="N68"/>
  <c r="N67" s="1"/>
  <c r="N66" s="1"/>
  <c r="N15"/>
  <c r="N86" i="6"/>
  <c r="N84"/>
  <c r="N64"/>
  <c r="N459" i="2"/>
  <c r="N613"/>
  <c r="N612" s="1"/>
  <c r="N559"/>
  <c r="N558"/>
  <c r="N557" s="1"/>
  <c r="N556" s="1"/>
  <c r="N550"/>
  <c r="N549" s="1"/>
  <c r="N544"/>
  <c r="N543"/>
  <c r="N538"/>
  <c r="N537" s="1"/>
  <c r="N526"/>
  <c r="N525" s="1"/>
  <c r="N492"/>
  <c r="N491" s="1"/>
  <c r="N490"/>
  <c r="N489" s="1"/>
  <c r="N474"/>
  <c r="N473" s="1"/>
  <c r="N472"/>
  <c r="N471" s="1"/>
  <c r="N458"/>
  <c r="N454"/>
  <c r="N456"/>
  <c r="N455"/>
  <c r="N352"/>
  <c r="N343"/>
  <c r="N342" s="1"/>
  <c r="N341"/>
  <c r="N340" s="1"/>
  <c r="N281"/>
  <c r="N278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30" i="6"/>
  <c r="N55" i="2"/>
  <c r="L152" i="1"/>
  <c r="N252" i="9"/>
  <c r="N251" s="1"/>
  <c r="N30"/>
  <c r="N26" s="1"/>
  <c r="N112" i="5"/>
  <c r="N111" s="1"/>
  <c r="N52"/>
  <c r="N51" s="1"/>
  <c r="N46"/>
  <c r="N45" s="1"/>
  <c r="N44" s="1"/>
  <c r="N36"/>
  <c r="N102"/>
  <c r="N99"/>
  <c r="N98" s="1"/>
  <c r="N92"/>
  <c r="N91" s="1"/>
  <c r="N90" s="1"/>
  <c r="N74"/>
  <c r="N34"/>
  <c r="N36" i="3"/>
  <c r="N30"/>
  <c r="C70" i="1"/>
  <c r="N244" i="9"/>
  <c r="N243" s="1"/>
  <c r="N25" i="7"/>
  <c r="N24" s="1"/>
  <c r="G39" i="8"/>
  <c r="G38" s="1"/>
  <c r="F10" i="4"/>
  <c r="I77" i="9"/>
  <c r="H77"/>
  <c r="G77"/>
  <c r="F77"/>
  <c r="I76"/>
  <c r="F76"/>
  <c r="F355" i="2"/>
  <c r="D440"/>
  <c r="D16" s="1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81" i="2"/>
  <c r="F286"/>
  <c r="F278"/>
  <c r="H45" i="8"/>
  <c r="H48"/>
  <c r="H51"/>
  <c r="H54"/>
  <c r="N46"/>
  <c r="N13" s="1"/>
  <c r="N12" s="1"/>
  <c r="F46"/>
  <c r="F13" s="1"/>
  <c r="N48"/>
  <c r="F154" i="2"/>
  <c r="F149"/>
  <c r="F146"/>
  <c r="D153"/>
  <c r="D148"/>
  <c r="F134"/>
  <c r="F138"/>
  <c r="F141"/>
  <c r="D142"/>
  <c r="D50" s="1"/>
  <c r="D139"/>
  <c r="D46" s="1"/>
  <c r="F122"/>
  <c r="F125"/>
  <c r="D118"/>
  <c r="D117"/>
  <c r="D39" s="1"/>
  <c r="D55" i="5"/>
  <c r="D54" s="1"/>
  <c r="I55"/>
  <c r="I54" s="1"/>
  <c r="H55"/>
  <c r="H54" s="1"/>
  <c r="G55"/>
  <c r="G54" s="1"/>
  <c r="F55"/>
  <c r="F54" s="1"/>
  <c r="D52"/>
  <c r="D51" s="1"/>
  <c r="I52"/>
  <c r="H52"/>
  <c r="G52"/>
  <c r="F52"/>
  <c r="F51" s="1"/>
  <c r="E237" i="9"/>
  <c r="F237"/>
  <c r="G237"/>
  <c r="H237"/>
  <c r="E66" i="1" s="1"/>
  <c r="I237" i="9"/>
  <c r="F66" i="1" s="1"/>
  <c r="I243" i="9"/>
  <c r="I232" s="1"/>
  <c r="I252"/>
  <c r="I251" s="1"/>
  <c r="H252"/>
  <c r="H251" s="1"/>
  <c r="G252"/>
  <c r="G251" s="1"/>
  <c r="I255"/>
  <c r="I254" s="1"/>
  <c r="H255"/>
  <c r="H254" s="1"/>
  <c r="G255"/>
  <c r="D38" i="3"/>
  <c r="D446" i="2"/>
  <c r="D24" s="1"/>
  <c r="F580"/>
  <c r="F579" s="1"/>
  <c r="F652" s="1"/>
  <c r="G580"/>
  <c r="G579" s="1"/>
  <c r="G652" s="1"/>
  <c r="I63" i="7"/>
  <c r="I61"/>
  <c r="I58"/>
  <c r="I55"/>
  <c r="H63"/>
  <c r="H61"/>
  <c r="H58"/>
  <c r="H55"/>
  <c r="I75"/>
  <c r="I73"/>
  <c r="I70"/>
  <c r="I67"/>
  <c r="H75"/>
  <c r="H73"/>
  <c r="H70"/>
  <c r="H67"/>
  <c r="I99"/>
  <c r="I97"/>
  <c r="I94"/>
  <c r="I91"/>
  <c r="H99"/>
  <c r="H97"/>
  <c r="H94"/>
  <c r="H91"/>
  <c r="I87"/>
  <c r="I85"/>
  <c r="I82"/>
  <c r="I79"/>
  <c r="H87"/>
  <c r="H85"/>
  <c r="H82"/>
  <c r="H79"/>
  <c r="I46"/>
  <c r="I43"/>
  <c r="H46"/>
  <c r="H43"/>
  <c r="I51"/>
  <c r="I49"/>
  <c r="H51"/>
  <c r="H49"/>
  <c r="H25"/>
  <c r="H24" s="1"/>
  <c r="I25"/>
  <c r="I24" s="1"/>
  <c r="C67" i="1"/>
  <c r="F15" i="7"/>
  <c r="G15"/>
  <c r="G10" s="1"/>
  <c r="H15"/>
  <c r="I15"/>
  <c r="D80" i="1"/>
  <c r="D140" s="1"/>
  <c r="D202" s="1"/>
  <c r="F21" i="7"/>
  <c r="G21"/>
  <c r="G17" s="1"/>
  <c r="H21"/>
  <c r="H17" s="1"/>
  <c r="I21"/>
  <c r="I17" s="1"/>
  <c r="E27" i="1"/>
  <c r="F27"/>
  <c r="E198"/>
  <c r="F136"/>
  <c r="F198" s="1"/>
  <c r="F74"/>
  <c r="F73" s="1"/>
  <c r="C74"/>
  <c r="I10" i="7"/>
  <c r="G21" i="13"/>
  <c r="G18" s="1"/>
  <c r="I21"/>
  <c r="I18" s="1"/>
  <c r="F21"/>
  <c r="H21"/>
  <c r="H18" s="1"/>
  <c r="E80" i="5"/>
  <c r="D15"/>
  <c r="D14" s="1"/>
  <c r="E23"/>
  <c r="N24"/>
  <c r="N23" s="1"/>
  <c r="N26"/>
  <c r="N25" s="1"/>
  <c r="H15"/>
  <c r="H14" s="1"/>
  <c r="I15"/>
  <c r="I14" s="1"/>
  <c r="H16"/>
  <c r="I30"/>
  <c r="H30"/>
  <c r="I28"/>
  <c r="H28"/>
  <c r="I27"/>
  <c r="H27"/>
  <c r="I25"/>
  <c r="H25"/>
  <c r="I23"/>
  <c r="I22" s="1"/>
  <c r="H23"/>
  <c r="H22" s="1"/>
  <c r="I34"/>
  <c r="I36"/>
  <c r="H41"/>
  <c r="H38" s="1"/>
  <c r="I41"/>
  <c r="I38" s="1"/>
  <c r="H45"/>
  <c r="I45"/>
  <c r="H48"/>
  <c r="H47" s="1"/>
  <c r="I48"/>
  <c r="I47" s="1"/>
  <c r="H79"/>
  <c r="I79"/>
  <c r="H81"/>
  <c r="I81"/>
  <c r="H87"/>
  <c r="I87"/>
  <c r="H84"/>
  <c r="I84"/>
  <c r="H83"/>
  <c r="I83"/>
  <c r="I105"/>
  <c r="H105"/>
  <c r="I99"/>
  <c r="H99"/>
  <c r="I112"/>
  <c r="H112"/>
  <c r="I111"/>
  <c r="H111"/>
  <c r="I238" i="9"/>
  <c r="I235" s="1"/>
  <c r="I234" s="1"/>
  <c r="H238"/>
  <c r="G238"/>
  <c r="H35"/>
  <c r="G35"/>
  <c r="F35"/>
  <c r="F32" s="1"/>
  <c r="E30" i="5"/>
  <c r="E27" s="1"/>
  <c r="C41" i="10" s="1"/>
  <c r="E25" i="5"/>
  <c r="E22" s="1"/>
  <c r="C40" i="10" s="1"/>
  <c r="F39" i="4"/>
  <c r="G39"/>
  <c r="H39"/>
  <c r="I39"/>
  <c r="F38"/>
  <c r="G38"/>
  <c r="H38"/>
  <c r="I38"/>
  <c r="F31"/>
  <c r="G31"/>
  <c r="H31"/>
  <c r="I31"/>
  <c r="F30"/>
  <c r="G30"/>
  <c r="H30"/>
  <c r="I30"/>
  <c r="H44"/>
  <c r="H43" s="1"/>
  <c r="I44"/>
  <c r="I43" s="1"/>
  <c r="E83" i="1"/>
  <c r="E82" s="1"/>
  <c r="F83"/>
  <c r="F82" s="1"/>
  <c r="C78"/>
  <c r="C77"/>
  <c r="D77"/>
  <c r="E77"/>
  <c r="F77"/>
  <c r="C69"/>
  <c r="D69"/>
  <c r="E69"/>
  <c r="D70"/>
  <c r="E70"/>
  <c r="F70"/>
  <c r="I10" i="4"/>
  <c r="N49" i="3"/>
  <c r="H613" i="2"/>
  <c r="H612" s="1"/>
  <c r="I613"/>
  <c r="I612" s="1"/>
  <c r="I328"/>
  <c r="I336"/>
  <c r="I333" s="1"/>
  <c r="I576"/>
  <c r="I575" s="1"/>
  <c r="H576"/>
  <c r="H575" s="1"/>
  <c r="I538"/>
  <c r="I537" s="1"/>
  <c r="H538"/>
  <c r="H537" s="1"/>
  <c r="F69" i="1"/>
  <c r="I491" i="2"/>
  <c r="I489"/>
  <c r="H491"/>
  <c r="H489"/>
  <c r="I494"/>
  <c r="I493" s="1"/>
  <c r="H494"/>
  <c r="H493" s="1"/>
  <c r="I486"/>
  <c r="I485" s="1"/>
  <c r="I484" s="1"/>
  <c r="I483"/>
  <c r="I482" s="1"/>
  <c r="I481"/>
  <c r="I480" s="1"/>
  <c r="H486"/>
  <c r="H485" s="1"/>
  <c r="H484" s="1"/>
  <c r="H483"/>
  <c r="H481"/>
  <c r="H480" s="1"/>
  <c r="G486"/>
  <c r="G485" s="1"/>
  <c r="G484" s="1"/>
  <c r="G483"/>
  <c r="G482" s="1"/>
  <c r="G481"/>
  <c r="G480" s="1"/>
  <c r="I465"/>
  <c r="I461"/>
  <c r="I457"/>
  <c r="I453"/>
  <c r="H465"/>
  <c r="H461"/>
  <c r="H457"/>
  <c r="H453"/>
  <c r="G465"/>
  <c r="G461"/>
  <c r="G457"/>
  <c r="G453"/>
  <c r="F465"/>
  <c r="F461"/>
  <c r="F457"/>
  <c r="F453"/>
  <c r="I443"/>
  <c r="I21" s="1"/>
  <c r="F28" i="1" s="1"/>
  <c r="F131" s="1"/>
  <c r="F193" s="1"/>
  <c r="I442" i="2"/>
  <c r="I440"/>
  <c r="I16" s="1"/>
  <c r="I439"/>
  <c r="I14" s="1"/>
  <c r="I438"/>
  <c r="I13" s="1"/>
  <c r="H443"/>
  <c r="H21" s="1"/>
  <c r="E28" i="1" s="1"/>
  <c r="E131" s="1"/>
  <c r="E193" s="1"/>
  <c r="H442" i="2"/>
  <c r="H20" s="1"/>
  <c r="H440"/>
  <c r="H439"/>
  <c r="H14" s="1"/>
  <c r="H438"/>
  <c r="I450"/>
  <c r="I449"/>
  <c r="I32" s="1"/>
  <c r="I447"/>
  <c r="I26" s="1"/>
  <c r="I446"/>
  <c r="I24" s="1"/>
  <c r="F34" i="1" s="1"/>
  <c r="H450" i="2"/>
  <c r="H449"/>
  <c r="H447"/>
  <c r="H446"/>
  <c r="H24" s="1"/>
  <c r="E34" i="1" s="1"/>
  <c r="I331" i="2"/>
  <c r="H17"/>
  <c r="E24" i="1" s="1"/>
  <c r="E129" s="1"/>
  <c r="E190" s="1"/>
  <c r="I17" i="2"/>
  <c r="F24" i="1" s="1"/>
  <c r="F129" s="1"/>
  <c r="F190" s="1"/>
  <c r="I25" i="2"/>
  <c r="F37" i="1" s="1"/>
  <c r="H27" i="2"/>
  <c r="E39" i="1" s="1"/>
  <c r="E143" s="1"/>
  <c r="E205" s="1"/>
  <c r="I27" i="2"/>
  <c r="F39" i="1" s="1"/>
  <c r="F143" s="1"/>
  <c r="F205" s="1"/>
  <c r="H28" i="2"/>
  <c r="E40" i="1" s="1"/>
  <c r="E144" s="1"/>
  <c r="E206" s="1"/>
  <c r="I28" i="2"/>
  <c r="F40" i="1" s="1"/>
  <c r="F144" s="1"/>
  <c r="F206" s="1"/>
  <c r="H30" i="2"/>
  <c r="I30"/>
  <c r="D461"/>
  <c r="E446"/>
  <c r="E24" s="1"/>
  <c r="I15"/>
  <c r="F21" i="1" s="1"/>
  <c r="E78"/>
  <c r="F78"/>
  <c r="H482" i="2"/>
  <c r="E439"/>
  <c r="E483"/>
  <c r="E491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H242"/>
  <c r="H241" s="1"/>
  <c r="H240"/>
  <c r="I240"/>
  <c r="H91"/>
  <c r="I91"/>
  <c r="H89"/>
  <c r="H88" s="1"/>
  <c r="I89"/>
  <c r="I88" s="1"/>
  <c r="H86"/>
  <c r="I86"/>
  <c r="H84"/>
  <c r="I84"/>
  <c r="I80"/>
  <c r="H80"/>
  <c r="I78"/>
  <c r="H78"/>
  <c r="I75"/>
  <c r="H75"/>
  <c r="I73"/>
  <c r="H73"/>
  <c r="I72"/>
  <c r="H72"/>
  <c r="I61"/>
  <c r="I69"/>
  <c r="H69"/>
  <c r="G69"/>
  <c r="F69"/>
  <c r="I67"/>
  <c r="H67"/>
  <c r="G67"/>
  <c r="F67"/>
  <c r="I66"/>
  <c r="H66"/>
  <c r="G66"/>
  <c r="F66"/>
  <c r="I64"/>
  <c r="H64"/>
  <c r="G64"/>
  <c r="F64"/>
  <c r="H61"/>
  <c r="G61"/>
  <c r="I36"/>
  <c r="I35" s="1"/>
  <c r="H36"/>
  <c r="H35" s="1"/>
  <c r="G36"/>
  <c r="G35" s="1"/>
  <c r="F36"/>
  <c r="F35" s="1"/>
  <c r="I30"/>
  <c r="H30"/>
  <c r="G30"/>
  <c r="F30"/>
  <c r="I27"/>
  <c r="I254"/>
  <c r="I253" s="1"/>
  <c r="I239" s="1"/>
  <c r="H254"/>
  <c r="H253" s="1"/>
  <c r="H239" s="1"/>
  <c r="G243"/>
  <c r="M255"/>
  <c r="M254" s="1"/>
  <c r="M253" s="1"/>
  <c r="F47" i="9"/>
  <c r="G91" i="6"/>
  <c r="G86"/>
  <c r="G89"/>
  <c r="G84"/>
  <c r="D80"/>
  <c r="F80"/>
  <c r="G80"/>
  <c r="F78"/>
  <c r="G78"/>
  <c r="G77" s="1"/>
  <c r="D75"/>
  <c r="F75"/>
  <c r="G75"/>
  <c r="F73"/>
  <c r="G73"/>
  <c r="D17" i="5"/>
  <c r="G67" i="7"/>
  <c r="F67"/>
  <c r="F44" i="4"/>
  <c r="F43" s="1"/>
  <c r="G44"/>
  <c r="G43" s="1"/>
  <c r="D10" i="13"/>
  <c r="D40"/>
  <c r="D39" s="1"/>
  <c r="D35"/>
  <c r="D28"/>
  <c r="D31"/>
  <c r="D30" s="1"/>
  <c r="F238" i="9"/>
  <c r="D98" i="8"/>
  <c r="D97" s="1"/>
  <c r="E85"/>
  <c r="M85" s="1"/>
  <c r="F54"/>
  <c r="F51"/>
  <c r="F48"/>
  <c r="F45"/>
  <c r="F41"/>
  <c r="F39"/>
  <c r="F38" s="1"/>
  <c r="F34"/>
  <c r="B30" i="1"/>
  <c r="D136"/>
  <c r="D198" s="1"/>
  <c r="C136"/>
  <c r="C198" s="1"/>
  <c r="D27"/>
  <c r="C27"/>
  <c r="G99" i="7"/>
  <c r="F99"/>
  <c r="G97"/>
  <c r="G96" s="1"/>
  <c r="F97"/>
  <c r="G94"/>
  <c r="F94"/>
  <c r="G91"/>
  <c r="G90" s="1"/>
  <c r="F91"/>
  <c r="G87"/>
  <c r="F87"/>
  <c r="G85"/>
  <c r="G84" s="1"/>
  <c r="F85"/>
  <c r="G82"/>
  <c r="F82"/>
  <c r="G79"/>
  <c r="F79"/>
  <c r="G75"/>
  <c r="F75"/>
  <c r="G73"/>
  <c r="G72" s="1"/>
  <c r="F73"/>
  <c r="G70"/>
  <c r="F70"/>
  <c r="G63"/>
  <c r="F63"/>
  <c r="G61"/>
  <c r="F61"/>
  <c r="G58"/>
  <c r="F58"/>
  <c r="G55"/>
  <c r="F55"/>
  <c r="G51"/>
  <c r="F51"/>
  <c r="G49"/>
  <c r="F49"/>
  <c r="G46"/>
  <c r="F46"/>
  <c r="G43"/>
  <c r="F43"/>
  <c r="F42" s="1"/>
  <c r="G25"/>
  <c r="G24" s="1"/>
  <c r="F25"/>
  <c r="F24" s="1"/>
  <c r="G254" i="6"/>
  <c r="G253" s="1"/>
  <c r="G239" s="1"/>
  <c r="F254"/>
  <c r="F253" s="1"/>
  <c r="N250"/>
  <c r="N249" s="1"/>
  <c r="G240"/>
  <c r="F240"/>
  <c r="G112" i="5"/>
  <c r="G111" s="1"/>
  <c r="F112"/>
  <c r="F111" s="1"/>
  <c r="D85"/>
  <c r="G105"/>
  <c r="F105"/>
  <c r="G99"/>
  <c r="F99"/>
  <c r="G91"/>
  <c r="F91"/>
  <c r="F90" s="1"/>
  <c r="G90"/>
  <c r="F88"/>
  <c r="C83" i="1" s="1"/>
  <c r="C82" s="1"/>
  <c r="G87" i="5"/>
  <c r="F87"/>
  <c r="F86"/>
  <c r="C80" i="1" s="1"/>
  <c r="C140" s="1"/>
  <c r="C202" s="1"/>
  <c r="F85" i="5"/>
  <c r="G84"/>
  <c r="G83" s="1"/>
  <c r="G81"/>
  <c r="F81"/>
  <c r="F80"/>
  <c r="N80" s="1"/>
  <c r="G79"/>
  <c r="F79"/>
  <c r="C68" i="1" s="1"/>
  <c r="F78" i="5"/>
  <c r="G48"/>
  <c r="G47" s="1"/>
  <c r="F48"/>
  <c r="F47" s="1"/>
  <c r="G45"/>
  <c r="F45"/>
  <c r="F44" s="1"/>
  <c r="G41"/>
  <c r="G38" s="1"/>
  <c r="F41"/>
  <c r="F38" s="1"/>
  <c r="G30"/>
  <c r="F30"/>
  <c r="G28"/>
  <c r="F28"/>
  <c r="G27"/>
  <c r="G25"/>
  <c r="F25"/>
  <c r="G23"/>
  <c r="F23"/>
  <c r="F22" s="1"/>
  <c r="G15"/>
  <c r="G14" s="1"/>
  <c r="D36" i="4"/>
  <c r="F94" i="3"/>
  <c r="F92"/>
  <c r="F89"/>
  <c r="F86"/>
  <c r="G613" i="2"/>
  <c r="G612" s="1"/>
  <c r="F613"/>
  <c r="F612" s="1"/>
  <c r="D576"/>
  <c r="D575" s="1"/>
  <c r="G576"/>
  <c r="G575" s="1"/>
  <c r="F576"/>
  <c r="F575" s="1"/>
  <c r="G572"/>
  <c r="G571" s="1"/>
  <c r="F572"/>
  <c r="F571" s="1"/>
  <c r="D561"/>
  <c r="D560" s="1"/>
  <c r="G538"/>
  <c r="G537" s="1"/>
  <c r="F538"/>
  <c r="F537" s="1"/>
  <c r="G534"/>
  <c r="G533" s="1"/>
  <c r="F534"/>
  <c r="F533" s="1"/>
  <c r="G513"/>
  <c r="F513"/>
  <c r="D78" i="1"/>
  <c r="G494" i="2"/>
  <c r="G493" s="1"/>
  <c r="F494"/>
  <c r="F493" s="1"/>
  <c r="G491"/>
  <c r="F491"/>
  <c r="G489"/>
  <c r="F489"/>
  <c r="F486"/>
  <c r="F485" s="1"/>
  <c r="F484" s="1"/>
  <c r="F483"/>
  <c r="F482" s="1"/>
  <c r="F481"/>
  <c r="F480" s="1"/>
  <c r="G450"/>
  <c r="G33" s="1"/>
  <c r="D43" i="1" s="1"/>
  <c r="F450" i="2"/>
  <c r="F33" s="1"/>
  <c r="C43" i="1" s="1"/>
  <c r="C146" s="1"/>
  <c r="C208" s="1"/>
  <c r="G449" i="2"/>
  <c r="G448" s="1"/>
  <c r="F449"/>
  <c r="F32" s="1"/>
  <c r="G447"/>
  <c r="G26" s="1"/>
  <c r="F447"/>
  <c r="G446"/>
  <c r="G24" s="1"/>
  <c r="F446"/>
  <c r="F24" s="1"/>
  <c r="G443"/>
  <c r="G21" s="1"/>
  <c r="D28" i="1" s="1"/>
  <c r="D131" s="1"/>
  <c r="D193" s="1"/>
  <c r="F443" i="2"/>
  <c r="F21" s="1"/>
  <c r="G442"/>
  <c r="F442"/>
  <c r="G440"/>
  <c r="G16" s="1"/>
  <c r="F440"/>
  <c r="G439"/>
  <c r="G14" s="1"/>
  <c r="F439"/>
  <c r="F14" s="1"/>
  <c r="G438"/>
  <c r="F438"/>
  <c r="D284"/>
  <c r="D281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D143" s="1"/>
  <c r="D205" s="1"/>
  <c r="F27" i="2"/>
  <c r="C39" i="1" s="1"/>
  <c r="C143" s="1"/>
  <c r="C205" s="1"/>
  <c r="G25" i="2"/>
  <c r="D37" i="1" s="1"/>
  <c r="F15" i="2"/>
  <c r="D306"/>
  <c r="D538"/>
  <c r="D537" s="1"/>
  <c r="D77"/>
  <c r="D286"/>
  <c r="D89"/>
  <c r="F84" i="7"/>
  <c r="N80" i="2"/>
  <c r="G15"/>
  <c r="D21" i="1" s="1"/>
  <c r="D447" i="2"/>
  <c r="F72" i="7"/>
  <c r="E75" i="5"/>
  <c r="E82"/>
  <c r="D82"/>
  <c r="D81" s="1"/>
  <c r="E112"/>
  <c r="E111" s="1"/>
  <c r="F14"/>
  <c r="E102"/>
  <c r="E86"/>
  <c r="E79"/>
  <c r="B68" i="1" s="1"/>
  <c r="E108" i="5"/>
  <c r="E88"/>
  <c r="D141" i="2"/>
  <c r="E116" i="8"/>
  <c r="D39"/>
  <c r="E110"/>
  <c r="D91"/>
  <c r="D87" s="1"/>
  <c r="D86" s="1"/>
  <c r="D27" i="4"/>
  <c r="D26"/>
  <c r="E244" i="6"/>
  <c r="E262"/>
  <c r="E261" s="1"/>
  <c r="E247"/>
  <c r="E246" s="1"/>
  <c r="E245" s="1"/>
  <c r="D49" i="3"/>
  <c r="D13" s="1"/>
  <c r="D56"/>
  <c r="D19" s="1"/>
  <c r="D586" i="2"/>
  <c r="E77"/>
  <c r="P556"/>
  <c r="D14"/>
  <c r="P470"/>
  <c r="D244" i="6"/>
  <c r="F54" i="7"/>
  <c r="G78"/>
  <c r="F60"/>
  <c r="D491" i="2"/>
  <c r="D79" i="5"/>
  <c r="F90" i="7"/>
  <c r="D94" i="8"/>
  <c r="D93" s="1"/>
  <c r="D78" s="1"/>
  <c r="D76" s="1"/>
  <c r="D85"/>
  <c r="D130" i="2"/>
  <c r="P452"/>
  <c r="B198" i="1"/>
  <c r="D311" i="2"/>
  <c r="E461"/>
  <c r="E460" s="1"/>
  <c r="E447"/>
  <c r="D316"/>
  <c r="E473"/>
  <c r="P495"/>
  <c r="E486"/>
  <c r="E494"/>
  <c r="E493" s="1"/>
  <c r="D340"/>
  <c r="D20" i="5"/>
  <c r="D19" s="1"/>
  <c r="D18" s="1"/>
  <c r="D75"/>
  <c r="D73" s="1"/>
  <c r="D49" i="7"/>
  <c r="B67" i="1"/>
  <c r="D92" i="3"/>
  <c r="B44" i="1"/>
  <c r="E85" i="5"/>
  <c r="E87"/>
  <c r="E105"/>
  <c r="E81"/>
  <c r="E99"/>
  <c r="E78"/>
  <c r="E77" s="1"/>
  <c r="D59" i="3"/>
  <c r="E475" i="2"/>
  <c r="D476"/>
  <c r="D475" s="1"/>
  <c r="E87"/>
  <c r="D305"/>
  <c r="D110"/>
  <c r="D109" s="1"/>
  <c r="E96"/>
  <c r="E89"/>
  <c r="D312"/>
  <c r="D324"/>
  <c r="E449"/>
  <c r="E457"/>
  <c r="E442"/>
  <c r="E440"/>
  <c r="E471"/>
  <c r="D247" i="6"/>
  <c r="D246" s="1"/>
  <c r="D245" s="1"/>
  <c r="D262"/>
  <c r="D261" s="1"/>
  <c r="D110" i="8"/>
  <c r="D88" i="5"/>
  <c r="D87" s="1"/>
  <c r="D34"/>
  <c r="D80"/>
  <c r="D345" i="2"/>
  <c r="D344" s="1"/>
  <c r="D471"/>
  <c r="D486"/>
  <c r="D485" s="1"/>
  <c r="D484" s="1"/>
  <c r="D41" i="5"/>
  <c r="D38" s="1"/>
  <c r="D116" s="1"/>
  <c r="D21" i="4"/>
  <c r="H10"/>
  <c r="D36" i="5"/>
  <c r="D33" s="1"/>
  <c r="D28" i="2"/>
  <c r="D87"/>
  <c r="D342"/>
  <c r="D530"/>
  <c r="D529" s="1"/>
  <c r="D653" s="1"/>
  <c r="O15" i="1"/>
  <c r="P509" i="2"/>
  <c r="D30" i="6"/>
  <c r="D27" s="1"/>
  <c r="I242"/>
  <c r="I241" s="1"/>
  <c r="K205"/>
  <c r="D84"/>
  <c r="D89"/>
  <c r="I91" i="3" l="1"/>
  <c r="C165" i="1"/>
  <c r="I58" i="5"/>
  <c r="F66" i="7"/>
  <c r="D152" i="2"/>
  <c r="D45"/>
  <c r="I66" i="13"/>
  <c r="G31" i="10" s="1"/>
  <c r="F66" i="13"/>
  <c r="G12" i="3"/>
  <c r="G11" s="1"/>
  <c r="H12"/>
  <c r="H11" s="1"/>
  <c r="I12"/>
  <c r="I11" s="1"/>
  <c r="P13"/>
  <c r="J85"/>
  <c r="I85"/>
  <c r="G91"/>
  <c r="F91"/>
  <c r="I61"/>
  <c r="M97"/>
  <c r="M9" s="1"/>
  <c r="L328" i="2"/>
  <c r="L13"/>
  <c r="H13"/>
  <c r="F84" i="5"/>
  <c r="F83" s="1"/>
  <c r="I77" i="6"/>
  <c r="G20" i="10" s="1"/>
  <c r="H83" i="6"/>
  <c r="H44" i="5"/>
  <c r="J41" i="10"/>
  <c r="E76" i="5"/>
  <c r="G22"/>
  <c r="F27"/>
  <c r="D41" i="10" s="1"/>
  <c r="G54" i="7"/>
  <c r="G83" i="6"/>
  <c r="H77"/>
  <c r="I83"/>
  <c r="I44" i="5"/>
  <c r="J13" i="2"/>
  <c r="L58" i="5"/>
  <c r="J33"/>
  <c r="K13" i="2"/>
  <c r="H33" i="8"/>
  <c r="I114" i="9"/>
  <c r="H91" i="3"/>
  <c r="K76" i="5"/>
  <c r="L8" i="9"/>
  <c r="J8"/>
  <c r="F48" i="7"/>
  <c r="G51" i="5"/>
  <c r="I51"/>
  <c r="K8" i="9"/>
  <c r="I8"/>
  <c r="F393" i="2"/>
  <c r="G393"/>
  <c r="F163"/>
  <c r="H417"/>
  <c r="H645" s="1"/>
  <c r="F488"/>
  <c r="G199"/>
  <c r="N597"/>
  <c r="N596" s="1"/>
  <c r="K327"/>
  <c r="I28" i="10" s="1"/>
  <c r="F441" i="2"/>
  <c r="G488"/>
  <c r="N358"/>
  <c r="F437"/>
  <c r="N589"/>
  <c r="N588" s="1"/>
  <c r="N388"/>
  <c r="H388"/>
  <c r="G44" i="5"/>
  <c r="E98"/>
  <c r="F448" i="2"/>
  <c r="G60" i="7"/>
  <c r="F43" i="10"/>
  <c r="I48" i="7"/>
  <c r="I42"/>
  <c r="H84"/>
  <c r="I78"/>
  <c r="I84"/>
  <c r="H90"/>
  <c r="I90"/>
  <c r="I96"/>
  <c r="H66"/>
  <c r="H72"/>
  <c r="I66"/>
  <c r="H54"/>
  <c r="I54"/>
  <c r="I60"/>
  <c r="H51" i="5"/>
  <c r="N457" i="2"/>
  <c r="G148" i="6"/>
  <c r="L205"/>
  <c r="J205"/>
  <c r="H152"/>
  <c r="G39" i="13"/>
  <c r="I56"/>
  <c r="I14" s="1"/>
  <c r="G308" i="2"/>
  <c r="L76" i="9"/>
  <c r="G80" i="8"/>
  <c r="G79" s="1"/>
  <c r="I25" i="3"/>
  <c r="F85"/>
  <c r="L85"/>
  <c r="L91"/>
  <c r="L97"/>
  <c r="L9" s="1"/>
  <c r="M85"/>
  <c r="F72" i="6"/>
  <c r="G73" i="5"/>
  <c r="N75"/>
  <c r="N73" s="1"/>
  <c r="H402" i="2"/>
  <c r="G193"/>
  <c r="L25"/>
  <c r="I37" i="1" s="1"/>
  <c r="I138" s="1"/>
  <c r="I200" s="1"/>
  <c r="L15" i="2"/>
  <c r="I21" i="1" s="1"/>
  <c r="H25" i="2"/>
  <c r="E37" i="1" s="1"/>
  <c r="E138" s="1"/>
  <c r="E200" s="1"/>
  <c r="H15" i="2"/>
  <c r="E21" i="1" s="1"/>
  <c r="E126" s="1"/>
  <c r="E187" s="1"/>
  <c r="F68" i="5"/>
  <c r="F116" s="1"/>
  <c r="F118" s="1"/>
  <c r="F119" s="1"/>
  <c r="I87" i="8"/>
  <c r="I86" s="1"/>
  <c r="F81" i="1"/>
  <c r="G87" i="8"/>
  <c r="G86" s="1"/>
  <c r="D81" i="1"/>
  <c r="D141" s="1"/>
  <c r="D203" s="1"/>
  <c r="M110" i="6"/>
  <c r="D445" i="2"/>
  <c r="E104" i="5"/>
  <c r="D138" i="2"/>
  <c r="F96" i="7"/>
  <c r="F50" i="8"/>
  <c r="F115" s="1"/>
  <c r="N79" i="5"/>
  <c r="K33"/>
  <c r="I139" i="6"/>
  <c r="D195"/>
  <c r="H194"/>
  <c r="H193" s="1"/>
  <c r="H192" s="1"/>
  <c r="J66" i="13"/>
  <c r="G33" i="8"/>
  <c r="G10" s="1"/>
  <c r="G23" i="1"/>
  <c r="K23" s="1"/>
  <c r="J12" i="13"/>
  <c r="J11" s="1"/>
  <c r="L87" i="8"/>
  <c r="L86" s="1"/>
  <c r="I81" i="1"/>
  <c r="G13" i="5"/>
  <c r="E41" i="10"/>
  <c r="F77" i="5"/>
  <c r="F76" s="1"/>
  <c r="F61"/>
  <c r="N240" i="6"/>
  <c r="G19" i="10"/>
  <c r="E43"/>
  <c r="G43"/>
  <c r="H235" i="9"/>
  <c r="H234" s="1"/>
  <c r="I33" i="5"/>
  <c r="K232" i="9"/>
  <c r="H60" i="1" s="1"/>
  <c r="K58" i="5"/>
  <c r="G232" i="9"/>
  <c r="G231" s="1"/>
  <c r="F80" i="8"/>
  <c r="F79" s="1"/>
  <c r="H80"/>
  <c r="H79" s="1"/>
  <c r="F44" i="9"/>
  <c r="I13" i="5"/>
  <c r="H44" i="9"/>
  <c r="E84" i="5"/>
  <c r="F445" i="2"/>
  <c r="G42" i="7"/>
  <c r="G44" i="9"/>
  <c r="K12" i="13"/>
  <c r="K11" s="1"/>
  <c r="I62"/>
  <c r="I17" s="1"/>
  <c r="F103" i="3"/>
  <c r="F290" i="6" s="1"/>
  <c r="H103" i="3"/>
  <c r="H252" s="1"/>
  <c r="J103"/>
  <c r="J252" s="1"/>
  <c r="J42" i="7"/>
  <c r="E165" i="1"/>
  <c r="H32" i="9"/>
  <c r="G32"/>
  <c r="H48" i="7"/>
  <c r="G48"/>
  <c r="H42"/>
  <c r="G163" i="2"/>
  <c r="G66" i="7"/>
  <c r="L165" i="1"/>
  <c r="M111" i="6"/>
  <c r="M114"/>
  <c r="M133"/>
  <c r="J76" i="5"/>
  <c r="K42" i="7"/>
  <c r="E73" i="5"/>
  <c r="M75"/>
  <c r="M73" s="1"/>
  <c r="I77"/>
  <c r="I76" s="1"/>
  <c r="F68" i="1"/>
  <c r="F123" s="1"/>
  <c r="F185" s="1"/>
  <c r="M80" i="5"/>
  <c r="L33"/>
  <c r="K71" i="1"/>
  <c r="D65" i="13"/>
  <c r="N65"/>
  <c r="M65"/>
  <c r="F145" i="6"/>
  <c r="M177"/>
  <c r="M175" s="1"/>
  <c r="M174" s="1"/>
  <c r="M170" s="1"/>
  <c r="F247" i="2"/>
  <c r="F56" i="13"/>
  <c r="M58"/>
  <c r="K9" i="7"/>
  <c r="H61" i="1" s="1"/>
  <c r="K13" i="7"/>
  <c r="M45"/>
  <c r="M9" s="1"/>
  <c r="M7" s="1"/>
  <c r="N11" i="8"/>
  <c r="M100" i="6"/>
  <c r="J106"/>
  <c r="J105" s="1"/>
  <c r="M108"/>
  <c r="J116"/>
  <c r="J115" s="1"/>
  <c r="J268" s="1"/>
  <c r="M128"/>
  <c r="N58" i="13"/>
  <c r="G77" i="5"/>
  <c r="G76" s="1"/>
  <c r="D68" i="1"/>
  <c r="D123" s="1"/>
  <c r="D185" s="1"/>
  <c r="H77" i="5"/>
  <c r="E68" i="1"/>
  <c r="E123" s="1"/>
  <c r="E185" s="1"/>
  <c r="M79" i="5"/>
  <c r="D38" i="2"/>
  <c r="L441"/>
  <c r="N13" i="13"/>
  <c r="G62"/>
  <c r="G61" s="1"/>
  <c r="N64"/>
  <c r="N59"/>
  <c r="M59"/>
  <c r="L103" i="3"/>
  <c r="L252" s="1"/>
  <c r="G76" i="8"/>
  <c r="N78"/>
  <c r="N76" s="1"/>
  <c r="N84"/>
  <c r="M84"/>
  <c r="M80" s="1"/>
  <c r="M79" s="1"/>
  <c r="M203" i="6"/>
  <c r="N200"/>
  <c r="M200"/>
  <c r="F62" i="13"/>
  <c r="D64"/>
  <c r="M64"/>
  <c r="G168" i="7"/>
  <c r="N98" i="6"/>
  <c r="M98"/>
  <c r="K106"/>
  <c r="K287" s="1"/>
  <c r="N113"/>
  <c r="M113"/>
  <c r="M240"/>
  <c r="G72"/>
  <c r="D198"/>
  <c r="F60"/>
  <c r="F19" i="10"/>
  <c r="F20"/>
  <c r="L23" i="6"/>
  <c r="L21" s="1"/>
  <c r="K143"/>
  <c r="K197"/>
  <c r="H197"/>
  <c r="M227"/>
  <c r="M226" s="1"/>
  <c r="N277" i="2"/>
  <c r="H13" i="5"/>
  <c r="N481" i="2"/>
  <c r="N480" s="1"/>
  <c r="N438"/>
  <c r="N442"/>
  <c r="I445"/>
  <c r="H441"/>
  <c r="C21" i="1"/>
  <c r="C126" s="1"/>
  <c r="C187" s="1"/>
  <c r="I11" i="5"/>
  <c r="I10" s="1"/>
  <c r="G11"/>
  <c r="G10" s="1"/>
  <c r="H50" i="3"/>
  <c r="N16"/>
  <c r="J91"/>
  <c r="I103"/>
  <c r="I252" s="1"/>
  <c r="K85"/>
  <c r="G441" i="2"/>
  <c r="M15" i="6"/>
  <c r="P15" s="1"/>
  <c r="D51" i="3"/>
  <c r="D16" s="1"/>
  <c r="G45"/>
  <c r="N89" i="13"/>
  <c r="M89"/>
  <c r="M51" i="3"/>
  <c r="M50" s="1"/>
  <c r="M198" i="6"/>
  <c r="M140"/>
  <c r="C102" i="1"/>
  <c r="F654" i="2"/>
  <c r="D102" i="1"/>
  <c r="D101" s="1"/>
  <c r="G654" i="2"/>
  <c r="F102" i="1"/>
  <c r="F101" s="1"/>
  <c r="I654" i="2"/>
  <c r="G169" i="7"/>
  <c r="H50" i="8"/>
  <c r="H115" s="1"/>
  <c r="G14" i="10"/>
  <c r="I115" i="8"/>
  <c r="I117" s="1"/>
  <c r="H116"/>
  <c r="F18" i="10"/>
  <c r="F14" i="8"/>
  <c r="D52"/>
  <c r="F23"/>
  <c r="F22" s="1"/>
  <c r="J103" i="1"/>
  <c r="F12" i="8"/>
  <c r="J14" i="10"/>
  <c r="L115" i="8"/>
  <c r="L117" s="1"/>
  <c r="H14" i="10"/>
  <c r="J115" i="8"/>
  <c r="J117" s="1"/>
  <c r="D42"/>
  <c r="G31"/>
  <c r="G28" s="1"/>
  <c r="G21" s="1"/>
  <c r="F18"/>
  <c r="F16" s="1"/>
  <c r="D55"/>
  <c r="D54" s="1"/>
  <c r="F29"/>
  <c r="F28" s="1"/>
  <c r="M408" i="2"/>
  <c r="M407" s="1"/>
  <c r="L268" i="6"/>
  <c r="H460" i="2"/>
  <c r="J448"/>
  <c r="G116" i="8"/>
  <c r="G117" s="1"/>
  <c r="E18" i="10"/>
  <c r="F116" i="8"/>
  <c r="D18" i="10"/>
  <c r="F17"/>
  <c r="E17"/>
  <c r="O17" s="1"/>
  <c r="D45" i="7"/>
  <c r="D9" s="1"/>
  <c r="K7"/>
  <c r="N45"/>
  <c r="N43" s="1"/>
  <c r="N42" s="1"/>
  <c r="H412" i="2"/>
  <c r="N408"/>
  <c r="N407" s="1"/>
  <c r="E445"/>
  <c r="G437"/>
  <c r="N443"/>
  <c r="F460"/>
  <c r="K441"/>
  <c r="K448"/>
  <c r="J445"/>
  <c r="G34" i="13"/>
  <c r="I30"/>
  <c r="K7" i="9"/>
  <c r="D176" i="2"/>
  <c r="K70" i="1"/>
  <c r="G83" i="13"/>
  <c r="N84"/>
  <c r="N83" s="1"/>
  <c r="M84"/>
  <c r="M83" s="1"/>
  <c r="E125" i="1"/>
  <c r="E191" s="1"/>
  <c r="G141"/>
  <c r="G203" s="1"/>
  <c r="K30"/>
  <c r="K130" s="1"/>
  <c r="I141"/>
  <c r="I203" s="1"/>
  <c r="K20"/>
  <c r="K72"/>
  <c r="F14" i="10"/>
  <c r="I14"/>
  <c r="H13"/>
  <c r="J8" i="8"/>
  <c r="I13" i="10"/>
  <c r="K8" i="8"/>
  <c r="G13" i="10"/>
  <c r="I8" i="8"/>
  <c r="F41" i="10"/>
  <c r="G41"/>
  <c r="K69" i="1"/>
  <c r="M244" i="6"/>
  <c r="N239"/>
  <c r="F13" i="5"/>
  <c r="E40" i="10"/>
  <c r="O40" s="1"/>
  <c r="G40"/>
  <c r="L116" i="5"/>
  <c r="L118" s="1"/>
  <c r="L119" s="1"/>
  <c r="J116"/>
  <c r="J118" s="1"/>
  <c r="F40" i="10"/>
  <c r="K116" i="5"/>
  <c r="K118" s="1"/>
  <c r="J13"/>
  <c r="M15"/>
  <c r="M14" s="1"/>
  <c r="N22"/>
  <c r="N17"/>
  <c r="N16" s="1"/>
  <c r="N15"/>
  <c r="M17"/>
  <c r="M16" s="1"/>
  <c r="M13" i="13"/>
  <c r="L18"/>
  <c r="L107" s="1"/>
  <c r="L88" s="1"/>
  <c r="F25"/>
  <c r="G235" i="9"/>
  <c r="G234" s="1"/>
  <c r="N238"/>
  <c r="C66" i="1"/>
  <c r="M237" i="9"/>
  <c r="N232"/>
  <c r="N236"/>
  <c r="F235"/>
  <c r="F234" s="1"/>
  <c r="M238"/>
  <c r="D66" i="1"/>
  <c r="L66" s="1"/>
  <c r="N237" i="9"/>
  <c r="M232"/>
  <c r="M236"/>
  <c r="K27" i="1"/>
  <c r="F44" i="8"/>
  <c r="F9" s="1"/>
  <c r="M78"/>
  <c r="D37"/>
  <c r="D20" s="1"/>
  <c r="M37"/>
  <c r="M20" s="1"/>
  <c r="M16" s="1"/>
  <c r="D49"/>
  <c r="D18" s="1"/>
  <c r="B72" i="1"/>
  <c r="N72" s="1"/>
  <c r="E87" i="8"/>
  <c r="E86" s="1"/>
  <c r="J81" i="1"/>
  <c r="F36" i="8"/>
  <c r="F22" i="1"/>
  <c r="F127" s="1"/>
  <c r="F188" s="1"/>
  <c r="M46" i="8"/>
  <c r="M13" s="1"/>
  <c r="M12" s="1"/>
  <c r="C141" i="1"/>
  <c r="C203" s="1"/>
  <c r="E141"/>
  <c r="E203" s="1"/>
  <c r="F125"/>
  <c r="F191" s="1"/>
  <c r="G41" i="8"/>
  <c r="G125" i="1"/>
  <c r="G191" s="1"/>
  <c r="M34" i="8"/>
  <c r="D47"/>
  <c r="D14" s="1"/>
  <c r="K80"/>
  <c r="K79" s="1"/>
  <c r="N80"/>
  <c r="N79" s="1"/>
  <c r="M77"/>
  <c r="F16" i="6"/>
  <c r="M141"/>
  <c r="M145"/>
  <c r="F201"/>
  <c r="F14"/>
  <c r="M139"/>
  <c r="L69" i="1"/>
  <c r="D83"/>
  <c r="D82" s="1"/>
  <c r="E74"/>
  <c r="E73" s="1"/>
  <c r="M46" i="3"/>
  <c r="M45" s="1"/>
  <c r="M16"/>
  <c r="N114" i="2"/>
  <c r="D137"/>
  <c r="I488"/>
  <c r="I9" s="1"/>
  <c r="E14"/>
  <c r="M14" s="1"/>
  <c r="M439"/>
  <c r="M40"/>
  <c r="N410"/>
  <c r="M410"/>
  <c r="M442"/>
  <c r="M440"/>
  <c r="G445"/>
  <c r="G444" s="1"/>
  <c r="N483"/>
  <c r="N482" s="1"/>
  <c r="M483"/>
  <c r="M482" s="1"/>
  <c r="I327"/>
  <c r="G28" i="10" s="1"/>
  <c r="M330" i="2"/>
  <c r="N415"/>
  <c r="M415"/>
  <c r="F17"/>
  <c r="M39"/>
  <c r="M38"/>
  <c r="L23" i="1"/>
  <c r="L71"/>
  <c r="L72"/>
  <c r="F33" i="5"/>
  <c r="D40" i="10" s="1"/>
  <c r="D55" i="3"/>
  <c r="D18"/>
  <c r="G301" i="2"/>
  <c r="H488"/>
  <c r="N38"/>
  <c r="G32"/>
  <c r="D126" i="1"/>
  <c r="D187" s="1"/>
  <c r="G17" i="2"/>
  <c r="N17" s="1"/>
  <c r="N39"/>
  <c r="L70" i="1"/>
  <c r="G169" i="2"/>
  <c r="N330"/>
  <c r="J15"/>
  <c r="N42"/>
  <c r="L32"/>
  <c r="L29" s="1"/>
  <c r="H32"/>
  <c r="D419"/>
  <c r="D337" s="1"/>
  <c r="G332"/>
  <c r="G19" s="1"/>
  <c r="N413"/>
  <c r="F11" i="5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5" i="13"/>
  <c r="I17" i="6"/>
  <c r="K17"/>
  <c r="H25" i="1" s="1"/>
  <c r="N17" i="6"/>
  <c r="N140"/>
  <c r="N139" s="1"/>
  <c r="G102"/>
  <c r="G17" s="1"/>
  <c r="D103"/>
  <c r="H102"/>
  <c r="H95" s="1"/>
  <c r="J102"/>
  <c r="D110"/>
  <c r="G106"/>
  <c r="D111"/>
  <c r="D113"/>
  <c r="F121"/>
  <c r="F17" s="1"/>
  <c r="D122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N15"/>
  <c r="N216"/>
  <c r="N214" s="1"/>
  <c r="N33" i="5"/>
  <c r="E7" i="3"/>
  <c r="N46"/>
  <c r="N51"/>
  <c r="N50" s="1"/>
  <c r="G25"/>
  <c r="N26"/>
  <c r="H54"/>
  <c r="D125" i="1"/>
  <c r="D191" s="1"/>
  <c r="L20"/>
  <c r="D130"/>
  <c r="D192" s="1"/>
  <c r="L30"/>
  <c r="L130" s="1"/>
  <c r="D31" i="10"/>
  <c r="F34" i="13"/>
  <c r="G25"/>
  <c r="G30"/>
  <c r="H25"/>
  <c r="P18" i="10"/>
  <c r="F129" i="2"/>
  <c r="D141" i="6"/>
  <c r="K102" i="7"/>
  <c r="D38" i="13"/>
  <c r="D59"/>
  <c r="D58"/>
  <c r="H66"/>
  <c r="F31" i="10" s="1"/>
  <c r="H31"/>
  <c r="L11" i="13"/>
  <c r="G17"/>
  <c r="I36" i="10"/>
  <c r="G36"/>
  <c r="E117" i="8"/>
  <c r="L44"/>
  <c r="L9" s="1"/>
  <c r="D80"/>
  <c r="D79" s="1"/>
  <c r="J36" i="1"/>
  <c r="N34" i="8"/>
  <c r="J30" i="1"/>
  <c r="J130" s="1"/>
  <c r="J192" s="1"/>
  <c r="K118" i="8"/>
  <c r="J44" i="1"/>
  <c r="J142" s="1"/>
  <c r="J204" s="1"/>
  <c r="H44" i="8"/>
  <c r="H9" s="1"/>
  <c r="N9" s="1"/>
  <c r="D46"/>
  <c r="D13" s="1"/>
  <c r="D35"/>
  <c r="D15" s="1"/>
  <c r="L27" i="1"/>
  <c r="B66"/>
  <c r="E80" i="8"/>
  <c r="E79" s="1"/>
  <c r="K76"/>
  <c r="J27" i="1"/>
  <c r="L76" i="8"/>
  <c r="J118"/>
  <c r="I101" i="1"/>
  <c r="I61"/>
  <c r="G61"/>
  <c r="E118" i="8"/>
  <c r="I102" i="7"/>
  <c r="F108"/>
  <c r="H108"/>
  <c r="J108"/>
  <c r="H96"/>
  <c r="I72"/>
  <c r="N254" i="6"/>
  <c r="N253" s="1"/>
  <c r="D255"/>
  <c r="F226"/>
  <c r="D217"/>
  <c r="G226"/>
  <c r="F175"/>
  <c r="F174" s="1"/>
  <c r="D100"/>
  <c r="D216"/>
  <c r="N218"/>
  <c r="D219"/>
  <c r="D218" s="1"/>
  <c r="C34" i="1"/>
  <c r="D222" i="6"/>
  <c r="D22" s="1"/>
  <c r="F223"/>
  <c r="D224"/>
  <c r="N77" i="5"/>
  <c r="N76" s="1"/>
  <c r="N14"/>
  <c r="N13" s="1"/>
  <c r="K13"/>
  <c r="H76"/>
  <c r="K119"/>
  <c r="J119"/>
  <c r="K44"/>
  <c r="I40" i="10" s="1"/>
  <c r="L44" i="5"/>
  <c r="J40" i="10" s="1"/>
  <c r="J44" i="5"/>
  <c r="G116"/>
  <c r="G118" s="1"/>
  <c r="G119" s="1"/>
  <c r="H116"/>
  <c r="H118" s="1"/>
  <c r="H119" s="1"/>
  <c r="I116"/>
  <c r="I118" s="1"/>
  <c r="I119" s="1"/>
  <c r="I43" i="10"/>
  <c r="L13" i="5"/>
  <c r="H58"/>
  <c r="E11"/>
  <c r="E10" s="1"/>
  <c r="J43" i="10"/>
  <c r="H43"/>
  <c r="J72" i="1"/>
  <c r="D74"/>
  <c r="D73" s="1"/>
  <c r="N31" i="4"/>
  <c r="N30" s="1"/>
  <c r="C73" i="1"/>
  <c r="N71"/>
  <c r="J71"/>
  <c r="D63" i="3"/>
  <c r="D62" s="1"/>
  <c r="F70"/>
  <c r="D71"/>
  <c r="D22" s="1"/>
  <c r="D41"/>
  <c r="D46"/>
  <c r="H85"/>
  <c r="K91"/>
  <c r="K290" i="6" s="1"/>
  <c r="G54" i="3"/>
  <c r="N54" i="2"/>
  <c r="F479"/>
  <c r="D42" i="10" s="1"/>
  <c r="F402" i="2"/>
  <c r="N453"/>
  <c r="G211"/>
  <c r="N157"/>
  <c r="E470"/>
  <c r="E86"/>
  <c r="G175"/>
  <c r="D494"/>
  <c r="D493" s="1"/>
  <c r="F436"/>
  <c r="E16"/>
  <c r="B50" i="1" s="1"/>
  <c r="E32" i="2"/>
  <c r="E482"/>
  <c r="E19"/>
  <c r="D408"/>
  <c r="D407" s="1"/>
  <c r="F337"/>
  <c r="F336" s="1"/>
  <c r="F333" s="1"/>
  <c r="D29" i="10" s="1"/>
  <c r="E485" i="2"/>
  <c r="E484" s="1"/>
  <c r="C43" i="10" s="1"/>
  <c r="E31" i="2"/>
  <c r="E26"/>
  <c r="E17"/>
  <c r="C123" i="1"/>
  <c r="C185" s="1"/>
  <c r="D573" i="2"/>
  <c r="N20" i="1"/>
  <c r="C130"/>
  <c r="C192" s="1"/>
  <c r="N30"/>
  <c r="J20"/>
  <c r="N27"/>
  <c r="H136"/>
  <c r="H198" s="1"/>
  <c r="J35"/>
  <c r="J136" s="1"/>
  <c r="J198" s="1"/>
  <c r="F143" i="6"/>
  <c r="F299"/>
  <c r="D140"/>
  <c r="E83" i="5"/>
  <c r="D78"/>
  <c r="D77" s="1"/>
  <c r="D76" s="1"/>
  <c r="D86"/>
  <c r="D84" s="1"/>
  <c r="D83" s="1"/>
  <c r="D43" i="10"/>
  <c r="P20" i="5"/>
  <c r="D16"/>
  <c r="D13" s="1"/>
  <c r="E116"/>
  <c r="E118" s="1"/>
  <c r="E119" s="1"/>
  <c r="D118"/>
  <c r="D119" s="1"/>
  <c r="D11"/>
  <c r="D10" s="1"/>
  <c r="J67" i="1"/>
  <c r="H101"/>
  <c r="N98" i="3"/>
  <c r="N97" s="1"/>
  <c r="N86"/>
  <c r="I105" i="6"/>
  <c r="F17" i="7"/>
  <c r="F10"/>
  <c r="H102"/>
  <c r="J102"/>
  <c r="F78"/>
  <c r="H78"/>
  <c r="H60"/>
  <c r="G108"/>
  <c r="I108"/>
  <c r="K108"/>
  <c r="D108"/>
  <c r="D46"/>
  <c r="D27"/>
  <c r="N55"/>
  <c r="N54" s="1"/>
  <c r="K48"/>
  <c r="F102"/>
  <c r="D103"/>
  <c r="D102" s="1"/>
  <c r="H10"/>
  <c r="J48"/>
  <c r="H445" i="2"/>
  <c r="F364"/>
  <c r="N439"/>
  <c r="F145"/>
  <c r="N92"/>
  <c r="J441"/>
  <c r="L327"/>
  <c r="J28" i="10" s="1"/>
  <c r="F38" i="1"/>
  <c r="F139" s="1"/>
  <c r="F201" s="1"/>
  <c r="D38"/>
  <c r="I268" i="6"/>
  <c r="F148"/>
  <c r="F23"/>
  <c r="D116"/>
  <c r="D115" s="1"/>
  <c r="H268"/>
  <c r="I38" i="1"/>
  <c r="I139" s="1"/>
  <c r="I201" s="1"/>
  <c r="G221" i="6"/>
  <c r="G220" s="1"/>
  <c r="G268" s="1"/>
  <c r="D34" i="1"/>
  <c r="D585" i="2"/>
  <c r="D584" s="1"/>
  <c r="D74" i="9"/>
  <c r="I233"/>
  <c r="G95"/>
  <c r="F95"/>
  <c r="H141" i="1"/>
  <c r="H203" s="1"/>
  <c r="D16" i="6"/>
  <c r="E238" i="9"/>
  <c r="E235" s="1"/>
  <c r="E234" s="1"/>
  <c r="N71"/>
  <c r="D47"/>
  <c r="D44" s="1"/>
  <c r="I60" i="1"/>
  <c r="G60"/>
  <c r="F231" i="9"/>
  <c r="D68"/>
  <c r="D67" s="1"/>
  <c r="D106"/>
  <c r="D101" s="1"/>
  <c r="D83"/>
  <c r="D80" s="1"/>
  <c r="F74"/>
  <c r="L114"/>
  <c r="J36" i="10" s="1"/>
  <c r="J114" i="9"/>
  <c r="H36" i="10" s="1"/>
  <c r="L233" i="9"/>
  <c r="L231" s="1"/>
  <c r="J233"/>
  <c r="J240"/>
  <c r="J239" s="1"/>
  <c r="L240"/>
  <c r="L239" s="1"/>
  <c r="F132"/>
  <c r="F42"/>
  <c r="F38" s="1"/>
  <c r="N42"/>
  <c r="D117"/>
  <c r="D114" s="1"/>
  <c r="D65"/>
  <c r="D42"/>
  <c r="D38" s="1"/>
  <c r="D145"/>
  <c r="F62"/>
  <c r="G67"/>
  <c r="D244"/>
  <c r="D243" s="1"/>
  <c r="D232" s="1"/>
  <c r="D231" s="1"/>
  <c r="E232"/>
  <c r="E231" s="1"/>
  <c r="N114"/>
  <c r="H101"/>
  <c r="F123"/>
  <c r="H71"/>
  <c r="G62"/>
  <c r="G42"/>
  <c r="N136"/>
  <c r="H141"/>
  <c r="N62"/>
  <c r="I71"/>
  <c r="I9" s="1"/>
  <c r="G71"/>
  <c r="J132"/>
  <c r="I85"/>
  <c r="H132"/>
  <c r="L132"/>
  <c r="H85"/>
  <c r="G76"/>
  <c r="F85"/>
  <c r="F67"/>
  <c r="H67"/>
  <c r="G132"/>
  <c r="I132"/>
  <c r="K132"/>
  <c r="D238"/>
  <c r="D235" s="1"/>
  <c r="D234" s="1"/>
  <c r="D136"/>
  <c r="G89"/>
  <c r="F114"/>
  <c r="F89"/>
  <c r="F150"/>
  <c r="H150"/>
  <c r="I145"/>
  <c r="G145"/>
  <c r="F136"/>
  <c r="G136"/>
  <c r="I150"/>
  <c r="G150"/>
  <c r="F145"/>
  <c r="H145"/>
  <c r="N145"/>
  <c r="F141"/>
  <c r="G141"/>
  <c r="H136"/>
  <c r="G499" i="2"/>
  <c r="D61" i="1" s="1"/>
  <c r="F452" i="2"/>
  <c r="G452"/>
  <c r="G277"/>
  <c r="F229"/>
  <c r="D202"/>
  <c r="D199" s="1"/>
  <c r="N542"/>
  <c r="N541" s="1"/>
  <c r="L488"/>
  <c r="L9" s="1"/>
  <c r="L8" s="1"/>
  <c r="G460"/>
  <c r="N499"/>
  <c r="N350"/>
  <c r="N349" s="1"/>
  <c r="F329"/>
  <c r="F13" s="1"/>
  <c r="N440"/>
  <c r="N301"/>
  <c r="G329"/>
  <c r="H499"/>
  <c r="E61" i="1" s="1"/>
  <c r="I499" i="2"/>
  <c r="F499"/>
  <c r="C61" i="1" s="1"/>
  <c r="G336" i="2"/>
  <c r="G333" s="1"/>
  <c r="E29" i="10" s="1"/>
  <c r="H336" i="2"/>
  <c r="H333" s="1"/>
  <c r="F29" i="10" s="1"/>
  <c r="I437" i="2"/>
  <c r="F33" i="10"/>
  <c r="G29"/>
  <c r="G33"/>
  <c r="H19" i="1"/>
  <c r="H124" s="1"/>
  <c r="H186" s="1"/>
  <c r="F19"/>
  <c r="F124" s="1"/>
  <c r="F186" s="1"/>
  <c r="D33" i="10"/>
  <c r="E33"/>
  <c r="G19" i="1"/>
  <c r="G124" s="1"/>
  <c r="G186" s="1"/>
  <c r="B74"/>
  <c r="B70"/>
  <c r="N70" s="1"/>
  <c r="D69" i="13"/>
  <c r="D23"/>
  <c r="D21" s="1"/>
  <c r="D13"/>
  <c r="D26"/>
  <c r="D25" s="1"/>
  <c r="D66"/>
  <c r="G66"/>
  <c r="E31" i="10" s="1"/>
  <c r="H62" i="13"/>
  <c r="H17" s="1"/>
  <c r="H15" s="1"/>
  <c r="G56"/>
  <c r="N43"/>
  <c r="L87"/>
  <c r="L86" s="1"/>
  <c r="I65" i="1"/>
  <c r="I55" i="13"/>
  <c r="I12"/>
  <c r="F55"/>
  <c r="H65" i="1"/>
  <c r="F83" i="13"/>
  <c r="G15"/>
  <c r="I15"/>
  <c r="I61"/>
  <c r="F61"/>
  <c r="G55"/>
  <c r="F104"/>
  <c r="F106" s="1"/>
  <c r="H104"/>
  <c r="H106" s="1"/>
  <c r="H107" s="1"/>
  <c r="H88" s="1"/>
  <c r="H87" s="1"/>
  <c r="H86" s="1"/>
  <c r="J104"/>
  <c r="J106" s="1"/>
  <c r="J107" s="1"/>
  <c r="J88" s="1"/>
  <c r="N37"/>
  <c r="D37"/>
  <c r="D34" s="1"/>
  <c r="H56"/>
  <c r="H14" s="1"/>
  <c r="E19" i="1" s="1"/>
  <c r="N35" i="13"/>
  <c r="P41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D183"/>
  <c r="E240"/>
  <c r="E288"/>
  <c r="N244"/>
  <c r="F21"/>
  <c r="H23"/>
  <c r="D210"/>
  <c r="D152" s="1"/>
  <c r="D176"/>
  <c r="D144" s="1"/>
  <c r="D297"/>
  <c r="G297"/>
  <c r="G298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F214"/>
  <c r="F213" s="1"/>
  <c r="F239"/>
  <c r="H60"/>
  <c r="G60"/>
  <c r="I60"/>
  <c r="N27"/>
  <c r="F186"/>
  <c r="G186"/>
  <c r="F178"/>
  <c r="D179"/>
  <c r="D135"/>
  <c r="D134" s="1"/>
  <c r="D223"/>
  <c r="N198"/>
  <c r="F298"/>
  <c r="N226"/>
  <c r="D232"/>
  <c r="D231" s="1"/>
  <c r="D510" i="2"/>
  <c r="H452"/>
  <c r="I498"/>
  <c r="F60" i="1" s="1"/>
  <c r="F507" i="2"/>
  <c r="F506" s="1"/>
  <c r="I507"/>
  <c r="I506" s="1"/>
  <c r="I655" s="1"/>
  <c r="H80" i="1"/>
  <c r="H140" s="1"/>
  <c r="H202" s="1"/>
  <c r="K507" i="2"/>
  <c r="K506" s="1"/>
  <c r="K655" s="1"/>
  <c r="H502"/>
  <c r="B78" i="1"/>
  <c r="J78" s="1"/>
  <c r="H498" i="2"/>
  <c r="E60" i="1" s="1"/>
  <c r="N104" i="2"/>
  <c r="G507"/>
  <c r="G506" s="1"/>
  <c r="H507"/>
  <c r="H506" s="1"/>
  <c r="I80" i="1"/>
  <c r="I140" s="1"/>
  <c r="I202" s="1"/>
  <c r="L507" i="2"/>
  <c r="L506" s="1"/>
  <c r="L655" s="1"/>
  <c r="G80" i="1"/>
  <c r="G140" s="1"/>
  <c r="G202" s="1"/>
  <c r="J507" i="2"/>
  <c r="J506" s="1"/>
  <c r="J655" s="1"/>
  <c r="G502"/>
  <c r="F206"/>
  <c r="F205" s="1"/>
  <c r="F502"/>
  <c r="B142" i="1"/>
  <c r="B204" s="1"/>
  <c r="G384" i="2"/>
  <c r="I452"/>
  <c r="I460"/>
  <c r="H174" i="6"/>
  <c r="H170" s="1"/>
  <c r="I148"/>
  <c r="H139"/>
  <c r="I186"/>
  <c r="D182"/>
  <c r="G178"/>
  <c r="K170"/>
  <c r="I170"/>
  <c r="G170"/>
  <c r="K142"/>
  <c r="J298"/>
  <c r="N61"/>
  <c r="N60" s="1"/>
  <c r="D60"/>
  <c r="D66"/>
  <c r="L143"/>
  <c r="L19" s="1"/>
  <c r="K298"/>
  <c r="L186"/>
  <c r="J186"/>
  <c r="L178"/>
  <c r="J143"/>
  <c r="L139"/>
  <c r="H298"/>
  <c r="H143"/>
  <c r="H178"/>
  <c r="D149"/>
  <c r="E299"/>
  <c r="K139"/>
  <c r="H151"/>
  <c r="H25" s="1"/>
  <c r="H24" s="1"/>
  <c r="N187"/>
  <c r="D187"/>
  <c r="M187" s="1"/>
  <c r="K181"/>
  <c r="K178" s="1"/>
  <c r="K151"/>
  <c r="K25" s="1"/>
  <c r="I181"/>
  <c r="I178" s="1"/>
  <c r="N170"/>
  <c r="L151"/>
  <c r="L25" s="1"/>
  <c r="F151"/>
  <c r="F25" s="1"/>
  <c r="I197"/>
  <c r="L170"/>
  <c r="J170"/>
  <c r="F170"/>
  <c r="H123" i="9"/>
  <c r="N123"/>
  <c r="D124"/>
  <c r="D123" s="1"/>
  <c r="G123"/>
  <c r="D104" i="13"/>
  <c r="D106" s="1"/>
  <c r="F95" i="6"/>
  <c r="D89" i="3"/>
  <c r="P89" s="1"/>
  <c r="F45"/>
  <c r="G103"/>
  <c r="G252" s="1"/>
  <c r="H61"/>
  <c r="F23" i="10" s="1"/>
  <c r="H67" i="3"/>
  <c r="F24" i="10" s="1"/>
  <c r="H37" i="3"/>
  <c r="N62"/>
  <c r="N61" s="1"/>
  <c r="F62"/>
  <c r="G40"/>
  <c r="I40"/>
  <c r="G50"/>
  <c r="F79"/>
  <c r="F252" s="1"/>
  <c r="F57"/>
  <c r="D73"/>
  <c r="D82"/>
  <c r="D79" s="1"/>
  <c r="J37"/>
  <c r="J251" s="1"/>
  <c r="D35" i="10"/>
  <c r="F26" i="3"/>
  <c r="M26" s="1"/>
  <c r="N29"/>
  <c r="F67"/>
  <c r="D70"/>
  <c r="D67" s="1"/>
  <c r="F73"/>
  <c r="G27" i="6"/>
  <c r="K27"/>
  <c r="I30" i="10" s="1"/>
  <c r="G192" i="6"/>
  <c r="J151"/>
  <c r="J25" s="1"/>
  <c r="N73" i="3"/>
  <c r="N89" i="9"/>
  <c r="D93"/>
  <c r="N129" i="2"/>
  <c r="N83" i="6"/>
  <c r="F77"/>
  <c r="J27"/>
  <c r="H30" i="10" s="1"/>
  <c r="D250" i="6"/>
  <c r="D249" s="1"/>
  <c r="D240" s="1"/>
  <c r="F243"/>
  <c r="F27"/>
  <c r="H27"/>
  <c r="G124"/>
  <c r="I288"/>
  <c r="I124"/>
  <c r="K124"/>
  <c r="K288"/>
  <c r="F124"/>
  <c r="H288"/>
  <c r="H124"/>
  <c r="J124"/>
  <c r="J288"/>
  <c r="L124"/>
  <c r="L288"/>
  <c r="F61" i="1"/>
  <c r="I238" i="6"/>
  <c r="H238"/>
  <c r="G238"/>
  <c r="N238"/>
  <c r="H97" i="3"/>
  <c r="H9" s="1"/>
  <c r="J97"/>
  <c r="J9" s="1"/>
  <c r="H45"/>
  <c r="K97"/>
  <c r="K9" s="1"/>
  <c r="G61"/>
  <c r="H34" i="10"/>
  <c r="D104" i="3"/>
  <c r="G32"/>
  <c r="G15" s="1"/>
  <c r="G14" s="1"/>
  <c r="I32"/>
  <c r="I15" s="1"/>
  <c r="I14" s="1"/>
  <c r="K103"/>
  <c r="K252" s="1"/>
  <c r="H32"/>
  <c r="H15" s="1"/>
  <c r="H14" s="1"/>
  <c r="N35"/>
  <c r="D86"/>
  <c r="D101"/>
  <c r="F31"/>
  <c r="D98"/>
  <c r="D106"/>
  <c r="N34"/>
  <c r="G97"/>
  <c r="G9" s="1"/>
  <c r="I97"/>
  <c r="I9" s="1"/>
  <c r="N45"/>
  <c r="F165" i="1"/>
  <c r="I125"/>
  <c r="I191" s="1"/>
  <c r="L287" i="6"/>
  <c r="L105"/>
  <c r="L95"/>
  <c r="F105"/>
  <c r="K105"/>
  <c r="I45" i="1"/>
  <c r="I145" s="1"/>
  <c r="I207" s="1"/>
  <c r="H45"/>
  <c r="H145" s="1"/>
  <c r="H207" s="1"/>
  <c r="F45"/>
  <c r="F145" s="1"/>
  <c r="F207" s="1"/>
  <c r="B141"/>
  <c r="B203" s="1"/>
  <c r="B130"/>
  <c r="B192" s="1"/>
  <c r="C125"/>
  <c r="C191" s="1"/>
  <c r="F141"/>
  <c r="F203" s="1"/>
  <c r="J165"/>
  <c r="D64" i="2"/>
  <c r="E64"/>
  <c r="E62"/>
  <c r="N339"/>
  <c r="J444"/>
  <c r="L448"/>
  <c r="K488"/>
  <c r="K9" s="1"/>
  <c r="K8" s="1"/>
  <c r="N315"/>
  <c r="D367"/>
  <c r="D364" s="1"/>
  <c r="N370"/>
  <c r="N193"/>
  <c r="D339"/>
  <c r="D298"/>
  <c r="D295" s="1"/>
  <c r="D450"/>
  <c r="D33" s="1"/>
  <c r="E450"/>
  <c r="E33" s="1"/>
  <c r="H33"/>
  <c r="E43" i="1" s="1"/>
  <c r="E146" s="1"/>
  <c r="E208" s="1"/>
  <c r="H448" i="2"/>
  <c r="H444" s="1"/>
  <c r="I33"/>
  <c r="F43" i="1" s="1"/>
  <c r="F146" s="1"/>
  <c r="F208" s="1"/>
  <c r="I448" i="2"/>
  <c r="I444" s="1"/>
  <c r="N488"/>
  <c r="L19"/>
  <c r="I29" i="1" s="1"/>
  <c r="I128" s="1"/>
  <c r="I189" s="1"/>
  <c r="L482" i="2"/>
  <c r="J19"/>
  <c r="J482"/>
  <c r="J479" s="1"/>
  <c r="H42" i="10" s="1"/>
  <c r="D542" i="2"/>
  <c r="D541" s="1"/>
  <c r="H393"/>
  <c r="F181"/>
  <c r="G181"/>
  <c r="D465"/>
  <c r="D460" s="1"/>
  <c r="H437"/>
  <c r="I441"/>
  <c r="I436" s="1"/>
  <c r="F354"/>
  <c r="L148" i="1"/>
  <c r="K30" i="2"/>
  <c r="K29" s="1"/>
  <c r="K27"/>
  <c r="H39" i="1" s="1"/>
  <c r="H143" s="1"/>
  <c r="H205" s="1"/>
  <c r="K19" i="2"/>
  <c r="H29" i="1" s="1"/>
  <c r="H128" s="1"/>
  <c r="H189" s="1"/>
  <c r="K482" i="2"/>
  <c r="K479" s="1"/>
  <c r="I42" i="10" s="1"/>
  <c r="L480" i="2"/>
  <c r="I18" i="1"/>
  <c r="K26" i="2"/>
  <c r="K445"/>
  <c r="K444" s="1"/>
  <c r="L24"/>
  <c r="I34" i="1" s="1"/>
  <c r="L445" i="2"/>
  <c r="L14"/>
  <c r="I19" i="1" s="1"/>
  <c r="L437" i="2"/>
  <c r="D322"/>
  <c r="D321" s="1"/>
  <c r="D389"/>
  <c r="I393"/>
  <c r="G397"/>
  <c r="F397"/>
  <c r="H397"/>
  <c r="G402"/>
  <c r="F169"/>
  <c r="D170"/>
  <c r="D72"/>
  <c r="J437"/>
  <c r="F301"/>
  <c r="F193"/>
  <c r="N572"/>
  <c r="N571" s="1"/>
  <c r="J488"/>
  <c r="N470"/>
  <c r="F349"/>
  <c r="F358"/>
  <c r="G235"/>
  <c r="D161"/>
  <c r="F157"/>
  <c r="F199"/>
  <c r="N181"/>
  <c r="N379"/>
  <c r="D211"/>
  <c r="F211"/>
  <c r="F217"/>
  <c r="F223"/>
  <c r="G241"/>
  <c r="F235"/>
  <c r="D154"/>
  <c r="E489"/>
  <c r="E488" s="1"/>
  <c r="E481"/>
  <c r="D166"/>
  <c r="D163" s="1"/>
  <c r="D178"/>
  <c r="D175" s="1"/>
  <c r="F121"/>
  <c r="D376"/>
  <c r="D375" s="1"/>
  <c r="N576"/>
  <c r="N575" s="1"/>
  <c r="H308"/>
  <c r="D182"/>
  <c r="D181" s="1"/>
  <c r="D235"/>
  <c r="E58"/>
  <c r="D69"/>
  <c r="E69"/>
  <c r="D99"/>
  <c r="E99"/>
  <c r="D122"/>
  <c r="D149"/>
  <c r="D146"/>
  <c r="F151"/>
  <c r="F137"/>
  <c r="F283"/>
  <c r="D557"/>
  <c r="D556" s="1"/>
  <c r="G479"/>
  <c r="E42" i="10" s="1"/>
  <c r="O42" s="1"/>
  <c r="N146" i="2"/>
  <c r="N145" s="1"/>
  <c r="F370"/>
  <c r="F379"/>
  <c r="F384"/>
  <c r="F388"/>
  <c r="F187"/>
  <c r="G223"/>
  <c r="G229"/>
  <c r="P488"/>
  <c r="D125"/>
  <c r="D449"/>
  <c r="D448" s="1"/>
  <c r="D444" s="1"/>
  <c r="D107"/>
  <c r="D86"/>
  <c r="D30"/>
  <c r="I28" i="1"/>
  <c r="I131" s="1"/>
  <c r="I193" s="1"/>
  <c r="F498" i="2"/>
  <c r="H479"/>
  <c r="F42" i="10" s="1"/>
  <c r="D385" i="2"/>
  <c r="D384" s="1"/>
  <c r="D190"/>
  <c r="D187" s="1"/>
  <c r="D197"/>
  <c r="D193" s="1"/>
  <c r="D283"/>
  <c r="G498"/>
  <c r="F277"/>
  <c r="D115"/>
  <c r="M41"/>
  <c r="N217"/>
  <c r="D223"/>
  <c r="D230"/>
  <c r="D229" s="1"/>
  <c r="N241"/>
  <c r="N205"/>
  <c r="G205"/>
  <c r="G217"/>
  <c r="D242"/>
  <c r="D241" s="1"/>
  <c r="F295"/>
  <c r="F126" i="1"/>
  <c r="F187" s="1"/>
  <c r="B40"/>
  <c r="D473" i="2"/>
  <c r="D470" s="1"/>
  <c r="D442"/>
  <c r="G23"/>
  <c r="D146" i="1"/>
  <c r="D208" s="1"/>
  <c r="D96" i="2"/>
  <c r="C28" i="1"/>
  <c r="N21" i="2"/>
  <c r="D278"/>
  <c r="D277" s="1"/>
  <c r="D352"/>
  <c r="D355"/>
  <c r="D354" s="1"/>
  <c r="D613"/>
  <c r="D612" s="1"/>
  <c r="I479"/>
  <c r="H497"/>
  <c r="E443"/>
  <c r="M443" s="1"/>
  <c r="D105"/>
  <c r="D514"/>
  <c r="D513" s="1"/>
  <c r="D403"/>
  <c r="D402" s="1"/>
  <c r="J436"/>
  <c r="H26"/>
  <c r="H23" s="1"/>
  <c r="D373"/>
  <c r="D391"/>
  <c r="D158"/>
  <c r="F80" i="1"/>
  <c r="F140" s="1"/>
  <c r="F202" s="1"/>
  <c r="D247" i="2"/>
  <c r="E80" i="1"/>
  <c r="E140" s="1"/>
  <c r="E202" s="1"/>
  <c r="D206" i="2"/>
  <c r="D205" s="1"/>
  <c r="H580"/>
  <c r="H579" s="1"/>
  <c r="H652" s="1"/>
  <c r="H301"/>
  <c r="D290"/>
  <c r="N229"/>
  <c r="F241"/>
  <c r="I20"/>
  <c r="G20"/>
  <c r="I19"/>
  <c r="D217"/>
  <c r="G247"/>
  <c r="I12"/>
  <c r="H19"/>
  <c r="H18" s="1"/>
  <c r="G45" i="1"/>
  <c r="G145" s="1"/>
  <c r="G207" s="1"/>
  <c r="F138"/>
  <c r="F200" s="1"/>
  <c r="C138"/>
  <c r="C200" s="1"/>
  <c r="I23" i="2"/>
  <c r="K437"/>
  <c r="K436" s="1"/>
  <c r="D138" i="1"/>
  <c r="D200" s="1"/>
  <c r="H16" i="2"/>
  <c r="D293"/>
  <c r="K20"/>
  <c r="J32"/>
  <c r="F289"/>
  <c r="L16"/>
  <c r="J16"/>
  <c r="J26"/>
  <c r="F26"/>
  <c r="N289"/>
  <c r="I308"/>
  <c r="D302"/>
  <c r="D301" s="1"/>
  <c r="F16"/>
  <c r="C22" i="1" s="1"/>
  <c r="D309" i="2"/>
  <c r="D308" s="1"/>
  <c r="I301"/>
  <c r="I10" s="1"/>
  <c r="H138" i="1"/>
  <c r="H200" s="1"/>
  <c r="I126"/>
  <c r="I187" s="1"/>
  <c r="G138"/>
  <c r="G200" s="1"/>
  <c r="H126"/>
  <c r="H187" s="1"/>
  <c r="D49" i="4"/>
  <c r="D48" s="1"/>
  <c r="N14"/>
  <c r="N13" s="1"/>
  <c r="F50" i="3"/>
  <c r="N101" i="9"/>
  <c r="G101"/>
  <c r="F101"/>
  <c r="F8" s="1"/>
  <c r="H114"/>
  <c r="G114"/>
  <c r="L110"/>
  <c r="L261" s="1"/>
  <c r="K110"/>
  <c r="K261" s="1"/>
  <c r="J110"/>
  <c r="I110"/>
  <c r="H110"/>
  <c r="G110"/>
  <c r="F110"/>
  <c r="I119"/>
  <c r="I262" s="1"/>
  <c r="H119"/>
  <c r="G119"/>
  <c r="F119"/>
  <c r="L119"/>
  <c r="L262" s="1"/>
  <c r="K119"/>
  <c r="J119"/>
  <c r="J262" s="1"/>
  <c r="K76"/>
  <c r="G85"/>
  <c r="G261" s="1"/>
  <c r="H76"/>
  <c r="F25" i="1"/>
  <c r="I287" i="6"/>
  <c r="K95"/>
  <c r="D276"/>
  <c r="F287"/>
  <c r="J290"/>
  <c r="J301" s="1"/>
  <c r="K13"/>
  <c r="K21"/>
  <c r="I21"/>
  <c r="G21"/>
  <c r="I119"/>
  <c r="D91"/>
  <c r="D88" s="1"/>
  <c r="G88"/>
  <c r="F137" i="1"/>
  <c r="B34"/>
  <c r="G407" i="2"/>
  <c r="H407"/>
  <c r="J328"/>
  <c r="J327" s="1"/>
  <c r="H28" i="10" s="1"/>
  <c r="F407" i="2"/>
  <c r="E137" i="1"/>
  <c r="F97" i="3"/>
  <c r="N85"/>
  <c r="K301" i="6" l="1"/>
  <c r="G287"/>
  <c r="G10" i="2"/>
  <c r="F10"/>
  <c r="G119" i="6"/>
  <c r="D189"/>
  <c r="J261" i="9"/>
  <c r="H10" i="2"/>
  <c r="G42" i="10"/>
  <c r="D418" i="2"/>
  <c r="D60" i="1"/>
  <c r="C60"/>
  <c r="D151" i="2"/>
  <c r="G288" i="6"/>
  <c r="D175"/>
  <c r="I104" i="13"/>
  <c r="I106" s="1"/>
  <c r="I107" s="1"/>
  <c r="I88" s="1"/>
  <c r="F65" i="1" s="1"/>
  <c r="K231" i="9"/>
  <c r="D275" i="6"/>
  <c r="D277" s="1"/>
  <c r="H40" i="10"/>
  <c r="E19"/>
  <c r="O19" s="1"/>
  <c r="D417" i="2"/>
  <c r="D645" s="1"/>
  <c r="D14" i="10"/>
  <c r="N12" i="3"/>
  <c r="H10"/>
  <c r="D40"/>
  <c r="D37" s="1"/>
  <c r="D21"/>
  <c r="I10"/>
  <c r="F12"/>
  <c r="G10"/>
  <c r="G290" i="6"/>
  <c r="N9" i="3"/>
  <c r="F9"/>
  <c r="L251"/>
  <c r="I98" i="1" s="1"/>
  <c r="I92" s="1"/>
  <c r="K251" i="3"/>
  <c r="K8"/>
  <c r="L8"/>
  <c r="J8"/>
  <c r="H251"/>
  <c r="G23" i="10"/>
  <c r="D97" i="3"/>
  <c r="D9" s="1"/>
  <c r="H290" i="6"/>
  <c r="H301" s="1"/>
  <c r="D24" i="10"/>
  <c r="L290" i="6"/>
  <c r="L301" s="1"/>
  <c r="I290"/>
  <c r="I301" s="1"/>
  <c r="D85" i="3"/>
  <c r="H10" i="8"/>
  <c r="N10" s="1"/>
  <c r="K18" i="10"/>
  <c r="H9" i="9"/>
  <c r="M144" i="6"/>
  <c r="M76" i="8"/>
  <c r="N329" i="2"/>
  <c r="G13"/>
  <c r="N23" i="1"/>
  <c r="G76"/>
  <c r="G75" s="1"/>
  <c r="G86" s="1"/>
  <c r="J23"/>
  <c r="L9" i="9"/>
  <c r="J9"/>
  <c r="D8"/>
  <c r="E46" i="1"/>
  <c r="E147" s="1"/>
  <c r="E209" s="1"/>
  <c r="H8" i="9"/>
  <c r="G436" i="2"/>
  <c r="E51" i="1"/>
  <c r="N441" i="2"/>
  <c r="D157"/>
  <c r="F444"/>
  <c r="L436"/>
  <c r="N452"/>
  <c r="M15"/>
  <c r="H436"/>
  <c r="N479"/>
  <c r="I18"/>
  <c r="E23" i="10"/>
  <c r="O23" s="1"/>
  <c r="F11" i="3"/>
  <c r="F10" s="1"/>
  <c r="K262" i="9"/>
  <c r="F117" i="8"/>
  <c r="G31" i="3"/>
  <c r="J19" i="6"/>
  <c r="J18" s="1"/>
  <c r="D106"/>
  <c r="K19"/>
  <c r="K18" s="1"/>
  <c r="K12" s="1"/>
  <c r="H19"/>
  <c r="H287"/>
  <c r="H105"/>
  <c r="F94"/>
  <c r="N235" i="9"/>
  <c r="N234" s="1"/>
  <c r="D29" i="8"/>
  <c r="P49"/>
  <c r="F655" i="2"/>
  <c r="M235" i="9"/>
  <c r="M234" s="1"/>
  <c r="F64" i="1"/>
  <c r="F63" s="1"/>
  <c r="F85" s="1"/>
  <c r="N213" i="6"/>
  <c r="D262" i="9"/>
  <c r="D263" s="1"/>
  <c r="M11" i="8"/>
  <c r="F262" i="9"/>
  <c r="D221" i="6"/>
  <c r="D220" s="1"/>
  <c r="G262" i="9"/>
  <c r="H31" i="3"/>
  <c r="H117" i="8"/>
  <c r="J11" i="5"/>
  <c r="J10" s="1"/>
  <c r="K11"/>
  <c r="K10" s="1"/>
  <c r="J7" i="9"/>
  <c r="H68" i="1"/>
  <c r="H64" s="1"/>
  <c r="H63" s="1"/>
  <c r="H85" s="1"/>
  <c r="M13" i="7"/>
  <c r="M11" s="1"/>
  <c r="M10" s="1"/>
  <c r="F261" i="9"/>
  <c r="H261"/>
  <c r="I261"/>
  <c r="N233"/>
  <c r="D43" i="7"/>
  <c r="D42" s="1"/>
  <c r="D171"/>
  <c r="D7"/>
  <c r="D13"/>
  <c r="D11" s="1"/>
  <c r="G8" i="8"/>
  <c r="H11" i="5"/>
  <c r="H10" s="1"/>
  <c r="H262" i="9"/>
  <c r="L7"/>
  <c r="L11" i="5"/>
  <c r="L10" s="1"/>
  <c r="H7" i="9"/>
  <c r="M77" i="5"/>
  <c r="M76" s="1"/>
  <c r="M125" i="6"/>
  <c r="M124" s="1"/>
  <c r="M119" s="1"/>
  <c r="M118" s="1"/>
  <c r="I25" i="10"/>
  <c r="H44" i="3"/>
  <c r="I94" i="6"/>
  <c r="D102"/>
  <c r="D202"/>
  <c r="E20" i="10"/>
  <c r="I11" i="6"/>
  <c r="N189"/>
  <c r="N186" s="1"/>
  <c r="F301"/>
  <c r="K119"/>
  <c r="F288"/>
  <c r="J95"/>
  <c r="J94" s="1"/>
  <c r="I151"/>
  <c r="I25" s="1"/>
  <c r="D190"/>
  <c r="M190" s="1"/>
  <c r="D22" i="1"/>
  <c r="D127" s="1"/>
  <c r="D188" s="1"/>
  <c r="J287" i="6"/>
  <c r="M106"/>
  <c r="M105" s="1"/>
  <c r="K94"/>
  <c r="K10" s="1"/>
  <c r="M202"/>
  <c r="G14"/>
  <c r="G13" s="1"/>
  <c r="M96"/>
  <c r="D24" i="1"/>
  <c r="L24" s="1"/>
  <c r="L129" s="1"/>
  <c r="G21"/>
  <c r="L21" s="1"/>
  <c r="L126" s="1"/>
  <c r="M502" i="2"/>
  <c r="G655"/>
  <c r="K41" i="10"/>
  <c r="M44" i="3"/>
  <c r="N44"/>
  <c r="D45"/>
  <c r="K60" i="1"/>
  <c r="M243" i="6"/>
  <c r="M242" s="1"/>
  <c r="M241" s="1"/>
  <c r="M15" i="3"/>
  <c r="M14" s="1"/>
  <c r="M32"/>
  <c r="M31" s="1"/>
  <c r="N17" i="13"/>
  <c r="N62"/>
  <c r="N61" s="1"/>
  <c r="N56"/>
  <c r="G44" i="3"/>
  <c r="M19" i="10"/>
  <c r="M17"/>
  <c r="L40"/>
  <c r="F197" i="6"/>
  <c r="F142"/>
  <c r="J25" i="10"/>
  <c r="I263" i="9"/>
  <c r="I264" s="1"/>
  <c r="G95" i="6"/>
  <c r="D96"/>
  <c r="D14" s="1"/>
  <c r="I122" i="1"/>
  <c r="I184" s="1"/>
  <c r="E102"/>
  <c r="E101" s="1"/>
  <c r="H654" i="2"/>
  <c r="H655" s="1"/>
  <c r="D139" i="6"/>
  <c r="F11" i="8"/>
  <c r="D23"/>
  <c r="D51"/>
  <c r="D50" s="1"/>
  <c r="D115" s="1"/>
  <c r="D31"/>
  <c r="P31" s="1"/>
  <c r="D41"/>
  <c r="D38"/>
  <c r="D116" s="1"/>
  <c r="F21"/>
  <c r="F31" i="2"/>
  <c r="C45" i="1" s="1"/>
  <c r="C145" s="1"/>
  <c r="C207" s="1"/>
  <c r="M413" i="2"/>
  <c r="M412" s="1"/>
  <c r="M406" s="1"/>
  <c r="H25" i="10"/>
  <c r="M95" i="6"/>
  <c r="K14" i="10"/>
  <c r="K11" i="7"/>
  <c r="N13"/>
  <c r="N11" s="1"/>
  <c r="N10" s="1"/>
  <c r="M43"/>
  <c r="M42" s="1"/>
  <c r="N9"/>
  <c r="N7" s="1"/>
  <c r="B19" i="1"/>
  <c r="B124" s="1"/>
  <c r="B186" s="1"/>
  <c r="N14" i="2"/>
  <c r="I59" i="1"/>
  <c r="I76"/>
  <c r="I75" s="1"/>
  <c r="I86" s="1"/>
  <c r="I100" s="1"/>
  <c r="I64"/>
  <c r="I63" s="1"/>
  <c r="I85" s="1"/>
  <c r="D33"/>
  <c r="K33" i="10"/>
  <c r="K29"/>
  <c r="K31"/>
  <c r="F501" i="2"/>
  <c r="F500" s="1"/>
  <c r="D15" i="6"/>
  <c r="P17" s="1"/>
  <c r="I7" i="9"/>
  <c r="H76" i="1"/>
  <c r="H75" s="1"/>
  <c r="H86" s="1"/>
  <c r="H100" s="1"/>
  <c r="B125"/>
  <c r="B191" s="1"/>
  <c r="J141"/>
  <c r="J203" s="1"/>
  <c r="K66"/>
  <c r="K125"/>
  <c r="L125"/>
  <c r="K61"/>
  <c r="M81"/>
  <c r="D45" i="8"/>
  <c r="J13" i="10"/>
  <c r="L8" i="8"/>
  <c r="D13" i="10"/>
  <c r="F13"/>
  <c r="M13" s="1"/>
  <c r="D48" i="8"/>
  <c r="K40" i="10"/>
  <c r="M501" i="2"/>
  <c r="M500" s="1"/>
  <c r="F238" i="6"/>
  <c r="M239"/>
  <c r="M238" s="1"/>
  <c r="F10" i="5"/>
  <c r="M13"/>
  <c r="F14" i="13"/>
  <c r="M56"/>
  <c r="M55" s="1"/>
  <c r="F17"/>
  <c r="M17" s="1"/>
  <c r="M15" s="1"/>
  <c r="M62"/>
  <c r="M61" s="1"/>
  <c r="I231" i="9"/>
  <c r="M233"/>
  <c r="M231" s="1"/>
  <c r="M10"/>
  <c r="M45" i="8"/>
  <c r="F33"/>
  <c r="M48"/>
  <c r="D36"/>
  <c r="M44" i="1"/>
  <c r="G59"/>
  <c r="I118" i="8"/>
  <c r="M36"/>
  <c r="M33" s="1"/>
  <c r="M16" i="6"/>
  <c r="P16" s="1"/>
  <c r="D186"/>
  <c r="M189"/>
  <c r="M186" s="1"/>
  <c r="M297"/>
  <c r="F19"/>
  <c r="M146"/>
  <c r="M25" i="3"/>
  <c r="L479" i="2"/>
  <c r="J42" i="10" s="1"/>
  <c r="L42" s="1"/>
  <c r="M329" i="2"/>
  <c r="M328" s="1"/>
  <c r="E480"/>
  <c r="E479" s="1"/>
  <c r="C42" i="10" s="1"/>
  <c r="M481" i="2"/>
  <c r="M480" s="1"/>
  <c r="M479" s="1"/>
  <c r="M16"/>
  <c r="M441"/>
  <c r="M36"/>
  <c r="M35" s="1"/>
  <c r="C24" i="1"/>
  <c r="C129" s="1"/>
  <c r="C190" s="1"/>
  <c r="M17" i="2"/>
  <c r="N20"/>
  <c r="N15"/>
  <c r="G18"/>
  <c r="N19"/>
  <c r="K18"/>
  <c r="L23"/>
  <c r="L22" s="1"/>
  <c r="D289"/>
  <c r="L60" i="1"/>
  <c r="L444" i="2"/>
  <c r="N332"/>
  <c r="G331"/>
  <c r="L68" i="1"/>
  <c r="L123" s="1"/>
  <c r="G501" i="2"/>
  <c r="G500" s="1"/>
  <c r="N502"/>
  <c r="N501" s="1"/>
  <c r="N500" s="1"/>
  <c r="G201" i="6"/>
  <c r="G197" s="1"/>
  <c r="G11" s="1"/>
  <c r="N202"/>
  <c r="N106"/>
  <c r="N105" s="1"/>
  <c r="N96"/>
  <c r="N95" s="1"/>
  <c r="G299"/>
  <c r="N144"/>
  <c r="D25" i="1"/>
  <c r="I14" i="6"/>
  <c r="J120"/>
  <c r="J17"/>
  <c r="G25" i="1" s="1"/>
  <c r="L120" i="6"/>
  <c r="L119" s="1"/>
  <c r="L17"/>
  <c r="H120"/>
  <c r="H119" s="1"/>
  <c r="H17"/>
  <c r="E25" i="1" s="1"/>
  <c r="G105" i="6"/>
  <c r="N10" i="4"/>
  <c r="D50" i="3"/>
  <c r="N15"/>
  <c r="N14" s="1"/>
  <c r="N32"/>
  <c r="N11"/>
  <c r="N498" i="2"/>
  <c r="N497" s="1"/>
  <c r="L61" i="1"/>
  <c r="K43" i="10"/>
  <c r="H18" i="1"/>
  <c r="H59"/>
  <c r="P17" i="10"/>
  <c r="N124" i="6"/>
  <c r="N119" s="1"/>
  <c r="O27" i="1"/>
  <c r="L118" i="8"/>
  <c r="O30" i="1"/>
  <c r="G118" i="8"/>
  <c r="F15" i="13"/>
  <c r="N15"/>
  <c r="G14"/>
  <c r="N14" s="1"/>
  <c r="D56"/>
  <c r="D14" s="1"/>
  <c r="D62"/>
  <c r="D17" s="1"/>
  <c r="D37" i="10"/>
  <c r="D26" s="1"/>
  <c r="F37"/>
  <c r="H37"/>
  <c r="J37"/>
  <c r="J26" s="1"/>
  <c r="E36"/>
  <c r="F36"/>
  <c r="E37"/>
  <c r="G37"/>
  <c r="I37"/>
  <c r="I26" s="1"/>
  <c r="D36"/>
  <c r="P30" i="8"/>
  <c r="P24"/>
  <c r="D34"/>
  <c r="D33" s="1"/>
  <c r="D10" s="1"/>
  <c r="N45"/>
  <c r="N44" s="1"/>
  <c r="D22"/>
  <c r="N36"/>
  <c r="N33" s="1"/>
  <c r="H118"/>
  <c r="J66" i="1"/>
  <c r="N66"/>
  <c r="D12" i="8"/>
  <c r="F120" i="6"/>
  <c r="F119" s="1"/>
  <c r="D121"/>
  <c r="J125" i="1"/>
  <c r="M125" s="1"/>
  <c r="F220" i="6"/>
  <c r="F268" s="1"/>
  <c r="D19" i="10"/>
  <c r="J34" i="1"/>
  <c r="F59"/>
  <c r="D125" i="6"/>
  <c r="D124" s="1"/>
  <c r="D280" s="1"/>
  <c r="O71" i="1"/>
  <c r="G101"/>
  <c r="J74"/>
  <c r="N74"/>
  <c r="I31" i="3"/>
  <c r="D32"/>
  <c r="D15" s="1"/>
  <c r="D14" s="1"/>
  <c r="K24" i="10"/>
  <c r="E29" i="1"/>
  <c r="E128" s="1"/>
  <c r="F25" i="3"/>
  <c r="D26"/>
  <c r="D12" s="1"/>
  <c r="F61"/>
  <c r="D23" i="10" s="1"/>
  <c r="F332" i="2"/>
  <c r="M332" s="1"/>
  <c r="M331" s="1"/>
  <c r="D413"/>
  <c r="E21"/>
  <c r="B144" i="1"/>
  <c r="B206" s="1"/>
  <c r="J40"/>
  <c r="J144" s="1"/>
  <c r="J206" s="1"/>
  <c r="E30" i="2"/>
  <c r="E29" s="1"/>
  <c r="E20"/>
  <c r="E18" s="1"/>
  <c r="N67" i="1"/>
  <c r="O67" s="1"/>
  <c r="E27" i="2"/>
  <c r="B39" i="1" s="1"/>
  <c r="J39" s="1"/>
  <c r="J70"/>
  <c r="O70" s="1"/>
  <c r="D174" i="6"/>
  <c r="D103" i="3"/>
  <c r="D252" s="1"/>
  <c r="D145" i="2"/>
  <c r="B83" i="1"/>
  <c r="J83" s="1"/>
  <c r="D30" i="7"/>
  <c r="D29" s="1"/>
  <c r="D15"/>
  <c r="K10"/>
  <c r="D21"/>
  <c r="D17" s="1"/>
  <c r="D51"/>
  <c r="D48" s="1"/>
  <c r="D25"/>
  <c r="D24" s="1"/>
  <c r="N36" i="2"/>
  <c r="K12"/>
  <c r="I33" i="1"/>
  <c r="I8" i="2"/>
  <c r="D26"/>
  <c r="D388"/>
  <c r="D25"/>
  <c r="I29"/>
  <c r="I22" s="1"/>
  <c r="I646" s="1"/>
  <c r="L18"/>
  <c r="E72"/>
  <c r="E68" s="1"/>
  <c r="D119"/>
  <c r="D114" s="1"/>
  <c r="E61"/>
  <c r="D62"/>
  <c r="N437"/>
  <c r="N436" s="1"/>
  <c r="H38" i="1"/>
  <c r="H139" s="1"/>
  <c r="H201" s="1"/>
  <c r="B22"/>
  <c r="C38"/>
  <c r="C33" s="1"/>
  <c r="P37" i="6"/>
  <c r="D36"/>
  <c r="D35" s="1"/>
  <c r="O72" i="1"/>
  <c r="H150" i="6"/>
  <c r="D193"/>
  <c r="D192" s="1"/>
  <c r="D214"/>
  <c r="D213" s="1"/>
  <c r="G143"/>
  <c r="G19" s="1"/>
  <c r="H21"/>
  <c r="H20" s="1"/>
  <c r="E38" i="1"/>
  <c r="J21" i="6"/>
  <c r="G38" i="1"/>
  <c r="G139" s="1"/>
  <c r="G201" s="1"/>
  <c r="H22"/>
  <c r="H127" s="1"/>
  <c r="H188" s="1"/>
  <c r="G497" i="2"/>
  <c r="D534"/>
  <c r="D533" s="1"/>
  <c r="G22" i="1"/>
  <c r="G127" s="1"/>
  <c r="G188" s="1"/>
  <c r="I22"/>
  <c r="I127" s="1"/>
  <c r="I188" s="1"/>
  <c r="E22"/>
  <c r="E127" s="1"/>
  <c r="E188" s="1"/>
  <c r="D15" i="9"/>
  <c r="D10" s="1"/>
  <c r="D72"/>
  <c r="D71" s="1"/>
  <c r="D209" i="6"/>
  <c r="L94"/>
  <c r="N231" i="9"/>
  <c r="D63"/>
  <c r="D62" s="1"/>
  <c r="J231"/>
  <c r="G38"/>
  <c r="N38"/>
  <c r="F71"/>
  <c r="F9" s="1"/>
  <c r="E263"/>
  <c r="E264" s="1"/>
  <c r="E241" s="1"/>
  <c r="D22"/>
  <c r="D18" s="1"/>
  <c r="G80"/>
  <c r="G8" s="1"/>
  <c r="N15"/>
  <c r="N10" s="1"/>
  <c r="K263"/>
  <c r="K264" s="1"/>
  <c r="J263"/>
  <c r="J264" s="1"/>
  <c r="E75" i="2"/>
  <c r="E74" s="1"/>
  <c r="E9"/>
  <c r="M36" i="1"/>
  <c r="H31" i="2"/>
  <c r="G31"/>
  <c r="J9"/>
  <c r="J8" s="1"/>
  <c r="C59" i="1"/>
  <c r="O20"/>
  <c r="E76"/>
  <c r="E75" s="1"/>
  <c r="E86" s="1"/>
  <c r="K23" i="2"/>
  <c r="K22" s="1"/>
  <c r="K646" s="1"/>
  <c r="F76" i="1"/>
  <c r="F75" s="1"/>
  <c r="F86" s="1"/>
  <c r="F100" s="1"/>
  <c r="I497" i="2"/>
  <c r="H61" i="13"/>
  <c r="G142" i="6"/>
  <c r="N190"/>
  <c r="G301"/>
  <c r="I143"/>
  <c r="I19" s="1"/>
  <c r="D299"/>
  <c r="B73" i="1"/>
  <c r="N73" s="1"/>
  <c r="G104" i="13"/>
  <c r="G106" s="1"/>
  <c r="G107" s="1"/>
  <c r="G88" s="1"/>
  <c r="N34"/>
  <c r="H55"/>
  <c r="G54"/>
  <c r="E30" i="10" s="1"/>
  <c r="N55" i="13"/>
  <c r="F54"/>
  <c r="D30" i="10" s="1"/>
  <c r="I11" i="13"/>
  <c r="D61"/>
  <c r="F12"/>
  <c r="N12"/>
  <c r="I54"/>
  <c r="G30" i="10" s="1"/>
  <c r="I137" i="1"/>
  <c r="I199" s="1"/>
  <c r="D86" i="6"/>
  <c r="D83" s="1"/>
  <c r="D73"/>
  <c r="D72" s="1"/>
  <c r="E239"/>
  <c r="E238" s="1"/>
  <c r="N297"/>
  <c r="D194"/>
  <c r="D296"/>
  <c r="M296" s="1"/>
  <c r="G208"/>
  <c r="G151"/>
  <c r="C101" i="1"/>
  <c r="D394" i="2"/>
  <c r="D393" s="1"/>
  <c r="D504"/>
  <c r="H501"/>
  <c r="H500" s="1"/>
  <c r="E65" i="1"/>
  <c r="E64" s="1"/>
  <c r="E63" s="1"/>
  <c r="E85" s="1"/>
  <c r="B43"/>
  <c r="D29"/>
  <c r="D170" i="6"/>
  <c r="L150"/>
  <c r="H142"/>
  <c r="H138" s="1"/>
  <c r="J142"/>
  <c r="L142"/>
  <c r="E268"/>
  <c r="I150"/>
  <c r="K150"/>
  <c r="F150"/>
  <c r="D181"/>
  <c r="D178" s="1"/>
  <c r="D146" s="1"/>
  <c r="K138"/>
  <c r="F24" i="3"/>
  <c r="N25"/>
  <c r="J87" i="13"/>
  <c r="J86" s="1"/>
  <c r="G65" i="1"/>
  <c r="G64" s="1"/>
  <c r="G63" s="1"/>
  <c r="G85" s="1"/>
  <c r="I87" i="13"/>
  <c r="I86" s="1"/>
  <c r="F29" i="1"/>
  <c r="F128" s="1"/>
  <c r="H35" i="10"/>
  <c r="F54" i="3"/>
  <c r="F35" i="10"/>
  <c r="N31" i="3"/>
  <c r="D65"/>
  <c r="D61" s="1"/>
  <c r="I37"/>
  <c r="I251" s="1"/>
  <c r="G37"/>
  <c r="G251" s="1"/>
  <c r="J24" i="6"/>
  <c r="J150"/>
  <c r="H147"/>
  <c r="F8" i="10" s="1"/>
  <c r="I51" i="1"/>
  <c r="I46"/>
  <c r="L24" i="6"/>
  <c r="L20" s="1"/>
  <c r="E59" i="1"/>
  <c r="L7" i="3"/>
  <c r="D134" i="2"/>
  <c r="D129" s="1"/>
  <c r="P136"/>
  <c r="D89" i="9"/>
  <c r="J119" i="6"/>
  <c r="N242"/>
  <c r="N241" s="1"/>
  <c r="F242"/>
  <c r="F241" s="1"/>
  <c r="D94" i="3"/>
  <c r="D91" s="1"/>
  <c r="D57"/>
  <c r="D54" s="1"/>
  <c r="P479" i="2"/>
  <c r="D61"/>
  <c r="B45" i="1"/>
  <c r="D93" i="2"/>
  <c r="D92" s="1"/>
  <c r="E93"/>
  <c r="E92" s="1"/>
  <c r="G29" i="1"/>
  <c r="G128" s="1"/>
  <c r="G189" s="1"/>
  <c r="J18" i="2"/>
  <c r="D572"/>
  <c r="D571" s="1"/>
  <c r="D498" s="1"/>
  <c r="E81"/>
  <c r="E448"/>
  <c r="D173"/>
  <c r="D169" s="1"/>
  <c r="D400"/>
  <c r="J102" i="1"/>
  <c r="D362" i="2"/>
  <c r="E438"/>
  <c r="E453"/>
  <c r="B24" i="1"/>
  <c r="D350" i="2"/>
  <c r="D349" s="1"/>
  <c r="E55"/>
  <c r="P436"/>
  <c r="D481"/>
  <c r="D480" s="1"/>
  <c r="D479" s="1"/>
  <c r="D489"/>
  <c r="D488" s="1"/>
  <c r="F33" i="1"/>
  <c r="I11" i="2"/>
  <c r="F497"/>
  <c r="D59" i="1"/>
  <c r="D371" i="2"/>
  <c r="D370" s="1"/>
  <c r="E101"/>
  <c r="E98" s="1"/>
  <c r="D104"/>
  <c r="D68"/>
  <c r="D121"/>
  <c r="D398"/>
  <c r="D380"/>
  <c r="D379" s="1"/>
  <c r="N41"/>
  <c r="F20"/>
  <c r="M20" s="1"/>
  <c r="D84"/>
  <c r="E84"/>
  <c r="F19"/>
  <c r="M19" s="1"/>
  <c r="N331"/>
  <c r="F331"/>
  <c r="E441"/>
  <c r="F412"/>
  <c r="N412"/>
  <c r="N406" s="1"/>
  <c r="D443"/>
  <c r="D21" s="1"/>
  <c r="D457"/>
  <c r="B29" i="1"/>
  <c r="C131"/>
  <c r="C193" s="1"/>
  <c r="L28"/>
  <c r="L131" s="1"/>
  <c r="L12" i="2"/>
  <c r="J29"/>
  <c r="G51" i="1"/>
  <c r="G46"/>
  <c r="F23" i="2"/>
  <c r="J23"/>
  <c r="N16"/>
  <c r="B77" i="1"/>
  <c r="D39" i="4"/>
  <c r="D24"/>
  <c r="D38"/>
  <c r="B69" i="1"/>
  <c r="N69" s="1"/>
  <c r="F44" i="3"/>
  <c r="I291" i="6"/>
  <c r="I302" s="1"/>
  <c r="E287"/>
  <c r="C137" i="1"/>
  <c r="G137"/>
  <c r="D137"/>
  <c r="H137"/>
  <c r="N328" i="2"/>
  <c r="F328"/>
  <c r="H328"/>
  <c r="H327" s="1"/>
  <c r="E18" i="1"/>
  <c r="G328" i="2"/>
  <c r="J12"/>
  <c r="H406"/>
  <c r="G406"/>
  <c r="I124" i="1"/>
  <c r="E199"/>
  <c r="F199"/>
  <c r="H122" l="1"/>
  <c r="H17"/>
  <c r="N14" i="6"/>
  <c r="N13" s="1"/>
  <c r="D44" i="8"/>
  <c r="D9" s="1"/>
  <c r="L647" i="2"/>
  <c r="L648" s="1"/>
  <c r="L646"/>
  <c r="I7" i="10"/>
  <c r="I45" s="1"/>
  <c r="D251" i="3"/>
  <c r="F251"/>
  <c r="F253" s="1"/>
  <c r="F254" s="1"/>
  <c r="F8"/>
  <c r="G24"/>
  <c r="H24"/>
  <c r="L253"/>
  <c r="L254" s="1"/>
  <c r="D31"/>
  <c r="H8" i="8"/>
  <c r="D9" i="9"/>
  <c r="M438" i="2"/>
  <c r="M437" s="1"/>
  <c r="M436" s="1"/>
  <c r="E13"/>
  <c r="G100" i="1"/>
  <c r="E52"/>
  <c r="J68"/>
  <c r="G9" i="9"/>
  <c r="N9" s="1"/>
  <c r="P7"/>
  <c r="N10" i="2"/>
  <c r="D129" i="1"/>
  <c r="D190" s="1"/>
  <c r="F118" i="8"/>
  <c r="N8" i="9"/>
  <c r="H31" i="1"/>
  <c r="H132" s="1"/>
  <c r="H194" s="1"/>
  <c r="H94" i="6"/>
  <c r="F7" i="10" s="1"/>
  <c r="F10" i="6"/>
  <c r="F291"/>
  <c r="F302" s="1"/>
  <c r="K21" i="1"/>
  <c r="K126" s="1"/>
  <c r="F26" i="10"/>
  <c r="D264" i="9"/>
  <c r="F106" i="1"/>
  <c r="R10" i="7"/>
  <c r="F7" i="9"/>
  <c r="D172" i="7"/>
  <c r="H26" i="10"/>
  <c r="L263" i="9"/>
  <c r="L264" s="1"/>
  <c r="H98" i="1"/>
  <c r="H92" s="1"/>
  <c r="H10" i="6"/>
  <c r="L10"/>
  <c r="J11"/>
  <c r="F11"/>
  <c r="H11"/>
  <c r="E14" i="1" s="1"/>
  <c r="E90" s="1"/>
  <c r="L11" i="6"/>
  <c r="I14" i="1" s="1"/>
  <c r="K291" i="6"/>
  <c r="K302" s="1"/>
  <c r="J10"/>
  <c r="K11"/>
  <c r="H14" i="1" s="1"/>
  <c r="I10" i="6"/>
  <c r="J20"/>
  <c r="F138"/>
  <c r="D7" i="10" s="1"/>
  <c r="J13" i="6"/>
  <c r="J12" s="1"/>
  <c r="J24" i="1"/>
  <c r="G126"/>
  <c r="G187" s="1"/>
  <c r="B143"/>
  <c r="B205" s="1"/>
  <c r="D44" i="3"/>
  <c r="J7"/>
  <c r="D290" i="6"/>
  <c r="M290" s="1"/>
  <c r="M24" i="3"/>
  <c r="M8" s="1"/>
  <c r="D23" i="4"/>
  <c r="M103" i="1"/>
  <c r="I24" i="3"/>
  <c r="I8" s="1"/>
  <c r="F29" i="2"/>
  <c r="F22" s="1"/>
  <c r="F646" s="1"/>
  <c r="M13"/>
  <c r="M12" s="1"/>
  <c r="L22" i="1"/>
  <c r="L127" s="1"/>
  <c r="N54" i="13"/>
  <c r="D128" i="1"/>
  <c r="D189" s="1"/>
  <c r="L29"/>
  <c r="M12" i="3"/>
  <c r="M11" s="1"/>
  <c r="M10" s="1"/>
  <c r="M23" i="10"/>
  <c r="M201" i="6"/>
  <c r="G138"/>
  <c r="F18"/>
  <c r="M19"/>
  <c r="P19" s="1"/>
  <c r="M143"/>
  <c r="M14"/>
  <c r="P14" s="1"/>
  <c r="F18" i="1"/>
  <c r="F122" s="1"/>
  <c r="F184" s="1"/>
  <c r="H269" i="6"/>
  <c r="N201"/>
  <c r="N197" s="1"/>
  <c r="N11" s="1"/>
  <c r="D201"/>
  <c r="D197" s="1"/>
  <c r="P23" i="8"/>
  <c r="P14"/>
  <c r="D117"/>
  <c r="M94" i="6"/>
  <c r="F10" i="8"/>
  <c r="M10" s="1"/>
  <c r="D17" i="10"/>
  <c r="I106" i="1"/>
  <c r="H106"/>
  <c r="K68"/>
  <c r="K123" s="1"/>
  <c r="H123"/>
  <c r="H185" s="1"/>
  <c r="I13" i="6"/>
  <c r="G327" i="2"/>
  <c r="E28" i="10" s="1"/>
  <c r="K11" i="2"/>
  <c r="M42" i="10"/>
  <c r="K42"/>
  <c r="L36"/>
  <c r="D15" i="13"/>
  <c r="P23"/>
  <c r="K59" i="1"/>
  <c r="M10" i="2"/>
  <c r="K24" i="1"/>
  <c r="K129" s="1"/>
  <c r="M327" i="2"/>
  <c r="K19" i="10"/>
  <c r="L19"/>
  <c r="M8" i="9"/>
  <c r="K22" i="1"/>
  <c r="K127" s="1"/>
  <c r="M9" i="8"/>
  <c r="L13" i="10"/>
  <c r="K13"/>
  <c r="M11" i="5"/>
  <c r="M10" s="1"/>
  <c r="N11"/>
  <c r="N10" s="1"/>
  <c r="G87" i="13"/>
  <c r="G86" s="1"/>
  <c r="N88"/>
  <c r="M54"/>
  <c r="M14"/>
  <c r="M12" s="1"/>
  <c r="M11" s="1"/>
  <c r="C19" i="1"/>
  <c r="C124" s="1"/>
  <c r="C186" s="1"/>
  <c r="M44" i="8"/>
  <c r="J191" i="1"/>
  <c r="G106"/>
  <c r="N299" i="6"/>
  <c r="M299"/>
  <c r="M142"/>
  <c r="M138" s="1"/>
  <c r="M197"/>
  <c r="M11" s="1"/>
  <c r="N35" i="2"/>
  <c r="B28" i="1"/>
  <c r="K28" s="1"/>
  <c r="K131" s="1"/>
  <c r="M21" i="2"/>
  <c r="M18" s="1"/>
  <c r="C18" i="1"/>
  <c r="C31"/>
  <c r="C132" s="1"/>
  <c r="C194" s="1"/>
  <c r="M36" i="10"/>
  <c r="O66" i="1"/>
  <c r="M40" i="10"/>
  <c r="P500" i="2"/>
  <c r="D18" i="1"/>
  <c r="N13" i="2"/>
  <c r="N12" s="1"/>
  <c r="P8" i="10"/>
  <c r="D151" i="6"/>
  <c r="D25" s="1"/>
  <c r="G25"/>
  <c r="N94"/>
  <c r="L13"/>
  <c r="I25" i="1"/>
  <c r="I17" s="1"/>
  <c r="N143" i="6"/>
  <c r="N142" s="1"/>
  <c r="N138" s="1"/>
  <c r="H13"/>
  <c r="G94"/>
  <c r="E7" i="10" s="1"/>
  <c r="G18" i="1"/>
  <c r="G17" s="1"/>
  <c r="D34" i="10"/>
  <c r="P32" i="3"/>
  <c r="N327" i="2"/>
  <c r="H13" i="1"/>
  <c r="L11" i="2"/>
  <c r="N10" i="3"/>
  <c r="F11" i="13"/>
  <c r="K36" i="10"/>
  <c r="K37"/>
  <c r="I9" i="6"/>
  <c r="D65" i="1"/>
  <c r="L65" s="1"/>
  <c r="D19"/>
  <c r="L19" s="1"/>
  <c r="G12" i="13"/>
  <c r="G11" s="1"/>
  <c r="D8" i="8"/>
  <c r="D28"/>
  <c r="D21" s="1"/>
  <c r="P21"/>
  <c r="P15"/>
  <c r="P25"/>
  <c r="P29"/>
  <c r="P16"/>
  <c r="D16"/>
  <c r="D11" s="1"/>
  <c r="D20" i="10"/>
  <c r="K20" s="1"/>
  <c r="K7" i="3"/>
  <c r="D25"/>
  <c r="E12" i="2"/>
  <c r="E11" s="1"/>
  <c r="F14" i="1"/>
  <c r="F90" s="1"/>
  <c r="B146"/>
  <c r="B208" s="1"/>
  <c r="J43"/>
  <c r="J146" s="1"/>
  <c r="J208" s="1"/>
  <c r="N28"/>
  <c r="N68"/>
  <c r="E23" i="2"/>
  <c r="E22" s="1"/>
  <c r="E646" s="1"/>
  <c r="B137" i="1"/>
  <c r="B199" s="1"/>
  <c r="J77"/>
  <c r="M77" s="1"/>
  <c r="J69"/>
  <c r="B128"/>
  <c r="B189" s="1"/>
  <c r="J21"/>
  <c r="N21"/>
  <c r="B127"/>
  <c r="B188" s="1"/>
  <c r="J22"/>
  <c r="N24"/>
  <c r="J138" i="6"/>
  <c r="H7" i="10" s="1"/>
  <c r="N22" i="1"/>
  <c r="D143" i="6"/>
  <c r="D19" s="1"/>
  <c r="E104" i="13"/>
  <c r="E106" s="1"/>
  <c r="E107" s="1"/>
  <c r="D10" i="7"/>
  <c r="D288" i="6"/>
  <c r="J82" i="1"/>
  <c r="B82"/>
  <c r="G31"/>
  <c r="G132" s="1"/>
  <c r="G194" s="1"/>
  <c r="J11" i="2"/>
  <c r="H33" i="1"/>
  <c r="J22" i="2"/>
  <c r="L59" i="1"/>
  <c r="D502" i="2"/>
  <c r="B38" i="1"/>
  <c r="J38" s="1"/>
  <c r="M38" s="1"/>
  <c r="D31"/>
  <c r="G18" i="6"/>
  <c r="G12" s="1"/>
  <c r="D508" i="2"/>
  <c r="D507" s="1"/>
  <c r="D506" s="1"/>
  <c r="E100" i="1"/>
  <c r="F327" i="2"/>
  <c r="H263" i="9"/>
  <c r="H264" s="1"/>
  <c r="G263"/>
  <c r="G264" s="1"/>
  <c r="G241" s="1"/>
  <c r="G240" s="1"/>
  <c r="G239" s="1"/>
  <c r="J291" i="6"/>
  <c r="J302" s="1"/>
  <c r="G14" i="1"/>
  <c r="L291" i="6"/>
  <c r="L302" s="1"/>
  <c r="F263" i="9"/>
  <c r="F264" s="1"/>
  <c r="F241" s="1"/>
  <c r="D14" i="1"/>
  <c r="E240" i="9"/>
  <c r="E239" s="1"/>
  <c r="D75" i="2"/>
  <c r="D74" s="1"/>
  <c r="P39"/>
  <c r="F28" i="10"/>
  <c r="D441" i="2"/>
  <c r="D332"/>
  <c r="D31"/>
  <c r="G29"/>
  <c r="G22" s="1"/>
  <c r="G646" s="1"/>
  <c r="D45" i="1"/>
  <c r="D145" s="1"/>
  <c r="D207" s="1"/>
  <c r="E32" i="10"/>
  <c r="G9" i="2"/>
  <c r="F32" i="10"/>
  <c r="H9" i="2"/>
  <c r="H8" s="1"/>
  <c r="F406"/>
  <c r="D329"/>
  <c r="D397"/>
  <c r="B61" i="1"/>
  <c r="N61" s="1"/>
  <c r="E45"/>
  <c r="H29" i="2"/>
  <c r="H22" s="1"/>
  <c r="E54"/>
  <c r="D55"/>
  <c r="D54" s="1"/>
  <c r="D10" s="1"/>
  <c r="D526"/>
  <c r="D525" s="1"/>
  <c r="P62" i="13"/>
  <c r="E34" i="10"/>
  <c r="P194" i="6"/>
  <c r="I142"/>
  <c r="J73" i="1"/>
  <c r="O73" s="1"/>
  <c r="O74"/>
  <c r="E106"/>
  <c r="I9" i="13"/>
  <c r="I8" s="1"/>
  <c r="F9"/>
  <c r="G9"/>
  <c r="H54"/>
  <c r="F30" i="10" s="1"/>
  <c r="N11" i="13"/>
  <c r="D55"/>
  <c r="D54" s="1"/>
  <c r="P56"/>
  <c r="H12"/>
  <c r="H11" s="1"/>
  <c r="D208" i="6"/>
  <c r="D205" s="1"/>
  <c r="G205"/>
  <c r="G150"/>
  <c r="D298"/>
  <c r="N296"/>
  <c r="D254"/>
  <c r="D253" s="1"/>
  <c r="D239" s="1"/>
  <c r="D238" s="1"/>
  <c r="D243"/>
  <c r="D242" s="1"/>
  <c r="D241" s="1"/>
  <c r="C25" i="1"/>
  <c r="F13" i="6"/>
  <c r="E452" i="2"/>
  <c r="E444"/>
  <c r="L147" i="6"/>
  <c r="J8" i="10" s="1"/>
  <c r="I31" i="1"/>
  <c r="L18" i="6"/>
  <c r="E31" i="1"/>
  <c r="H18" i="6"/>
  <c r="L138"/>
  <c r="J7" i="10" s="1"/>
  <c r="D78" i="6"/>
  <c r="D77" s="1"/>
  <c r="G33" i="1"/>
  <c r="F147" i="6"/>
  <c r="D8" i="10" s="1"/>
  <c r="K147" i="6"/>
  <c r="I8" i="10" s="1"/>
  <c r="F46" i="1"/>
  <c r="I24" i="6"/>
  <c r="I20" s="1"/>
  <c r="F51" i="1"/>
  <c r="D148" i="6"/>
  <c r="D23"/>
  <c r="D21" s="1"/>
  <c r="C51" i="1"/>
  <c r="C46"/>
  <c r="F24" i="6"/>
  <c r="F20" s="1"/>
  <c r="K24"/>
  <c r="K20" s="1"/>
  <c r="H46" i="1"/>
  <c r="H51"/>
  <c r="I147" i="6"/>
  <c r="G8" i="10" s="1"/>
  <c r="N24" i="3"/>
  <c r="N8" s="1"/>
  <c r="K647" i="2"/>
  <c r="K648" s="1"/>
  <c r="I647"/>
  <c r="I648" s="1"/>
  <c r="D11" i="3"/>
  <c r="D10" s="1"/>
  <c r="K253"/>
  <c r="K254" s="1"/>
  <c r="H253"/>
  <c r="H254" s="1"/>
  <c r="E98" i="1"/>
  <c r="E92" s="1"/>
  <c r="J253" i="3"/>
  <c r="J254" s="1"/>
  <c r="G98" i="1"/>
  <c r="G92" s="1"/>
  <c r="E35" i="10"/>
  <c r="E26" s="1"/>
  <c r="G35"/>
  <c r="G26" s="1"/>
  <c r="I147" i="1"/>
  <c r="I41"/>
  <c r="I52"/>
  <c r="J147" i="6"/>
  <c r="H8" i="10" s="1"/>
  <c r="P22" i="3"/>
  <c r="J143" i="1"/>
  <c r="J205" s="1"/>
  <c r="H291" i="6"/>
  <c r="H302" s="1"/>
  <c r="B60" i="1"/>
  <c r="N60" s="1"/>
  <c r="D453" i="2"/>
  <c r="D452" s="1"/>
  <c r="D438"/>
  <c r="D437" s="1"/>
  <c r="D436" s="1"/>
  <c r="D580"/>
  <c r="D579" s="1"/>
  <c r="B145" i="1"/>
  <c r="B207" s="1"/>
  <c r="E437" i="2"/>
  <c r="B80" i="1"/>
  <c r="D15" i="2"/>
  <c r="D81"/>
  <c r="D80" s="1"/>
  <c r="B129" i="1"/>
  <c r="B190" s="1"/>
  <c r="D17" i="2"/>
  <c r="D101"/>
  <c r="D98" s="1"/>
  <c r="P42"/>
  <c r="D550"/>
  <c r="D549" s="1"/>
  <c r="J37" i="1"/>
  <c r="M37" s="1"/>
  <c r="E139"/>
  <c r="E33"/>
  <c r="D319" i="2"/>
  <c r="D315" s="1"/>
  <c r="E80"/>
  <c r="D412"/>
  <c r="D406" s="1"/>
  <c r="D9" s="1"/>
  <c r="P419"/>
  <c r="D359"/>
  <c r="D358" s="1"/>
  <c r="F18"/>
  <c r="C29" i="1"/>
  <c r="K29" s="1"/>
  <c r="B51"/>
  <c r="B46"/>
  <c r="G147"/>
  <c r="G209" s="1"/>
  <c r="G41"/>
  <c r="G52"/>
  <c r="C127"/>
  <c r="C188" s="1"/>
  <c r="P26" i="2"/>
  <c r="D20" i="4"/>
  <c r="D31"/>
  <c r="D30" s="1"/>
  <c r="B123" i="1"/>
  <c r="B185" s="1"/>
  <c r="B126"/>
  <c r="B187" s="1"/>
  <c r="D120" i="6"/>
  <c r="D119" s="1"/>
  <c r="D17"/>
  <c r="B25" i="1"/>
  <c r="E291" i="6"/>
  <c r="E302" s="1"/>
  <c r="D105"/>
  <c r="B31" i="1"/>
  <c r="C199"/>
  <c r="D199"/>
  <c r="H199"/>
  <c r="G199"/>
  <c r="H184"/>
  <c r="G12" i="2"/>
  <c r="G11" s="1"/>
  <c r="H12"/>
  <c r="H11" s="1"/>
  <c r="F12"/>
  <c r="I186" i="1"/>
  <c r="E189"/>
  <c r="F189"/>
  <c r="L12" i="6" l="1"/>
  <c r="E10" i="2"/>
  <c r="H646"/>
  <c r="H647" s="1"/>
  <c r="H648" s="1"/>
  <c r="J646"/>
  <c r="J647" s="1"/>
  <c r="J648" s="1"/>
  <c r="K9" i="6"/>
  <c r="G8" i="3"/>
  <c r="G7" s="1"/>
  <c r="H8"/>
  <c r="H7" s="1"/>
  <c r="C98" i="1"/>
  <c r="C92" s="1"/>
  <c r="F34" i="10"/>
  <c r="F25" s="1"/>
  <c r="D24" i="3"/>
  <c r="H133" i="1"/>
  <c r="H90"/>
  <c r="D13" i="2"/>
  <c r="P11" i="6"/>
  <c r="I90" i="1"/>
  <c r="B131"/>
  <c r="B193" s="1"/>
  <c r="M7" i="3"/>
  <c r="N7"/>
  <c r="P7" s="1"/>
  <c r="G13" i="1"/>
  <c r="G89" s="1"/>
  <c r="M9" i="9"/>
  <c r="M7" s="1"/>
  <c r="F9" i="6"/>
  <c r="H9"/>
  <c r="H26" i="1"/>
  <c r="H16" s="1"/>
  <c r="H48" s="1"/>
  <c r="I48" i="10" s="1"/>
  <c r="I51" s="1"/>
  <c r="G7" i="9"/>
  <c r="F8" i="8"/>
  <c r="P8" s="1"/>
  <c r="M10" i="6"/>
  <c r="M9" s="1"/>
  <c r="D11"/>
  <c r="G10"/>
  <c r="N10"/>
  <c r="N9" s="1"/>
  <c r="D301"/>
  <c r="M301" s="1"/>
  <c r="O7" i="10"/>
  <c r="D46"/>
  <c r="G647" i="2"/>
  <c r="G648" s="1"/>
  <c r="G34" i="10"/>
  <c r="G25" s="1"/>
  <c r="D26" i="1"/>
  <c r="G8" i="13"/>
  <c r="L14" i="1"/>
  <c r="L18"/>
  <c r="M13" i="6"/>
  <c r="M18"/>
  <c r="F17" i="1"/>
  <c r="F12" i="6"/>
  <c r="M102" i="1"/>
  <c r="M101" s="1"/>
  <c r="D652" i="2"/>
  <c r="D654" s="1"/>
  <c r="D655" s="1"/>
  <c r="L269" i="6"/>
  <c r="J46" i="10"/>
  <c r="J269" i="6"/>
  <c r="H46" i="10"/>
  <c r="I269" i="6"/>
  <c r="G46" i="10"/>
  <c r="K269" i="6"/>
  <c r="I46" i="10"/>
  <c r="H45"/>
  <c r="R11" i="7"/>
  <c r="E25" i="10"/>
  <c r="K26"/>
  <c r="K30"/>
  <c r="N288" i="6"/>
  <c r="M288"/>
  <c r="L17" i="10"/>
  <c r="K17"/>
  <c r="H195" i="1"/>
  <c r="D142" i="6"/>
  <c r="D138" s="1"/>
  <c r="H12"/>
  <c r="J28" i="1"/>
  <c r="O28" s="1"/>
  <c r="K19"/>
  <c r="K124" s="1"/>
  <c r="J33"/>
  <c r="L23" i="10"/>
  <c r="K23"/>
  <c r="F46"/>
  <c r="K18" i="1"/>
  <c r="C14"/>
  <c r="C90" s="1"/>
  <c r="N8" i="8"/>
  <c r="N298" i="6"/>
  <c r="M298"/>
  <c r="L30" i="10"/>
  <c r="M11" i="2"/>
  <c r="L124" i="1"/>
  <c r="N29"/>
  <c r="G122"/>
  <c r="G184" s="1"/>
  <c r="G195" s="1"/>
  <c r="M28" i="10"/>
  <c r="N9" i="2"/>
  <c r="N8" s="1"/>
  <c r="M32" i="10"/>
  <c r="M30"/>
  <c r="D268" i="6"/>
  <c r="M98" i="1" s="1"/>
  <c r="G291" i="6"/>
  <c r="G302" s="1"/>
  <c r="N19"/>
  <c r="N18" s="1"/>
  <c r="N12" s="1"/>
  <c r="D132" i="1"/>
  <c r="D194" s="1"/>
  <c r="D64"/>
  <c r="D63" s="1"/>
  <c r="D85" s="1"/>
  <c r="N18" i="2"/>
  <c r="N11" s="1"/>
  <c r="G26" i="1"/>
  <c r="K35" i="10"/>
  <c r="P7"/>
  <c r="D118" i="8"/>
  <c r="F13" i="1"/>
  <c r="J19"/>
  <c r="M34" s="1"/>
  <c r="D124"/>
  <c r="D186" s="1"/>
  <c r="N19"/>
  <c r="N25"/>
  <c r="J25"/>
  <c r="J29"/>
  <c r="B76"/>
  <c r="B75" s="1"/>
  <c r="B86" s="1"/>
  <c r="J80"/>
  <c r="J140" s="1"/>
  <c r="J202" s="1"/>
  <c r="J45"/>
  <c r="B65"/>
  <c r="D9" i="13"/>
  <c r="D8" s="1"/>
  <c r="B139" i="1"/>
  <c r="B201" s="1"/>
  <c r="F269" i="6"/>
  <c r="F270" s="1"/>
  <c r="F271" s="1"/>
  <c r="F7" i="3"/>
  <c r="P337" i="2"/>
  <c r="D336"/>
  <c r="D333" s="1"/>
  <c r="G210" i="1"/>
  <c r="I13"/>
  <c r="I89" s="1"/>
  <c r="L9" i="6"/>
  <c r="F240" i="9"/>
  <c r="C76" i="1"/>
  <c r="C75" s="1"/>
  <c r="C86" s="1"/>
  <c r="C139"/>
  <c r="C201" s="1"/>
  <c r="M79"/>
  <c r="D7" i="9"/>
  <c r="D116" i="1"/>
  <c r="D112"/>
  <c r="D90"/>
  <c r="D76"/>
  <c r="D75" s="1"/>
  <c r="D86" s="1"/>
  <c r="D100" s="1"/>
  <c r="D139"/>
  <c r="D201" s="1"/>
  <c r="D27" i="2"/>
  <c r="D23" s="1"/>
  <c r="D44"/>
  <c r="E145" i="1"/>
  <c r="E207" s="1"/>
  <c r="E41"/>
  <c r="E32" s="1"/>
  <c r="E49" s="1"/>
  <c r="D32" i="10"/>
  <c r="F9" i="2"/>
  <c r="F8" s="1"/>
  <c r="D28" i="10"/>
  <c r="L28" s="1"/>
  <c r="D499" i="2"/>
  <c r="J61" i="1" s="1"/>
  <c r="O61" s="1"/>
  <c r="B59"/>
  <c r="N59" s="1"/>
  <c r="I18" i="6"/>
  <c r="I12" s="1"/>
  <c r="F31" i="1"/>
  <c r="J31" s="1"/>
  <c r="I138" i="6"/>
  <c r="G7" i="10" s="1"/>
  <c r="M7" s="1"/>
  <c r="D12" i="13"/>
  <c r="D11" s="1"/>
  <c r="H9"/>
  <c r="F8"/>
  <c r="E124" i="1"/>
  <c r="E186" s="1"/>
  <c r="F11" i="2"/>
  <c r="D287" i="6"/>
  <c r="G24"/>
  <c r="G20" s="1"/>
  <c r="D51" i="1"/>
  <c r="J51" s="1"/>
  <c r="D46"/>
  <c r="J46" s="1"/>
  <c r="G147" i="6"/>
  <c r="E8" i="10" s="1"/>
  <c r="E46" s="1"/>
  <c r="B13" i="1"/>
  <c r="I132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H270" i="6"/>
  <c r="H271" s="1"/>
  <c r="E99" i="1"/>
  <c r="E253" i="3"/>
  <c r="E254" s="1"/>
  <c r="B98" i="1"/>
  <c r="D253" i="3"/>
  <c r="F98" i="1"/>
  <c r="I253" i="3"/>
  <c r="I254" s="1"/>
  <c r="D98" i="1"/>
  <c r="G253" i="3"/>
  <c r="G254" s="1"/>
  <c r="N290" i="6"/>
  <c r="D150"/>
  <c r="D147" s="1"/>
  <c r="P20" s="1"/>
  <c r="D24"/>
  <c r="D20" s="1"/>
  <c r="I32" i="1"/>
  <c r="E269" i="6"/>
  <c r="I209" i="1"/>
  <c r="I210" s="1"/>
  <c r="I148"/>
  <c r="D20" i="3"/>
  <c r="D17" s="1"/>
  <c r="J9" i="6"/>
  <c r="D95"/>
  <c r="D94" s="1"/>
  <c r="D283"/>
  <c r="D13"/>
  <c r="I7" i="3"/>
  <c r="G148" i="1"/>
  <c r="D501" i="2"/>
  <c r="D500" s="1"/>
  <c r="O21" i="1"/>
  <c r="B140"/>
  <c r="B202" s="1"/>
  <c r="E436" i="2"/>
  <c r="P38"/>
  <c r="P25"/>
  <c r="D36"/>
  <c r="O24" i="1"/>
  <c r="J129"/>
  <c r="J190" s="1"/>
  <c r="M39"/>
  <c r="E201"/>
  <c r="B138"/>
  <c r="B200" s="1"/>
  <c r="B33"/>
  <c r="D32" i="2"/>
  <c r="D29" s="1"/>
  <c r="D49"/>
  <c r="D20"/>
  <c r="D41"/>
  <c r="C26" i="1"/>
  <c r="C128"/>
  <c r="C189" s="1"/>
  <c r="D328" i="2"/>
  <c r="D19"/>
  <c r="P29" s="1"/>
  <c r="D331"/>
  <c r="B18" i="1"/>
  <c r="J131"/>
  <c r="J193" s="1"/>
  <c r="B52"/>
  <c r="B147"/>
  <c r="B41"/>
  <c r="J139"/>
  <c r="J201" s="1"/>
  <c r="G32"/>
  <c r="J127"/>
  <c r="J188" s="1"/>
  <c r="O22"/>
  <c r="J137"/>
  <c r="N103"/>
  <c r="B101"/>
  <c r="J60"/>
  <c r="D10" i="4"/>
  <c r="O69" i="1"/>
  <c r="M78"/>
  <c r="J126"/>
  <c r="O68"/>
  <c r="J123"/>
  <c r="J185" s="1"/>
  <c r="H12"/>
  <c r="H107" s="1"/>
  <c r="H89"/>
  <c r="B132"/>
  <c r="B26"/>
  <c r="D18" i="6"/>
  <c r="C45" i="10"/>
  <c r="D279" i="6"/>
  <c r="D281" s="1"/>
  <c r="C17" i="1"/>
  <c r="D122"/>
  <c r="D17"/>
  <c r="G8" i="2"/>
  <c r="E17" i="1"/>
  <c r="E122"/>
  <c r="J187" l="1"/>
  <c r="D106"/>
  <c r="J98"/>
  <c r="J92" s="1"/>
  <c r="D13"/>
  <c r="D115" s="1"/>
  <c r="D114" s="1"/>
  <c r="K8" i="10"/>
  <c r="K46" s="1"/>
  <c r="I88" i="1"/>
  <c r="D8" i="3"/>
  <c r="D7" s="1"/>
  <c r="H88" i="1"/>
  <c r="H134" s="1"/>
  <c r="O25" i="10"/>
  <c r="M25"/>
  <c r="M46" i="1"/>
  <c r="M43"/>
  <c r="N301" i="6"/>
  <c r="G9"/>
  <c r="J14" i="1"/>
  <c r="J116" s="1"/>
  <c r="P10" i="6"/>
  <c r="D254" i="3"/>
  <c r="N102" i="1"/>
  <c r="N101" s="1"/>
  <c r="L34" i="10"/>
  <c r="D10" i="6"/>
  <c r="B99" i="1"/>
  <c r="K34" i="10"/>
  <c r="M34"/>
  <c r="D16" i="1"/>
  <c r="D48" s="1"/>
  <c r="E48" i="10" s="1"/>
  <c r="M12" i="6"/>
  <c r="P9" s="1"/>
  <c r="L31" i="1"/>
  <c r="L132" s="1"/>
  <c r="N9" i="13"/>
  <c r="N8" s="1"/>
  <c r="E45" i="10"/>
  <c r="N48" s="1"/>
  <c r="P18" i="6"/>
  <c r="G269"/>
  <c r="H121" i="1"/>
  <c r="H183" s="1"/>
  <c r="G133"/>
  <c r="D25" i="10"/>
  <c r="N287" i="6"/>
  <c r="M287"/>
  <c r="J76" i="1"/>
  <c r="J75" s="1"/>
  <c r="C112"/>
  <c r="C116"/>
  <c r="K14"/>
  <c r="K31"/>
  <c r="K132" s="1"/>
  <c r="M45"/>
  <c r="M9" i="13"/>
  <c r="M8" s="1"/>
  <c r="C13" i="1"/>
  <c r="M9" i="2"/>
  <c r="M8" s="1"/>
  <c r="J145" i="1"/>
  <c r="J207" s="1"/>
  <c r="K32" i="10"/>
  <c r="L32"/>
  <c r="K128" i="1"/>
  <c r="K17"/>
  <c r="B100"/>
  <c r="J86"/>
  <c r="L85"/>
  <c r="M85" s="1"/>
  <c r="G16"/>
  <c r="G48" s="1"/>
  <c r="G121" s="1"/>
  <c r="K28" i="10"/>
  <c r="D285" i="6"/>
  <c r="E210" i="1"/>
  <c r="E13"/>
  <c r="N7" i="9"/>
  <c r="J48" i="10"/>
  <c r="D43" i="2"/>
  <c r="I12" i="1"/>
  <c r="I107" s="1"/>
  <c r="E647" i="2"/>
  <c r="E648" s="1"/>
  <c r="C100" i="1"/>
  <c r="N18"/>
  <c r="J18"/>
  <c r="J17" s="1"/>
  <c r="B64"/>
  <c r="B63" s="1"/>
  <c r="B85" s="1"/>
  <c r="B106" s="1"/>
  <c r="N31"/>
  <c r="O31" s="1"/>
  <c r="D12" i="2"/>
  <c r="D22"/>
  <c r="E148" i="1"/>
  <c r="B92"/>
  <c r="D269" i="6"/>
  <c r="D270" s="1"/>
  <c r="D271" s="1"/>
  <c r="C49" i="1"/>
  <c r="C91" s="1"/>
  <c r="D8" i="2"/>
  <c r="F239" i="9"/>
  <c r="B14" i="1"/>
  <c r="D497" i="2"/>
  <c r="P27"/>
  <c r="F135" i="1"/>
  <c r="F212" s="1"/>
  <c r="G49" i="10"/>
  <c r="G52" s="1"/>
  <c r="F132" i="1"/>
  <c r="F26"/>
  <c r="F16" s="1"/>
  <c r="F48" s="1"/>
  <c r="G48" i="10" s="1"/>
  <c r="J124" i="1"/>
  <c r="J186" s="1"/>
  <c r="O19"/>
  <c r="H8" i="13"/>
  <c r="D147" i="1"/>
  <c r="D41"/>
  <c r="D32" s="1"/>
  <c r="D49" s="1"/>
  <c r="D52"/>
  <c r="D35" i="2"/>
  <c r="I99" i="1"/>
  <c r="L270" i="6"/>
  <c r="L271" s="1"/>
  <c r="I194" i="1"/>
  <c r="I133"/>
  <c r="J45" i="10"/>
  <c r="D12" i="6"/>
  <c r="H32" i="1"/>
  <c r="H49" s="1"/>
  <c r="H209"/>
  <c r="H210" s="1"/>
  <c r="H148"/>
  <c r="F209"/>
  <c r="F210" s="1"/>
  <c r="F148"/>
  <c r="F149" s="1"/>
  <c r="I270" i="6"/>
  <c r="I271" s="1"/>
  <c r="F99" i="1"/>
  <c r="F93" s="1"/>
  <c r="K270" i="6"/>
  <c r="K271" s="1"/>
  <c r="H99" i="1"/>
  <c r="C209"/>
  <c r="C210" s="1"/>
  <c r="C148"/>
  <c r="J101"/>
  <c r="F647" i="2"/>
  <c r="F648" s="1"/>
  <c r="C99" i="1"/>
  <c r="J270" i="6"/>
  <c r="J271" s="1"/>
  <c r="G99" i="1"/>
  <c r="E97"/>
  <c r="E96" s="1"/>
  <c r="E93"/>
  <c r="D92"/>
  <c r="F92"/>
  <c r="C16"/>
  <c r="I49"/>
  <c r="P31" i="2"/>
  <c r="D18"/>
  <c r="G90" i="1"/>
  <c r="G88" s="1"/>
  <c r="G12"/>
  <c r="F89"/>
  <c r="F88" s="1"/>
  <c r="F12"/>
  <c r="B32"/>
  <c r="B49" s="1"/>
  <c r="E135"/>
  <c r="F49" i="10"/>
  <c r="F52" s="1"/>
  <c r="E91" i="1"/>
  <c r="J138"/>
  <c r="J200" s="1"/>
  <c r="E8" i="2"/>
  <c r="B17" i="1"/>
  <c r="B16" s="1"/>
  <c r="B48" s="1"/>
  <c r="B122"/>
  <c r="B184" s="1"/>
  <c r="D327" i="2"/>
  <c r="O29" i="1"/>
  <c r="J128"/>
  <c r="J189" s="1"/>
  <c r="L128"/>
  <c r="G49"/>
  <c r="J41"/>
  <c r="J32" s="1"/>
  <c r="J49" s="1"/>
  <c r="J147"/>
  <c r="J209" s="1"/>
  <c r="B209"/>
  <c r="B210" s="1"/>
  <c r="B148"/>
  <c r="O25"/>
  <c r="J59"/>
  <c r="O59" s="1"/>
  <c r="O60"/>
  <c r="J199"/>
  <c r="D291" i="6"/>
  <c r="J26" i="1"/>
  <c r="J132"/>
  <c r="J194" s="1"/>
  <c r="B194"/>
  <c r="E16"/>
  <c r="L17"/>
  <c r="E184"/>
  <c r="E195" s="1"/>
  <c r="E133"/>
  <c r="D184"/>
  <c r="D133"/>
  <c r="I196"/>
  <c r="I183"/>
  <c r="D111" l="1"/>
  <c r="D646" i="2"/>
  <c r="D89" i="1"/>
  <c r="D88" s="1"/>
  <c r="D12"/>
  <c r="D107" s="1"/>
  <c r="I134"/>
  <c r="L13"/>
  <c r="L89" s="1"/>
  <c r="P17" i="3"/>
  <c r="N98" i="1"/>
  <c r="J13"/>
  <c r="J90"/>
  <c r="J197"/>
  <c r="B91"/>
  <c r="B149" s="1"/>
  <c r="B135"/>
  <c r="B197" s="1"/>
  <c r="F94"/>
  <c r="D647" i="2"/>
  <c r="D648" s="1"/>
  <c r="D195" i="1"/>
  <c r="D121"/>
  <c r="D196" s="1"/>
  <c r="D117"/>
  <c r="D118" s="1"/>
  <c r="E51" i="10"/>
  <c r="N7"/>
  <c r="N25"/>
  <c r="N45"/>
  <c r="N21"/>
  <c r="N13"/>
  <c r="N42"/>
  <c r="N19"/>
  <c r="N40"/>
  <c r="N17"/>
  <c r="N23"/>
  <c r="C89" i="1"/>
  <c r="C88" s="1"/>
  <c r="K13"/>
  <c r="M13" s="1"/>
  <c r="H196"/>
  <c r="K26"/>
  <c r="K16" s="1"/>
  <c r="G134"/>
  <c r="C12"/>
  <c r="K25" i="10"/>
  <c r="L25"/>
  <c r="K7"/>
  <c r="L7"/>
  <c r="M14" i="1"/>
  <c r="K90"/>
  <c r="B93"/>
  <c r="J135"/>
  <c r="C115"/>
  <c r="C114" s="1"/>
  <c r="C111"/>
  <c r="N291" i="6"/>
  <c r="M291"/>
  <c r="N13" i="1"/>
  <c r="I195"/>
  <c r="K194"/>
  <c r="J100"/>
  <c r="H48" i="10"/>
  <c r="H51" s="1"/>
  <c r="G45"/>
  <c r="G51" s="1"/>
  <c r="D45"/>
  <c r="J51"/>
  <c r="C119" i="1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D49" i="10"/>
  <c r="D52" s="1"/>
  <c r="F213" i="1"/>
  <c r="F197"/>
  <c r="L26"/>
  <c r="L16" s="1"/>
  <c r="F97"/>
  <c r="F96" s="1"/>
  <c r="F194"/>
  <c r="F195" s="1"/>
  <c r="F133"/>
  <c r="F134" s="1"/>
  <c r="C46" i="10"/>
  <c r="F45"/>
  <c r="E12" i="1"/>
  <c r="E89"/>
  <c r="E88" s="1"/>
  <c r="E49" i="10"/>
  <c r="E52" s="1"/>
  <c r="D119" i="1"/>
  <c r="D135"/>
  <c r="D91"/>
  <c r="G270" i="6"/>
  <c r="G271" s="1"/>
  <c r="D99" i="1"/>
  <c r="J99" s="1"/>
  <c r="J93" s="1"/>
  <c r="D209"/>
  <c r="D148"/>
  <c r="J148"/>
  <c r="I97"/>
  <c r="I96" s="1"/>
  <c r="I93"/>
  <c r="I49" i="10"/>
  <c r="I52" s="1"/>
  <c r="H135" i="1"/>
  <c r="H91"/>
  <c r="H149" s="1"/>
  <c r="H97"/>
  <c r="H93"/>
  <c r="C93"/>
  <c r="C94" s="1"/>
  <c r="C97"/>
  <c r="E270" i="6"/>
  <c r="E271" s="1"/>
  <c r="G97" i="1"/>
  <c r="G96" s="1"/>
  <c r="G93"/>
  <c r="J49" i="10"/>
  <c r="J52" s="1"/>
  <c r="I135" i="1"/>
  <c r="I91"/>
  <c r="B195"/>
  <c r="G107"/>
  <c r="L90"/>
  <c r="F107"/>
  <c r="B133"/>
  <c r="C49" i="10"/>
  <c r="E94" i="1"/>
  <c r="E104"/>
  <c r="E212"/>
  <c r="E213" s="1"/>
  <c r="E197"/>
  <c r="E149"/>
  <c r="B90"/>
  <c r="G135"/>
  <c r="H49" i="10"/>
  <c r="H52" s="1"/>
  <c r="G91" i="1"/>
  <c r="J210"/>
  <c r="B89"/>
  <c r="B12"/>
  <c r="D302" i="6"/>
  <c r="C48" i="10"/>
  <c r="C51" s="1"/>
  <c r="L194" i="1"/>
  <c r="Q194"/>
  <c r="D9" i="6"/>
  <c r="J16" i="1"/>
  <c r="J48" s="1"/>
  <c r="G196"/>
  <c r="G183"/>
  <c r="E48"/>
  <c r="L48" s="1"/>
  <c r="M48" i="10" s="1"/>
  <c r="D134" i="1" l="1"/>
  <c r="M48"/>
  <c r="N48" s="1"/>
  <c r="J97"/>
  <c r="J212"/>
  <c r="J213" s="1"/>
  <c r="D149"/>
  <c r="H94"/>
  <c r="B94"/>
  <c r="D210"/>
  <c r="M99"/>
  <c r="M97" s="1"/>
  <c r="D183"/>
  <c r="E134"/>
  <c r="C107"/>
  <c r="L45" i="10"/>
  <c r="J119" i="1"/>
  <c r="J91"/>
  <c r="K49" i="10"/>
  <c r="K52" s="1"/>
  <c r="K12" i="1"/>
  <c r="L48" i="10" s="1"/>
  <c r="K89" i="1"/>
  <c r="K88" s="1"/>
  <c r="K48"/>
  <c r="N302" i="6"/>
  <c r="M302"/>
  <c r="D48" i="10"/>
  <c r="D51" s="1"/>
  <c r="M45"/>
  <c r="L12" i="1"/>
  <c r="F183"/>
  <c r="C212"/>
  <c r="C213" s="1"/>
  <c r="N12"/>
  <c r="B107"/>
  <c r="C52" i="10"/>
  <c r="F104" i="1"/>
  <c r="K45" i="10"/>
  <c r="E107" i="1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G104"/>
  <c r="G94"/>
  <c r="G149"/>
  <c r="G197"/>
  <c r="G212"/>
  <c r="G213" s="1"/>
  <c r="J115"/>
  <c r="J114" s="1"/>
  <c r="J89"/>
  <c r="J88" s="1"/>
  <c r="J12"/>
  <c r="J107" s="1"/>
  <c r="O13"/>
  <c r="B196"/>
  <c r="B183"/>
  <c r="F48" i="10"/>
  <c r="F51" s="1"/>
  <c r="E121" i="1"/>
  <c r="K48" i="10"/>
  <c r="J94" i="1" l="1"/>
  <c r="J104"/>
  <c r="J96"/>
  <c r="D213"/>
  <c r="L51" i="10"/>
  <c r="J149" i="1"/>
  <c r="K51" i="10"/>
  <c r="M51"/>
  <c r="D96" i="1"/>
  <c r="D104"/>
  <c r="N99"/>
  <c r="N97" s="1"/>
  <c r="B104"/>
  <c r="O12"/>
  <c r="M50"/>
  <c r="N50" s="1"/>
  <c r="E196"/>
  <c r="E183"/>
  <c r="D14" i="4"/>
  <c r="D13" s="1"/>
  <c r="F19" i="13" l="1"/>
  <c r="D19"/>
  <c r="D18" s="1"/>
  <c r="F18"/>
  <c r="F107" s="1"/>
  <c r="F88" s="1"/>
  <c r="M88" s="1"/>
  <c r="M87" s="1"/>
  <c r="M86" s="1"/>
  <c r="M91" i="1" l="1"/>
  <c r="M93" s="1"/>
  <c r="L97"/>
  <c r="L96" s="1"/>
  <c r="P20" i="13"/>
  <c r="F87"/>
  <c r="F86" s="1"/>
  <c r="N87"/>
  <c r="N86" s="1"/>
  <c r="C65" i="1"/>
  <c r="K65" s="1"/>
  <c r="D107" i="13"/>
  <c r="D88" s="1"/>
  <c r="D87" s="1"/>
  <c r="D86" s="1"/>
  <c r="M92" i="1" l="1"/>
  <c r="K64"/>
  <c r="K63" s="1"/>
  <c r="K122"/>
  <c r="K133" s="1"/>
  <c r="J65"/>
  <c r="N65"/>
  <c r="N96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C106"/>
  <c r="J85"/>
  <c r="O63"/>
  <c r="C117"/>
  <c r="C118" s="1"/>
  <c r="L121"/>
  <c r="C121"/>
  <c r="J106" l="1"/>
  <c r="N85"/>
  <c r="J121"/>
  <c r="J117"/>
  <c r="J118" s="1"/>
  <c r="C196"/>
  <c r="C183"/>
  <c r="J196" l="1"/>
  <c r="J183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3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<sst xmlns="http://schemas.openxmlformats.org/spreadsheetml/2006/main" count="3613" uniqueCount="584">
  <si>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</si>
  <si>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</si>
  <si>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</si>
  <si>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</si>
  <si>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</si>
  <si>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</si>
  <si>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</si>
  <si>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</si>
  <si>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</si>
  <si>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</si>
  <si>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</si>
  <si>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</si>
  <si>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</si>
  <si>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</si>
  <si>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</si>
  <si>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</si>
  <si>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</si>
  <si>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</si>
  <si>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</si>
  <si>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</si>
  <si>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</si>
  <si>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</si>
  <si>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</si>
  <si>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</si>
  <si>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</si>
  <si>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</si>
  <si>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</si>
  <si>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</si>
  <si>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</si>
  <si>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</si>
  <si>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</si>
  <si>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</si>
  <si>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</si>
  <si>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</si>
  <si>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</si>
  <si>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</si>
  <si>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</si>
  <si>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</si>
  <si>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</si>
  <si>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</si>
  <si>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</si>
  <si>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</si>
  <si>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</si>
  <si>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</si>
  <si>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</si>
  <si>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</si>
  <si>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</si>
  <si>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</si>
  <si>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</si>
  <si>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</si>
  <si>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</si>
  <si>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</si>
  <si>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</si>
  <si>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</si>
  <si>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</si>
  <si>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</si>
  <si>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</si>
  <si>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</si>
  <si>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</si>
  <si>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</si>
  <si>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</si>
  <si>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</si>
  <si>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</si>
  <si>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</si>
  <si>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</si>
  <si>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</si>
  <si>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</si>
  <si>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</si>
  <si>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</si>
  <si>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</si>
  <si>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</si>
  <si>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</si>
  <si>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</si>
  <si>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</si>
  <si>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</si>
  <si>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</si>
  <si>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</si>
  <si>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</si>
  <si>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</si>
  <si>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</si>
  <si>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</si>
  <si>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</si>
  <si>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</si>
  <si>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</si>
  <si>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</si>
  <si>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</si>
  <si>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</si>
  <si>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</si>
  <si>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</si>
  <si>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</si>
  <si>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</si>
  <si>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</si>
  <si>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</si>
  <si>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</si>
  <si>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</si>
  <si>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</si>
  <si>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</si>
  <si>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</si>
  <si>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</si>
  <si>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</si>
  <si>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</si>
  <si>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</si>
  <si>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</si>
  <si>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</si>
  <si>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</si>
  <si>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</si>
  <si>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</si>
  <si>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</si>
  <si>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</si>
  <si>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</si>
  <si>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</si>
  <si>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</si>
  <si>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</si>
  <si>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</si>
  <si>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</si>
  <si>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</si>
  <si>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</si>
  <si>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</si>
  <si>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</si>
  <si>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</si>
  <si>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</si>
  <si>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</si>
  <si>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</si>
  <si>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</si>
  <si>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</si>
  <si>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</si>
  <si>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</si>
  <si>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</si>
  <si>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</si>
  <si>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</si>
  <si>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</si>
  <si>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</si>
  <si>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</si>
  <si>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</si>
  <si>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</si>
  <si>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</si>
  <si>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</si>
  <si>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</si>
  <si>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</si>
  <si>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</si>
  <si>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</si>
  <si>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</si>
  <si>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</si>
  <si>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</si>
  <si>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</si>
  <si>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</si>
  <si>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</si>
  <si>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</si>
  <si>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</si>
  <si>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</si>
  <si>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</si>
  <si>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</si>
  <si>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</si>
  <si>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</si>
  <si>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</si>
  <si>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</si>
  <si>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</si>
  <si>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</si>
  <si>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</si>
  <si>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</si>
  <si>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</si>
  <si>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</si>
  <si>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</si>
  <si>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</si>
  <si>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</si>
  <si>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</si>
  <si>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</si>
  <si>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</si>
  <si>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</si>
  <si>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</si>
  <si>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</si>
  <si>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</si>
  <si>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</si>
  <si>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</si>
  <si>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</si>
  <si>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</si>
  <si>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</si>
  <si>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</si>
  <si>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</si>
  <si>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</si>
  <si>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</si>
  <si>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</si>
  <si>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</si>
  <si>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</si>
  <si>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</si>
  <si>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</si>
  <si>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</si>
  <si>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</si>
  <si>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</si>
  <si>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</si>
  <si>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</si>
  <si>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</si>
  <si>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</si>
  <si>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</si>
  <si>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</si>
  <si>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</si>
  <si>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</si>
  <si>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</si>
  <si>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</si>
  <si>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</si>
  <si>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</si>
  <si>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</si>
  <si>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</si>
  <si>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</si>
  <si>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</si>
  <si>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</si>
  <si>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</si>
  <si>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</si>
  <si>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</si>
  <si>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</si>
  <si>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</si>
  <si>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</si>
  <si>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</si>
  <si>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</si>
  <si>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</si>
  <si>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</si>
  <si>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</si>
  <si>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</si>
  <si>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</si>
  <si>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</si>
  <si>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</si>
  <si>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</si>
  <si>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23.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</si>
  <si>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</si>
  <si>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</si>
  <si>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</si>
  <si>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</si>
  <si>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</si>
  <si>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</si>
  <si>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</si>
  <si>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</si>
  <si>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</si>
  <si>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</si>
  <si>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</si>
  <si>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</si>
  <si>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</si>
  <si>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</si>
  <si>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</si>
  <si>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</si>
  <si>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</si>
  <si>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</si>
  <si>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</si>
  <si>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</si>
  <si>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</si>
  <si>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</si>
  <si>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</si>
  <si>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</si>
  <si>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</si>
  <si>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</si>
  <si>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</si>
  <si>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</si>
  <si>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</si>
  <si>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</si>
  <si>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</si>
  <si>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</si>
  <si>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</si>
  <si>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</si>
  <si>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</si>
  <si>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</si>
  <si>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</si>
  <si>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</si>
  <si>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</si>
  <si>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</si>
  <si>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</si>
  <si>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</si>
  <si>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</si>
  <si>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</si>
  <si>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</si>
  <si>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</si>
  <si>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</si>
  <si>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</si>
  <si>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</si>
  <si>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</si>
  <si>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</si>
  <si>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</si>
  <si>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</si>
  <si>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</si>
  <si>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</si>
  <si>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</si>
  <si>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</si>
  <si>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</si>
  <si>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</si>
  <si>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</si>
  <si>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</si>
  <si>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</si>
  <si>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</si>
  <si>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</si>
  <si>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</si>
  <si>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</si>
  <si>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</si>
  <si>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</si>
  <si>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</si>
  <si>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</si>
  <si>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</si>
  <si>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</si>
  <si>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</si>
  <si>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</si>
  <si>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</si>
  <si>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</si>
  <si>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</si>
  <si>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</si>
  <si>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</si>
  <si>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</si>
  <si>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</si>
  <si>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</si>
  <si>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</si>
  <si>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</si>
  <si>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</si>
  <si>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</si>
  <si>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</si>
  <si>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</si>
  <si>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</si>
  <si>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</si>
  <si>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</si>
  <si>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</si>
  <si>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</si>
  <si>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</si>
  <si>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</si>
  <si>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WUP
 w Szczecinie
pod nadzorem WZS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</si>
  <si>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</si>
  <si>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</si>
  <si>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</si>
  <si>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</si>
  <si>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</si>
  <si>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</si>
  <si>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</si>
  <si>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</si>
  <si>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</si>
  <si>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</si>
  <si>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</si>
  <si>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</si>
  <si>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</si>
  <si>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</si>
  <si>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</si>
  <si>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</si>
  <si>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</si>
  <si>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</si>
  <si>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</si>
  <si>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</si>
  <si>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</si>
  <si>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</si>
  <si>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</si>
  <si>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</si>
  <si>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</si>
  <si>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Oś Priorytetowa VI, Pomoc Techniczna w ramach  PO WER 2014-2020 - wydatki majątkowe (2015-2020)</t>
  </si>
  <si>
    <t>Modernizacja i remont dziedzińców Zamku Książąt Pomorskich w Szczecinie (2017-2018)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</si>
  <si>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</si>
  <si>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</si>
  <si>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</si>
  <si>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</si>
  <si>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rozdz. 01078</t>
  </si>
  <si>
    <t>Utrzymanie szlaków rowerowych na wybranych odcinkach wałów przeciwpowodziowych w Województwie Zachodniopomorskim</t>
  </si>
  <si>
    <t>RPO WZ NA LATA 2007-2013</t>
  </si>
  <si>
    <t>Projekt ochrony przeciwpowodziowej w dorzeczu Odry i Wisły - komponent 1.A Ochrona przed powodzią obszarów na terenie Województwa Zachodniopomorskiego (2017 - 2022)</t>
  </si>
  <si>
    <t>Utrzymanie szlaków rowerowych na wybranych odcinkach wałów przeciwpowodziowych w Województwie Zachodniopomorskim (2019 - 2023)</t>
  </si>
  <si>
    <t xml:space="preserve">Budowa niebieskiego korytarza ekologicznego wzdłuż doliny rzeki Regi  i jej dopływów w ramach Instrumentu Finansowego LIFE+ (2012-2019) 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</si>
  <si>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</si>
  <si>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</si>
  <si>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</si>
  <si>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</si>
  <si>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</si>
  <si>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</si>
  <si>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</si>
  <si>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</si>
  <si>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</si>
  <si>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</si>
  <si>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</si>
  <si>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</si>
  <si>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</si>
  <si>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</si>
  <si>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</si>
  <si>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</si>
  <si>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</si>
  <si>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</si>
  <si>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</si>
  <si>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</si>
  <si>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</si>
  <si>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</si>
  <si>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</si>
  <si>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</si>
  <si>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t xml:space="preserve">Wzmacnianie ochrony bociana białego i nietoperzy oraz realizacja zadań czynnej ochrony w rezerwatach przyrody na obszarach parków krajobrazowych województwa zachodniopomorskiego- bieżące" w ramach Osi IV RPO (2017-2020) 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</si>
  <si>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</si>
  <si>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</si>
  <si>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</si>
  <si>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</si>
  <si>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</si>
  <si>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</si>
  <si>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</si>
  <si>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</si>
  <si>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</si>
  <si>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</si>
  <si>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</si>
  <si>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</si>
  <si>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</si>
  <si>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</si>
  <si>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</si>
  <si>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</si>
  <si>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</si>
  <si>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</si>
  <si>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</si>
  <si>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</si>
  <si>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</si>
  <si>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</si>
  <si>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</si>
  <si>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</si>
  <si>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</si>
  <si>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</si>
  <si>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</si>
  <si>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</si>
  <si>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</si>
  <si>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</si>
  <si>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</si>
  <si>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</si>
  <si>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</si>
  <si>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</si>
  <si>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</si>
  <si>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</si>
  <si>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</si>
  <si>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</si>
  <si>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</si>
  <si>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</si>
  <si>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</si>
  <si>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</si>
  <si>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</si>
  <si>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</si>
  <si>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</si>
  <si>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</si>
  <si>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</si>
  <si>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</si>
  <si>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</si>
  <si>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</si>
  <si>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</si>
  <si>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</si>
  <si>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</si>
  <si>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</si>
  <si>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</si>
  <si>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</si>
  <si>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</si>
  <si>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</si>
  <si>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</si>
  <si>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</si>
  <si>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</si>
  <si>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</si>
  <si>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</si>
  <si>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</si>
  <si>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</si>
  <si>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</si>
  <si>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</si>
  <si>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</si>
  <si>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</si>
  <si>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</si>
  <si>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</si>
  <si>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</si>
  <si>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decyzja z 25.09.17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</si>
  <si>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</si>
  <si>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</si>
  <si>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</si>
  <si>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</si>
  <si>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</si>
  <si>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</si>
  <si>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</si>
  <si>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</si>
  <si>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</si>
  <si>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t>Limit zobowiązań 
w latach 
2018-2023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</si>
  <si>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</si>
  <si>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</si>
  <si>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</si>
  <si>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GM/
COIiE/
WWT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</si>
  <si>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</si>
  <si>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</si>
  <si>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</si>
  <si>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</si>
  <si>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(2017-2019)</t>
    </r>
  </si>
  <si>
    <t>Wyposażenie w nowoczesny sprzęt Zachodniopomorskiej Książnicy Cyfrowej w Szczecinie w ramach Osi VIII PO IiŚ (2017-2018)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</si>
  <si>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</si>
  <si>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</si>
  <si>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</si>
  <si>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</si>
  <si>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</si>
  <si>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</si>
  <si>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</si>
  <si>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</si>
  <si>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</si>
  <si>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</si>
  <si>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</si>
  <si>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</si>
  <si>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</si>
  <si>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</si>
  <si>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</si>
  <si>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</si>
  <si>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</si>
  <si>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</si>
  <si>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</si>
  <si>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</si>
  <si>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</si>
  <si>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</si>
  <si>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</si>
  <si>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Zrównoważona turystyka wodna w unikalnej Dolinie Dolnej Odry w ramach programu Interreg V A - wydatki majątkowe (2016-2020)</t>
  </si>
  <si>
    <t>Zrównoważona turystyka wodna w unikalnej Dolinie Dolnej Odry w ramach programu Interreg V A (2018-2020)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</si>
  <si>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</si>
  <si>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</si>
  <si>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Wspólne dziedzictwo wspólna przyszłość w ramach programu INTERREG VA (2014-2020)</t>
  </si>
  <si>
    <t>Wspólne dziedzictwo wspólna przyszłość w ramach programu INTERREG VA - wydatki majątkowe (2014-2020)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</si>
  <si>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</si>
  <si>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</si>
  <si>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</si>
  <si>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</si>
  <si>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</si>
  <si>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</si>
  <si>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</si>
  <si>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family val="2"/>
        <charset val="238"/>
      </rPr>
      <t>w ramach RPO WZ, Osi IV</t>
    </r>
    <r>
      <rPr>
        <b/>
        <sz val="9"/>
        <rFont val="Arial CE"/>
        <family val="2"/>
        <charset val="238"/>
      </rPr>
      <t xml:space="preserve"> (2016-2018)</t>
    </r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</si>
  <si>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</si>
  <si>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</si>
  <si>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</si>
  <si>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</si>
  <si>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</si>
  <si>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</si>
  <si>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</si>
  <si>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</si>
  <si>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</si>
  <si>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</si>
  <si>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</si>
  <si>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</si>
  <si>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Przystosowanie mostu europejskiego Siekierki-Neurudnitz do ruchu turystycznego w ramach programu Interreg V A - wydatki majątkowe (2016-2020)</t>
  </si>
  <si>
    <t>Przystosowanie mostu europejskiego Siekierki-Neurudnitz do ruchu turystycznego w ramach programu Interreg V A (2016-2020)</t>
  </si>
  <si>
    <t>Wykonanie 
2017 r.</t>
  </si>
  <si>
    <t>Wykonanie
2017 r.</t>
  </si>
  <si>
    <t>WYDATKI ŁĄCZNIE - 
stan na 27 LUTEGO  2018 r.</t>
  </si>
  <si>
    <t>DOCHODY ŁĄCZNIE - 
stan na 27 LUTEGO 2018 r.</t>
  </si>
  <si>
    <t>WYDATKI ŁĄCZNIE - 
stan na 24 KWIETNIA 2018 r.</t>
  </si>
  <si>
    <t>DOCHODY ŁĄCZNIE - 
stan na 24 KWIETNIA 2018 r.</t>
  </si>
  <si>
    <t>ROPS
WZS</t>
  </si>
  <si>
    <t xml:space="preserve">rozdz. 
75018
85595
</t>
  </si>
  <si>
    <t>rozdz. 
85395</t>
  </si>
  <si>
    <t>PO WER, w tym Pomoc Techniczna - dochody</t>
  </si>
  <si>
    <t>PO WER, w tym Pomoc Techniczna - wydatki</t>
  </si>
  <si>
    <t>Rozbudowa drogi wojewódzkiej nr 114 na szlakowym odcinku Brzózki - Trzebież oraz przebudowa przejścia przez miejscowości Warnołęka i Brzózki w ramach Osi V RPO WZ (2018-2020)</t>
  </si>
  <si>
    <t>Rozbudowa Teatru Polskiego w Szczecinie w ramach RPO WZ (2018-2021)</t>
  </si>
  <si>
    <t xml:space="preserve">ROPS
</t>
  </si>
  <si>
    <t xml:space="preserve">rozdz. 
85595
</t>
  </si>
  <si>
    <t>Likwidacja skutków katastrofy budowlanej w skrzydle północnym Zamku Książąt Pomorskich w Szczecinie (2017-2018)</t>
  </si>
  <si>
    <t xml:space="preserve">Kompleksowe zagospodarowanie tarasów Zamku Książąt Pomorskich w Szczecinie (2015-2020) 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</si>
  <si>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</si>
  <si>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</si>
  <si>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</si>
  <si>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</si>
  <si>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Nawigator Samodzielności w ramach działania 7.6 PRO WZ - wydatki majątkowe (2018 - 2020)</t>
  </si>
  <si>
    <t>Nawigator Samodzielności w ramach działania 7.6 PRO WZ (2018-2020)</t>
  </si>
  <si>
    <t>Akademia Rodzica Zastępczego w ramach działania 7.6 RPO WZ (2018-2019)</t>
  </si>
  <si>
    <t>Limity zobowiązań 2018-2032 i lata następne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</si>
  <si>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</si>
  <si>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</si>
  <si>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</si>
  <si>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</si>
  <si>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</si>
  <si>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</si>
  <si>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</si>
  <si>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</si>
  <si>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</si>
  <si>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</si>
  <si>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</si>
  <si>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(2017-2018)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</si>
  <si>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</si>
  <si>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</si>
  <si>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</si>
  <si>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</si>
  <si>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</si>
  <si>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</si>
  <si>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</si>
  <si>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</si>
  <si>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</si>
  <si>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</si>
  <si>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t>Przebudowa i rozbudowa przejścia drogi wojewódzkiej nr 120 przez m. Wełtyń w ramach IW INTERREG V A (2016-2018)</t>
  </si>
  <si>
    <t>Przebudowa i rozbudowa przejścia drogowego przez m. Tanowo na drodze woj. Nr 115 w ramach IW INTERREG V A (2010-2019)</t>
  </si>
  <si>
    <t>Przebudowa i rozbudowa przejścia drogi woj. nr 125 przez m. Golice i m. Klępicz w ramach IW INTERREG V A (2016-2019)</t>
  </si>
  <si>
    <t>Przebudowa i rozbudowa przejścia drogi woj. nr 114 przez m. Brzózki w ramach IW INTERREG V A (2016-2017)</t>
  </si>
  <si>
    <t>TENTacle – wykorzystanie korytarzy sieci bazowej TEN-T w ramach IW INTERREG VB (2016-2019)</t>
  </si>
  <si>
    <t>ROPS/
WZS</t>
  </si>
  <si>
    <t>** W kolumnie 4 uwzględniono dochody w kwocie 7.083.560 zł, których wpływ zaplanowano na 2024 r.</t>
  </si>
  <si>
    <t>*** W kolumnie 4 uwzględniono dochody w kwocie 311.071 zł, których wpływ zaplanowano na 2024 r.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</si>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</sst>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</numFmts>
  <fonts count="9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b/>
      <sz val="9"/>
      <color rgb="FF0000FF"/>
      <name val="Arial CE"/>
      <family val="2"/>
      <charset val="238"/>
    </font>
    <font>
      <b/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9"/>
      <color rgb="FF0000FF"/>
      <name val="Arial CE"/>
      <charset val="238"/>
    </font>
    <font>
      <sz val="9"/>
      <color rgb="FF0000FF"/>
      <name val="Arial CE"/>
      <charset val="238"/>
    </font>
    <font>
      <sz val="8"/>
      <color rgb="FF0000FF"/>
      <name val="Arial CE"/>
      <family val="2"/>
      <charset val="238"/>
    </font>
    <font>
      <b/>
      <i/>
      <sz val="9"/>
      <color rgb="FF0000FF"/>
      <name val="Arial CE"/>
      <charset val="238"/>
    </font>
    <font>
      <sz val="7.5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Arial CE"/>
      <family val="2"/>
      <charset val="238"/>
    </font>
    <font>
      <b/>
      <sz val="10"/>
      <color rgb="FF0000FF"/>
      <name val="Arial"/>
      <family val="2"/>
      <charset val="238"/>
    </font>
    <font>
      <sz val="8"/>
      <color rgb="FF0000FF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8" borderId="88" applyNumberFormat="0" applyProtection="0">
      <alignment horizontal="right" vertical="center"/>
    </xf>
    <xf numFmtId="4" fontId="51" fillId="49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50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51" borderId="88" applyNumberFormat="0" applyProtection="0">
      <alignment horizontal="left" vertical="center" indent="1"/>
    </xf>
    <xf numFmtId="4" fontId="51" fillId="52" borderId="89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52" borderId="88" applyNumberFormat="0" applyProtection="0">
      <alignment horizontal="left" vertical="center" indent="1"/>
    </xf>
    <xf numFmtId="4" fontId="5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52" borderId="88" applyNumberFormat="0" applyProtection="0">
      <alignment horizontal="right" vertical="center"/>
    </xf>
    <xf numFmtId="4" fontId="52" fillId="52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52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8" borderId="98" applyNumberFormat="0" applyProtection="0">
      <alignment horizontal="right" vertical="center"/>
    </xf>
    <xf numFmtId="4" fontId="51" fillId="49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50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51" borderId="98" applyNumberFormat="0" applyProtection="0">
      <alignment horizontal="left" vertical="center" indent="1"/>
    </xf>
    <xf numFmtId="4" fontId="51" fillId="52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52" borderId="98" applyNumberFormat="0" applyProtection="0">
      <alignment horizontal="left" vertical="center" indent="1"/>
    </xf>
    <xf numFmtId="4" fontId="5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52" borderId="98" applyNumberFormat="0" applyProtection="0">
      <alignment horizontal="right" vertical="center"/>
    </xf>
    <xf numFmtId="4" fontId="52" fillId="52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52" borderId="98" applyNumberFormat="0" applyProtection="0">
      <alignment horizontal="right" vertical="center"/>
    </xf>
    <xf numFmtId="0" fontId="4" fillId="0" borderId="0"/>
    <xf numFmtId="4" fontId="51" fillId="13" borderId="151" applyNumberFormat="0" applyProtection="0">
      <alignment horizontal="left" vertical="center" indent="1"/>
    </xf>
    <xf numFmtId="4" fontId="51" fillId="12" borderId="160" applyNumberFormat="0" applyProtection="0">
      <alignment horizontal="right" vertical="center"/>
    </xf>
    <xf numFmtId="4" fontId="51" fillId="13" borderId="151" applyNumberFormat="0" applyProtection="0">
      <alignment horizontal="left" vertical="center" indent="1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vertical="center"/>
    </xf>
    <xf numFmtId="4" fontId="51" fillId="17" borderId="160" applyNumberFormat="0" applyProtection="0">
      <alignment horizontal="right" vertical="center"/>
    </xf>
    <xf numFmtId="4" fontId="53" fillId="51" borderId="160" applyNumberFormat="0" applyProtection="0">
      <alignment horizontal="left" vertical="center" indent="1"/>
    </xf>
    <xf numFmtId="0" fontId="2" fillId="0" borderId="0"/>
    <xf numFmtId="4" fontId="51" fillId="13" borderId="159" applyNumberFormat="0" applyProtection="0">
      <alignment vertical="center"/>
    </xf>
    <xf numFmtId="4" fontId="52" fillId="13" borderId="159" applyNumberFormat="0" applyProtection="0">
      <alignment vertical="center"/>
    </xf>
    <xf numFmtId="4" fontId="51" fillId="13" borderId="159" applyNumberFormat="0" applyProtection="0">
      <alignment horizontal="left" vertical="center" indent="1"/>
    </xf>
    <xf numFmtId="4" fontId="51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35" borderId="159" applyNumberFormat="0" applyProtection="0">
      <alignment horizontal="right" vertical="center"/>
    </xf>
    <xf numFmtId="4" fontId="51" fillId="48" borderId="159" applyNumberFormat="0" applyProtection="0">
      <alignment horizontal="right" vertical="center"/>
    </xf>
    <xf numFmtId="4" fontId="51" fillId="49" borderId="159" applyNumberFormat="0" applyProtection="0">
      <alignment horizontal="right" vertical="center"/>
    </xf>
    <xf numFmtId="4" fontId="51" fillId="12" borderId="159" applyNumberFormat="0" applyProtection="0">
      <alignment horizontal="right" vertical="center"/>
    </xf>
    <xf numFmtId="4" fontId="51" fillId="50" borderId="159" applyNumberFormat="0" applyProtection="0">
      <alignment horizontal="right" vertical="center"/>
    </xf>
    <xf numFmtId="4" fontId="51" fillId="15" borderId="159" applyNumberFormat="0" applyProtection="0">
      <alignment horizontal="right" vertical="center"/>
    </xf>
    <xf numFmtId="4" fontId="51" fillId="17" borderId="159" applyNumberFormat="0" applyProtection="0">
      <alignment horizontal="right" vertical="center"/>
    </xf>
    <xf numFmtId="4" fontId="51" fillId="16" borderId="159" applyNumberFormat="0" applyProtection="0">
      <alignment horizontal="right" vertical="center"/>
    </xf>
    <xf numFmtId="4" fontId="51" fillId="19" borderId="159" applyNumberFormat="0" applyProtection="0">
      <alignment horizontal="right" vertical="center"/>
    </xf>
    <xf numFmtId="4" fontId="53" fillId="51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20" borderId="159" applyNumberFormat="0" applyProtection="0">
      <alignment vertical="center"/>
    </xf>
    <xf numFmtId="4" fontId="52" fillId="20" borderId="159" applyNumberFormat="0" applyProtection="0">
      <alignment vertical="center"/>
    </xf>
    <xf numFmtId="4" fontId="51" fillId="20" borderId="159" applyNumberFormat="0" applyProtection="0">
      <alignment horizontal="left" vertical="center" indent="1"/>
    </xf>
    <xf numFmtId="4" fontId="51" fillId="20" borderId="159" applyNumberFormat="0" applyProtection="0">
      <alignment horizontal="left" vertical="center" indent="1"/>
    </xf>
    <xf numFmtId="4" fontId="51" fillId="52" borderId="159" applyNumberFormat="0" applyProtection="0">
      <alignment horizontal="right" vertical="center"/>
    </xf>
    <xf numFmtId="4" fontId="52" fillId="52" borderId="159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52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52" borderId="159" applyNumberFormat="0" applyProtection="0">
      <alignment horizontal="left" vertical="center" indent="1"/>
    </xf>
    <xf numFmtId="0" fontId="4" fillId="54" borderId="159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8" borderId="147" applyNumberFormat="0" applyProtection="0">
      <alignment horizontal="right" vertical="center"/>
    </xf>
    <xf numFmtId="4" fontId="51" fillId="49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50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51" borderId="147" applyNumberFormat="0" applyProtection="0">
      <alignment horizontal="left" vertical="center" indent="1"/>
    </xf>
    <xf numFmtId="4" fontId="51" fillId="52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52" borderId="147" applyNumberFormat="0" applyProtection="0">
      <alignment horizontal="left" vertical="center" indent="1"/>
    </xf>
    <xf numFmtId="4" fontId="5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54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52" borderId="147" applyNumberFormat="0" applyProtection="0">
      <alignment horizontal="right" vertical="center"/>
    </xf>
    <xf numFmtId="4" fontId="52" fillId="52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52" borderId="147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0" borderId="0"/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8" borderId="149" applyNumberFormat="0" applyProtection="0">
      <alignment horizontal="right" vertical="center"/>
    </xf>
    <xf numFmtId="4" fontId="51" fillId="49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50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51" borderId="149" applyNumberFormat="0" applyProtection="0">
      <alignment horizontal="left" vertical="center" indent="1"/>
    </xf>
    <xf numFmtId="4" fontId="51" fillId="52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52" borderId="149" applyNumberFormat="0" applyProtection="0">
      <alignment horizontal="left" vertical="center" indent="1"/>
    </xf>
    <xf numFmtId="4" fontId="5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54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52" borderId="149" applyNumberFormat="0" applyProtection="0">
      <alignment horizontal="right" vertical="center"/>
    </xf>
    <xf numFmtId="4" fontId="52" fillId="52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52" borderId="149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2" applyNumberFormat="0" applyProtection="0">
      <alignment horizontal="left" vertical="center" indent="1"/>
    </xf>
    <xf numFmtId="4" fontId="51" fillId="52" borderId="157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4" borderId="160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30" borderId="159" applyNumberFormat="0" applyProtection="0">
      <alignment horizontal="left" vertical="center" indent="1"/>
    </xf>
    <xf numFmtId="4" fontId="5" fillId="54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8" borderId="151" applyNumberFormat="0" applyProtection="0">
      <alignment horizontal="right" vertical="center"/>
    </xf>
    <xf numFmtId="4" fontId="51" fillId="49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50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51" borderId="151" applyNumberFormat="0" applyProtection="0">
      <alignment horizontal="left" vertical="center" indent="1"/>
    </xf>
    <xf numFmtId="4" fontId="51" fillId="52" borderId="153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52" borderId="151" applyNumberFormat="0" applyProtection="0">
      <alignment horizontal="left" vertical="center" indent="1"/>
    </xf>
    <xf numFmtId="4" fontId="5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54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52" borderId="151" applyNumberFormat="0" applyProtection="0">
      <alignment horizontal="right" vertical="center"/>
    </xf>
    <xf numFmtId="4" fontId="52" fillId="52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52" borderId="151" applyNumberFormat="0" applyProtection="0">
      <alignment horizontal="right" vertical="center"/>
    </xf>
    <xf numFmtId="0" fontId="4" fillId="54" borderId="159" applyNumberFormat="0" applyProtection="0">
      <alignment horizontal="left" vertical="center" indent="1"/>
    </xf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8" borderId="160" applyNumberFormat="0" applyProtection="0">
      <alignment horizontal="right" vertical="center"/>
    </xf>
    <xf numFmtId="4" fontId="51" fillId="52" borderId="154" applyNumberFormat="0" applyProtection="0">
      <alignment horizontal="left" vertical="center" indent="1"/>
    </xf>
    <xf numFmtId="4" fontId="51" fillId="52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52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52" borderId="160" applyNumberFormat="0" applyProtection="0">
      <alignment horizontal="right" vertical="center"/>
    </xf>
    <xf numFmtId="4" fontId="52" fillId="52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50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15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49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8" borderId="155" applyNumberFormat="0" applyProtection="0">
      <alignment horizontal="right" vertical="center"/>
    </xf>
    <xf numFmtId="4" fontId="51" fillId="49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50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51" borderId="155" applyNumberFormat="0" applyProtection="0">
      <alignment horizontal="left" vertical="center" indent="1"/>
    </xf>
    <xf numFmtId="4" fontId="51" fillId="52" borderId="156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52" borderId="155" applyNumberFormat="0" applyProtection="0">
      <alignment horizontal="left" vertical="center" indent="1"/>
    </xf>
    <xf numFmtId="4" fontId="5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54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52" borderId="155" applyNumberFormat="0" applyProtection="0">
      <alignment horizontal="right" vertical="center"/>
    </xf>
    <xf numFmtId="4" fontId="52" fillId="52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6" fillId="52" borderId="155" applyNumberFormat="0" applyProtection="0">
      <alignment horizontal="right" vertical="center"/>
    </xf>
    <xf numFmtId="4" fontId="51" fillId="52" borderId="164" applyNumberFormat="0" applyProtection="0">
      <alignment horizontal="left" vertical="center" indent="1"/>
    </xf>
    <xf numFmtId="4" fontId="51" fillId="52" borderId="158" applyNumberFormat="0" applyProtection="0">
      <alignment horizontal="left" vertical="center" indent="1"/>
    </xf>
    <xf numFmtId="4" fontId="51" fillId="19" borderId="160" applyNumberFormat="0" applyProtection="0">
      <alignment horizontal="right" vertical="center"/>
    </xf>
    <xf numFmtId="4" fontId="56" fillId="52" borderId="160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2" fillId="13" borderId="162" applyNumberFormat="0" applyProtection="0">
      <alignment vertical="center"/>
    </xf>
    <xf numFmtId="4" fontId="51" fillId="13" borderId="162" applyNumberFormat="0" applyProtection="0">
      <alignment horizontal="left" vertical="center" indent="1"/>
    </xf>
    <xf numFmtId="4" fontId="51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35" borderId="162" applyNumberFormat="0" applyProtection="0">
      <alignment horizontal="right" vertical="center"/>
    </xf>
    <xf numFmtId="4" fontId="51" fillId="48" borderId="162" applyNumberFormat="0" applyProtection="0">
      <alignment horizontal="right" vertical="center"/>
    </xf>
    <xf numFmtId="4" fontId="51" fillId="49" borderId="162" applyNumberFormat="0" applyProtection="0">
      <alignment horizontal="right" vertical="center"/>
    </xf>
    <xf numFmtId="4" fontId="51" fillId="12" borderId="162" applyNumberFormat="0" applyProtection="0">
      <alignment horizontal="right" vertical="center"/>
    </xf>
    <xf numFmtId="4" fontId="51" fillId="50" borderId="162" applyNumberFormat="0" applyProtection="0">
      <alignment horizontal="right" vertical="center"/>
    </xf>
    <xf numFmtId="4" fontId="51" fillId="15" borderId="162" applyNumberFormat="0" applyProtection="0">
      <alignment horizontal="right" vertical="center"/>
    </xf>
    <xf numFmtId="4" fontId="51" fillId="17" borderId="162" applyNumberFormat="0" applyProtection="0">
      <alignment horizontal="right" vertical="center"/>
    </xf>
    <xf numFmtId="4" fontId="51" fillId="16" borderId="162" applyNumberFormat="0" applyProtection="0">
      <alignment horizontal="right" vertical="center"/>
    </xf>
    <xf numFmtId="4" fontId="51" fillId="19" borderId="162" applyNumberFormat="0" applyProtection="0">
      <alignment horizontal="right" vertical="center"/>
    </xf>
    <xf numFmtId="4" fontId="53" fillId="51" borderId="162" applyNumberFormat="0" applyProtection="0">
      <alignment horizontal="left" vertical="center" indent="1"/>
    </xf>
    <xf numFmtId="4" fontId="51" fillId="52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52" borderId="162" applyNumberFormat="0" applyProtection="0">
      <alignment horizontal="left" vertical="center" indent="1"/>
    </xf>
    <xf numFmtId="4" fontId="5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54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2" fillId="20" borderId="162" applyNumberFormat="0" applyProtection="0">
      <alignment vertical="center"/>
    </xf>
    <xf numFmtId="4" fontId="51" fillId="20" borderId="162" applyNumberFormat="0" applyProtection="0">
      <alignment horizontal="left" vertical="center" indent="1"/>
    </xf>
    <xf numFmtId="4" fontId="51" fillId="20" borderId="162" applyNumberFormat="0" applyProtection="0">
      <alignment horizontal="left" vertical="center" indent="1"/>
    </xf>
    <xf numFmtId="4" fontId="51" fillId="52" borderId="162" applyNumberFormat="0" applyProtection="0">
      <alignment horizontal="right" vertical="center"/>
    </xf>
    <xf numFmtId="4" fontId="52" fillId="52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6" fillId="52" borderId="162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8" borderId="165" applyNumberFormat="0" applyProtection="0">
      <alignment horizontal="right" vertical="center"/>
    </xf>
    <xf numFmtId="4" fontId="51" fillId="49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50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51" borderId="165" applyNumberFormat="0" applyProtection="0">
      <alignment horizontal="left" vertical="center" indent="1"/>
    </xf>
    <xf numFmtId="4" fontId="51" fillId="52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52" borderId="165" applyNumberFormat="0" applyProtection="0">
      <alignment horizontal="left" vertical="center" indent="1"/>
    </xf>
    <xf numFmtId="4" fontId="5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54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52" borderId="165" applyNumberFormat="0" applyProtection="0">
      <alignment horizontal="right" vertical="center"/>
    </xf>
    <xf numFmtId="4" fontId="52" fillId="52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52" borderId="165" applyNumberFormat="0" applyProtection="0">
      <alignment horizontal="right" vertical="center"/>
    </xf>
    <xf numFmtId="0" fontId="1" fillId="0" borderId="0"/>
    <xf numFmtId="4" fontId="51" fillId="13" borderId="179" applyNumberFormat="0" applyProtection="0">
      <alignment vertical="center"/>
    </xf>
    <xf numFmtId="4" fontId="52" fillId="13" borderId="179" applyNumberFormat="0" applyProtection="0">
      <alignment vertical="center"/>
    </xf>
    <xf numFmtId="4" fontId="51" fillId="13" borderId="179" applyNumberFormat="0" applyProtection="0">
      <alignment horizontal="left" vertical="center" indent="1"/>
    </xf>
    <xf numFmtId="4" fontId="51" fillId="1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35" borderId="179" applyNumberFormat="0" applyProtection="0">
      <alignment horizontal="right" vertical="center"/>
    </xf>
    <xf numFmtId="4" fontId="51" fillId="48" borderId="179" applyNumberFormat="0" applyProtection="0">
      <alignment horizontal="right" vertical="center"/>
    </xf>
    <xf numFmtId="4" fontId="51" fillId="49" borderId="179" applyNumberFormat="0" applyProtection="0">
      <alignment horizontal="right" vertical="center"/>
    </xf>
    <xf numFmtId="4" fontId="51" fillId="12" borderId="179" applyNumberFormat="0" applyProtection="0">
      <alignment horizontal="right" vertical="center"/>
    </xf>
    <xf numFmtId="4" fontId="51" fillId="50" borderId="179" applyNumberFormat="0" applyProtection="0">
      <alignment horizontal="right" vertical="center"/>
    </xf>
    <xf numFmtId="4" fontId="51" fillId="15" borderId="179" applyNumberFormat="0" applyProtection="0">
      <alignment horizontal="right" vertical="center"/>
    </xf>
    <xf numFmtId="4" fontId="51" fillId="17" borderId="179" applyNumberFormat="0" applyProtection="0">
      <alignment horizontal="right" vertical="center"/>
    </xf>
    <xf numFmtId="4" fontId="51" fillId="16" borderId="179" applyNumberFormat="0" applyProtection="0">
      <alignment horizontal="right" vertical="center"/>
    </xf>
    <xf numFmtId="4" fontId="51" fillId="19" borderId="179" applyNumberFormat="0" applyProtection="0">
      <alignment horizontal="right" vertical="center"/>
    </xf>
    <xf numFmtId="4" fontId="53" fillId="51" borderId="179" applyNumberFormat="0" applyProtection="0">
      <alignment horizontal="left" vertical="center" indent="1"/>
    </xf>
    <xf numFmtId="4" fontId="51" fillId="52" borderId="180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" fillId="52" borderId="179" applyNumberFormat="0" applyProtection="0">
      <alignment horizontal="left" vertical="center" indent="1"/>
    </xf>
    <xf numFmtId="4" fontId="5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54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20" borderId="179" applyNumberFormat="0" applyProtection="0">
      <alignment vertical="center"/>
    </xf>
    <xf numFmtId="4" fontId="52" fillId="20" borderId="179" applyNumberFormat="0" applyProtection="0">
      <alignment vertical="center"/>
    </xf>
    <xf numFmtId="4" fontId="51" fillId="20" borderId="179" applyNumberFormat="0" applyProtection="0">
      <alignment horizontal="left" vertical="center" indent="1"/>
    </xf>
    <xf numFmtId="4" fontId="51" fillId="20" borderId="179" applyNumberFormat="0" applyProtection="0">
      <alignment horizontal="left" vertical="center" indent="1"/>
    </xf>
    <xf numFmtId="4" fontId="51" fillId="52" borderId="179" applyNumberFormat="0" applyProtection="0">
      <alignment horizontal="right" vertical="center"/>
    </xf>
    <xf numFmtId="4" fontId="52" fillId="52" borderId="179" applyNumberFormat="0" applyProtection="0">
      <alignment horizontal="right" vertical="center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6" fillId="52" borderId="179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1" fillId="12" borderId="181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1" fillId="17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1" fillId="0" borderId="0"/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30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0" fontId="4" fillId="54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50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5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1" fillId="52" borderId="182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4" fontId="51" fillId="19" borderId="181" applyNumberFormat="0" applyProtection="0">
      <alignment horizontal="right" vertical="center"/>
    </xf>
    <xf numFmtId="4" fontId="56" fillId="52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8" borderId="181" applyNumberFormat="0" applyProtection="0">
      <alignment horizontal="right" vertical="center"/>
    </xf>
    <xf numFmtId="4" fontId="51" fillId="49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50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51" borderId="181" applyNumberFormat="0" applyProtection="0">
      <alignment horizontal="left" vertical="center" indent="1"/>
    </xf>
    <xf numFmtId="4" fontId="51" fillId="52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52" borderId="181" applyNumberFormat="0" applyProtection="0">
      <alignment horizontal="left" vertical="center" indent="1"/>
    </xf>
    <xf numFmtId="4" fontId="5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54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52" borderId="181" applyNumberFormat="0" applyProtection="0">
      <alignment horizontal="right" vertical="center"/>
    </xf>
    <xf numFmtId="4" fontId="52" fillId="52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52" borderId="181" applyNumberFormat="0" applyProtection="0">
      <alignment horizontal="right" vertical="center"/>
    </xf>
  </cellStyleXfs>
  <cellXfs count="3891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7" fillId="13" borderId="0" xfId="4" applyFont="1" applyFill="1" applyBorder="1" applyAlignment="1">
      <alignment horizontal="right" vertical="center"/>
    </xf>
    <xf numFmtId="3" fontId="7" fillId="13" borderId="10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3" fontId="31" fillId="0" borderId="90" xfId="0" applyNumberFormat="1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5" borderId="28" xfId="4" applyFont="1" applyFill="1" applyBorder="1" applyAlignment="1">
      <alignment horizontal="left" vertical="center"/>
    </xf>
    <xf numFmtId="3" fontId="27" fillId="55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103" xfId="4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0" fontId="25" fillId="6" borderId="112" xfId="4" applyFont="1" applyFill="1" applyBorder="1" applyAlignment="1">
      <alignment horizontal="lef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3" fontId="24" fillId="6" borderId="103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9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5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9" fillId="59" borderId="0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27" fillId="2" borderId="112" xfId="4" applyNumberFormat="1" applyFont="1" applyFill="1" applyBorder="1" applyAlignment="1">
      <alignment vertical="center" wrapText="1"/>
    </xf>
    <xf numFmtId="3" fontId="33" fillId="0" borderId="116" xfId="6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3" fontId="31" fillId="0" borderId="107" xfId="4" applyNumberFormat="1" applyFont="1" applyFill="1" applyBorder="1" applyAlignment="1">
      <alignment vertical="center"/>
    </xf>
    <xf numFmtId="0" fontId="27" fillId="2" borderId="32" xfId="4" applyFont="1" applyFill="1" applyBorder="1" applyAlignment="1">
      <alignment vertical="center"/>
    </xf>
    <xf numFmtId="0" fontId="0" fillId="0" borderId="121" xfId="0" applyFont="1" applyBorder="1" applyAlignment="1">
      <alignment vertical="center"/>
    </xf>
    <xf numFmtId="0" fontId="39" fillId="0" borderId="121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7" fillId="0" borderId="1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1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vertical="top"/>
    </xf>
    <xf numFmtId="0" fontId="24" fillId="6" borderId="138" xfId="4" applyFont="1" applyFill="1" applyBorder="1" applyAlignment="1">
      <alignment horizontal="left" vertical="center"/>
    </xf>
    <xf numFmtId="3" fontId="31" fillId="0" borderId="133" xfId="0" applyNumberFormat="1" applyFont="1" applyFill="1" applyBorder="1" applyAlignment="1">
      <alignment vertical="center"/>
    </xf>
    <xf numFmtId="3" fontId="31" fillId="2" borderId="133" xfId="0" applyNumberFormat="1" applyFont="1" applyFill="1" applyBorder="1" applyAlignment="1">
      <alignment vertical="center"/>
    </xf>
    <xf numFmtId="3" fontId="27" fillId="0" borderId="133" xfId="0" applyNumberFormat="1" applyFont="1" applyFill="1" applyBorder="1" applyAlignment="1">
      <alignment vertical="top"/>
    </xf>
    <xf numFmtId="3" fontId="25" fillId="6" borderId="135" xfId="0" applyNumberFormat="1" applyFont="1" applyFill="1" applyBorder="1" applyAlignment="1">
      <alignment vertical="center"/>
    </xf>
    <xf numFmtId="3" fontId="7" fillId="0" borderId="135" xfId="4" applyNumberFormat="1" applyFont="1" applyFill="1" applyBorder="1" applyAlignment="1">
      <alignment horizontal="right" vertical="center"/>
    </xf>
    <xf numFmtId="0" fontId="0" fillId="0" borderId="135" xfId="0" applyFont="1" applyBorder="1"/>
    <xf numFmtId="3" fontId="0" fillId="0" borderId="135" xfId="0" applyNumberFormat="1" applyFont="1" applyBorder="1"/>
    <xf numFmtId="0" fontId="39" fillId="0" borderId="135" xfId="0" applyFont="1" applyBorder="1"/>
    <xf numFmtId="3" fontId="0" fillId="56" borderId="135" xfId="0" applyNumberFormat="1" applyFont="1" applyFill="1" applyBorder="1"/>
    <xf numFmtId="0" fontId="0" fillId="0" borderId="135" xfId="0" applyFont="1" applyBorder="1" applyAlignment="1">
      <alignment vertical="center"/>
    </xf>
    <xf numFmtId="0" fontId="17" fillId="8" borderId="137" xfId="4" applyFont="1" applyFill="1" applyBorder="1" applyAlignment="1">
      <alignment vertical="top"/>
    </xf>
    <xf numFmtId="0" fontId="25" fillId="6" borderId="133" xfId="4" applyFont="1" applyFill="1" applyBorder="1" applyAlignment="1">
      <alignment horizontal="left" vertical="center"/>
    </xf>
    <xf numFmtId="0" fontId="18" fillId="8" borderId="136" xfId="4" applyFont="1" applyFill="1" applyBorder="1" applyAlignment="1">
      <alignment horizontal="center" vertical="center"/>
    </xf>
    <xf numFmtId="0" fontId="7" fillId="8" borderId="127" xfId="4" applyFont="1" applyFill="1" applyBorder="1" applyAlignment="1">
      <alignment vertical="center"/>
    </xf>
    <xf numFmtId="3" fontId="32" fillId="8" borderId="127" xfId="6" applyNumberFormat="1" applyFont="1" applyFill="1" applyBorder="1" applyAlignment="1">
      <alignment vertical="center"/>
    </xf>
    <xf numFmtId="3" fontId="18" fillId="8" borderId="129" xfId="4" applyNumberFormat="1" applyFont="1" applyFill="1" applyBorder="1" applyAlignment="1">
      <alignment horizontal="center" vertical="top"/>
    </xf>
    <xf numFmtId="3" fontId="25" fillId="22" borderId="133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32" fillId="0" borderId="133" xfId="0" applyFont="1" applyBorder="1"/>
    <xf numFmtId="3" fontId="31" fillId="23" borderId="133" xfId="0" applyNumberFormat="1" applyFont="1" applyFill="1" applyBorder="1" applyAlignment="1">
      <alignment vertical="center"/>
    </xf>
    <xf numFmtId="3" fontId="24" fillId="6" borderId="133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29" fillId="0" borderId="135" xfId="4" applyNumberFormat="1" applyFont="1" applyFill="1" applyBorder="1" applyAlignment="1">
      <alignment horizontal="right" vertical="center"/>
    </xf>
    <xf numFmtId="3" fontId="29" fillId="25" borderId="133" xfId="4" applyNumberFormat="1" applyFont="1" applyFill="1" applyBorder="1" applyAlignment="1">
      <alignment horizontal="right" vertical="center"/>
    </xf>
    <xf numFmtId="3" fontId="7" fillId="0" borderId="144" xfId="4" applyNumberFormat="1" applyFont="1" applyFill="1" applyBorder="1" applyAlignment="1">
      <alignment horizontal="right" vertical="center"/>
    </xf>
    <xf numFmtId="0" fontId="25" fillId="6" borderId="124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3" xfId="0" applyNumberFormat="1" applyFont="1" applyFill="1" applyBorder="1" applyAlignment="1">
      <alignment vertical="top"/>
    </xf>
    <xf numFmtId="3" fontId="31" fillId="23" borderId="133" xfId="0" applyNumberFormat="1" applyFont="1" applyFill="1" applyBorder="1" applyAlignment="1">
      <alignment horizontal="center" vertical="top"/>
    </xf>
    <xf numFmtId="3" fontId="25" fillId="6" borderId="133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3" xfId="0" applyNumberFormat="1" applyFont="1" applyFill="1" applyBorder="1" applyAlignment="1">
      <alignment vertical="top"/>
    </xf>
    <xf numFmtId="3" fontId="27" fillId="2" borderId="133" xfId="4" applyNumberFormat="1" applyFont="1" applyFill="1" applyBorder="1" applyAlignment="1">
      <alignment vertical="top" wrapText="1"/>
    </xf>
    <xf numFmtId="3" fontId="25" fillId="25" borderId="133" xfId="0" applyNumberFormat="1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7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3" xfId="0" applyFont="1" applyFill="1" applyBorder="1" applyAlignment="1">
      <alignment vertical="top"/>
    </xf>
    <xf numFmtId="3" fontId="31" fillId="2" borderId="133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27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31" fillId="25" borderId="133" xfId="0" applyNumberFormat="1" applyFont="1" applyFill="1" applyBorder="1" applyAlignment="1">
      <alignment horizontal="center" vertical="top"/>
    </xf>
    <xf numFmtId="3" fontId="25" fillId="0" borderId="133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vertical="top"/>
    </xf>
    <xf numFmtId="0" fontId="31" fillId="0" borderId="133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3" xfId="4" applyFont="1" applyFill="1" applyBorder="1" applyAlignment="1">
      <alignment vertical="center"/>
    </xf>
    <xf numFmtId="0" fontId="23" fillId="6" borderId="133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7" xfId="4" applyFont="1" applyFill="1" applyBorder="1" applyAlignment="1">
      <alignment vertical="center"/>
    </xf>
    <xf numFmtId="0" fontId="31" fillId="0" borderId="13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3" xfId="0" applyFont="1" applyFill="1" applyBorder="1" applyAlignment="1">
      <alignment vertical="top" wrapText="1"/>
    </xf>
    <xf numFmtId="3" fontId="25" fillId="2" borderId="133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5" xfId="4" applyNumberFormat="1" applyFont="1" applyFill="1" applyBorder="1" applyAlignment="1">
      <alignment horizontal="right" vertical="center"/>
    </xf>
    <xf numFmtId="3" fontId="31" fillId="25" borderId="135" xfId="4" applyNumberFormat="1" applyFont="1" applyFill="1" applyBorder="1" applyAlignment="1">
      <alignment horizontal="right" vertical="center"/>
    </xf>
    <xf numFmtId="3" fontId="7" fillId="0" borderId="132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4" xfId="4" applyNumberFormat="1" applyFont="1" applyFill="1" applyBorder="1" applyAlignment="1">
      <alignment horizontal="right" vertical="center"/>
    </xf>
    <xf numFmtId="3" fontId="32" fillId="8" borderId="135" xfId="114" applyNumberFormat="1" applyFont="1" applyFill="1" applyBorder="1" applyAlignment="1">
      <alignment vertical="center"/>
    </xf>
    <xf numFmtId="0" fontId="31" fillId="8" borderId="131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horizontal="right" vertical="center"/>
    </xf>
    <xf numFmtId="0" fontId="27" fillId="8" borderId="138" xfId="4" applyFont="1" applyFill="1" applyBorder="1" applyAlignment="1">
      <alignment vertical="center"/>
    </xf>
    <xf numFmtId="0" fontId="27" fillId="8" borderId="124" xfId="4" applyFont="1" applyFill="1" applyBorder="1" applyAlignment="1">
      <alignment vertical="center"/>
    </xf>
    <xf numFmtId="3" fontId="33" fillId="8" borderId="135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4" xfId="4" applyFont="1" applyFill="1" applyBorder="1" applyAlignment="1">
      <alignment vertical="center"/>
    </xf>
    <xf numFmtId="3" fontId="31" fillId="8" borderId="133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4" xfId="4" applyNumberFormat="1" applyFont="1" applyFill="1" applyBorder="1" applyAlignment="1">
      <alignment horizontal="right" vertical="center"/>
    </xf>
    <xf numFmtId="3" fontId="29" fillId="0" borderId="132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33" fillId="0" borderId="133" xfId="114" applyNumberFormat="1" applyFont="1" applyFill="1" applyBorder="1" applyAlignment="1">
      <alignment vertical="center"/>
    </xf>
    <xf numFmtId="3" fontId="27" fillId="0" borderId="132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29" fillId="2" borderId="133" xfId="4" applyNumberFormat="1" applyFont="1" applyFill="1" applyBorder="1" applyAlignment="1">
      <alignment horizontal="right" vertical="center"/>
    </xf>
    <xf numFmtId="3" fontId="27" fillId="2" borderId="133" xfId="4" applyNumberFormat="1" applyFont="1" applyFill="1" applyBorder="1" applyAlignment="1">
      <alignment horizontal="right" vertical="center"/>
    </xf>
    <xf numFmtId="3" fontId="33" fillId="0" borderId="135" xfId="114" applyNumberFormat="1" applyFont="1" applyFill="1" applyBorder="1" applyAlignment="1">
      <alignment vertical="center"/>
    </xf>
    <xf numFmtId="3" fontId="31" fillId="0" borderId="127" xfId="112" applyNumberFormat="1" applyFont="1" applyFill="1" applyBorder="1" applyAlignment="1">
      <alignment vertical="center"/>
    </xf>
    <xf numFmtId="3" fontId="32" fillId="0" borderId="133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8" xfId="4" applyFont="1" applyFill="1" applyBorder="1" applyAlignment="1">
      <alignment horizontal="left" vertical="center"/>
    </xf>
    <xf numFmtId="0" fontId="25" fillId="32" borderId="137" xfId="4" applyFont="1" applyFill="1" applyBorder="1" applyAlignment="1">
      <alignment horizontal="left" vertical="center"/>
    </xf>
    <xf numFmtId="3" fontId="27" fillId="8" borderId="133" xfId="0" applyNumberFormat="1" applyFont="1" applyFill="1" applyBorder="1" applyAlignment="1">
      <alignment vertical="center"/>
    </xf>
    <xf numFmtId="3" fontId="27" fillId="23" borderId="133" xfId="0" applyNumberFormat="1" applyFont="1" applyFill="1" applyBorder="1" applyAlignment="1">
      <alignment vertical="center"/>
    </xf>
    <xf numFmtId="3" fontId="31" fillId="28" borderId="133" xfId="0" applyNumberFormat="1" applyFont="1" applyFill="1" applyBorder="1" applyAlignment="1">
      <alignment vertical="center"/>
    </xf>
    <xf numFmtId="43" fontId="25" fillId="6" borderId="135" xfId="1" applyFont="1" applyFill="1" applyBorder="1" applyAlignment="1">
      <alignment vertical="center"/>
    </xf>
    <xf numFmtId="3" fontId="25" fillId="22" borderId="135" xfId="0" applyNumberFormat="1" applyFont="1" applyFill="1" applyBorder="1" applyAlignment="1">
      <alignment vertical="center"/>
    </xf>
    <xf numFmtId="3" fontId="27" fillId="2" borderId="131" xfId="4" applyNumberFormat="1" applyFont="1" applyFill="1" applyBorder="1" applyAlignment="1">
      <alignment vertical="center" wrapText="1"/>
    </xf>
    <xf numFmtId="3" fontId="27" fillId="0" borderId="135" xfId="0" applyNumberFormat="1" applyFont="1" applyFill="1" applyBorder="1" applyAlignment="1">
      <alignment vertical="center"/>
    </xf>
    <xf numFmtId="43" fontId="27" fillId="0" borderId="135" xfId="1" applyFont="1" applyFill="1" applyBorder="1" applyAlignment="1">
      <alignment vertical="center"/>
    </xf>
    <xf numFmtId="3" fontId="27" fillId="25" borderId="135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7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70" xfId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16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7" xfId="4" applyFont="1" applyFill="1" applyBorder="1" applyAlignment="1">
      <alignment vertical="top"/>
    </xf>
    <xf numFmtId="3" fontId="31" fillId="0" borderId="127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1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>
      <alignment vertical="top"/>
    </xf>
    <xf numFmtId="43" fontId="25" fillId="6" borderId="167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3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/>
    <xf numFmtId="3" fontId="29" fillId="2" borderId="131" xfId="4" applyNumberFormat="1" applyFont="1" applyFill="1" applyBorder="1" applyAlignment="1">
      <alignment vertical="center" wrapText="1"/>
    </xf>
    <xf numFmtId="3" fontId="31" fillId="0" borderId="167" xfId="0" applyNumberFormat="1" applyFont="1" applyFill="1" applyBorder="1" applyAlignment="1">
      <alignment vertical="top"/>
    </xf>
    <xf numFmtId="0" fontId="29" fillId="2" borderId="131" xfId="4" applyFont="1" applyFill="1" applyBorder="1" applyAlignment="1">
      <alignment vertical="center"/>
    </xf>
    <xf numFmtId="3" fontId="27" fillId="0" borderId="167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7" xfId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0" fontId="29" fillId="2" borderId="173" xfId="4" applyFont="1" applyFill="1" applyBorder="1" applyAlignment="1">
      <alignment vertical="center"/>
    </xf>
    <xf numFmtId="0" fontId="7" fillId="0" borderId="139" xfId="4" applyFont="1" applyFill="1" applyBorder="1" applyAlignment="1">
      <alignment vertical="center"/>
    </xf>
    <xf numFmtId="43" fontId="31" fillId="0" borderId="144" xfId="1" applyFont="1" applyFill="1" applyBorder="1" applyAlignment="1">
      <alignment vertical="center"/>
    </xf>
    <xf numFmtId="3" fontId="25" fillId="6" borderId="167" xfId="0" applyNumberFormat="1" applyFont="1" applyFill="1" applyBorder="1" applyAlignment="1">
      <alignment vertical="center"/>
    </xf>
    <xf numFmtId="43" fontId="31" fillId="0" borderId="127" xfId="1" applyFont="1" applyFill="1" applyBorder="1" applyAlignment="1">
      <alignment vertical="top"/>
    </xf>
    <xf numFmtId="43" fontId="27" fillId="2" borderId="168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8" xfId="0" applyNumberFormat="1" applyFont="1" applyFill="1" applyBorder="1" applyAlignment="1">
      <alignment vertical="top"/>
    </xf>
    <xf numFmtId="3" fontId="25" fillId="25" borderId="167" xfId="0" applyNumberFormat="1" applyFont="1" applyFill="1" applyBorder="1" applyAlignment="1">
      <alignment vertical="top"/>
    </xf>
    <xf numFmtId="0" fontId="27" fillId="2" borderId="131" xfId="4" applyFont="1" applyFill="1" applyBorder="1" applyAlignment="1">
      <alignment vertical="top"/>
    </xf>
    <xf numFmtId="0" fontId="31" fillId="0" borderId="141" xfId="0" applyFont="1" applyFill="1" applyBorder="1" applyAlignment="1">
      <alignment horizontal="left" vertical="center" wrapText="1"/>
    </xf>
    <xf numFmtId="0" fontId="7" fillId="6" borderId="172" xfId="0" applyFont="1" applyFill="1" applyBorder="1" applyAlignment="1">
      <alignment horizontal="left" vertical="center" wrapText="1"/>
    </xf>
    <xf numFmtId="3" fontId="27" fillId="2" borderId="174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>
      <alignment vertical="top"/>
    </xf>
    <xf numFmtId="0" fontId="27" fillId="2" borderId="140" xfId="4" applyFont="1" applyFill="1" applyBorder="1" applyAlignment="1">
      <alignment vertical="top"/>
    </xf>
    <xf numFmtId="0" fontId="31" fillId="6" borderId="172" xfId="0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top"/>
    </xf>
    <xf numFmtId="3" fontId="25" fillId="6" borderId="167" xfId="4" applyNumberFormat="1" applyFont="1" applyFill="1" applyBorder="1" applyAlignment="1">
      <alignment horizontal="right" vertical="center"/>
    </xf>
    <xf numFmtId="3" fontId="31" fillId="25" borderId="133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7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9" fontId="25" fillId="2" borderId="46" xfId="2" applyFont="1" applyFill="1" applyBorder="1" applyAlignment="1">
      <alignment horizontal="center"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/>
    </xf>
    <xf numFmtId="0" fontId="7" fillId="8" borderId="131" xfId="4" applyFont="1" applyFill="1" applyBorder="1" applyAlignment="1">
      <alignment vertical="top" wrapText="1"/>
    </xf>
    <xf numFmtId="0" fontId="7" fillId="8" borderId="172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3" fontId="24" fillId="6" borderId="168" xfId="4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>
      <alignment vertical="center"/>
    </xf>
    <xf numFmtId="3" fontId="24" fillId="22" borderId="167" xfId="4" applyNumberFormat="1" applyFont="1" applyFill="1" applyBorder="1" applyAlignment="1">
      <alignment vertical="center"/>
    </xf>
    <xf numFmtId="0" fontId="29" fillId="0" borderId="131" xfId="4" applyFont="1" applyFill="1" applyBorder="1" applyAlignment="1">
      <alignment vertical="top"/>
    </xf>
    <xf numFmtId="3" fontId="29" fillId="0" borderId="168" xfId="4" applyNumberFormat="1" applyFont="1" applyFill="1" applyBorder="1" applyAlignment="1">
      <alignment horizontal="right" vertical="center"/>
    </xf>
    <xf numFmtId="3" fontId="29" fillId="0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top"/>
    </xf>
    <xf numFmtId="0" fontId="29" fillId="0" borderId="131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>
      <alignment vertical="center"/>
    </xf>
    <xf numFmtId="43" fontId="29" fillId="0" borderId="168" xfId="1" applyFont="1" applyFill="1" applyBorder="1" applyAlignment="1">
      <alignment horizontal="right" vertical="center"/>
    </xf>
    <xf numFmtId="43" fontId="29" fillId="0" borderId="167" xfId="1" applyFont="1" applyFill="1" applyBorder="1" applyAlignment="1">
      <alignment horizontal="right" vertical="center"/>
    </xf>
    <xf numFmtId="43" fontId="7" fillId="0" borderId="167" xfId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horizontal="right" vertical="center"/>
    </xf>
    <xf numFmtId="3" fontId="7" fillId="23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8" xfId="4" applyNumberFormat="1" applyFont="1" applyFill="1" applyBorder="1" applyAlignment="1">
      <alignment vertical="center"/>
    </xf>
    <xf numFmtId="3" fontId="25" fillId="22" borderId="167" xfId="4" applyNumberFormat="1" applyFont="1" applyFill="1" applyBorder="1" applyAlignment="1">
      <alignment vertical="center"/>
    </xf>
    <xf numFmtId="3" fontId="27" fillId="25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vertical="center"/>
    </xf>
    <xf numFmtId="3" fontId="27" fillId="0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8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2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8" xfId="4" applyNumberFormat="1" applyFont="1" applyFill="1" applyBorder="1" applyAlignment="1">
      <alignment horizontal="right" vertical="center"/>
    </xf>
    <xf numFmtId="0" fontId="24" fillId="0" borderId="43" xfId="4" applyFont="1" applyFill="1" applyBorder="1" applyAlignment="1">
      <alignment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18" fillId="0" borderId="13" xfId="4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43" fontId="24" fillId="6" borderId="168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38" xfId="4" applyNumberFormat="1" applyFont="1" applyFill="1" applyBorder="1" applyAlignment="1">
      <alignment vertical="center" wrapText="1"/>
    </xf>
    <xf numFmtId="3" fontId="29" fillId="8" borderId="124" xfId="4" applyNumberFormat="1" applyFont="1" applyFill="1" applyBorder="1" applyAlignment="1">
      <alignment vertical="center" wrapText="1"/>
    </xf>
    <xf numFmtId="3" fontId="27" fillId="8" borderId="133" xfId="112" applyNumberFormat="1" applyFont="1" applyFill="1" applyBorder="1" applyAlignment="1">
      <alignment vertical="center"/>
    </xf>
    <xf numFmtId="3" fontId="27" fillId="23" borderId="133" xfId="112" applyNumberFormat="1" applyFont="1" applyFill="1" applyBorder="1" applyAlignment="1">
      <alignment vertical="center"/>
    </xf>
    <xf numFmtId="3" fontId="7" fillId="8" borderId="138" xfId="4" applyNumberFormat="1" applyFont="1" applyFill="1" applyBorder="1" applyAlignment="1">
      <alignment vertical="center" wrapText="1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33" xfId="112" applyNumberFormat="1" applyFont="1" applyFill="1" applyBorder="1" applyAlignment="1">
      <alignment vertical="center"/>
    </xf>
    <xf numFmtId="0" fontId="29" fillId="8" borderId="138" xfId="4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7" fillId="8" borderId="124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8" xfId="4" applyNumberFormat="1" applyFont="1" applyFill="1" applyBorder="1" applyAlignment="1">
      <alignment vertical="center" wrapText="1"/>
    </xf>
    <xf numFmtId="0" fontId="7" fillId="0" borderId="138" xfId="4" applyFont="1" applyFill="1" applyBorder="1" applyAlignment="1">
      <alignment vertical="center"/>
    </xf>
    <xf numFmtId="0" fontId="29" fillId="2" borderId="138" xfId="4" applyFont="1" applyFill="1" applyBorder="1" applyAlignment="1">
      <alignment vertical="center"/>
    </xf>
    <xf numFmtId="0" fontId="31" fillId="0" borderId="139" xfId="4" applyFont="1" applyFill="1" applyBorder="1" applyAlignment="1">
      <alignment vertical="center"/>
    </xf>
    <xf numFmtId="3" fontId="24" fillId="6" borderId="135" xfId="4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7" fillId="2" borderId="135" xfId="4" applyNumberFormat="1" applyFont="1" applyFill="1" applyBorder="1" applyAlignment="1">
      <alignment vertical="center"/>
    </xf>
    <xf numFmtId="0" fontId="4" fillId="0" borderId="127" xfId="112" applyFont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5" xfId="4" applyNumberFormat="1" applyFont="1" applyFill="1" applyBorder="1" applyAlignment="1">
      <alignment vertical="center"/>
    </xf>
    <xf numFmtId="3" fontId="24" fillId="32" borderId="133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1" fillId="0" borderId="146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4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69" xfId="4" applyFont="1" applyBorder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0" fontId="24" fillId="13" borderId="6" xfId="4" applyFont="1" applyFill="1" applyBorder="1" applyAlignment="1">
      <alignment vertical="center" wrapText="1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0" fontId="31" fillId="0" borderId="112" xfId="4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68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7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27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7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5" fillId="6" borderId="135" xfId="0" applyNumberFormat="1" applyFont="1" applyFill="1" applyBorder="1" applyAlignment="1">
      <alignment vertical="top"/>
    </xf>
    <xf numFmtId="3" fontId="25" fillId="22" borderId="135" xfId="0" applyNumberFormat="1" applyFont="1" applyFill="1" applyBorder="1" applyAlignment="1">
      <alignment vertical="top"/>
    </xf>
    <xf numFmtId="3" fontId="27" fillId="2" borderId="135" xfId="0" applyNumberFormat="1" applyFont="1" applyFill="1" applyBorder="1" applyAlignment="1">
      <alignment vertical="top"/>
    </xf>
    <xf numFmtId="3" fontId="27" fillId="0" borderId="135" xfId="0" applyNumberFormat="1" applyFont="1" applyFill="1" applyBorder="1" applyAlignment="1">
      <alignment vertical="top"/>
    </xf>
    <xf numFmtId="3" fontId="24" fillId="22" borderId="167" xfId="4" applyNumberFormat="1" applyFont="1" applyFill="1" applyBorder="1" applyAlignment="1">
      <alignment horizontal="right" vertical="center"/>
    </xf>
    <xf numFmtId="0" fontId="24" fillId="6" borderId="167" xfId="4" applyFont="1" applyFill="1" applyBorder="1" applyAlignment="1">
      <alignment horizontal="left" vertical="center"/>
    </xf>
    <xf numFmtId="0" fontId="25" fillId="6" borderId="167" xfId="4" applyFont="1" applyFill="1" applyBorder="1" applyAlignment="1">
      <alignment horizontal="lef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top" wrapText="1"/>
    </xf>
    <xf numFmtId="0" fontId="7" fillId="0" borderId="167" xfId="4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horizontal="right" vertical="center"/>
    </xf>
    <xf numFmtId="3" fontId="32" fillId="0" borderId="167" xfId="6" applyNumberFormat="1" applyFont="1" applyFill="1" applyBorder="1" applyAlignment="1">
      <alignment vertical="center"/>
    </xf>
    <xf numFmtId="3" fontId="33" fillId="0" borderId="167" xfId="6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/>
    <xf numFmtId="3" fontId="31" fillId="0" borderId="168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7" fillId="13" borderId="173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0" fontId="27" fillId="13" borderId="172" xfId="4" applyFont="1" applyFill="1" applyBorder="1" applyAlignment="1">
      <alignment vertical="center"/>
    </xf>
    <xf numFmtId="3" fontId="33" fillId="13" borderId="168" xfId="6" applyNumberFormat="1" applyFont="1" applyFill="1" applyBorder="1" applyAlignment="1">
      <alignment vertical="center"/>
    </xf>
    <xf numFmtId="0" fontId="7" fillId="13" borderId="172" xfId="4" applyFont="1" applyFill="1" applyBorder="1" applyAlignment="1">
      <alignment vertical="center"/>
    </xf>
    <xf numFmtId="3" fontId="32" fillId="13" borderId="144" xfId="6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3" fontId="31" fillId="25" borderId="168" xfId="4" applyNumberFormat="1" applyFont="1" applyFill="1" applyBorder="1" applyAlignment="1">
      <alignment horizontal="right" vertical="center"/>
    </xf>
    <xf numFmtId="43" fontId="27" fillId="0" borderId="168" xfId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7" fillId="2" borderId="131" xfId="4" applyFont="1" applyFill="1" applyBorder="1" applyAlignment="1">
      <alignment vertical="center"/>
    </xf>
    <xf numFmtId="43" fontId="33" fillId="0" borderId="168" xfId="1" applyFont="1" applyFill="1" applyBorder="1" applyAlignment="1">
      <alignment vertical="center"/>
    </xf>
    <xf numFmtId="3" fontId="27" fillId="2" borderId="173" xfId="4" applyNumberFormat="1" applyFont="1" applyFill="1" applyBorder="1" applyAlignment="1">
      <alignment vertical="center" wrapText="1"/>
    </xf>
    <xf numFmtId="0" fontId="7" fillId="0" borderId="146" xfId="4" applyFont="1" applyFill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43" fontId="33" fillId="0" borderId="167" xfId="1" applyFont="1" applyFill="1" applyBorder="1" applyAlignment="1">
      <alignment vertical="center"/>
    </xf>
    <xf numFmtId="43" fontId="7" fillId="0" borderId="127" xfId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horizontal="right" vertical="center"/>
    </xf>
    <xf numFmtId="43" fontId="31" fillId="0" borderId="144" xfId="1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center" vertical="top"/>
    </xf>
    <xf numFmtId="3" fontId="27" fillId="2" borderId="176" xfId="4" applyNumberFormat="1" applyFont="1" applyFill="1" applyBorder="1" applyAlignment="1">
      <alignment vertical="center" wrapText="1"/>
    </xf>
    <xf numFmtId="0" fontId="7" fillId="0" borderId="167" xfId="4" applyFont="1" applyFill="1" applyBorder="1" applyAlignment="1">
      <alignment vertical="center"/>
    </xf>
    <xf numFmtId="0" fontId="32" fillId="62" borderId="167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left" vertical="center"/>
    </xf>
    <xf numFmtId="3" fontId="29" fillId="13" borderId="168" xfId="4" applyNumberFormat="1" applyFont="1" applyFill="1" applyBorder="1" applyAlignment="1">
      <alignment horizontal="right" vertical="center"/>
    </xf>
    <xf numFmtId="3" fontId="7" fillId="13" borderId="168" xfId="4" applyNumberFormat="1" applyFont="1" applyFill="1" applyBorder="1" applyAlignment="1">
      <alignment horizontal="right" vertical="center"/>
    </xf>
    <xf numFmtId="0" fontId="29" fillId="13" borderId="173" xfId="4" applyFont="1" applyFill="1" applyBorder="1" applyAlignment="1">
      <alignment vertical="center"/>
    </xf>
    <xf numFmtId="0" fontId="29" fillId="13" borderId="172" xfId="4" applyFont="1" applyFill="1" applyBorder="1" applyAlignment="1">
      <alignment vertical="center"/>
    </xf>
    <xf numFmtId="3" fontId="27" fillId="13" borderId="168" xfId="4" applyNumberFormat="1" applyFont="1" applyFill="1" applyBorder="1" applyAlignment="1">
      <alignment horizontal="right" vertical="center"/>
    </xf>
    <xf numFmtId="0" fontId="27" fillId="13" borderId="131" xfId="4" applyFont="1" applyFill="1" applyBorder="1" applyAlignment="1">
      <alignment vertical="center"/>
    </xf>
    <xf numFmtId="0" fontId="31" fillId="6" borderId="168" xfId="0" applyFont="1" applyFill="1" applyBorder="1" applyAlignment="1">
      <alignment vertical="top"/>
    </xf>
    <xf numFmtId="3" fontId="27" fillId="2" borderId="168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0" fontId="17" fillId="0" borderId="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3" fontId="27" fillId="21" borderId="177" xfId="4" applyNumberFormat="1" applyFont="1" applyFill="1" applyBorder="1" applyAlignment="1">
      <alignment horizontal="right" vertical="center"/>
    </xf>
    <xf numFmtId="0" fontId="29" fillId="8" borderId="172" xfId="4" applyFont="1" applyFill="1" applyBorder="1" applyAlignment="1">
      <alignment vertical="center"/>
    </xf>
    <xf numFmtId="3" fontId="29" fillId="8" borderId="168" xfId="4" applyNumberFormat="1" applyFont="1" applyFill="1" applyBorder="1" applyAlignment="1">
      <alignment vertical="center"/>
    </xf>
    <xf numFmtId="3" fontId="29" fillId="23" borderId="167" xfId="4" applyNumberFormat="1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31" fillId="23" borderId="167" xfId="4" applyNumberFormat="1" applyFont="1" applyFill="1" applyBorder="1" applyAlignment="1">
      <alignment horizontal="right" vertical="center"/>
    </xf>
    <xf numFmtId="3" fontId="7" fillId="8" borderId="173" xfId="4" applyNumberFormat="1" applyFont="1" applyFill="1" applyBorder="1" applyAlignment="1">
      <alignment vertical="center" wrapText="1"/>
    </xf>
    <xf numFmtId="3" fontId="7" fillId="8" borderId="172" xfId="4" applyNumberFormat="1" applyFont="1" applyFill="1" applyBorder="1" applyAlignment="1">
      <alignment vertical="center" wrapText="1"/>
    </xf>
    <xf numFmtId="3" fontId="27" fillId="23" borderId="167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 wrapText="1"/>
    </xf>
    <xf numFmtId="0" fontId="7" fillId="8" borderId="172" xfId="4" applyFont="1" applyFill="1" applyBorder="1" applyAlignment="1">
      <alignment vertical="center" wrapText="1"/>
    </xf>
    <xf numFmtId="0" fontId="7" fillId="8" borderId="131" xfId="4" applyFont="1" applyFill="1" applyBorder="1" applyAlignment="1">
      <alignment vertical="center" wrapText="1"/>
    </xf>
    <xf numFmtId="3" fontId="27" fillId="8" borderId="131" xfId="4" applyNumberFormat="1" applyFont="1" applyFill="1" applyBorder="1" applyAlignment="1">
      <alignment vertical="center" wrapText="1"/>
    </xf>
    <xf numFmtId="3" fontId="27" fillId="8" borderId="172" xfId="4" applyNumberFormat="1" applyFont="1" applyFill="1" applyBorder="1" applyAlignment="1">
      <alignment vertical="center" wrapText="1"/>
    </xf>
    <xf numFmtId="3" fontId="27" fillId="8" borderId="168" xfId="4" applyNumberFormat="1" applyFont="1" applyFill="1" applyBorder="1" applyAlignment="1">
      <alignment vertical="center"/>
    </xf>
    <xf numFmtId="3" fontId="31" fillId="8" borderId="168" xfId="4" applyNumberFormat="1" applyFont="1" applyFill="1" applyBorder="1" applyAlignment="1">
      <alignment vertical="center"/>
    </xf>
    <xf numFmtId="0" fontId="27" fillId="8" borderId="131" xfId="4" applyFont="1" applyFill="1" applyBorder="1" applyAlignment="1">
      <alignment vertical="center"/>
    </xf>
    <xf numFmtId="0" fontId="27" fillId="8" borderId="172" xfId="4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0" fontId="7" fillId="8" borderId="172" xfId="4" applyFont="1" applyFill="1" applyBorder="1" applyAlignment="1">
      <alignment vertical="center"/>
    </xf>
    <xf numFmtId="3" fontId="7" fillId="8" borderId="167" xfId="4" applyNumberFormat="1" applyFont="1" applyFill="1" applyBorder="1" applyAlignment="1">
      <alignment vertical="center"/>
    </xf>
    <xf numFmtId="3" fontId="29" fillId="13" borderId="173" xfId="4" applyNumberFormat="1" applyFont="1" applyFill="1" applyBorder="1" applyAlignment="1">
      <alignment vertical="center" wrapText="1"/>
    </xf>
    <xf numFmtId="3" fontId="29" fillId="13" borderId="172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73" xfId="4" applyNumberFormat="1" applyFont="1" applyFill="1" applyBorder="1" applyAlignment="1">
      <alignment vertical="center" wrapText="1"/>
    </xf>
    <xf numFmtId="3" fontId="7" fillId="13" borderId="172" xfId="4" applyNumberFormat="1" applyFont="1" applyFill="1" applyBorder="1" applyAlignment="1">
      <alignment vertical="center" wrapText="1"/>
    </xf>
    <xf numFmtId="3" fontId="29" fillId="24" borderId="167" xfId="4" applyNumberFormat="1" applyFont="1" applyFill="1" applyBorder="1" applyAlignment="1">
      <alignment horizontal="right" vertical="center"/>
    </xf>
    <xf numFmtId="3" fontId="7" fillId="13" borderId="139" xfId="4" applyNumberFormat="1" applyFont="1" applyFill="1" applyBorder="1" applyAlignment="1">
      <alignment vertical="center" wrapText="1"/>
    </xf>
    <xf numFmtId="3" fontId="7" fillId="13" borderId="137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21" fillId="2" borderId="172" xfId="0" applyFont="1" applyFill="1" applyBorder="1" applyAlignment="1">
      <alignment horizontal="center" vertical="top"/>
    </xf>
    <xf numFmtId="0" fontId="21" fillId="2" borderId="167" xfId="0" applyFont="1" applyFill="1" applyBorder="1" applyAlignment="1">
      <alignment horizontal="center" vertical="top"/>
    </xf>
    <xf numFmtId="0" fontId="21" fillId="2" borderId="167" xfId="0" quotePrefix="1" applyFont="1" applyFill="1" applyBorder="1" applyAlignment="1">
      <alignment horizontal="center" vertical="top"/>
    </xf>
    <xf numFmtId="0" fontId="21" fillId="26" borderId="167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7" fillId="55" borderId="167" xfId="4" applyFont="1" applyFill="1" applyBorder="1" applyAlignment="1">
      <alignment horizontal="left" vertical="center"/>
    </xf>
    <xf numFmtId="3" fontId="27" fillId="55" borderId="167" xfId="4" applyNumberFormat="1" applyFont="1" applyFill="1" applyBorder="1" applyAlignment="1">
      <alignment horizontal="right" vertical="center"/>
    </xf>
    <xf numFmtId="3" fontId="27" fillId="21" borderId="167" xfId="4" applyNumberFormat="1" applyFont="1" applyFill="1" applyBorder="1" applyAlignment="1">
      <alignment horizontal="right" vertical="center"/>
    </xf>
    <xf numFmtId="0" fontId="18" fillId="8" borderId="170" xfId="4" applyFont="1" applyFill="1" applyBorder="1" applyAlignment="1">
      <alignment horizontal="center" vertical="top"/>
    </xf>
    <xf numFmtId="0" fontId="27" fillId="55" borderId="167" xfId="0" applyFont="1" applyFill="1" applyBorder="1" applyAlignment="1">
      <alignment horizontal="left" vertical="top"/>
    </xf>
    <xf numFmtId="0" fontId="28" fillId="55" borderId="167" xfId="0" quotePrefix="1" applyFont="1" applyFill="1" applyBorder="1" applyAlignment="1">
      <alignment horizontal="center" vertical="top"/>
    </xf>
    <xf numFmtId="3" fontId="27" fillId="55" borderId="167" xfId="0" quotePrefix="1" applyNumberFormat="1" applyFont="1" applyFill="1" applyBorder="1" applyAlignment="1">
      <alignment horizontal="right" vertical="top"/>
    </xf>
    <xf numFmtId="3" fontId="24" fillId="6" borderId="167" xfId="4" applyNumberFormat="1" applyFont="1" applyFill="1" applyBorder="1" applyAlignment="1">
      <alignment horizontal="right" vertical="center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67" xfId="4" applyNumberFormat="1" applyFont="1" applyFill="1" applyBorder="1" applyAlignment="1">
      <alignment vertical="top" wrapText="1"/>
    </xf>
    <xf numFmtId="3" fontId="29" fillId="8" borderId="167" xfId="4" applyNumberFormat="1" applyFont="1" applyFill="1" applyBorder="1" applyAlignment="1">
      <alignment horizontal="right" vertical="center"/>
    </xf>
    <xf numFmtId="3" fontId="29" fillId="23" borderId="167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7" xfId="0" applyNumberFormat="1" applyFont="1" applyFill="1" applyBorder="1"/>
    <xf numFmtId="3" fontId="28" fillId="23" borderId="167" xfId="4" applyNumberFormat="1" applyFont="1" applyFill="1" applyBorder="1" applyAlignment="1">
      <alignment horizontal="right" vertical="center"/>
    </xf>
    <xf numFmtId="0" fontId="29" fillId="8" borderId="167" xfId="4" applyFont="1" applyFill="1" applyBorder="1" applyAlignment="1">
      <alignment vertical="top"/>
    </xf>
    <xf numFmtId="0" fontId="7" fillId="8" borderId="176" xfId="4" applyFont="1" applyFill="1" applyBorder="1" applyAlignment="1">
      <alignment vertical="top" wrapText="1"/>
    </xf>
    <xf numFmtId="3" fontId="7" fillId="8" borderId="171" xfId="4" applyNumberFormat="1" applyFont="1" applyFill="1" applyBorder="1" applyAlignment="1">
      <alignment vertical="top" wrapText="1"/>
    </xf>
    <xf numFmtId="3" fontId="32" fillId="8" borderId="167" xfId="6" applyNumberFormat="1" applyFont="1" applyFill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3" fontId="29" fillId="8" borderId="171" xfId="4" applyNumberFormat="1" applyFont="1" applyFill="1" applyBorder="1" applyAlignment="1">
      <alignment vertical="top" wrapText="1"/>
    </xf>
    <xf numFmtId="3" fontId="27" fillId="8" borderId="167" xfId="4" applyNumberFormat="1" applyFont="1" applyFill="1" applyBorder="1" applyAlignment="1">
      <alignment vertical="top" wrapText="1"/>
    </xf>
    <xf numFmtId="3" fontId="33" fillId="8" borderId="167" xfId="6" applyNumberFormat="1" applyFont="1" applyFill="1" applyBorder="1" applyAlignment="1">
      <alignment vertical="center"/>
    </xf>
    <xf numFmtId="0" fontId="7" fillId="8" borderId="171" xfId="4" applyFont="1" applyFill="1" applyBorder="1" applyAlignment="1">
      <alignment vertical="top" wrapText="1"/>
    </xf>
    <xf numFmtId="0" fontId="7" fillId="8" borderId="167" xfId="4" applyFont="1" applyFill="1" applyBorder="1" applyAlignment="1">
      <alignment horizontal="left" vertical="center"/>
    </xf>
    <xf numFmtId="0" fontId="27" fillId="8" borderId="171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27" fillId="23" borderId="167" xfId="4" applyNumberFormat="1" applyFont="1" applyFill="1" applyBorder="1" applyAlignment="1">
      <alignment horizontal="right" vertical="center"/>
    </xf>
    <xf numFmtId="3" fontId="33" fillId="23" borderId="167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7" xfId="0" applyNumberFormat="1" applyFont="1" applyFill="1" applyBorder="1" applyAlignment="1">
      <alignment vertical="center"/>
    </xf>
    <xf numFmtId="3" fontId="31" fillId="28" borderId="16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2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7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5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6" xfId="4" applyNumberFormat="1" applyFont="1" applyFill="1" applyBorder="1" applyAlignment="1">
      <alignment vertical="center" wrapText="1"/>
    </xf>
    <xf numFmtId="0" fontId="7" fillId="0" borderId="176" xfId="4" applyFont="1" applyFill="1" applyBorder="1" applyAlignment="1">
      <alignment vertical="center"/>
    </xf>
    <xf numFmtId="43" fontId="31" fillId="25" borderId="168" xfId="1" applyFont="1" applyFill="1" applyBorder="1" applyAlignment="1">
      <alignment horizontal="right" vertical="center"/>
    </xf>
    <xf numFmtId="0" fontId="29" fillId="2" borderId="176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1" xfId="4" applyFont="1" applyFill="1" applyBorder="1" applyAlignment="1">
      <alignment horizontal="left" vertical="center"/>
    </xf>
    <xf numFmtId="0" fontId="27" fillId="55" borderId="131" xfId="0" applyFont="1" applyFill="1" applyBorder="1" applyAlignment="1">
      <alignment horizontal="left" vertical="top"/>
    </xf>
    <xf numFmtId="0" fontId="7" fillId="8" borderId="131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5" xfId="1" applyFont="1" applyFill="1" applyBorder="1" applyAlignment="1">
      <alignment vertical="top"/>
    </xf>
    <xf numFmtId="3" fontId="7" fillId="0" borderId="145" xfId="4" applyNumberFormat="1" applyFont="1" applyFill="1" applyBorder="1" applyAlignment="1">
      <alignment vertical="top"/>
    </xf>
    <xf numFmtId="3" fontId="7" fillId="25" borderId="127" xfId="4" applyNumberFormat="1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59" borderId="137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13" borderId="36" xfId="4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 vertical="center"/>
    </xf>
    <xf numFmtId="3" fontId="28" fillId="0" borderId="127" xfId="0" applyNumberFormat="1" applyFont="1" applyFill="1" applyBorder="1" applyAlignment="1">
      <alignment vertical="center"/>
    </xf>
    <xf numFmtId="0" fontId="26" fillId="0" borderId="43" xfId="0" applyFont="1" applyBorder="1" applyAlignment="1"/>
    <xf numFmtId="0" fontId="26" fillId="0" borderId="41" xfId="0" applyFont="1" applyBorder="1" applyAlignment="1"/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3" fontId="32" fillId="8" borderId="168" xfId="6" applyNumberFormat="1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 wrapText="1"/>
    </xf>
    <xf numFmtId="3" fontId="32" fillId="8" borderId="172" xfId="6" applyNumberFormat="1" applyFont="1" applyFill="1" applyBorder="1" applyAlignment="1">
      <alignment vertical="center"/>
    </xf>
    <xf numFmtId="3" fontId="33" fillId="8" borderId="168" xfId="6" applyNumberFormat="1" applyFont="1" applyFill="1" applyBorder="1" applyAlignment="1">
      <alignment vertical="center"/>
    </xf>
    <xf numFmtId="3" fontId="7" fillId="8" borderId="130" xfId="4" applyNumberFormat="1" applyFont="1" applyFill="1" applyBorder="1" applyAlignment="1">
      <alignment vertical="center" wrapText="1"/>
    </xf>
    <xf numFmtId="3" fontId="32" fillId="8" borderId="144" xfId="6" applyNumberFormat="1" applyFont="1" applyFill="1" applyBorder="1" applyAlignment="1">
      <alignment vertical="center"/>
    </xf>
    <xf numFmtId="0" fontId="0" fillId="0" borderId="183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3" fontId="25" fillId="6" borderId="183" xfId="4" applyNumberFormat="1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5" fillId="22" borderId="183" xfId="4" applyNumberFormat="1" applyFont="1" applyFill="1" applyBorder="1" applyAlignment="1">
      <alignment vertical="center"/>
    </xf>
    <xf numFmtId="3" fontId="27" fillId="0" borderId="183" xfId="4" applyNumberFormat="1" applyFont="1" applyFill="1" applyBorder="1" applyAlignment="1">
      <alignment horizontal="right" vertical="center"/>
    </xf>
    <xf numFmtId="3" fontId="29" fillId="0" borderId="183" xfId="4" applyNumberFormat="1" applyFont="1" applyFill="1" applyBorder="1" applyAlignment="1">
      <alignment horizontal="right" vertical="center"/>
    </xf>
    <xf numFmtId="3" fontId="27" fillId="25" borderId="183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3" xfId="1" applyFont="1" applyFill="1" applyBorder="1" applyAlignment="1">
      <alignment vertical="center"/>
    </xf>
    <xf numFmtId="43" fontId="31" fillId="28" borderId="133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0" fontId="0" fillId="0" borderId="183" xfId="0" applyFont="1" applyBorder="1"/>
    <xf numFmtId="3" fontId="0" fillId="0" borderId="183" xfId="0" applyNumberFormat="1" applyFont="1" applyBorder="1" applyAlignment="1">
      <alignment vertical="center"/>
    </xf>
    <xf numFmtId="3" fontId="37" fillId="0" borderId="183" xfId="0" applyNumberFormat="1" applyFont="1" applyBorder="1" applyAlignment="1">
      <alignment vertical="center"/>
    </xf>
    <xf numFmtId="0" fontId="39" fillId="0" borderId="183" xfId="0" applyFont="1" applyBorder="1" applyAlignment="1">
      <alignment vertical="center"/>
    </xf>
    <xf numFmtId="3" fontId="39" fillId="0" borderId="183" xfId="0" applyNumberFormat="1" applyFont="1" applyBorder="1" applyAlignment="1">
      <alignment vertical="center"/>
    </xf>
    <xf numFmtId="0" fontId="18" fillId="0" borderId="183" xfId="0" applyFont="1" applyBorder="1" applyAlignment="1">
      <alignment vertical="top"/>
    </xf>
    <xf numFmtId="3" fontId="0" fillId="0" borderId="183" xfId="0" applyNumberFormat="1" applyFont="1" applyBorder="1"/>
    <xf numFmtId="3" fontId="37" fillId="0" borderId="183" xfId="0" applyNumberFormat="1" applyFont="1" applyBorder="1"/>
    <xf numFmtId="3" fontId="8" fillId="0" borderId="183" xfId="0" applyNumberFormat="1" applyFont="1" applyBorder="1" applyAlignment="1">
      <alignment vertical="top"/>
    </xf>
    <xf numFmtId="0" fontId="37" fillId="0" borderId="183" xfId="0" applyFont="1" applyBorder="1" applyAlignment="1">
      <alignment vertical="center"/>
    </xf>
    <xf numFmtId="3" fontId="24" fillId="6" borderId="183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5" xfId="0" applyNumberFormat="1" applyFont="1" applyFill="1" applyBorder="1" applyAlignment="1">
      <alignment vertical="top"/>
    </xf>
    <xf numFmtId="0" fontId="31" fillId="0" borderId="131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0" fontId="29" fillId="8" borderId="43" xfId="0" applyFont="1" applyFill="1" applyBorder="1" applyAlignment="1">
      <alignment vertical="top"/>
    </xf>
    <xf numFmtId="3" fontId="18" fillId="8" borderId="13" xfId="4" applyNumberFormat="1" applyFont="1" applyFill="1" applyBorder="1" applyAlignment="1">
      <alignment vertical="top" wrapText="1"/>
    </xf>
    <xf numFmtId="0" fontId="7" fillId="8" borderId="43" xfId="4" applyFont="1" applyFill="1" applyBorder="1" applyAlignment="1">
      <alignment vertical="top"/>
    </xf>
    <xf numFmtId="3" fontId="18" fillId="8" borderId="12" xfId="4" applyNumberFormat="1" applyFont="1" applyFill="1" applyBorder="1" applyAlignment="1">
      <alignment vertical="top" wrapText="1"/>
    </xf>
    <xf numFmtId="0" fontId="25" fillId="8" borderId="10" xfId="0" applyFont="1" applyFill="1" applyBorder="1" applyAlignment="1">
      <alignment vertical="center"/>
    </xf>
    <xf numFmtId="3" fontId="25" fillId="22" borderId="35" xfId="4" applyNumberFormat="1" applyFont="1" applyFill="1" applyBorder="1" applyAlignment="1">
      <alignment horizontal="right" vertical="center"/>
    </xf>
    <xf numFmtId="3" fontId="18" fillId="0" borderId="13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4" fillId="8" borderId="10" xfId="4" applyFont="1" applyFill="1" applyBorder="1" applyAlignment="1">
      <alignment horizontal="right" vertical="top"/>
    </xf>
    <xf numFmtId="0" fontId="27" fillId="8" borderId="168" xfId="4" applyFont="1" applyFill="1" applyBorder="1" applyAlignment="1">
      <alignment horizontal="left" vertical="center"/>
    </xf>
    <xf numFmtId="3" fontId="27" fillId="8" borderId="167" xfId="4" applyNumberFormat="1" applyFont="1" applyFill="1" applyBorder="1" applyAlignment="1">
      <alignment vertical="top"/>
    </xf>
    <xf numFmtId="3" fontId="27" fillId="23" borderId="167" xfId="4" applyNumberFormat="1" applyFont="1" applyFill="1" applyBorder="1" applyAlignment="1">
      <alignment vertical="top"/>
    </xf>
    <xf numFmtId="0" fontId="0" fillId="0" borderId="0" xfId="0" applyFont="1" applyFill="1" applyBorder="1"/>
    <xf numFmtId="0" fontId="7" fillId="8" borderId="10" xfId="4" applyFont="1" applyFill="1" applyBorder="1" applyAlignment="1">
      <alignment vertical="top"/>
    </xf>
    <xf numFmtId="0" fontId="7" fillId="8" borderId="168" xfId="4" applyFont="1" applyFill="1" applyBorder="1" applyAlignment="1">
      <alignment vertical="top"/>
    </xf>
    <xf numFmtId="3" fontId="7" fillId="8" borderId="167" xfId="4" applyNumberFormat="1" applyFont="1" applyFill="1" applyBorder="1" applyAlignment="1">
      <alignment vertical="top"/>
    </xf>
    <xf numFmtId="3" fontId="7" fillId="23" borderId="167" xfId="4" applyNumberFormat="1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8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8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/>
    </xf>
    <xf numFmtId="0" fontId="7" fillId="8" borderId="77" xfId="4" applyFont="1" applyFill="1" applyBorder="1" applyAlignment="1">
      <alignment vertical="top" wrapText="1"/>
    </xf>
    <xf numFmtId="0" fontId="31" fillId="8" borderId="144" xfId="4" applyFont="1" applyFill="1" applyBorder="1" applyAlignment="1">
      <alignment horizontal="left" vertical="center"/>
    </xf>
    <xf numFmtId="3" fontId="7" fillId="8" borderId="127" xfId="4" applyNumberFormat="1" applyFont="1" applyFill="1" applyBorder="1" applyAlignment="1">
      <alignment vertical="top"/>
    </xf>
    <xf numFmtId="0" fontId="0" fillId="0" borderId="0" xfId="0" applyFont="1" applyAlignment="1">
      <alignment horizontal="left" vertical="center"/>
    </xf>
    <xf numFmtId="0" fontId="4" fillId="0" borderId="183" xfId="0" applyFont="1" applyBorder="1"/>
    <xf numFmtId="0" fontId="4" fillId="0" borderId="183" xfId="0" applyFont="1" applyBorder="1" applyAlignment="1">
      <alignment vertical="center"/>
    </xf>
    <xf numFmtId="3" fontId="4" fillId="0" borderId="183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70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3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3" fontId="31" fillId="8" borderId="167" xfId="4" applyNumberFormat="1" applyFont="1" applyFill="1" applyBorder="1" applyAlignment="1">
      <alignment horizontal="right" vertical="center"/>
    </xf>
    <xf numFmtId="3" fontId="7" fillId="8" borderId="176" xfId="4" applyNumberFormat="1" applyFont="1" applyFill="1" applyBorder="1" applyAlignment="1">
      <alignment vertical="center" wrapText="1"/>
    </xf>
    <xf numFmtId="3" fontId="7" fillId="8" borderId="172" xfId="0" applyNumberFormat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" fillId="0" borderId="47" xfId="1" applyFont="1" applyFill="1" applyBorder="1" applyAlignment="1">
      <alignment vertical="center" wrapText="1"/>
    </xf>
    <xf numFmtId="43" fontId="62" fillId="6" borderId="30" xfId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0" fontId="78" fillId="0" borderId="0" xfId="0" applyFont="1" applyAlignment="1">
      <alignment vertical="center"/>
    </xf>
    <xf numFmtId="0" fontId="7" fillId="32" borderId="25" xfId="4" applyFont="1" applyFill="1" applyBorder="1" applyAlignment="1">
      <alignment horizontal="left" vertical="center"/>
    </xf>
    <xf numFmtId="0" fontId="63" fillId="58" borderId="131" xfId="0" applyFont="1" applyFill="1" applyBorder="1"/>
    <xf numFmtId="0" fontId="8" fillId="0" borderId="172" xfId="0" applyFont="1" applyFill="1" applyBorder="1" applyAlignment="1">
      <alignment vertical="center" wrapText="1"/>
    </xf>
    <xf numFmtId="0" fontId="31" fillId="55" borderId="131" xfId="4" applyFont="1" applyFill="1" applyBorder="1" applyAlignment="1">
      <alignment horizontal="left" vertical="center"/>
    </xf>
    <xf numFmtId="0" fontId="63" fillId="56" borderId="131" xfId="0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7" fillId="2" borderId="74" xfId="4" applyNumberFormat="1" applyFont="1" applyFill="1" applyBorder="1" applyAlignment="1">
      <alignment vertical="center"/>
    </xf>
    <xf numFmtId="0" fontId="7" fillId="0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3" fontId="31" fillId="0" borderId="177" xfId="4" applyNumberFormat="1" applyFont="1" applyFill="1" applyBorder="1" applyAlignment="1">
      <alignment horizontal="right" vertical="center"/>
    </xf>
    <xf numFmtId="0" fontId="31" fillId="0" borderId="131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27" fillId="23" borderId="133" xfId="0" applyNumberFormat="1" applyFont="1" applyFill="1" applyBorder="1" applyAlignment="1">
      <alignment vertical="top"/>
    </xf>
    <xf numFmtId="3" fontId="28" fillId="23" borderId="133" xfId="0" applyNumberFormat="1" applyFont="1" applyFill="1" applyBorder="1" applyAlignment="1">
      <alignment horizontal="center" vertical="top"/>
    </xf>
    <xf numFmtId="3" fontId="27" fillId="23" borderId="133" xfId="0" applyNumberFormat="1" applyFont="1" applyFill="1" applyBorder="1" applyAlignment="1">
      <alignment horizontal="center" vertical="top"/>
    </xf>
    <xf numFmtId="3" fontId="31" fillId="8" borderId="127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3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3" xfId="0" applyFont="1" applyBorder="1"/>
    <xf numFmtId="0" fontId="0" fillId="0" borderId="127" xfId="0" applyFont="1" applyBorder="1"/>
    <xf numFmtId="3" fontId="31" fillId="0" borderId="183" xfId="4" applyNumberFormat="1" applyFont="1" applyFill="1" applyBorder="1" applyAlignment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2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43" fontId="7" fillId="0" borderId="47" xfId="4" applyNumberFormat="1" applyFont="1" applyFill="1" applyBorder="1" applyAlignment="1">
      <alignment horizontal="right" vertical="center"/>
    </xf>
    <xf numFmtId="3" fontId="29" fillId="0" borderId="168" xfId="4" applyNumberFormat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center"/>
    </xf>
    <xf numFmtId="43" fontId="27" fillId="0" borderId="168" xfId="1" applyFont="1" applyFill="1" applyBorder="1" applyAlignment="1">
      <alignment vertical="center"/>
    </xf>
    <xf numFmtId="43" fontId="29" fillId="0" borderId="168" xfId="1" applyFont="1" applyFill="1" applyBorder="1" applyAlignment="1">
      <alignment vertical="center"/>
    </xf>
    <xf numFmtId="43" fontId="28" fillId="0" borderId="168" xfId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7" xfId="0" applyNumberFormat="1" applyFont="1" applyFill="1" applyBorder="1" applyAlignment="1">
      <alignment vertical="center"/>
    </xf>
    <xf numFmtId="3" fontId="31" fillId="25" borderId="170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0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1" xfId="0" applyFont="1" applyFill="1" applyBorder="1" applyAlignment="1">
      <alignment vertical="center" wrapText="1"/>
    </xf>
    <xf numFmtId="3" fontId="31" fillId="23" borderId="170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1" xfId="4" applyFont="1" applyFill="1" applyBorder="1" applyAlignment="1">
      <alignment vertical="top" wrapText="1"/>
    </xf>
    <xf numFmtId="0" fontId="31" fillId="8" borderId="172" xfId="0" applyFont="1" applyFill="1" applyBorder="1" applyAlignment="1">
      <alignment vertical="top" wrapText="1"/>
    </xf>
    <xf numFmtId="3" fontId="31" fillId="8" borderId="134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0" fontId="7" fillId="6" borderId="172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7" xfId="1" applyFont="1" applyFill="1" applyBorder="1" applyAlignment="1"/>
    <xf numFmtId="3" fontId="25" fillId="22" borderId="170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70" xfId="0" applyNumberFormat="1" applyFont="1" applyFill="1" applyBorder="1" applyAlignment="1">
      <alignment vertical="top"/>
    </xf>
    <xf numFmtId="3" fontId="31" fillId="0" borderId="135" xfId="4" applyNumberFormat="1" applyFont="1" applyFill="1" applyBorder="1" applyAlignment="1"/>
    <xf numFmtId="3" fontId="27" fillId="23" borderId="170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69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31" fillId="23" borderId="146" xfId="0" applyNumberFormat="1" applyFont="1" applyFill="1" applyBorder="1" applyAlignment="1"/>
    <xf numFmtId="3" fontId="27" fillId="2" borderId="178" xfId="0" applyNumberFormat="1" applyFont="1" applyFill="1" applyBorder="1" applyAlignment="1">
      <alignment vertical="center"/>
    </xf>
    <xf numFmtId="3" fontId="31" fillId="0" borderId="178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7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4" fontId="0" fillId="0" borderId="135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2" xfId="4" applyFont="1" applyFill="1" applyBorder="1" applyAlignment="1">
      <alignment horizontal="left"/>
    </xf>
    <xf numFmtId="3" fontId="62" fillId="6" borderId="183" xfId="0" applyNumberFormat="1" applyFont="1" applyFill="1" applyBorder="1" applyAlignment="1">
      <alignment wrapText="1"/>
    </xf>
    <xf numFmtId="3" fontId="65" fillId="8" borderId="168" xfId="0" applyNumberFormat="1" applyFont="1" applyFill="1" applyBorder="1" applyAlignment="1">
      <alignment vertical="center" wrapText="1"/>
    </xf>
    <xf numFmtId="3" fontId="8" fillId="0" borderId="183" xfId="0" applyNumberFormat="1" applyFont="1" applyFill="1" applyBorder="1" applyAlignment="1">
      <alignment vertical="center" wrapText="1"/>
    </xf>
    <xf numFmtId="3" fontId="65" fillId="8" borderId="183" xfId="0" applyNumberFormat="1" applyFont="1" applyFill="1" applyBorder="1" applyAlignment="1">
      <alignment vertical="center" wrapText="1"/>
    </xf>
    <xf numFmtId="0" fontId="7" fillId="0" borderId="172" xfId="0" applyFont="1" applyFill="1" applyBorder="1" applyAlignment="1">
      <alignment vertical="center" wrapText="1"/>
    </xf>
    <xf numFmtId="3" fontId="8" fillId="0" borderId="168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4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3" fontId="7" fillId="25" borderId="183" xfId="4" applyNumberFormat="1" applyFont="1" applyFill="1" applyBorder="1" applyAlignment="1">
      <alignment vertical="center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24" fillId="6" borderId="187" xfId="4" applyNumberFormat="1" applyFont="1" applyFill="1" applyBorder="1" applyAlignment="1">
      <alignment vertical="center"/>
    </xf>
    <xf numFmtId="3" fontId="25" fillId="6" borderId="184" xfId="4" applyNumberFormat="1" applyFont="1" applyFill="1" applyBorder="1" applyAlignment="1">
      <alignment vertical="center"/>
    </xf>
    <xf numFmtId="3" fontId="25" fillId="6" borderId="185" xfId="4" applyNumberFormat="1" applyFont="1" applyFill="1" applyBorder="1" applyAlignment="1">
      <alignment vertical="center"/>
    </xf>
    <xf numFmtId="3" fontId="29" fillId="0" borderId="186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center"/>
    </xf>
    <xf numFmtId="3" fontId="7" fillId="0" borderId="183" xfId="4" applyNumberFormat="1" applyFont="1" applyFill="1" applyBorder="1" applyAlignment="1"/>
    <xf numFmtId="3" fontId="29" fillId="0" borderId="190" xfId="4" applyNumberFormat="1" applyFont="1" applyFill="1" applyBorder="1" applyAlignment="1">
      <alignment horizontal="right" vertical="center"/>
    </xf>
    <xf numFmtId="3" fontId="27" fillId="0" borderId="190" xfId="4" applyNumberFormat="1" applyFont="1" applyFill="1" applyBorder="1" applyAlignment="1">
      <alignment horizontal="right" vertical="center"/>
    </xf>
    <xf numFmtId="3" fontId="27" fillId="25" borderId="192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4" fillId="6" borderId="189" xfId="4" applyNumberFormat="1" applyFont="1" applyFill="1" applyBorder="1" applyAlignment="1">
      <alignment vertical="center"/>
    </xf>
    <xf numFmtId="3" fontId="24" fillId="6" borderId="190" xfId="4" applyNumberFormat="1" applyFont="1" applyFill="1" applyBorder="1" applyAlignment="1">
      <alignment vertical="center"/>
    </xf>
    <xf numFmtId="3" fontId="24" fillId="6" borderId="191" xfId="4" applyNumberFormat="1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vertical="center"/>
    </xf>
    <xf numFmtId="3" fontId="29" fillId="0" borderId="192" xfId="4" applyNumberFormat="1" applyFont="1" applyFill="1" applyBorder="1" applyAlignment="1">
      <alignment horizontal="righ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/>
    <xf numFmtId="3" fontId="76" fillId="6" borderId="192" xfId="0" applyNumberFormat="1" applyFont="1" applyFill="1" applyBorder="1" applyAlignment="1">
      <alignment vertical="center" wrapText="1"/>
    </xf>
    <xf numFmtId="3" fontId="6" fillId="6" borderId="192" xfId="0" applyNumberFormat="1" applyFont="1" applyFill="1" applyBorder="1"/>
    <xf numFmtId="3" fontId="6" fillId="6" borderId="195" xfId="0" applyNumberFormat="1" applyFont="1" applyFill="1" applyBorder="1"/>
    <xf numFmtId="3" fontId="6" fillId="6" borderId="127" xfId="0" applyNumberFormat="1" applyFont="1" applyFill="1" applyBorder="1"/>
    <xf numFmtId="0" fontId="24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5" fillId="6" borderId="192" xfId="4" applyNumberFormat="1" applyFont="1" applyFill="1" applyBorder="1" applyAlignment="1">
      <alignment horizontal="right" vertical="center"/>
    </xf>
    <xf numFmtId="3" fontId="25" fillId="22" borderId="192" xfId="4" applyNumberFormat="1" applyFont="1" applyFill="1" applyBorder="1" applyAlignment="1">
      <alignment horizontal="right" vertical="center"/>
    </xf>
    <xf numFmtId="3" fontId="29" fillId="2" borderId="192" xfId="4" applyNumberFormat="1" applyFont="1" applyFill="1" applyBorder="1" applyAlignment="1">
      <alignment vertical="top" wrapText="1"/>
    </xf>
    <xf numFmtId="3" fontId="27" fillId="0" borderId="192" xfId="4" applyNumberFormat="1" applyFont="1" applyFill="1" applyBorder="1" applyAlignment="1">
      <alignment horizontal="right" vertical="center"/>
    </xf>
    <xf numFmtId="3" fontId="27" fillId="23" borderId="192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vertical="top"/>
    </xf>
    <xf numFmtId="3" fontId="31" fillId="0" borderId="190" xfId="4" applyNumberFormat="1" applyFont="1" applyFill="1" applyBorder="1" applyAlignment="1">
      <alignment vertical="center"/>
    </xf>
    <xf numFmtId="3" fontId="31" fillId="0" borderId="192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>
      <alignment horizontal="right" vertical="center"/>
    </xf>
    <xf numFmtId="3" fontId="7" fillId="25" borderId="192" xfId="4" applyNumberFormat="1" applyFont="1" applyFill="1" applyBorder="1" applyAlignment="1">
      <alignment horizontal="right" vertical="center"/>
    </xf>
    <xf numFmtId="3" fontId="32" fillId="0" borderId="192" xfId="6" applyNumberFormat="1" applyFont="1" applyFill="1" applyBorder="1" applyAlignment="1">
      <alignment vertical="center"/>
    </xf>
    <xf numFmtId="3" fontId="33" fillId="0" borderId="192" xfId="6" applyNumberFormat="1" applyFont="1" applyFill="1" applyBorder="1" applyAlignment="1">
      <alignment vertical="center"/>
    </xf>
    <xf numFmtId="3" fontId="33" fillId="23" borderId="192" xfId="6" applyNumberFormat="1" applyFont="1" applyFill="1" applyBorder="1" applyAlignment="1">
      <alignment vertical="center"/>
    </xf>
    <xf numFmtId="0" fontId="25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/>
    <xf numFmtId="0" fontId="31" fillId="6" borderId="189" xfId="0" applyFont="1" applyFill="1" applyBorder="1" applyAlignment="1">
      <alignment vertical="top"/>
    </xf>
    <xf numFmtId="3" fontId="27" fillId="2" borderId="198" xfId="0" applyNumberFormat="1" applyFont="1" applyFill="1" applyBorder="1" applyAlignment="1">
      <alignment vertical="top"/>
    </xf>
    <xf numFmtId="3" fontId="25" fillId="25" borderId="199" xfId="0" applyNumberFormat="1" applyFont="1" applyFill="1" applyBorder="1" applyAlignment="1">
      <alignment vertical="top"/>
    </xf>
    <xf numFmtId="3" fontId="28" fillId="2" borderId="198" xfId="0" applyNumberFormat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vertical="top"/>
    </xf>
    <xf numFmtId="3" fontId="31" fillId="25" borderId="199" xfId="0" applyNumberFormat="1" applyFont="1" applyFill="1" applyBorder="1" applyAlignment="1">
      <alignment vertical="top"/>
    </xf>
    <xf numFmtId="3" fontId="27" fillId="0" borderId="198" xfId="0" applyNumberFormat="1" applyFont="1" applyFill="1" applyBorder="1" applyAlignment="1">
      <alignment vertical="top"/>
    </xf>
    <xf numFmtId="43" fontId="27" fillId="0" borderId="198" xfId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horizontal="right" vertical="center"/>
    </xf>
    <xf numFmtId="43" fontId="31" fillId="0" borderId="198" xfId="1" applyFont="1" applyFill="1" applyBorder="1" applyAlignment="1">
      <alignment horizontal="right" vertical="center"/>
    </xf>
    <xf numFmtId="0" fontId="7" fillId="6" borderId="200" xfId="0" applyFont="1" applyFill="1" applyBorder="1" applyAlignment="1">
      <alignment horizontal="left" vertical="center" wrapText="1"/>
    </xf>
    <xf numFmtId="3" fontId="25" fillId="6" borderId="198" xfId="0" applyNumberFormat="1" applyFont="1" applyFill="1" applyBorder="1" applyAlignment="1">
      <alignment vertical="top"/>
    </xf>
    <xf numFmtId="3" fontId="27" fillId="2" borderId="201" xfId="4" applyNumberFormat="1" applyFont="1" applyFill="1" applyBorder="1" applyAlignment="1">
      <alignment vertical="center" wrapText="1"/>
    </xf>
    <xf numFmtId="3" fontId="31" fillId="0" borderId="199" xfId="0" applyNumberFormat="1" applyFont="1" applyFill="1" applyBorder="1" applyAlignment="1">
      <alignment vertical="top"/>
    </xf>
    <xf numFmtId="0" fontId="27" fillId="2" borderId="202" xfId="4" applyFont="1" applyFill="1" applyBorder="1" applyAlignment="1">
      <alignment vertical="top"/>
    </xf>
    <xf numFmtId="3" fontId="28" fillId="2" borderId="144" xfId="0" applyNumberFormat="1" applyFont="1" applyFill="1" applyBorder="1" applyAlignment="1">
      <alignment vertical="top"/>
    </xf>
    <xf numFmtId="0" fontId="31" fillId="6" borderId="200" xfId="0" applyFont="1" applyFill="1" applyBorder="1" applyAlignment="1">
      <alignment vertical="top"/>
    </xf>
    <xf numFmtId="3" fontId="25" fillId="6" borderId="198" xfId="0" applyNumberFormat="1" applyFont="1" applyFill="1" applyBorder="1" applyAlignment="1">
      <alignment vertical="center"/>
    </xf>
    <xf numFmtId="3" fontId="25" fillId="22" borderId="199" xfId="0" applyNumberFormat="1" applyFont="1" applyFill="1" applyBorder="1" applyAlignment="1">
      <alignment vertical="center"/>
    </xf>
    <xf numFmtId="3" fontId="27" fillId="32" borderId="198" xfId="0" applyNumberFormat="1" applyFont="1" applyFill="1" applyBorder="1" applyAlignment="1">
      <alignment vertical="center"/>
    </xf>
    <xf numFmtId="3" fontId="27" fillId="25" borderId="199" xfId="0" applyNumberFormat="1" applyFont="1" applyFill="1" applyBorder="1" applyAlignment="1">
      <alignment vertical="center"/>
    </xf>
    <xf numFmtId="3" fontId="31" fillId="2" borderId="198" xfId="0" applyNumberFormat="1" applyFont="1" applyFill="1" applyBorder="1" applyAlignment="1">
      <alignment vertical="top"/>
    </xf>
    <xf numFmtId="3" fontId="25" fillId="32" borderId="198" xfId="0" applyNumberFormat="1" applyFont="1" applyFill="1" applyBorder="1" applyAlignment="1">
      <alignment vertical="top"/>
    </xf>
    <xf numFmtId="3" fontId="27" fillId="25" borderId="199" xfId="0" applyNumberFormat="1" applyFont="1" applyFill="1" applyBorder="1" applyAlignment="1">
      <alignment vertical="top"/>
    </xf>
    <xf numFmtId="3" fontId="28" fillId="57" borderId="198" xfId="0" applyNumberFormat="1" applyFont="1" applyFill="1" applyBorder="1" applyAlignment="1">
      <alignment vertical="top"/>
    </xf>
    <xf numFmtId="3" fontId="28" fillId="58" borderId="198" xfId="0" applyNumberFormat="1" applyFont="1" applyFill="1" applyBorder="1" applyAlignment="1">
      <alignment vertical="top"/>
    </xf>
    <xf numFmtId="3" fontId="31" fillId="0" borderId="198" xfId="4" applyNumberFormat="1" applyFont="1" applyFill="1" applyBorder="1" applyAlignment="1">
      <alignment vertical="center"/>
    </xf>
    <xf numFmtId="3" fontId="28" fillId="59" borderId="198" xfId="0" applyNumberFormat="1" applyFont="1" applyFill="1" applyBorder="1" applyAlignment="1">
      <alignment vertical="top"/>
    </xf>
    <xf numFmtId="0" fontId="8" fillId="0" borderId="200" xfId="0" applyFont="1" applyFill="1" applyBorder="1" applyAlignment="1">
      <alignment vertical="center" wrapText="1"/>
    </xf>
    <xf numFmtId="43" fontId="31" fillId="25" borderId="199" xfId="1" applyFont="1" applyFill="1" applyBorder="1" applyAlignment="1">
      <alignment vertical="top"/>
    </xf>
    <xf numFmtId="3" fontId="28" fillId="55" borderId="198" xfId="0" applyNumberFormat="1" applyFont="1" applyFill="1" applyBorder="1" applyAlignment="1">
      <alignment vertical="top"/>
    </xf>
    <xf numFmtId="43" fontId="28" fillId="25" borderId="199" xfId="1" applyFont="1" applyFill="1" applyBorder="1" applyAlignment="1">
      <alignment vertical="center"/>
    </xf>
    <xf numFmtId="3" fontId="27" fillId="0" borderId="199" xfId="0" applyNumberFormat="1" applyFont="1" applyFill="1" applyBorder="1" applyAlignment="1">
      <alignment vertical="top"/>
    </xf>
    <xf numFmtId="3" fontId="31" fillId="0" borderId="199" xfId="4" applyNumberFormat="1" applyFont="1" applyFill="1" applyBorder="1" applyAlignment="1">
      <alignment vertical="center"/>
    </xf>
    <xf numFmtId="0" fontId="23" fillId="0" borderId="200" xfId="0" applyFont="1" applyBorder="1" applyAlignment="1">
      <alignment horizontal="center" vertical="center" wrapText="1"/>
    </xf>
    <xf numFmtId="3" fontId="31" fillId="23" borderId="199" xfId="0" applyNumberFormat="1" applyFont="1" applyFill="1" applyBorder="1" applyAlignment="1">
      <alignment vertical="center"/>
    </xf>
    <xf numFmtId="0" fontId="28" fillId="58" borderId="200" xfId="0" applyFont="1" applyFill="1" applyBorder="1" applyAlignment="1">
      <alignment vertical="top"/>
    </xf>
    <xf numFmtId="0" fontId="28" fillId="56" borderId="197" xfId="0" applyFont="1" applyFill="1" applyBorder="1" applyAlignment="1">
      <alignment vertical="center"/>
    </xf>
    <xf numFmtId="3" fontId="28" fillId="56" borderId="198" xfId="0" applyNumberFormat="1" applyFont="1" applyFill="1" applyBorder="1" applyAlignment="1">
      <alignment vertical="center"/>
    </xf>
    <xf numFmtId="0" fontId="28" fillId="59" borderId="200" xfId="0" applyFont="1" applyFill="1" applyBorder="1" applyAlignment="1">
      <alignment vertical="top"/>
    </xf>
    <xf numFmtId="0" fontId="28" fillId="59" borderId="197" xfId="0" applyFont="1" applyFill="1" applyBorder="1" applyAlignment="1">
      <alignment vertical="top"/>
    </xf>
    <xf numFmtId="0" fontId="31" fillId="55" borderId="197" xfId="0" applyFont="1" applyFill="1" applyBorder="1" applyAlignment="1">
      <alignment vertical="top"/>
    </xf>
    <xf numFmtId="0" fontId="31" fillId="55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>
      <alignment vertical="center"/>
    </xf>
    <xf numFmtId="0" fontId="27" fillId="2" borderId="203" xfId="4" applyFont="1" applyFill="1" applyBorder="1" applyAlignment="1">
      <alignment vertical="top"/>
    </xf>
    <xf numFmtId="0" fontId="31" fillId="6" borderId="200" xfId="0" applyFont="1" applyFill="1" applyBorder="1" applyAlignment="1">
      <alignment vertical="center"/>
    </xf>
    <xf numFmtId="3" fontId="25" fillId="22" borderId="198" xfId="0" applyNumberFormat="1" applyFont="1" applyFill="1" applyBorder="1" applyAlignment="1">
      <alignment vertical="center"/>
    </xf>
    <xf numFmtId="0" fontId="31" fillId="0" borderId="204" xfId="0" applyFont="1" applyFill="1" applyBorder="1" applyAlignment="1">
      <alignment horizontal="left" vertical="center" wrapText="1"/>
    </xf>
    <xf numFmtId="3" fontId="25" fillId="6" borderId="199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top"/>
    </xf>
    <xf numFmtId="0" fontId="25" fillId="6" borderId="203" xfId="4" applyFont="1" applyFill="1" applyBorder="1" applyAlignment="1">
      <alignment horizontal="left" vertical="center"/>
    </xf>
    <xf numFmtId="0" fontId="25" fillId="6" borderId="200" xfId="4" applyFont="1" applyFill="1" applyBorder="1" applyAlignment="1">
      <alignment horizontal="left" vertical="center"/>
    </xf>
    <xf numFmtId="3" fontId="24" fillId="6" borderId="198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horizontal="right" vertical="center"/>
    </xf>
    <xf numFmtId="3" fontId="27" fillId="2" borderId="202" xfId="4" applyNumberFormat="1" applyFont="1" applyFill="1" applyBorder="1" applyAlignment="1">
      <alignment vertical="center" wrapText="1"/>
    </xf>
    <xf numFmtId="3" fontId="33" fillId="0" borderId="198" xfId="6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horizontal="right" vertical="center"/>
    </xf>
    <xf numFmtId="0" fontId="7" fillId="0" borderId="202" xfId="4" applyFont="1" applyFill="1" applyBorder="1" applyAlignment="1">
      <alignment vertical="center"/>
    </xf>
    <xf numFmtId="3" fontId="7" fillId="0" borderId="188" xfId="4" applyNumberFormat="1" applyFont="1" applyFill="1" applyBorder="1" applyAlignment="1">
      <alignment horizontal="right" vertical="center"/>
    </xf>
    <xf numFmtId="3" fontId="27" fillId="2" borderId="203" xfId="4" applyNumberFormat="1" applyFont="1" applyFill="1" applyBorder="1" applyAlignment="1">
      <alignment vertical="center" wrapText="1"/>
    </xf>
    <xf numFmtId="3" fontId="27" fillId="0" borderId="188" xfId="4" applyNumberFormat="1" applyFont="1" applyFill="1" applyBorder="1" applyAlignment="1">
      <alignment horizontal="right" vertical="center"/>
    </xf>
    <xf numFmtId="3" fontId="33" fillId="0" borderId="199" xfId="6" applyNumberFormat="1" applyFont="1" applyFill="1" applyBorder="1" applyAlignment="1">
      <alignment vertical="center"/>
    </xf>
    <xf numFmtId="43" fontId="24" fillId="6" borderId="198" xfId="4" applyNumberFormat="1" applyFont="1" applyFill="1" applyBorder="1" applyAlignment="1">
      <alignment vertical="center"/>
    </xf>
    <xf numFmtId="43" fontId="33" fillId="0" borderId="198" xfId="6" applyNumberFormat="1" applyFont="1" applyFill="1" applyBorder="1" applyAlignment="1">
      <alignment vertical="center"/>
    </xf>
    <xf numFmtId="3" fontId="7" fillId="0" borderId="199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horizontal="right" vertical="center"/>
    </xf>
    <xf numFmtId="3" fontId="27" fillId="0" borderId="198" xfId="4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>
      <alignment horizontal="right" vertical="center"/>
    </xf>
    <xf numFmtId="3" fontId="7" fillId="0" borderId="198" xfId="4" applyNumberFormat="1" applyFont="1" applyFill="1" applyBorder="1" applyAlignment="1">
      <alignment horizontal="right" vertical="center"/>
    </xf>
    <xf numFmtId="3" fontId="31" fillId="25" borderId="198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center"/>
    </xf>
    <xf numFmtId="3" fontId="29" fillId="2" borderId="203" xfId="4" applyNumberFormat="1" applyFont="1" applyFill="1" applyBorder="1" applyAlignment="1">
      <alignment vertical="center" wrapText="1"/>
    </xf>
    <xf numFmtId="3" fontId="32" fillId="0" borderId="199" xfId="6" applyNumberFormat="1" applyFont="1" applyFill="1" applyBorder="1" applyAlignment="1">
      <alignment vertical="center"/>
    </xf>
    <xf numFmtId="3" fontId="27" fillId="2" borderId="198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9" xfId="4" applyFont="1" applyFill="1" applyBorder="1" applyAlignment="1">
      <alignment horizontal="left" vertical="center"/>
    </xf>
    <xf numFmtId="3" fontId="23" fillId="6" borderId="198" xfId="6" applyNumberFormat="1" applyFont="1" applyFill="1" applyBorder="1" applyAlignment="1">
      <alignment horizontal="right" vertical="center"/>
    </xf>
    <xf numFmtId="3" fontId="33" fillId="0" borderId="198" xfId="6" applyNumberFormat="1" applyFont="1" applyFill="1" applyBorder="1" applyAlignment="1">
      <alignment horizontal="right" vertical="center"/>
    </xf>
    <xf numFmtId="43" fontId="31" fillId="0" borderId="188" xfId="1" applyFont="1" applyFill="1" applyBorder="1" applyAlignment="1">
      <alignment horizontal="right" vertical="center"/>
    </xf>
    <xf numFmtId="0" fontId="31" fillId="0" borderId="196" xfId="4" applyFont="1" applyFill="1" applyBorder="1" applyAlignment="1">
      <alignment vertical="center"/>
    </xf>
    <xf numFmtId="43" fontId="33" fillId="0" borderId="198" xfId="1" applyFont="1" applyFill="1" applyBorder="1" applyAlignment="1">
      <alignment horizontal="right" vertical="center"/>
    </xf>
    <xf numFmtId="3" fontId="29" fillId="2" borderId="198" xfId="4" applyNumberFormat="1" applyFont="1" applyFill="1" applyBorder="1" applyAlignment="1">
      <alignment vertical="center"/>
    </xf>
    <xf numFmtId="43" fontId="23" fillId="6" borderId="198" xfId="1" applyFont="1" applyFill="1" applyBorder="1" applyAlignment="1">
      <alignment horizontal="right" vertical="center"/>
    </xf>
    <xf numFmtId="0" fontId="7" fillId="0" borderId="203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5" fillId="6" borderId="189" xfId="4" applyFont="1" applyFill="1" applyBorder="1" applyAlignment="1">
      <alignment horizontal="center" vertical="center"/>
    </xf>
    <xf numFmtId="43" fontId="7" fillId="0" borderId="195" xfId="1" applyFont="1" applyFill="1" applyBorder="1" applyAlignment="1">
      <alignment horizontal="right" vertical="center"/>
    </xf>
    <xf numFmtId="3" fontId="7" fillId="0" borderId="195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vertical="center"/>
    </xf>
    <xf numFmtId="43" fontId="32" fillId="0" borderId="192" xfId="1" applyFont="1" applyFill="1" applyBorder="1" applyAlignment="1">
      <alignment vertical="center"/>
    </xf>
    <xf numFmtId="0" fontId="27" fillId="2" borderId="203" xfId="4" applyFont="1" applyFill="1" applyBorder="1" applyAlignment="1">
      <alignment vertical="center"/>
    </xf>
    <xf numFmtId="3" fontId="24" fillId="6" borderId="198" xfId="4" applyNumberFormat="1" applyFont="1" applyFill="1" applyBorder="1" applyAlignment="1">
      <alignment horizontal="right" vertical="center"/>
    </xf>
    <xf numFmtId="3" fontId="29" fillId="0" borderId="198" xfId="4" applyNumberFormat="1" applyFont="1" applyFill="1" applyBorder="1" applyAlignment="1">
      <alignment horizontal="right" vertical="center"/>
    </xf>
    <xf numFmtId="3" fontId="29" fillId="25" borderId="198" xfId="4" applyNumberFormat="1" applyFont="1" applyFill="1" applyBorder="1" applyAlignment="1">
      <alignment horizontal="right" vertical="center"/>
    </xf>
    <xf numFmtId="43" fontId="7" fillId="0" borderId="198" xfId="1" applyFont="1" applyFill="1" applyBorder="1" applyAlignment="1">
      <alignment horizontal="right" vertical="center"/>
    </xf>
    <xf numFmtId="0" fontId="0" fillId="0" borderId="192" xfId="0" applyFont="1" applyBorder="1"/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2" fillId="8" borderId="177" xfId="6" applyNumberFormat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3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7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6" borderId="199" xfId="4" applyNumberFormat="1" applyFont="1" applyFill="1" applyBorder="1" applyAlignment="1">
      <alignment horizontal="right" vertical="center"/>
    </xf>
    <xf numFmtId="3" fontId="24" fillId="22" borderId="199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vertical="center"/>
    </xf>
    <xf numFmtId="3" fontId="25" fillId="6" borderId="199" xfId="4" applyNumberFormat="1" applyFont="1" applyFill="1" applyBorder="1" applyAlignment="1">
      <alignment vertical="center"/>
    </xf>
    <xf numFmtId="43" fontId="25" fillId="6" borderId="199" xfId="1" applyFont="1" applyFill="1" applyBorder="1" applyAlignment="1">
      <alignment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99" xfId="1" applyFont="1" applyFill="1" applyBorder="1" applyAlignment="1">
      <alignment vertical="center"/>
    </xf>
    <xf numFmtId="3" fontId="24" fillId="6" borderId="199" xfId="4" applyNumberFormat="1" applyFont="1" applyFill="1" applyBorder="1" applyAlignment="1">
      <alignment vertical="center"/>
    </xf>
    <xf numFmtId="3" fontId="25" fillId="22" borderId="198" xfId="4" applyNumberFormat="1" applyFont="1" applyFill="1" applyBorder="1" applyAlignment="1">
      <alignment horizontal="right" vertical="center"/>
    </xf>
    <xf numFmtId="3" fontId="23" fillId="6" borderId="199" xfId="6" applyNumberFormat="1" applyFont="1" applyFill="1" applyBorder="1" applyAlignment="1">
      <alignment horizontal="right" vertical="center"/>
    </xf>
    <xf numFmtId="43" fontId="23" fillId="6" borderId="199" xfId="1" applyFont="1" applyFill="1" applyBorder="1" applyAlignment="1">
      <alignment horizontal="right" vertical="center"/>
    </xf>
    <xf numFmtId="3" fontId="31" fillId="2" borderId="141" xfId="4" applyNumberFormat="1" applyFont="1" applyFill="1" applyBorder="1" applyAlignment="1">
      <alignment vertical="center" wrapText="1"/>
    </xf>
    <xf numFmtId="3" fontId="32" fillId="0" borderId="198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horizontal="right" vertical="center"/>
    </xf>
    <xf numFmtId="43" fontId="31" fillId="0" borderId="127" xfId="1" applyFont="1" applyFill="1" applyBorder="1" applyAlignment="1">
      <alignment horizontal="right" vertical="center"/>
    </xf>
    <xf numFmtId="43" fontId="25" fillId="6" borderId="198" xfId="1" applyFont="1" applyFill="1" applyBorder="1" applyAlignment="1">
      <alignment vertical="top"/>
    </xf>
    <xf numFmtId="3" fontId="25" fillId="22" borderId="198" xfId="0" applyNumberFormat="1" applyFont="1" applyFill="1" applyBorder="1" applyAlignment="1">
      <alignment vertical="top"/>
    </xf>
    <xf numFmtId="3" fontId="27" fillId="2" borderId="206" xfId="4" applyNumberFormat="1" applyFont="1" applyFill="1" applyBorder="1" applyAlignment="1">
      <alignment vertical="center" wrapText="1"/>
    </xf>
    <xf numFmtId="43" fontId="27" fillId="25" borderId="199" xfId="1" applyFont="1" applyFill="1" applyBorder="1" applyAlignment="1">
      <alignment horizontal="center" vertical="top"/>
    </xf>
    <xf numFmtId="43" fontId="31" fillId="25" borderId="199" xfId="1" applyFont="1" applyFill="1" applyBorder="1" applyAlignment="1">
      <alignment horizontal="center" vertical="top"/>
    </xf>
    <xf numFmtId="0" fontId="23" fillId="0" borderId="189" xfId="0" applyFont="1" applyBorder="1" applyAlignment="1">
      <alignment horizontal="center" vertical="center" wrapText="1"/>
    </xf>
    <xf numFmtId="0" fontId="28" fillId="58" borderId="189" xfId="0" applyFont="1" applyFill="1" applyBorder="1" applyAlignment="1">
      <alignment vertical="top"/>
    </xf>
    <xf numFmtId="0" fontId="28" fillId="56" borderId="137" xfId="0" applyFont="1" applyFill="1" applyBorder="1" applyAlignment="1">
      <alignment vertical="center"/>
    </xf>
    <xf numFmtId="0" fontId="39" fillId="59" borderId="206" xfId="0" applyFont="1" applyFill="1" applyBorder="1"/>
    <xf numFmtId="0" fontId="28" fillId="59" borderId="189" xfId="0" applyFont="1" applyFill="1" applyBorder="1" applyAlignment="1">
      <alignment vertical="top"/>
    </xf>
    <xf numFmtId="0" fontId="31" fillId="55" borderId="137" xfId="0" applyFont="1" applyFill="1" applyBorder="1" applyAlignment="1">
      <alignment vertical="top"/>
    </xf>
    <xf numFmtId="0" fontId="31" fillId="55" borderId="189" xfId="0" applyFont="1" applyFill="1" applyBorder="1" applyAlignment="1">
      <alignment vertical="top"/>
    </xf>
    <xf numFmtId="3" fontId="27" fillId="0" borderId="199" xfId="0" applyNumberFormat="1" applyFont="1" applyFill="1" applyBorder="1" applyAlignment="1">
      <alignment vertical="center"/>
    </xf>
    <xf numFmtId="3" fontId="27" fillId="8" borderId="199" xfId="0" applyNumberFormat="1" applyFont="1" applyFill="1" applyBorder="1" applyAlignment="1">
      <alignment vertical="center"/>
    </xf>
    <xf numFmtId="3" fontId="27" fillId="23" borderId="199" xfId="0" applyNumberFormat="1" applyFont="1" applyFill="1" applyBorder="1" applyAlignment="1">
      <alignment vertical="center"/>
    </xf>
    <xf numFmtId="3" fontId="31" fillId="28" borderId="199" xfId="0" applyNumberFormat="1" applyFont="1" applyFill="1" applyBorder="1" applyAlignment="1">
      <alignment vertical="center"/>
    </xf>
    <xf numFmtId="3" fontId="7" fillId="23" borderId="199" xfId="0" applyNumberFormat="1" applyFont="1" applyFill="1" applyBorder="1" applyAlignment="1">
      <alignment vertical="center"/>
    </xf>
    <xf numFmtId="3" fontId="27" fillId="25" borderId="198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center"/>
    </xf>
    <xf numFmtId="3" fontId="7" fillId="8" borderId="199" xfId="4" applyNumberFormat="1" applyFont="1" applyFill="1" applyBorder="1" applyAlignment="1">
      <alignment horizontal="right" vertical="center"/>
    </xf>
    <xf numFmtId="3" fontId="24" fillId="22" borderId="199" xfId="4" applyNumberFormat="1" applyFont="1" applyFill="1" applyBorder="1" applyAlignment="1">
      <alignment vertical="center"/>
    </xf>
    <xf numFmtId="3" fontId="29" fillId="0" borderId="199" xfId="4" applyNumberFormat="1" applyFont="1" applyFill="1" applyBorder="1" applyAlignment="1">
      <alignment horizontal="right" vertical="center"/>
    </xf>
    <xf numFmtId="3" fontId="7" fillId="0" borderId="199" xfId="4" applyNumberFormat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center"/>
    </xf>
    <xf numFmtId="0" fontId="24" fillId="6" borderId="203" xfId="4" applyFont="1" applyFill="1" applyBorder="1" applyAlignment="1">
      <alignment horizontal="left" vertical="center"/>
    </xf>
    <xf numFmtId="3" fontId="27" fillId="0" borderId="198" xfId="4" applyNumberFormat="1" applyFont="1" applyFill="1" applyBorder="1" applyAlignment="1">
      <alignment vertical="center"/>
    </xf>
    <xf numFmtId="3" fontId="29" fillId="0" borderId="198" xfId="4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vertical="center"/>
    </xf>
    <xf numFmtId="3" fontId="7" fillId="0" borderId="198" xfId="4" applyNumberFormat="1" applyFont="1" applyFill="1" applyBorder="1" applyAlignment="1">
      <alignment vertical="center"/>
    </xf>
    <xf numFmtId="0" fontId="28" fillId="0" borderId="203" xfId="4" applyFont="1" applyFill="1" applyBorder="1" applyAlignment="1">
      <alignment vertical="center"/>
    </xf>
    <xf numFmtId="3" fontId="28" fillId="0" borderId="198" xfId="4" applyNumberFormat="1" applyFont="1" applyFill="1" applyBorder="1" applyAlignment="1">
      <alignment horizontal="right" vertical="center"/>
    </xf>
    <xf numFmtId="3" fontId="28" fillId="25" borderId="198" xfId="4" applyNumberFormat="1" applyFont="1" applyFill="1" applyBorder="1" applyAlignment="1">
      <alignment horizontal="right" vertical="center"/>
    </xf>
    <xf numFmtId="3" fontId="28" fillId="0" borderId="199" xfId="4" applyNumberFormat="1" applyFont="1" applyFill="1" applyBorder="1" applyAlignment="1">
      <alignment horizontal="right" vertical="center"/>
    </xf>
    <xf numFmtId="0" fontId="31" fillId="0" borderId="203" xfId="4" applyFont="1" applyFill="1" applyBorder="1" applyAlignment="1">
      <alignment vertical="center"/>
    </xf>
    <xf numFmtId="0" fontId="29" fillId="2" borderId="203" xfId="4" applyFont="1" applyFill="1" applyBorder="1" applyAlignment="1">
      <alignment vertical="center"/>
    </xf>
    <xf numFmtId="3" fontId="33" fillId="25" borderId="199" xfId="6" applyNumberFormat="1" applyFont="1" applyFill="1" applyBorder="1" applyAlignment="1">
      <alignment vertical="center"/>
    </xf>
    <xf numFmtId="3" fontId="31" fillId="0" borderId="195" xfId="4" applyNumberFormat="1" applyFont="1" applyFill="1" applyBorder="1" applyAlignment="1">
      <alignment horizontal="right" vertical="center"/>
    </xf>
    <xf numFmtId="3" fontId="63" fillId="0" borderId="188" xfId="6" applyNumberFormat="1" applyFont="1" applyFill="1" applyBorder="1" applyAlignment="1">
      <alignment vertical="center"/>
    </xf>
    <xf numFmtId="3" fontId="38" fillId="0" borderId="188" xfId="4" applyNumberFormat="1" applyFont="1" applyFill="1" applyBorder="1" applyAlignment="1">
      <alignment horizontal="right" vertical="center"/>
    </xf>
    <xf numFmtId="3" fontId="28" fillId="25" borderId="188" xfId="4" applyNumberFormat="1" applyFont="1" applyFill="1" applyBorder="1" applyAlignment="1">
      <alignment horizontal="right" vertical="center"/>
    </xf>
    <xf numFmtId="3" fontId="33" fillId="0" borderId="198" xfId="114" applyNumberFormat="1" applyFont="1" applyFill="1" applyBorder="1" applyAlignment="1">
      <alignment vertical="center"/>
    </xf>
    <xf numFmtId="3" fontId="33" fillId="0" borderId="199" xfId="114" applyNumberFormat="1" applyFont="1" applyFill="1" applyBorder="1" applyAlignment="1">
      <alignment vertical="center"/>
    </xf>
    <xf numFmtId="0" fontId="4" fillId="0" borderId="199" xfId="112" applyFont="1" applyBorder="1" applyAlignment="1">
      <alignment vertical="center"/>
    </xf>
    <xf numFmtId="0" fontId="18" fillId="0" borderId="35" xfId="4" applyFont="1" applyFill="1" applyBorder="1" applyAlignment="1">
      <alignment horizontal="center" vertical="center" wrapText="1"/>
    </xf>
    <xf numFmtId="0" fontId="18" fillId="0" borderId="134" xfId="4" applyFont="1" applyFill="1" applyBorder="1" applyAlignment="1">
      <alignment horizontal="center" vertical="center" wrapText="1"/>
    </xf>
    <xf numFmtId="0" fontId="25" fillId="6" borderId="199" xfId="4" applyFont="1" applyFill="1" applyBorder="1" applyAlignment="1">
      <alignment horizontal="left" vertical="center"/>
    </xf>
    <xf numFmtId="3" fontId="25" fillId="22" borderId="199" xfId="0" applyNumberFormat="1" applyFont="1" applyFill="1" applyBorder="1" applyAlignment="1">
      <alignment vertical="top"/>
    </xf>
    <xf numFmtId="3" fontId="31" fillId="23" borderId="199" xfId="0" applyNumberFormat="1" applyFont="1" applyFill="1" applyBorder="1" applyAlignment="1">
      <alignment vertical="top"/>
    </xf>
    <xf numFmtId="3" fontId="31" fillId="0" borderId="199" xfId="0" applyNumberFormat="1" applyFont="1" applyFill="1" applyBorder="1" applyAlignment="1">
      <alignment vertical="center"/>
    </xf>
    <xf numFmtId="3" fontId="27" fillId="0" borderId="199" xfId="4" applyNumberFormat="1" applyFont="1" applyFill="1" applyBorder="1" applyAlignment="1">
      <alignment vertical="center" wrapText="1"/>
    </xf>
    <xf numFmtId="0" fontId="32" fillId="0" borderId="209" xfId="0" applyFont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3" fontId="31" fillId="0" borderId="209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5" borderId="67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200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1" xfId="4" applyNumberFormat="1" applyFont="1" applyFill="1" applyBorder="1" applyAlignment="1">
      <alignment vertical="center"/>
    </xf>
    <xf numFmtId="2" fontId="24" fillId="8" borderId="200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204" xfId="0" applyNumberFormat="1" applyFont="1" applyFill="1" applyBorder="1" applyAlignment="1">
      <alignment vertical="top" wrapText="1"/>
    </xf>
    <xf numFmtId="2" fontId="7" fillId="8" borderId="197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1" xfId="4" applyNumberFormat="1" applyFont="1" applyFill="1" applyBorder="1" applyAlignment="1">
      <alignment horizontal="left" vertical="center"/>
    </xf>
    <xf numFmtId="2" fontId="7" fillId="6" borderId="200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17" fillId="8" borderId="25" xfId="0" applyNumberFormat="1" applyFont="1" applyFill="1" applyBorder="1" applyAlignment="1">
      <alignment vertical="center"/>
    </xf>
    <xf numFmtId="2" fontId="7" fillId="8" borderId="204" xfId="0" applyNumberFormat="1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vertical="center" wrapText="1"/>
    </xf>
    <xf numFmtId="2" fontId="18" fillId="8" borderId="69" xfId="0" applyNumberFormat="1" applyFont="1" applyFill="1" applyBorder="1" applyAlignment="1">
      <alignment horizontal="center" vertical="center" wrapText="1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1" xfId="4" applyNumberFormat="1" applyFont="1" applyFill="1" applyBorder="1" applyAlignment="1">
      <alignment horizontal="left" vertical="center"/>
    </xf>
    <xf numFmtId="2" fontId="31" fillId="6" borderId="200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8" xfId="0" applyNumberFormat="1" applyFont="1" applyFill="1" applyBorder="1" applyAlignment="1">
      <alignment vertical="top"/>
    </xf>
    <xf numFmtId="2" fontId="27" fillId="2" borderId="131" xfId="4" applyNumberFormat="1" applyFont="1" applyFill="1" applyBorder="1" applyAlignment="1">
      <alignment vertical="top"/>
    </xf>
    <xf numFmtId="2" fontId="31" fillId="0" borderId="204" xfId="0" applyNumberFormat="1" applyFont="1" applyFill="1" applyBorder="1" applyAlignment="1">
      <alignment horizontal="left" vertical="center" wrapText="1"/>
    </xf>
    <xf numFmtId="2" fontId="7" fillId="6" borderId="200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199" xfId="0" applyNumberFormat="1" applyFont="1" applyFill="1" applyBorder="1" applyAlignment="1">
      <alignment vertical="top"/>
    </xf>
    <xf numFmtId="2" fontId="27" fillId="2" borderId="202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top"/>
    </xf>
    <xf numFmtId="2" fontId="31" fillId="0" borderId="211" xfId="0" applyNumberFormat="1" applyFont="1" applyFill="1" applyBorder="1" applyAlignment="1">
      <alignment horizontal="left" vertical="center" wrapText="1"/>
    </xf>
    <xf numFmtId="2" fontId="25" fillId="6" borderId="206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12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5" borderId="203" xfId="4" applyNumberFormat="1" applyFont="1" applyFill="1" applyBorder="1" applyAlignment="1">
      <alignment horizontal="left" vertical="center"/>
    </xf>
    <xf numFmtId="2" fontId="27" fillId="55" borderId="16" xfId="4" applyNumberFormat="1" applyFont="1" applyFill="1" applyBorder="1" applyAlignment="1">
      <alignment horizontal="left" vertical="center"/>
    </xf>
    <xf numFmtId="2" fontId="27" fillId="55" borderId="198" xfId="4" applyNumberFormat="1" applyFont="1" applyFill="1" applyBorder="1" applyAlignment="1">
      <alignment horizontal="right" vertical="center"/>
    </xf>
    <xf numFmtId="2" fontId="27" fillId="55" borderId="67" xfId="0" applyNumberFormat="1" applyFont="1" applyFill="1" applyBorder="1" applyAlignment="1">
      <alignment horizontal="left" vertical="top"/>
    </xf>
    <xf numFmtId="2" fontId="28" fillId="55" borderId="22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top"/>
    </xf>
    <xf numFmtId="2" fontId="27" fillId="23" borderId="199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top"/>
    </xf>
    <xf numFmtId="2" fontId="31" fillId="8" borderId="198" xfId="0" applyNumberFormat="1" applyFont="1" applyFill="1" applyBorder="1" applyAlignment="1">
      <alignment vertical="top"/>
    </xf>
    <xf numFmtId="2" fontId="25" fillId="23" borderId="198" xfId="0" applyNumberFormat="1" applyFont="1" applyFill="1" applyBorder="1" applyAlignment="1">
      <alignment horizontal="center" vertical="top"/>
    </xf>
    <xf numFmtId="2" fontId="7" fillId="23" borderId="195" xfId="0" applyNumberFormat="1" applyFont="1" applyFill="1" applyBorder="1" applyAlignment="1">
      <alignment vertical="top"/>
    </xf>
    <xf numFmtId="2" fontId="31" fillId="8" borderId="131" xfId="0" applyNumberFormat="1" applyFont="1" applyFill="1" applyBorder="1" applyAlignment="1">
      <alignment vertical="center"/>
    </xf>
    <xf numFmtId="2" fontId="31" fillId="8" borderId="198" xfId="0" applyNumberFormat="1" applyFont="1" applyFill="1" applyBorder="1" applyAlignment="1">
      <alignment vertical="center"/>
    </xf>
    <xf numFmtId="2" fontId="25" fillId="23" borderId="198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8" xfId="0" applyNumberFormat="1" applyFont="1" applyFill="1" applyBorder="1" applyAlignment="1">
      <alignment horizontal="right" vertical="center"/>
    </xf>
    <xf numFmtId="2" fontId="27" fillId="8" borderId="199" xfId="0" applyNumberFormat="1" applyFont="1" applyFill="1" applyBorder="1" applyAlignment="1">
      <alignment horizontal="right" vertical="center"/>
    </xf>
    <xf numFmtId="2" fontId="25" fillId="23" borderId="198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199" xfId="0" applyNumberFormat="1" applyFont="1" applyFill="1" applyBorder="1" applyAlignment="1">
      <alignment vertical="top"/>
    </xf>
    <xf numFmtId="2" fontId="25" fillId="23" borderId="199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99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8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8" xfId="0" applyNumberFormat="1" applyFont="1" applyFill="1" applyBorder="1" applyAlignment="1">
      <alignment vertical="center"/>
    </xf>
    <xf numFmtId="2" fontId="25" fillId="0" borderId="198" xfId="0" applyNumberFormat="1" applyFont="1" applyFill="1" applyBorder="1" applyAlignment="1">
      <alignment vertical="center"/>
    </xf>
    <xf numFmtId="2" fontId="31" fillId="32" borderId="131" xfId="0" applyNumberFormat="1" applyFont="1" applyFill="1" applyBorder="1" applyAlignment="1">
      <alignment vertical="center"/>
    </xf>
    <xf numFmtId="2" fontId="31" fillId="32" borderId="198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8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199" xfId="0" applyNumberFormat="1" applyFont="1" applyFill="1" applyBorder="1" applyAlignment="1"/>
    <xf numFmtId="2" fontId="29" fillId="2" borderId="131" xfId="4" applyNumberFormat="1" applyFont="1" applyFill="1" applyBorder="1" applyAlignment="1">
      <alignment vertical="center" wrapText="1"/>
    </xf>
    <xf numFmtId="2" fontId="27" fillId="2" borderId="199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1" xfId="0" applyNumberFormat="1" applyFont="1" applyFill="1" applyBorder="1" applyAlignment="1">
      <alignment vertical="center" wrapText="1"/>
    </xf>
    <xf numFmtId="2" fontId="31" fillId="0" borderId="195" xfId="0" applyNumberFormat="1" applyFont="1" applyFill="1" applyBorder="1" applyAlignment="1">
      <alignment vertical="top"/>
    </xf>
    <xf numFmtId="2" fontId="31" fillId="2" borderId="131" xfId="4" applyNumberFormat="1" applyFont="1" applyFill="1" applyBorder="1" applyAlignment="1">
      <alignment vertical="center" wrapText="1"/>
    </xf>
    <xf numFmtId="2" fontId="0" fillId="0" borderId="199" xfId="0" applyNumberFormat="1" applyFont="1" applyBorder="1"/>
    <xf numFmtId="2" fontId="7" fillId="23" borderId="199" xfId="0" applyNumberFormat="1" applyFont="1" applyFill="1" applyBorder="1" applyAlignment="1">
      <alignment horizontal="center" vertical="top"/>
    </xf>
    <xf numFmtId="2" fontId="25" fillId="2" borderId="199" xfId="0" applyNumberFormat="1" applyFont="1" applyFill="1" applyBorder="1" applyAlignment="1"/>
    <xf numFmtId="2" fontId="28" fillId="2" borderId="199" xfId="0" applyNumberFormat="1" applyFont="1" applyFill="1" applyBorder="1" applyAlignment="1"/>
    <xf numFmtId="2" fontId="31" fillId="2" borderId="199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199" xfId="0" applyNumberFormat="1" applyFont="1" applyFill="1" applyBorder="1" applyAlignment="1">
      <alignment vertical="center"/>
    </xf>
    <xf numFmtId="2" fontId="25" fillId="22" borderId="199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199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12" xfId="0" applyNumberFormat="1" applyFont="1" applyFill="1" applyBorder="1" applyAlignment="1">
      <alignment vertical="center" wrapText="1"/>
    </xf>
    <xf numFmtId="2" fontId="31" fillId="2" borderId="209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199" xfId="0" applyNumberFormat="1" applyFont="1" applyBorder="1" applyAlignment="1">
      <alignment vertical="center"/>
    </xf>
    <xf numFmtId="2" fontId="39" fillId="0" borderId="199" xfId="0" applyNumberFormat="1" applyFont="1" applyBorder="1" applyAlignment="1">
      <alignment vertical="center"/>
    </xf>
    <xf numFmtId="2" fontId="18" fillId="0" borderId="199" xfId="0" applyNumberFormat="1" applyFont="1" applyBorder="1" applyAlignment="1">
      <alignment vertical="top"/>
    </xf>
    <xf numFmtId="3" fontId="29" fillId="8" borderId="199" xfId="0" applyNumberFormat="1" applyFont="1" applyFill="1" applyBorder="1" applyAlignment="1">
      <alignment vertical="center"/>
    </xf>
    <xf numFmtId="3" fontId="29" fillId="23" borderId="199" xfId="0" applyNumberFormat="1" applyFont="1" applyFill="1" applyBorder="1" applyAlignment="1">
      <alignment vertical="center"/>
    </xf>
    <xf numFmtId="3" fontId="7" fillId="28" borderId="199" xfId="0" applyNumberFormat="1" applyFont="1" applyFill="1" applyBorder="1" applyAlignment="1">
      <alignment vertical="center"/>
    </xf>
    <xf numFmtId="3" fontId="24" fillId="6" borderId="199" xfId="0" applyNumberFormat="1" applyFont="1" applyFill="1" applyBorder="1" applyAlignment="1">
      <alignment vertical="center"/>
    </xf>
    <xf numFmtId="3" fontId="7" fillId="28" borderId="209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3" fontId="31" fillId="0" borderId="195" xfId="0" applyNumberFormat="1" applyFont="1" applyFill="1" applyBorder="1" applyAlignment="1">
      <alignment horizontal="right" vertical="center"/>
    </xf>
    <xf numFmtId="3" fontId="25" fillId="6" borderId="195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/>
    <xf numFmtId="3" fontId="31" fillId="0" borderId="169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200" xfId="0" applyNumberFormat="1" applyFont="1" applyFill="1" applyBorder="1" applyAlignment="1">
      <alignment horizontal="center" vertical="top"/>
    </xf>
    <xf numFmtId="1" fontId="21" fillId="2" borderId="199" xfId="0" applyNumberFormat="1" applyFont="1" applyFill="1" applyBorder="1" applyAlignment="1">
      <alignment horizontal="center" vertical="top"/>
    </xf>
    <xf numFmtId="1" fontId="21" fillId="2" borderId="199" xfId="0" quotePrefix="1" applyNumberFormat="1" applyFont="1" applyFill="1" applyBorder="1" applyAlignment="1">
      <alignment horizontal="center" vertical="top"/>
    </xf>
    <xf numFmtId="1" fontId="21" fillId="2" borderId="194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3" fontId="7" fillId="24" borderId="207" xfId="4" applyNumberFormat="1" applyFont="1" applyFill="1" applyBorder="1" applyAlignment="1">
      <alignment horizontal="right" vertical="center"/>
    </xf>
    <xf numFmtId="3" fontId="7" fillId="24" borderId="199" xfId="4" applyNumberFormat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202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43" fontId="8" fillId="0" borderId="8" xfId="1" applyFont="1" applyFill="1" applyBorder="1" applyAlignment="1">
      <alignment vertical="center" wrapText="1"/>
    </xf>
    <xf numFmtId="3" fontId="64" fillId="8" borderId="202" xfId="0" applyNumberFormat="1" applyFont="1" applyFill="1" applyBorder="1" applyAlignment="1">
      <alignment vertical="center" wrapText="1"/>
    </xf>
    <xf numFmtId="3" fontId="62" fillId="6" borderId="202" xfId="0" applyNumberFormat="1" applyFont="1" applyFill="1" applyBorder="1" applyAlignment="1">
      <alignment wrapText="1"/>
    </xf>
    <xf numFmtId="3" fontId="65" fillId="8" borderId="202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1" xfId="0" applyNumberFormat="1" applyFont="1" applyFill="1" applyBorder="1" applyAlignment="1">
      <alignment horizontal="right" vertical="center" wrapText="1"/>
    </xf>
    <xf numFmtId="3" fontId="64" fillId="9" borderId="131" xfId="0" applyNumberFormat="1" applyFont="1" applyFill="1" applyBorder="1" applyAlignment="1">
      <alignment vertical="center" wrapText="1"/>
    </xf>
    <xf numFmtId="3" fontId="62" fillId="57" borderId="52" xfId="0" applyNumberFormat="1" applyFont="1" applyFill="1" applyBorder="1" applyAlignment="1">
      <alignment vertical="center" wrapText="1"/>
    </xf>
    <xf numFmtId="3" fontId="62" fillId="57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5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202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1" xfId="1" applyFont="1" applyFill="1" applyBorder="1" applyAlignment="1">
      <alignment horizontal="center" vertical="center" wrapText="1"/>
    </xf>
    <xf numFmtId="43" fontId="32" fillId="0" borderId="167" xfId="1" applyFont="1" applyFill="1" applyBorder="1" applyAlignment="1">
      <alignment vertical="center"/>
    </xf>
    <xf numFmtId="3" fontId="31" fillId="0" borderId="209" xfId="4" applyNumberFormat="1" applyFont="1" applyFill="1" applyBorder="1" applyAlignment="1">
      <alignment vertical="center"/>
    </xf>
    <xf numFmtId="3" fontId="31" fillId="0" borderId="210" xfId="4" applyNumberFormat="1" applyFont="1" applyFill="1" applyBorder="1" applyAlignment="1"/>
    <xf numFmtId="3" fontId="27" fillId="55" borderId="195" xfId="4" applyNumberFormat="1" applyFont="1" applyFill="1" applyBorder="1" applyAlignment="1">
      <alignment horizontal="right" vertical="center"/>
    </xf>
    <xf numFmtId="3" fontId="27" fillId="55" borderId="169" xfId="4" applyNumberFormat="1" applyFont="1" applyFill="1" applyBorder="1" applyAlignment="1">
      <alignment horizontal="right" vertical="center"/>
    </xf>
    <xf numFmtId="3" fontId="27" fillId="55" borderId="12" xfId="0" quotePrefix="1" applyNumberFormat="1" applyFont="1" applyFill="1" applyBorder="1" applyAlignment="1">
      <alignment horizontal="right" vertical="top"/>
    </xf>
    <xf numFmtId="3" fontId="27" fillId="21" borderId="205" xfId="4" applyNumberFormat="1" applyFont="1" applyFill="1" applyBorder="1" applyAlignment="1">
      <alignment horizontal="right" vertical="center"/>
    </xf>
    <xf numFmtId="3" fontId="27" fillId="21" borderId="209" xfId="4" applyNumberFormat="1" applyFont="1" applyFill="1" applyBorder="1" applyAlignment="1">
      <alignment horizontal="right" vertical="center"/>
    </xf>
    <xf numFmtId="3" fontId="27" fillId="21" borderId="195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199" xfId="4" applyNumberFormat="1" applyFont="1" applyFill="1" applyBorder="1" applyAlignment="1">
      <alignment vertical="top" wrapText="1"/>
    </xf>
    <xf numFmtId="0" fontId="31" fillId="0" borderId="199" xfId="0" applyFont="1" applyFill="1" applyBorder="1" applyAlignment="1">
      <alignment horizontal="left" vertical="center" wrapText="1"/>
    </xf>
    <xf numFmtId="0" fontId="31" fillId="0" borderId="199" xfId="4" applyFont="1" applyFill="1" applyBorder="1" applyAlignment="1">
      <alignment vertical="center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8" xfId="0" applyNumberFormat="1" applyFont="1" applyFill="1" applyBorder="1" applyAlignment="1">
      <alignment vertical="top"/>
    </xf>
    <xf numFmtId="3" fontId="29" fillId="26" borderId="168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7" xfId="0" applyNumberFormat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center"/>
    </xf>
    <xf numFmtId="43" fontId="0" fillId="0" borderId="127" xfId="1" applyFont="1" applyBorder="1"/>
    <xf numFmtId="3" fontId="29" fillId="0" borderId="202" xfId="4" applyNumberFormat="1" applyFont="1" applyFill="1" applyBorder="1" applyAlignment="1">
      <alignment horizontal="right" vertical="center"/>
    </xf>
    <xf numFmtId="3" fontId="27" fillId="0" borderId="199" xfId="4" applyNumberFormat="1" applyFont="1" applyFill="1" applyBorder="1" applyAlignment="1">
      <alignment horizontal="right" vertical="center"/>
    </xf>
    <xf numFmtId="43" fontId="25" fillId="6" borderId="198" xfId="1" applyFont="1" applyFill="1" applyBorder="1" applyAlignment="1">
      <alignment horizontal="right" vertical="center"/>
    </xf>
    <xf numFmtId="43" fontId="27" fillId="0" borderId="198" xfId="1" applyFont="1" applyFill="1" applyBorder="1" applyAlignment="1">
      <alignment horizontal="right" vertical="center"/>
    </xf>
    <xf numFmtId="43" fontId="33" fillId="0" borderId="198" xfId="1" applyFont="1" applyFill="1" applyBorder="1" applyAlignment="1">
      <alignment vertical="center"/>
    </xf>
    <xf numFmtId="0" fontId="31" fillId="0" borderId="213" xfId="4" applyFont="1" applyFill="1" applyBorder="1" applyAlignment="1">
      <alignment vertical="center"/>
    </xf>
    <xf numFmtId="43" fontId="24" fillId="6" borderId="198" xfId="1" applyFont="1" applyFill="1" applyBorder="1" applyAlignment="1">
      <alignment vertical="center"/>
    </xf>
    <xf numFmtId="43" fontId="27" fillId="2" borderId="198" xfId="1" applyFont="1" applyFill="1" applyBorder="1" applyAlignment="1">
      <alignment vertical="center"/>
    </xf>
    <xf numFmtId="0" fontId="70" fillId="2" borderId="0" xfId="0" applyFont="1" applyFill="1" applyBorder="1" applyAlignment="1">
      <alignment horizontal="center" wrapText="1"/>
    </xf>
    <xf numFmtId="3" fontId="24" fillId="6" borderId="188" xfId="4" applyNumberFormat="1" applyFont="1" applyFill="1" applyBorder="1" applyAlignment="1">
      <alignment vertical="center"/>
    </xf>
    <xf numFmtId="3" fontId="27" fillId="2" borderId="199" xfId="4" applyNumberFormat="1" applyFont="1" applyFill="1" applyBorder="1" applyAlignment="1">
      <alignment vertical="center"/>
    </xf>
    <xf numFmtId="3" fontId="32" fillId="0" borderId="209" xfId="6" applyNumberFormat="1" applyFont="1" applyFill="1" applyBorder="1" applyAlignment="1">
      <alignment vertical="center"/>
    </xf>
    <xf numFmtId="3" fontId="27" fillId="25" borderId="199" xfId="4" applyNumberFormat="1" applyFont="1" applyFill="1" applyBorder="1" applyAlignment="1">
      <alignment horizontal="right" vertical="center"/>
    </xf>
    <xf numFmtId="0" fontId="7" fillId="0" borderId="213" xfId="4" applyFont="1" applyFill="1" applyBorder="1" applyAlignment="1">
      <alignment vertical="center"/>
    </xf>
    <xf numFmtId="3" fontId="7" fillId="0" borderId="209" xfId="4" applyNumberFormat="1" applyFont="1" applyFill="1" applyBorder="1" applyAlignment="1">
      <alignment horizontal="right" vertical="center"/>
    </xf>
    <xf numFmtId="43" fontId="7" fillId="0" borderId="209" xfId="1" applyFont="1" applyFill="1" applyBorder="1" applyAlignment="1">
      <alignment horizontal="right" vertical="center"/>
    </xf>
    <xf numFmtId="3" fontId="24" fillId="6" borderId="199" xfId="0" applyNumberFormat="1" applyFont="1" applyFill="1" applyBorder="1" applyAlignment="1">
      <alignment horizontal="right" vertical="center"/>
    </xf>
    <xf numFmtId="3" fontId="29" fillId="0" borderId="199" xfId="0" applyNumberFormat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horizontal="right" vertical="center"/>
    </xf>
    <xf numFmtId="43" fontId="31" fillId="0" borderId="199" xfId="1" applyFont="1" applyFill="1" applyBorder="1" applyAlignment="1">
      <alignment vertical="center"/>
    </xf>
    <xf numFmtId="43" fontId="31" fillId="0" borderId="209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>
      <alignment horizontal="right" vertical="center"/>
    </xf>
    <xf numFmtId="3" fontId="31" fillId="25" borderId="210" xfId="4" applyNumberFormat="1" applyFont="1" applyFill="1" applyBorder="1" applyAlignment="1">
      <alignment horizontal="right" vertical="center"/>
    </xf>
    <xf numFmtId="3" fontId="28" fillId="23" borderId="199" xfId="4" applyNumberFormat="1" applyFont="1" applyFill="1" applyBorder="1" applyAlignment="1">
      <alignment horizontal="right" vertical="center"/>
    </xf>
    <xf numFmtId="3" fontId="24" fillId="6" borderId="199" xfId="4" applyNumberFormat="1" applyFont="1" applyFill="1" applyBorder="1" applyAlignment="1"/>
    <xf numFmtId="3" fontId="33" fillId="23" borderId="199" xfId="6" applyNumberFormat="1" applyFont="1" applyFill="1" applyBorder="1" applyAlignment="1">
      <alignment vertical="center"/>
    </xf>
    <xf numFmtId="3" fontId="31" fillId="23" borderId="199" xfId="4" applyNumberFormat="1" applyFont="1" applyFill="1" applyBorder="1" applyAlignment="1">
      <alignment vertical="center"/>
    </xf>
    <xf numFmtId="0" fontId="25" fillId="0" borderId="12" xfId="4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27" fillId="55" borderId="200" xfId="4" applyFont="1" applyFill="1" applyBorder="1" applyAlignment="1">
      <alignment horizontal="left" vertical="center"/>
    </xf>
    <xf numFmtId="3" fontId="27" fillId="55" borderId="198" xfId="4" applyNumberFormat="1" applyFont="1" applyFill="1" applyBorder="1" applyAlignment="1">
      <alignment horizontal="right" vertical="center"/>
    </xf>
    <xf numFmtId="43" fontId="27" fillId="55" borderId="198" xfId="1" applyFont="1" applyFill="1" applyBorder="1" applyAlignment="1">
      <alignment horizontal="right" vertical="center"/>
    </xf>
    <xf numFmtId="3" fontId="27" fillId="21" borderId="199" xfId="4" applyNumberFormat="1" applyFont="1" applyFill="1" applyBorder="1" applyAlignment="1">
      <alignment horizontal="right" vertical="center"/>
    </xf>
    <xf numFmtId="0" fontId="28" fillId="55" borderId="200" xfId="0" quotePrefix="1" applyFont="1" applyFill="1" applyBorder="1" applyAlignment="1">
      <alignment horizontal="center" vertical="top"/>
    </xf>
    <xf numFmtId="3" fontId="27" fillId="55" borderId="198" xfId="0" quotePrefix="1" applyNumberFormat="1" applyFont="1" applyFill="1" applyBorder="1" applyAlignment="1">
      <alignment horizontal="right" vertical="top"/>
    </xf>
    <xf numFmtId="43" fontId="27" fillId="55" borderId="198" xfId="1" quotePrefix="1" applyFont="1" applyFill="1" applyBorder="1" applyAlignment="1">
      <alignment horizontal="right" vertical="top"/>
    </xf>
    <xf numFmtId="0" fontId="25" fillId="6" borderId="198" xfId="0" applyFont="1" applyFill="1" applyBorder="1" applyAlignment="1">
      <alignment vertical="center"/>
    </xf>
    <xf numFmtId="3" fontId="25" fillId="6" borderId="202" xfId="0" applyNumberFormat="1" applyFont="1" applyFill="1" applyBorder="1" applyAlignment="1">
      <alignment vertical="center"/>
    </xf>
    <xf numFmtId="43" fontId="25" fillId="6" borderId="207" xfId="1" applyFont="1" applyFill="1" applyBorder="1" applyAlignment="1">
      <alignment vertical="center"/>
    </xf>
    <xf numFmtId="3" fontId="25" fillId="6" borderId="207" xfId="0" applyNumberFormat="1" applyFont="1" applyFill="1" applyBorder="1" applyAlignment="1">
      <alignment vertical="center"/>
    </xf>
    <xf numFmtId="0" fontId="27" fillId="8" borderId="198" xfId="4" applyFont="1" applyFill="1" applyBorder="1" applyAlignment="1">
      <alignment horizontal="left" vertical="center"/>
    </xf>
    <xf numFmtId="3" fontId="27" fillId="8" borderId="199" xfId="4" applyNumberFormat="1" applyFont="1" applyFill="1" applyBorder="1" applyAlignment="1">
      <alignment vertical="top"/>
    </xf>
    <xf numFmtId="43" fontId="27" fillId="8" borderId="199" xfId="1" applyFont="1" applyFill="1" applyBorder="1" applyAlignment="1">
      <alignment vertical="top"/>
    </xf>
    <xf numFmtId="3" fontId="27" fillId="23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top"/>
    </xf>
    <xf numFmtId="3" fontId="7" fillId="8" borderId="199" xfId="4" applyNumberFormat="1" applyFont="1" applyFill="1" applyBorder="1" applyAlignment="1">
      <alignment vertical="top"/>
    </xf>
    <xf numFmtId="43" fontId="7" fillId="8" borderId="199" xfId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center"/>
    </xf>
    <xf numFmtId="3" fontId="7" fillId="8" borderId="199" xfId="4" applyNumberFormat="1" applyFont="1" applyFill="1" applyBorder="1" applyAlignment="1">
      <alignment vertical="center"/>
    </xf>
    <xf numFmtId="43" fontId="31" fillId="8" borderId="199" xfId="1" applyFont="1" applyFill="1" applyBorder="1" applyAlignment="1">
      <alignment vertical="center"/>
    </xf>
    <xf numFmtId="43" fontId="7" fillId="8" borderId="199" xfId="1" applyFont="1" applyFill="1" applyBorder="1" applyAlignment="1">
      <alignment vertical="center"/>
    </xf>
    <xf numFmtId="0" fontId="7" fillId="8" borderId="200" xfId="4" applyFont="1" applyFill="1" applyBorder="1" applyAlignment="1">
      <alignment vertical="top"/>
    </xf>
    <xf numFmtId="3" fontId="31" fillId="8" borderId="199" xfId="4" applyNumberFormat="1" applyFont="1" applyFill="1" applyBorder="1" applyAlignment="1">
      <alignment vertical="top"/>
    </xf>
    <xf numFmtId="43" fontId="31" fillId="8" borderId="199" xfId="1" applyFont="1" applyFill="1" applyBorder="1" applyAlignment="1">
      <alignment vertical="top"/>
    </xf>
    <xf numFmtId="0" fontId="7" fillId="8" borderId="210" xfId="4" applyFont="1" applyFill="1" applyBorder="1" applyAlignment="1">
      <alignment vertical="top"/>
    </xf>
    <xf numFmtId="3" fontId="31" fillId="8" borderId="209" xfId="4" applyNumberFormat="1" applyFont="1" applyFill="1" applyBorder="1" applyAlignment="1">
      <alignment vertical="top"/>
    </xf>
    <xf numFmtId="3" fontId="25" fillId="6" borderId="200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horizontal="right" vertical="center"/>
    </xf>
    <xf numFmtId="43" fontId="7" fillId="0" borderId="199" xfId="1" applyFont="1" applyFill="1" applyBorder="1" applyAlignment="1">
      <alignment vertical="top"/>
    </xf>
    <xf numFmtId="3" fontId="31" fillId="0" borderId="209" xfId="4" applyNumberFormat="1" applyFont="1" applyFill="1" applyBorder="1" applyAlignment="1"/>
    <xf numFmtId="3" fontId="31" fillId="0" borderId="209" xfId="4" applyNumberFormat="1" applyFont="1" applyFill="1" applyBorder="1" applyAlignment="1">
      <alignment horizontal="right" vertical="center"/>
    </xf>
    <xf numFmtId="3" fontId="29" fillId="0" borderId="209" xfId="4" applyNumberFormat="1" applyFont="1" applyFill="1" applyBorder="1" applyAlignment="1">
      <alignment horizontal="right" vertical="center"/>
    </xf>
    <xf numFmtId="3" fontId="29" fillId="2" borderId="173" xfId="4" applyNumberFormat="1" applyFont="1" applyFill="1" applyBorder="1" applyAlignment="1">
      <alignment vertical="center" wrapText="1"/>
    </xf>
    <xf numFmtId="43" fontId="33" fillId="0" borderId="192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/>
    <xf numFmtId="43" fontId="25" fillId="6" borderId="202" xfId="1" applyFont="1" applyFill="1" applyBorder="1" applyAlignment="1"/>
    <xf numFmtId="3" fontId="25" fillId="22" borderId="194" xfId="0" applyNumberFormat="1" applyFont="1" applyFill="1" applyBorder="1" applyAlignment="1"/>
    <xf numFmtId="43" fontId="27" fillId="2" borderId="202" xfId="1" applyFont="1" applyFill="1" applyBorder="1" applyAlignment="1">
      <alignment vertical="center"/>
    </xf>
    <xf numFmtId="3" fontId="27" fillId="23" borderId="194" xfId="0" applyNumberFormat="1" applyFont="1" applyFill="1" applyBorder="1" applyAlignment="1"/>
    <xf numFmtId="43" fontId="31" fillId="0" borderId="202" xfId="1" applyFont="1" applyFill="1" applyBorder="1" applyAlignment="1">
      <alignment vertical="center"/>
    </xf>
    <xf numFmtId="3" fontId="31" fillId="25" borderId="194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0" xfId="1" applyFont="1" applyFill="1" applyBorder="1" applyAlignment="1">
      <alignment vertical="center"/>
    </xf>
    <xf numFmtId="3" fontId="31" fillId="25" borderId="129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8" xfId="0" applyNumberFormat="1" applyFont="1" applyFill="1" applyBorder="1" applyAlignment="1"/>
    <xf numFmtId="3" fontId="25" fillId="22" borderId="173" xfId="0" applyNumberFormat="1" applyFont="1" applyFill="1" applyBorder="1" applyAlignment="1"/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27" fillId="55" borderId="142" xfId="4" applyFont="1" applyFill="1" applyBorder="1" applyAlignment="1">
      <alignment horizontal="left" vertical="center"/>
    </xf>
    <xf numFmtId="0" fontId="27" fillId="55" borderId="133" xfId="4" applyFont="1" applyFill="1" applyBorder="1" applyAlignment="1">
      <alignment horizontal="left" vertical="center"/>
    </xf>
    <xf numFmtId="3" fontId="27" fillId="55" borderId="135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33" xfId="4" applyFont="1" applyFill="1" applyBorder="1" applyAlignment="1">
      <alignment vertical="center"/>
    </xf>
    <xf numFmtId="3" fontId="27" fillId="8" borderId="133" xfId="0" applyNumberFormat="1" applyFont="1" applyFill="1" applyBorder="1" applyAlignment="1">
      <alignment vertical="top"/>
    </xf>
    <xf numFmtId="0" fontId="31" fillId="8" borderId="133" xfId="0" applyFont="1" applyFill="1" applyBorder="1" applyAlignment="1">
      <alignment vertical="top"/>
    </xf>
    <xf numFmtId="3" fontId="31" fillId="8" borderId="133" xfId="0" applyNumberFormat="1" applyFont="1" applyFill="1" applyBorder="1" applyAlignment="1">
      <alignment vertical="top"/>
    </xf>
    <xf numFmtId="0" fontId="31" fillId="8" borderId="199" xfId="0" applyFont="1" applyFill="1" applyBorder="1" applyAlignment="1">
      <alignment vertical="top"/>
    </xf>
    <xf numFmtId="3" fontId="31" fillId="8" borderId="199" xfId="0" applyNumberFormat="1" applyFont="1" applyFill="1" applyBorder="1" applyAlignment="1">
      <alignment vertical="top"/>
    </xf>
    <xf numFmtId="0" fontId="31" fillId="8" borderId="133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7" xfId="4" applyFont="1" applyFill="1" applyBorder="1" applyAlignment="1">
      <alignment vertical="center"/>
    </xf>
    <xf numFmtId="0" fontId="7" fillId="0" borderId="131" xfId="4" applyFont="1" applyFill="1" applyBorder="1" applyAlignment="1"/>
    <xf numFmtId="3" fontId="31" fillId="0" borderId="207" xfId="4" applyNumberFormat="1" applyFont="1" applyFill="1" applyBorder="1" applyAlignment="1"/>
    <xf numFmtId="3" fontId="31" fillId="0" borderId="193" xfId="4" applyNumberFormat="1" applyFont="1" applyFill="1" applyBorder="1" applyAlignment="1">
      <alignment horizontal="right" vertical="center"/>
    </xf>
    <xf numFmtId="0" fontId="29" fillId="0" borderId="131" xfId="4" applyFont="1" applyFill="1" applyBorder="1" applyAlignment="1">
      <alignment vertical="center"/>
    </xf>
    <xf numFmtId="3" fontId="31" fillId="25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vertical="top"/>
    </xf>
    <xf numFmtId="3" fontId="7" fillId="8" borderId="202" xfId="4" applyNumberFormat="1" applyFont="1" applyFill="1" applyBorder="1" applyAlignment="1">
      <alignment vertical="center" wrapText="1"/>
    </xf>
    <xf numFmtId="3" fontId="7" fillId="8" borderId="200" xfId="0" applyNumberFormat="1" applyFont="1" applyFill="1" applyBorder="1" applyAlignment="1">
      <alignment vertical="center"/>
    </xf>
    <xf numFmtId="3" fontId="7" fillId="8" borderId="199" xfId="0" applyNumberFormat="1" applyFont="1" applyFill="1" applyBorder="1" applyAlignment="1">
      <alignment vertical="center"/>
    </xf>
    <xf numFmtId="3" fontId="32" fillId="8" borderId="200" xfId="6" applyNumberFormat="1" applyFont="1" applyFill="1" applyBorder="1" applyAlignment="1">
      <alignment vertical="center"/>
    </xf>
    <xf numFmtId="3" fontId="32" fillId="8" borderId="198" xfId="6" applyNumberFormat="1" applyFont="1" applyFill="1" applyBorder="1" applyAlignment="1">
      <alignment vertical="center"/>
    </xf>
    <xf numFmtId="3" fontId="27" fillId="0" borderId="195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8" xfId="4" applyNumberFormat="1" applyFont="1" applyFill="1" applyBorder="1" applyAlignment="1">
      <alignment vertical="center"/>
    </xf>
    <xf numFmtId="3" fontId="31" fillId="2" borderId="206" xfId="4" applyNumberFormat="1" applyFont="1" applyFill="1" applyBorder="1" applyAlignment="1">
      <alignment vertical="center" wrapText="1"/>
    </xf>
    <xf numFmtId="3" fontId="31" fillId="32" borderId="198" xfId="4" applyNumberFormat="1" applyFont="1" applyFill="1" applyBorder="1" applyAlignment="1">
      <alignment vertical="center"/>
    </xf>
    <xf numFmtId="166" fontId="24" fillId="6" borderId="198" xfId="1" applyNumberFormat="1" applyFont="1" applyFill="1" applyBorder="1" applyAlignment="1">
      <alignment vertical="center"/>
    </xf>
    <xf numFmtId="43" fontId="7" fillId="0" borderId="188" xfId="1" applyFont="1" applyFill="1" applyBorder="1" applyAlignment="1">
      <alignment horizontal="right" vertical="center"/>
    </xf>
    <xf numFmtId="3" fontId="7" fillId="0" borderId="188" xfId="1" applyNumberFormat="1" applyFont="1" applyFill="1" applyBorder="1" applyAlignment="1">
      <alignment horizontal="right" vertical="center"/>
    </xf>
    <xf numFmtId="43" fontId="7" fillId="0" borderId="188" xfId="1" applyNumberFormat="1" applyFont="1" applyFill="1" applyBorder="1" applyAlignment="1">
      <alignment horizontal="right" vertical="center"/>
    </xf>
    <xf numFmtId="3" fontId="31" fillId="23" borderId="198" xfId="4" applyNumberFormat="1" applyFont="1" applyFill="1" applyBorder="1" applyAlignment="1">
      <alignment vertical="center"/>
    </xf>
    <xf numFmtId="43" fontId="27" fillId="0" borderId="188" xfId="1" applyFont="1" applyFill="1" applyBorder="1" applyAlignment="1">
      <alignment horizontal="right" vertical="center"/>
    </xf>
    <xf numFmtId="3" fontId="33" fillId="0" borderId="199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199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10" xfId="1" applyFont="1" applyFill="1" applyBorder="1" applyAlignment="1">
      <alignment horizontal="right" vertical="center"/>
    </xf>
    <xf numFmtId="3" fontId="31" fillId="0" borderId="132" xfId="4" applyNumberFormat="1" applyFont="1" applyFill="1" applyBorder="1" applyAlignment="1">
      <alignment horizontal="right" vertical="center"/>
    </xf>
    <xf numFmtId="3" fontId="27" fillId="0" borderId="168" xfId="0" applyNumberFormat="1" applyFont="1" applyFill="1" applyBorder="1" applyAlignment="1">
      <alignment vertical="center"/>
    </xf>
    <xf numFmtId="3" fontId="31" fillId="25" borderId="209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3" fontId="27" fillId="21" borderId="74" xfId="4" applyNumberFormat="1" applyFont="1" applyFill="1" applyBorder="1" applyAlignment="1">
      <alignment horizontal="right" vertical="center"/>
    </xf>
    <xf numFmtId="3" fontId="27" fillId="21" borderId="208" xfId="4" applyNumberFormat="1" applyFont="1" applyFill="1" applyBorder="1" applyAlignment="1">
      <alignment horizontal="right" vertical="center"/>
    </xf>
    <xf numFmtId="43" fontId="27" fillId="0" borderId="199" xfId="1" applyFont="1" applyFill="1" applyBorder="1" applyAlignment="1">
      <alignment vertical="center"/>
    </xf>
    <xf numFmtId="3" fontId="27" fillId="25" borderId="198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6" xfId="0" applyNumberFormat="1" applyFont="1" applyFill="1" applyBorder="1" applyAlignment="1">
      <alignment horizontal="right" vertical="center" wrapText="1"/>
    </xf>
    <xf numFmtId="3" fontId="36" fillId="3" borderId="85" xfId="0" applyNumberFormat="1" applyFont="1" applyFill="1" applyBorder="1" applyAlignment="1">
      <alignment vertical="center" wrapText="1"/>
    </xf>
    <xf numFmtId="3" fontId="36" fillId="3" borderId="68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206" xfId="0" applyNumberFormat="1" applyFont="1" applyFill="1" applyBorder="1" applyAlignment="1">
      <alignment horizontal="right" vertical="center" wrapText="1"/>
    </xf>
    <xf numFmtId="3" fontId="64" fillId="9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vertical="center" wrapText="1"/>
    </xf>
    <xf numFmtId="3" fontId="6" fillId="3" borderId="85" xfId="0" applyNumberFormat="1" applyFont="1" applyFill="1" applyBorder="1" applyAlignment="1">
      <alignment horizontal="right" vertical="center" wrapText="1"/>
    </xf>
    <xf numFmtId="3" fontId="6" fillId="3" borderId="85" xfId="0" applyNumberFormat="1" applyFont="1" applyFill="1" applyBorder="1" applyAlignment="1">
      <alignment horizontal="center" vertical="center" wrapText="1"/>
    </xf>
    <xf numFmtId="3" fontId="64" fillId="9" borderId="206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/>
    </xf>
    <xf numFmtId="3" fontId="85" fillId="2" borderId="131" xfId="4" applyNumberFormat="1" applyFont="1" applyFill="1" applyBorder="1" applyAlignment="1">
      <alignment vertical="center" wrapText="1"/>
    </xf>
    <xf numFmtId="3" fontId="83" fillId="0" borderId="65" xfId="4" applyNumberFormat="1" applyFont="1" applyFill="1" applyBorder="1" applyAlignment="1">
      <alignment vertical="center"/>
    </xf>
    <xf numFmtId="0" fontId="79" fillId="8" borderId="5" xfId="0" applyFont="1" applyFill="1" applyBorder="1" applyAlignment="1">
      <alignment vertical="center" wrapText="1"/>
    </xf>
    <xf numFmtId="0" fontId="79" fillId="8" borderId="17" xfId="0" applyFont="1" applyFill="1" applyBorder="1" applyAlignment="1">
      <alignment horizontal="center" vertical="center" wrapText="1"/>
    </xf>
    <xf numFmtId="3" fontId="82" fillId="8" borderId="3" xfId="0" applyNumberFormat="1" applyFont="1" applyFill="1" applyBorder="1" applyAlignment="1">
      <alignment vertical="top"/>
    </xf>
    <xf numFmtId="3" fontId="82" fillId="8" borderId="15" xfId="0" applyNumberFormat="1" applyFont="1" applyFill="1" applyBorder="1" applyAlignment="1">
      <alignment vertical="top"/>
    </xf>
    <xf numFmtId="3" fontId="82" fillId="8" borderId="4" xfId="0" applyNumberFormat="1" applyFont="1" applyFill="1" applyBorder="1" applyAlignment="1">
      <alignment vertical="top"/>
    </xf>
    <xf numFmtId="3" fontId="82" fillId="23" borderId="42" xfId="0" applyNumberFormat="1" applyFont="1" applyFill="1" applyBorder="1" applyAlignment="1">
      <alignment vertical="top"/>
    </xf>
    <xf numFmtId="0" fontId="79" fillId="6" borderId="131" xfId="4" applyFont="1" applyFill="1" applyBorder="1" applyAlignment="1">
      <alignment horizontal="left" vertical="center"/>
    </xf>
    <xf numFmtId="0" fontId="81" fillId="6" borderId="135" xfId="0" applyFont="1" applyFill="1" applyBorder="1" applyAlignment="1">
      <alignment vertical="top"/>
    </xf>
    <xf numFmtId="3" fontId="82" fillId="6" borderId="167" xfId="0" applyNumberFormat="1" applyFont="1" applyFill="1" applyBorder="1" applyAlignment="1"/>
    <xf numFmtId="43" fontId="82" fillId="6" borderId="167" xfId="1" applyFont="1" applyFill="1" applyBorder="1" applyAlignment="1"/>
    <xf numFmtId="43" fontId="82" fillId="6" borderId="135" xfId="1" applyFont="1" applyFill="1" applyBorder="1" applyAlignment="1"/>
    <xf numFmtId="3" fontId="82" fillId="22" borderId="170" xfId="0" applyNumberFormat="1" applyFont="1" applyFill="1" applyBorder="1" applyAlignment="1"/>
    <xf numFmtId="3" fontId="80" fillId="2" borderId="131" xfId="4" applyNumberFormat="1" applyFont="1" applyFill="1" applyBorder="1" applyAlignment="1">
      <alignment vertical="top" wrapText="1"/>
    </xf>
    <xf numFmtId="3" fontId="85" fillId="2" borderId="167" xfId="0" applyNumberFormat="1" applyFont="1" applyFill="1" applyBorder="1" applyAlignment="1"/>
    <xf numFmtId="43" fontId="85" fillId="2" borderId="167" xfId="1" applyFont="1" applyFill="1" applyBorder="1" applyAlignment="1"/>
    <xf numFmtId="43" fontId="85" fillId="2" borderId="135" xfId="1" applyFont="1" applyFill="1" applyBorder="1" applyAlignment="1"/>
    <xf numFmtId="3" fontId="85" fillId="25" borderId="170" xfId="0" applyNumberFormat="1" applyFont="1" applyFill="1" applyBorder="1" applyAlignment="1"/>
    <xf numFmtId="0" fontId="81" fillId="0" borderId="21" xfId="0" applyFont="1" applyFill="1" applyBorder="1" applyAlignment="1">
      <alignment vertical="top"/>
    </xf>
    <xf numFmtId="3" fontId="83" fillId="0" borderId="135" xfId="4" applyNumberFormat="1" applyFont="1" applyFill="1" applyBorder="1" applyAlignment="1"/>
    <xf numFmtId="3" fontId="83" fillId="0" borderId="167" xfId="0" applyNumberFormat="1" applyFont="1" applyFill="1" applyBorder="1" applyAlignment="1">
      <alignment vertical="top"/>
    </xf>
    <xf numFmtId="43" fontId="83" fillId="0" borderId="167" xfId="1" applyFont="1" applyFill="1" applyBorder="1" applyAlignment="1">
      <alignment vertical="top"/>
    </xf>
    <xf numFmtId="43" fontId="83" fillId="0" borderId="135" xfId="1" applyFont="1" applyFill="1" applyBorder="1" applyAlignment="1">
      <alignment vertical="top"/>
    </xf>
    <xf numFmtId="3" fontId="83" fillId="25" borderId="170" xfId="0" applyNumberFormat="1" applyFont="1" applyFill="1" applyBorder="1" applyAlignment="1">
      <alignment horizontal="center" vertical="top"/>
    </xf>
    <xf numFmtId="0" fontId="81" fillId="0" borderId="131" xfId="0" applyFont="1" applyFill="1" applyBorder="1" applyAlignment="1">
      <alignment vertical="top" wrapText="1"/>
    </xf>
    <xf numFmtId="3" fontId="83" fillId="25" borderId="170" xfId="0" applyNumberFormat="1" applyFont="1" applyFill="1" applyBorder="1" applyAlignment="1">
      <alignment vertical="top"/>
    </xf>
    <xf numFmtId="0" fontId="81" fillId="0" borderId="21" xfId="0" applyFont="1" applyFill="1" applyBorder="1" applyAlignment="1">
      <alignment horizontal="left" vertical="center"/>
    </xf>
    <xf numFmtId="43" fontId="83" fillId="0" borderId="134" xfId="1" applyFont="1" applyFill="1" applyBorder="1" applyAlignment="1">
      <alignment vertical="top"/>
    </xf>
    <xf numFmtId="43" fontId="83" fillId="0" borderId="169" xfId="1" applyFont="1" applyFill="1" applyBorder="1" applyAlignment="1">
      <alignment vertical="top"/>
    </xf>
    <xf numFmtId="43" fontId="78" fillId="0" borderId="8" xfId="1" applyFont="1" applyBorder="1"/>
    <xf numFmtId="43" fontId="78" fillId="0" borderId="9" xfId="1" applyFont="1" applyBorder="1"/>
    <xf numFmtId="43" fontId="78" fillId="0" borderId="35" xfId="1" applyFont="1" applyBorder="1"/>
    <xf numFmtId="3" fontId="83" fillId="25" borderId="43" xfId="0" applyNumberFormat="1" applyFont="1" applyFill="1" applyBorder="1" applyAlignment="1">
      <alignment horizontal="center" vertical="top"/>
    </xf>
    <xf numFmtId="0" fontId="81" fillId="6" borderId="20" xfId="0" applyFont="1" applyFill="1" applyBorder="1" applyAlignment="1">
      <alignment vertical="top"/>
    </xf>
    <xf numFmtId="43" fontId="82" fillId="22" borderId="46" xfId="1" applyFont="1" applyFill="1" applyBorder="1" applyAlignment="1">
      <alignment horizontal="center" vertical="center"/>
    </xf>
    <xf numFmtId="3" fontId="85" fillId="2" borderId="167" xfId="0" applyNumberFormat="1" applyFont="1" applyFill="1" applyBorder="1" applyAlignment="1">
      <alignment vertical="center"/>
    </xf>
    <xf numFmtId="43" fontId="85" fillId="2" borderId="167" xfId="1" applyFont="1" applyFill="1" applyBorder="1" applyAlignment="1">
      <alignment vertical="center"/>
    </xf>
    <xf numFmtId="43" fontId="85" fillId="2" borderId="135" xfId="1" applyFont="1" applyFill="1" applyBorder="1" applyAlignment="1">
      <alignment vertical="center"/>
    </xf>
    <xf numFmtId="0" fontId="81" fillId="0" borderId="25" xfId="0" applyFont="1" applyFill="1" applyBorder="1" applyAlignment="1">
      <alignment horizontal="left" vertical="center"/>
    </xf>
    <xf numFmtId="3" fontId="83" fillId="0" borderId="209" xfId="4" applyNumberFormat="1" applyFont="1" applyFill="1" applyBorder="1" applyAlignment="1">
      <alignment vertical="center"/>
    </xf>
    <xf numFmtId="3" fontId="83" fillId="0" borderId="210" xfId="4" applyNumberFormat="1" applyFont="1" applyFill="1" applyBorder="1" applyAlignment="1"/>
    <xf numFmtId="43" fontId="83" fillId="0" borderId="127" xfId="1" applyFont="1" applyFill="1" applyBorder="1" applyAlignment="1">
      <alignment vertical="top"/>
    </xf>
    <xf numFmtId="43" fontId="83" fillId="0" borderId="144" xfId="1" applyFont="1" applyFill="1" applyBorder="1" applyAlignment="1">
      <alignment vertical="top"/>
    </xf>
    <xf numFmtId="43" fontId="83" fillId="0" borderId="65" xfId="1" applyFont="1" applyFill="1" applyBorder="1" applyAlignment="1">
      <alignment vertical="center"/>
    </xf>
    <xf numFmtId="3" fontId="0" fillId="0" borderId="199" xfId="0" applyNumberFormat="1" applyFont="1" applyBorder="1"/>
    <xf numFmtId="3" fontId="29" fillId="2" borderId="167" xfId="4" applyNumberFormat="1" applyFont="1" applyFill="1" applyBorder="1" applyAlignment="1">
      <alignment vertical="center" wrapText="1"/>
    </xf>
    <xf numFmtId="3" fontId="28" fillId="25" borderId="167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horizontal="left" vertical="center"/>
    </xf>
    <xf numFmtId="3" fontId="24" fillId="22" borderId="198" xfId="4" applyNumberFormat="1" applyFont="1" applyFill="1" applyBorder="1" applyAlignment="1">
      <alignment horizontal="right" vertical="center"/>
    </xf>
    <xf numFmtId="0" fontId="7" fillId="0" borderId="204" xfId="4" applyFont="1" applyFill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43" fontId="25" fillId="6" borderId="167" xfId="1" applyFont="1" applyFill="1" applyBorder="1" applyAlignment="1">
      <alignment horizontal="right" vertical="center"/>
    </xf>
    <xf numFmtId="43" fontId="27" fillId="0" borderId="167" xfId="1" applyFont="1" applyFill="1" applyBorder="1" applyAlignment="1">
      <alignment horizontal="right" vertical="center"/>
    </xf>
    <xf numFmtId="3" fontId="31" fillId="0" borderId="214" xfId="4" applyNumberFormat="1" applyFont="1" applyFill="1" applyBorder="1" applyAlignment="1">
      <alignment vertical="center"/>
    </xf>
    <xf numFmtId="0" fontId="32" fillId="0" borderId="167" xfId="0" applyFont="1" applyBorder="1" applyAlignment="1">
      <alignment wrapText="1"/>
    </xf>
    <xf numFmtId="2" fontId="0" fillId="0" borderId="0" xfId="0" applyNumberFormat="1" applyFont="1" applyBorder="1"/>
    <xf numFmtId="0" fontId="7" fillId="8" borderId="167" xfId="4" applyFont="1" applyFill="1" applyBorder="1" applyAlignment="1">
      <alignment vertical="top" wrapText="1"/>
    </xf>
    <xf numFmtId="3" fontId="0" fillId="0" borderId="135" xfId="0" applyNumberFormat="1" applyFont="1" applyBorder="1" applyAlignment="1">
      <alignment vertical="center"/>
    </xf>
    <xf numFmtId="3" fontId="0" fillId="0" borderId="102" xfId="0" applyNumberFormat="1" applyFont="1" applyBorder="1" applyAlignment="1">
      <alignment vertical="center"/>
    </xf>
    <xf numFmtId="0" fontId="0" fillId="0" borderId="125" xfId="0" applyFont="1" applyBorder="1" applyAlignment="1">
      <alignment vertical="center"/>
    </xf>
    <xf numFmtId="43" fontId="31" fillId="0" borderId="167" xfId="1" applyFont="1" applyFill="1" applyBorder="1" applyAlignment="1">
      <alignment horizontal="right" vertical="center"/>
    </xf>
    <xf numFmtId="0" fontId="28" fillId="62" borderId="167" xfId="4" applyFont="1" applyFill="1" applyBorder="1" applyAlignment="1">
      <alignment vertical="top"/>
    </xf>
    <xf numFmtId="3" fontId="63" fillId="62" borderId="167" xfId="6" applyNumberFormat="1" applyFont="1" applyFill="1" applyBorder="1" applyAlignment="1">
      <alignment vertical="center"/>
    </xf>
    <xf numFmtId="43" fontId="38" fillId="62" borderId="199" xfId="1" applyFont="1" applyFill="1" applyBorder="1" applyAlignment="1">
      <alignment horizontal="right" vertical="center"/>
    </xf>
    <xf numFmtId="43" fontId="28" fillId="62" borderId="167" xfId="1" applyFont="1" applyFill="1" applyBorder="1" applyAlignment="1">
      <alignment horizontal="right" vertical="center"/>
    </xf>
    <xf numFmtId="3" fontId="38" fillId="62" borderId="167" xfId="4" applyNumberFormat="1" applyFont="1" applyFill="1" applyBorder="1" applyAlignment="1">
      <alignment horizontal="right" vertical="center"/>
    </xf>
    <xf numFmtId="0" fontId="0" fillId="0" borderId="123" xfId="0" applyFont="1" applyBorder="1"/>
    <xf numFmtId="0" fontId="28" fillId="61" borderId="167" xfId="4" applyFont="1" applyFill="1" applyBorder="1" applyAlignment="1">
      <alignment vertical="top"/>
    </xf>
    <xf numFmtId="3" fontId="63" fillId="61" borderId="167" xfId="6" applyNumberFormat="1" applyFont="1" applyFill="1" applyBorder="1" applyAlignment="1">
      <alignment vertical="center"/>
    </xf>
    <xf numFmtId="43" fontId="38" fillId="61" borderId="199" xfId="1" applyFont="1" applyFill="1" applyBorder="1" applyAlignment="1">
      <alignment horizontal="right" vertical="center"/>
    </xf>
    <xf numFmtId="43" fontId="28" fillId="61" borderId="167" xfId="1" applyFont="1" applyFill="1" applyBorder="1" applyAlignment="1">
      <alignment horizontal="right" vertical="center"/>
    </xf>
    <xf numFmtId="3" fontId="38" fillId="61" borderId="167" xfId="4" applyNumberFormat="1" applyFont="1" applyFill="1" applyBorder="1" applyAlignment="1">
      <alignment horizontal="right" vertical="center"/>
    </xf>
    <xf numFmtId="0" fontId="7" fillId="62" borderId="167" xfId="4" applyFont="1" applyFill="1" applyBorder="1" applyAlignment="1">
      <alignment vertical="top"/>
    </xf>
    <xf numFmtId="3" fontId="32" fillId="62" borderId="167" xfId="6" applyNumberFormat="1" applyFont="1" applyFill="1" applyBorder="1" applyAlignment="1">
      <alignment vertical="center"/>
    </xf>
    <xf numFmtId="43" fontId="7" fillId="62" borderId="199" xfId="1" applyFont="1" applyFill="1" applyBorder="1" applyAlignment="1">
      <alignment horizontal="right" vertical="center"/>
    </xf>
    <xf numFmtId="43" fontId="7" fillId="62" borderId="167" xfId="1" applyFont="1" applyFill="1" applyBorder="1" applyAlignment="1">
      <alignment horizontal="right" vertical="center"/>
    </xf>
    <xf numFmtId="3" fontId="7" fillId="62" borderId="167" xfId="4" applyNumberFormat="1" applyFont="1" applyFill="1" applyBorder="1" applyAlignment="1">
      <alignment horizontal="right" vertical="center"/>
    </xf>
    <xf numFmtId="0" fontId="7" fillId="61" borderId="167" xfId="4" applyFont="1" applyFill="1" applyBorder="1" applyAlignment="1">
      <alignment vertical="top"/>
    </xf>
    <xf numFmtId="0" fontId="32" fillId="61" borderId="167" xfId="0" applyFont="1" applyFill="1" applyBorder="1" applyAlignment="1">
      <alignment horizontal="center" vertical="center" wrapText="1"/>
    </xf>
    <xf numFmtId="3" fontId="32" fillId="61" borderId="167" xfId="6" applyNumberFormat="1" applyFont="1" applyFill="1" applyBorder="1" applyAlignment="1">
      <alignment vertical="center"/>
    </xf>
    <xf numFmtId="43" fontId="7" fillId="61" borderId="199" xfId="1" applyFont="1" applyFill="1" applyBorder="1" applyAlignment="1">
      <alignment horizontal="right" vertical="center"/>
    </xf>
    <xf numFmtId="43" fontId="7" fillId="61" borderId="167" xfId="1" applyFont="1" applyFill="1" applyBorder="1" applyAlignment="1">
      <alignment horizontal="right" vertical="center"/>
    </xf>
    <xf numFmtId="3" fontId="7" fillId="61" borderId="167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/>
    <xf numFmtId="43" fontId="25" fillId="6" borderId="192" xfId="1" applyFont="1" applyFill="1" applyBorder="1" applyAlignment="1">
      <alignment horizontal="right" vertical="center"/>
    </xf>
    <xf numFmtId="43" fontId="27" fillId="0" borderId="192" xfId="1" applyFont="1" applyFill="1" applyBorder="1" applyAlignment="1">
      <alignment horizontal="right" vertical="center"/>
    </xf>
    <xf numFmtId="43" fontId="31" fillId="0" borderId="190" xfId="1" applyFont="1" applyFill="1" applyBorder="1" applyAlignment="1">
      <alignment vertical="center"/>
    </xf>
    <xf numFmtId="43" fontId="31" fillId="0" borderId="192" xfId="1" applyFont="1" applyFill="1" applyBorder="1" applyAlignment="1">
      <alignment horizontal="right" vertical="center"/>
    </xf>
    <xf numFmtId="0" fontId="38" fillId="62" borderId="192" xfId="4" applyFont="1" applyFill="1" applyBorder="1" applyAlignment="1">
      <alignment vertical="top"/>
    </xf>
    <xf numFmtId="3" fontId="63" fillId="62" borderId="192" xfId="6" applyNumberFormat="1" applyFont="1" applyFill="1" applyBorder="1" applyAlignment="1">
      <alignment vertical="center"/>
    </xf>
    <xf numFmtId="43" fontId="38" fillId="62" borderId="192" xfId="1" applyFont="1" applyFill="1" applyBorder="1" applyAlignment="1">
      <alignment horizontal="right" vertical="center"/>
    </xf>
    <xf numFmtId="43" fontId="28" fillId="62" borderId="192" xfId="1" applyFont="1" applyFill="1" applyBorder="1" applyAlignment="1">
      <alignment horizontal="right" vertical="center"/>
    </xf>
    <xf numFmtId="3" fontId="38" fillId="62" borderId="192" xfId="4" applyNumberFormat="1" applyFont="1" applyFill="1" applyBorder="1" applyAlignment="1">
      <alignment horizontal="right" vertical="center"/>
    </xf>
    <xf numFmtId="3" fontId="38" fillId="25" borderId="192" xfId="4" applyNumberFormat="1" applyFont="1" applyFill="1" applyBorder="1" applyAlignment="1">
      <alignment horizontal="right" vertical="center"/>
    </xf>
    <xf numFmtId="3" fontId="28" fillId="25" borderId="192" xfId="4" applyNumberFormat="1" applyFont="1" applyFill="1" applyBorder="1" applyAlignment="1">
      <alignment horizontal="right" vertical="center"/>
    </xf>
    <xf numFmtId="0" fontId="38" fillId="57" borderId="192" xfId="4" applyFont="1" applyFill="1" applyBorder="1" applyAlignment="1">
      <alignment vertical="top"/>
    </xf>
    <xf numFmtId="3" fontId="63" fillId="57" borderId="192" xfId="6" applyNumberFormat="1" applyFont="1" applyFill="1" applyBorder="1" applyAlignment="1">
      <alignment vertical="center"/>
    </xf>
    <xf numFmtId="43" fontId="38" fillId="57" borderId="192" xfId="1" applyFont="1" applyFill="1" applyBorder="1" applyAlignment="1">
      <alignment horizontal="right" vertical="center"/>
    </xf>
    <xf numFmtId="43" fontId="28" fillId="57" borderId="192" xfId="1" applyFont="1" applyFill="1" applyBorder="1" applyAlignment="1">
      <alignment horizontal="right" vertical="center"/>
    </xf>
    <xf numFmtId="3" fontId="38" fillId="57" borderId="192" xfId="4" applyNumberFormat="1" applyFont="1" applyFill="1" applyBorder="1" applyAlignment="1">
      <alignment horizontal="right" vertical="center"/>
    </xf>
    <xf numFmtId="3" fontId="31" fillId="25" borderId="199" xfId="4" applyNumberFormat="1" applyFont="1" applyFill="1" applyBorder="1" applyAlignment="1">
      <alignment horizontal="right" vertical="center"/>
    </xf>
    <xf numFmtId="0" fontId="39" fillId="0" borderId="199" xfId="0" applyFont="1" applyBorder="1"/>
    <xf numFmtId="3" fontId="38" fillId="25" borderId="199" xfId="4" applyNumberFormat="1" applyFont="1" applyFill="1" applyBorder="1" applyAlignment="1">
      <alignment horizontal="right" vertical="center"/>
    </xf>
    <xf numFmtId="43" fontId="7" fillId="0" borderId="192" xfId="1" applyFont="1" applyFill="1" applyBorder="1" applyAlignment="1">
      <alignment horizontal="right" vertical="center"/>
    </xf>
    <xf numFmtId="0" fontId="63" fillId="0" borderId="192" xfId="0" applyFont="1" applyFill="1" applyBorder="1" applyAlignment="1">
      <alignment horizontal="center" vertical="center" wrapText="1"/>
    </xf>
    <xf numFmtId="0" fontId="63" fillId="57" borderId="192" xfId="0" applyFont="1" applyFill="1" applyBorder="1" applyAlignment="1">
      <alignment horizontal="center" vertical="center" wrapText="1"/>
    </xf>
    <xf numFmtId="43" fontId="24" fillId="6" borderId="192" xfId="1" applyFont="1" applyFill="1" applyBorder="1" applyAlignment="1"/>
    <xf numFmtId="0" fontId="0" fillId="32" borderId="199" xfId="0" applyFont="1" applyFill="1" applyBorder="1"/>
    <xf numFmtId="43" fontId="24" fillId="32" borderId="199" xfId="1" applyFont="1" applyFill="1" applyBorder="1" applyAlignment="1"/>
    <xf numFmtId="3" fontId="31" fillId="32" borderId="199" xfId="4" applyNumberFormat="1" applyFont="1" applyFill="1" applyBorder="1" applyAlignment="1"/>
    <xf numFmtId="3" fontId="0" fillId="32" borderId="199" xfId="0" applyNumberFormat="1" applyFont="1" applyFill="1" applyBorder="1"/>
    <xf numFmtId="43" fontId="31" fillId="32" borderId="199" xfId="1" applyFont="1" applyFill="1" applyBorder="1" applyAlignment="1"/>
    <xf numFmtId="43" fontId="27" fillId="0" borderId="65" xfId="4" applyNumberFormat="1" applyFont="1" applyFill="1" applyBorder="1" applyAlignment="1">
      <alignment horizontal="right" vertical="center"/>
    </xf>
    <xf numFmtId="43" fontId="7" fillId="0" borderId="65" xfId="4" applyNumberFormat="1" applyFont="1" applyFill="1" applyBorder="1" applyAlignment="1">
      <alignment horizontal="right" vertical="center"/>
    </xf>
    <xf numFmtId="43" fontId="33" fillId="0" borderId="30" xfId="6" applyNumberFormat="1" applyFont="1" applyFill="1" applyBorder="1" applyAlignment="1">
      <alignment vertical="center"/>
    </xf>
    <xf numFmtId="43" fontId="27" fillId="0" borderId="169" xfId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41" fontId="24" fillId="6" borderId="198" xfId="4" applyNumberFormat="1" applyFont="1" applyFill="1" applyBorder="1" applyAlignment="1">
      <alignment vertical="center"/>
    </xf>
    <xf numFmtId="41" fontId="33" fillId="0" borderId="199" xfId="6" applyNumberFormat="1" applyFont="1" applyFill="1" applyBorder="1" applyAlignment="1">
      <alignment vertical="center"/>
    </xf>
    <xf numFmtId="43" fontId="7" fillId="0" borderId="214" xfId="1" applyFont="1" applyFill="1" applyBorder="1" applyAlignment="1">
      <alignment horizontal="right" vertical="center"/>
    </xf>
    <xf numFmtId="41" fontId="7" fillId="0" borderId="209" xfId="4" applyNumberFormat="1" applyFont="1" applyFill="1" applyBorder="1" applyAlignment="1">
      <alignment horizontal="right" vertical="center"/>
    </xf>
    <xf numFmtId="43" fontId="24" fillId="6" borderId="198" xfId="1" applyNumberFormat="1" applyFont="1" applyFill="1" applyBorder="1" applyAlignment="1">
      <alignment vertical="center"/>
    </xf>
    <xf numFmtId="43" fontId="7" fillId="0" borderId="188" xfId="4" applyNumberFormat="1" applyFont="1" applyFill="1" applyBorder="1" applyAlignment="1">
      <alignment horizontal="right" vertical="center"/>
    </xf>
    <xf numFmtId="166" fontId="31" fillId="0" borderId="188" xfId="4" applyNumberFormat="1" applyFont="1" applyFill="1" applyBorder="1" applyAlignment="1">
      <alignment vertical="center"/>
    </xf>
    <xf numFmtId="166" fontId="7" fillId="0" borderId="188" xfId="1" applyNumberFormat="1" applyFont="1" applyFill="1" applyBorder="1" applyAlignment="1">
      <alignment horizontal="right" vertical="center"/>
    </xf>
    <xf numFmtId="43" fontId="27" fillId="0" borderId="188" xfId="1" applyNumberFormat="1" applyFont="1" applyFill="1" applyBorder="1" applyAlignment="1">
      <alignment horizontal="right" vertical="center"/>
    </xf>
    <xf numFmtId="43" fontId="27" fillId="0" borderId="188" xfId="4" applyNumberFormat="1" applyFont="1" applyFill="1" applyBorder="1" applyAlignment="1">
      <alignment horizontal="right" vertical="center"/>
    </xf>
    <xf numFmtId="3" fontId="24" fillId="6" borderId="198" xfId="1" applyNumberFormat="1" applyFont="1" applyFill="1" applyBorder="1" applyAlignment="1">
      <alignment vertical="center"/>
    </xf>
    <xf numFmtId="166" fontId="27" fillId="0" borderId="188" xfId="1" applyNumberFormat="1" applyFont="1" applyFill="1" applyBorder="1" applyAlignment="1">
      <alignment horizontal="right" vertical="center"/>
    </xf>
    <xf numFmtId="43" fontId="33" fillId="0" borderId="199" xfId="1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66" fontId="7" fillId="0" borderId="198" xfId="1" applyNumberFormat="1" applyFont="1" applyFill="1" applyBorder="1" applyAlignment="1">
      <alignment horizontal="right" vertical="center"/>
    </xf>
    <xf numFmtId="43" fontId="7" fillId="0" borderId="199" xfId="1" applyNumberFormat="1" applyFont="1" applyFill="1" applyBorder="1" applyAlignment="1">
      <alignment horizontal="right" vertical="center"/>
    </xf>
    <xf numFmtId="43" fontId="7" fillId="0" borderId="198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209" xfId="1" applyNumberFormat="1" applyFont="1" applyFill="1" applyBorder="1" applyAlignment="1">
      <alignment horizontal="right" vertical="center"/>
    </xf>
    <xf numFmtId="43" fontId="7" fillId="0" borderId="209" xfId="4" applyNumberFormat="1" applyFont="1" applyFill="1" applyBorder="1" applyAlignment="1">
      <alignment horizontal="right" vertical="center"/>
    </xf>
    <xf numFmtId="3" fontId="78" fillId="0" borderId="0" xfId="0" applyNumberFormat="1" applyFont="1" applyAlignment="1">
      <alignment vertical="center"/>
    </xf>
    <xf numFmtId="0" fontId="78" fillId="0" borderId="0" xfId="0" applyFont="1" applyBorder="1"/>
    <xf numFmtId="0" fontId="84" fillId="0" borderId="0" xfId="0" applyFont="1" applyBorder="1" applyAlignment="1">
      <alignment vertical="top"/>
    </xf>
    <xf numFmtId="0" fontId="78" fillId="0" borderId="0" xfId="0" applyFont="1" applyBorder="1" applyAlignment="1">
      <alignment vertical="center"/>
    </xf>
    <xf numFmtId="3" fontId="91" fillId="0" borderId="0" xfId="0" applyNumberFormat="1" applyFont="1" applyBorder="1" applyAlignment="1">
      <alignment vertical="top"/>
    </xf>
    <xf numFmtId="0" fontId="65" fillId="0" borderId="215" xfId="0" applyFont="1" applyBorder="1" applyAlignment="1">
      <alignment horizontal="center" vertical="center"/>
    </xf>
    <xf numFmtId="3" fontId="8" fillId="6" borderId="18" xfId="0" applyNumberFormat="1" applyFont="1" applyFill="1" applyBorder="1"/>
    <xf numFmtId="3" fontId="8" fillId="6" borderId="176" xfId="0" applyNumberFormat="1" applyFont="1" applyFill="1" applyBorder="1"/>
    <xf numFmtId="3" fontId="6" fillId="6" borderId="130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215" xfId="0" applyNumberFormat="1" applyFont="1" applyFill="1" applyBorder="1"/>
    <xf numFmtId="3" fontId="8" fillId="6" borderId="130" xfId="0" applyNumberFormat="1" applyFont="1" applyFill="1" applyBorder="1"/>
    <xf numFmtId="3" fontId="8" fillId="8" borderId="176" xfId="0" applyNumberFormat="1" applyFont="1" applyFill="1" applyBorder="1"/>
    <xf numFmtId="3" fontId="8" fillId="8" borderId="215" xfId="0" applyNumberFormat="1" applyFont="1" applyFill="1" applyBorder="1"/>
    <xf numFmtId="3" fontId="8" fillId="8" borderId="130" xfId="0" applyNumberFormat="1" applyFont="1" applyFill="1" applyBorder="1"/>
    <xf numFmtId="3" fontId="19" fillId="16" borderId="51" xfId="5" applyNumberFormat="1" applyFont="1" applyFill="1" applyBorder="1"/>
    <xf numFmtId="3" fontId="8" fillId="8" borderId="18" xfId="0" applyNumberFormat="1" applyFont="1" applyFill="1" applyBorder="1"/>
    <xf numFmtId="3" fontId="8" fillId="8" borderId="176" xfId="0" applyNumberFormat="1" applyFont="1" applyFill="1" applyBorder="1" applyAlignment="1">
      <alignment vertical="center"/>
    </xf>
    <xf numFmtId="3" fontId="65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76" xfId="0" applyNumberFormat="1" applyFont="1" applyFill="1" applyBorder="1"/>
    <xf numFmtId="3" fontId="6" fillId="11" borderId="130" xfId="0" applyNumberFormat="1" applyFont="1" applyFill="1" applyBorder="1"/>
    <xf numFmtId="3" fontId="76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3" fontId="6" fillId="11" borderId="176" xfId="0" applyNumberFormat="1" applyFont="1" applyFill="1" applyBorder="1" applyAlignment="1">
      <alignment vertical="center"/>
    </xf>
    <xf numFmtId="0" fontId="65" fillId="0" borderId="169" xfId="0" applyFont="1" applyBorder="1" applyAlignment="1">
      <alignment horizontal="center" vertical="center"/>
    </xf>
    <xf numFmtId="3" fontId="8" fillId="6" borderId="198" xfId="0" applyNumberFormat="1" applyFont="1" applyFill="1" applyBorder="1"/>
    <xf numFmtId="3" fontId="6" fillId="6" borderId="214" xfId="0" applyNumberFormat="1" applyFont="1" applyFill="1" applyBorder="1"/>
    <xf numFmtId="3" fontId="8" fillId="6" borderId="169" xfId="0" applyNumberFormat="1" applyFont="1" applyFill="1" applyBorder="1"/>
    <xf numFmtId="3" fontId="8" fillId="6" borderId="214" xfId="0" applyNumberFormat="1" applyFont="1" applyFill="1" applyBorder="1"/>
    <xf numFmtId="3" fontId="8" fillId="8" borderId="198" xfId="0" applyNumberFormat="1" applyFont="1" applyFill="1" applyBorder="1"/>
    <xf numFmtId="3" fontId="8" fillId="8" borderId="169" xfId="0" applyNumberFormat="1" applyFont="1" applyFill="1" applyBorder="1"/>
    <xf numFmtId="3" fontId="8" fillId="8" borderId="214" xfId="0" applyNumberFormat="1" applyFont="1" applyFill="1" applyBorder="1"/>
    <xf numFmtId="3" fontId="8" fillId="8" borderId="198" xfId="0" applyNumberFormat="1" applyFont="1" applyFill="1" applyBorder="1" applyAlignment="1">
      <alignment vertical="center"/>
    </xf>
    <xf numFmtId="3" fontId="65" fillId="17" borderId="9" xfId="0" applyNumberFormat="1" applyFont="1" applyFill="1" applyBorder="1"/>
    <xf numFmtId="3" fontId="6" fillId="11" borderId="198" xfId="0" applyNumberFormat="1" applyFont="1" applyFill="1" applyBorder="1"/>
    <xf numFmtId="3" fontId="6" fillId="11" borderId="214" xfId="0" applyNumberFormat="1" applyFont="1" applyFill="1" applyBorder="1"/>
    <xf numFmtId="3" fontId="6" fillId="11" borderId="198" xfId="0" applyNumberFormat="1" applyFont="1" applyFill="1" applyBorder="1" applyAlignment="1">
      <alignment vertical="center"/>
    </xf>
    <xf numFmtId="0" fontId="65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9" xfId="0" applyNumberFormat="1" applyFont="1" applyFill="1" applyBorder="1"/>
    <xf numFmtId="3" fontId="8" fillId="6" borderId="131" xfId="0" applyNumberFormat="1" applyFont="1" applyFill="1" applyBorder="1"/>
    <xf numFmtId="3" fontId="6" fillId="6" borderId="77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76" fillId="8" borderId="11" xfId="0" applyNumberFormat="1" applyFont="1" applyFill="1" applyBorder="1"/>
    <xf numFmtId="3" fontId="36" fillId="15" borderId="52" xfId="0" applyNumberFormat="1" applyFont="1" applyFill="1" applyBorder="1" applyAlignment="1">
      <alignment vertical="center"/>
    </xf>
    <xf numFmtId="3" fontId="8" fillId="6" borderId="141" xfId="0" applyNumberFormat="1" applyFont="1" applyFill="1" applyBorder="1"/>
    <xf numFmtId="3" fontId="8" fillId="6" borderId="77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65" fillId="0" borderId="141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31" xfId="0" applyNumberFormat="1" applyFont="1" applyFill="1" applyBorder="1"/>
    <xf numFmtId="3" fontId="8" fillId="8" borderId="141" xfId="0" applyNumberFormat="1" applyFont="1" applyFill="1" applyBorder="1"/>
    <xf numFmtId="3" fontId="8" fillId="8" borderId="77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8" fillId="8" borderId="19" xfId="0" applyNumberFormat="1" applyFont="1" applyFill="1" applyBorder="1"/>
    <xf numFmtId="3" fontId="8" fillId="8" borderId="131" xfId="0" applyNumberFormat="1" applyFont="1" applyFill="1" applyBorder="1" applyAlignment="1">
      <alignment vertical="center"/>
    </xf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31" xfId="0" applyNumberFormat="1" applyFont="1" applyFill="1" applyBorder="1"/>
    <xf numFmtId="3" fontId="6" fillId="11" borderId="77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6" fillId="11" borderId="131" xfId="0" applyNumberFormat="1" applyFont="1" applyFill="1" applyBorder="1" applyAlignment="1">
      <alignment vertical="center"/>
    </xf>
    <xf numFmtId="3" fontId="8" fillId="18" borderId="25" xfId="0" applyNumberFormat="1" applyFont="1" applyFill="1" applyBorder="1"/>
    <xf numFmtId="3" fontId="78" fillId="0" borderId="0" xfId="0" applyNumberFormat="1" applyFont="1" applyBorder="1"/>
    <xf numFmtId="0" fontId="84" fillId="0" borderId="0" xfId="0" applyFont="1" applyFill="1" applyBorder="1" applyAlignment="1">
      <alignment vertical="top"/>
    </xf>
    <xf numFmtId="3" fontId="38" fillId="0" borderId="199" xfId="4" applyNumberFormat="1" applyFont="1" applyFill="1" applyBorder="1" applyAlignment="1">
      <alignment horizontal="right" vertical="center"/>
    </xf>
    <xf numFmtId="0" fontId="39" fillId="0" borderId="183" xfId="0" applyFont="1" applyBorder="1"/>
    <xf numFmtId="3" fontId="78" fillId="0" borderId="0" xfId="0" applyNumberFormat="1" applyFont="1" applyBorder="1" applyAlignment="1">
      <alignment vertical="center"/>
    </xf>
    <xf numFmtId="0" fontId="90" fillId="0" borderId="0" xfId="0" applyFont="1" applyBorder="1" applyAlignment="1">
      <alignment vertical="top"/>
    </xf>
    <xf numFmtId="3" fontId="0" fillId="0" borderId="178" xfId="0" applyNumberFormat="1" applyFont="1" applyBorder="1"/>
    <xf numFmtId="0" fontId="0" fillId="0" borderId="178" xfId="0" applyFont="1" applyBorder="1"/>
    <xf numFmtId="3" fontId="92" fillId="0" borderId="178" xfId="0" applyNumberFormat="1" applyFont="1" applyBorder="1"/>
    <xf numFmtId="0" fontId="92" fillId="0" borderId="178" xfId="0" applyFont="1" applyBorder="1"/>
    <xf numFmtId="3" fontId="37" fillId="0" borderId="199" xfId="0" applyNumberFormat="1" applyFont="1" applyBorder="1"/>
    <xf numFmtId="3" fontId="8" fillId="0" borderId="199" xfId="0" applyNumberFormat="1" applyFont="1" applyBorder="1" applyAlignment="1">
      <alignment vertical="top"/>
    </xf>
    <xf numFmtId="0" fontId="93" fillId="0" borderId="0" xfId="0" applyFont="1" applyAlignment="1">
      <alignment vertical="center"/>
    </xf>
    <xf numFmtId="3" fontId="78" fillId="0" borderId="178" xfId="0" applyNumberFormat="1" applyFont="1" applyBorder="1"/>
    <xf numFmtId="0" fontId="78" fillId="0" borderId="178" xfId="0" applyFont="1" applyBorder="1"/>
    <xf numFmtId="0" fontId="24" fillId="0" borderId="43" xfId="4" applyFont="1" applyFill="1" applyBorder="1" applyAlignment="1">
      <alignment vertical="center" wrapText="1"/>
    </xf>
    <xf numFmtId="3" fontId="94" fillId="0" borderId="0" xfId="0" applyNumberFormat="1" applyFont="1" applyFill="1" applyAlignment="1">
      <alignment vertical="center"/>
    </xf>
    <xf numFmtId="3" fontId="94" fillId="0" borderId="0" xfId="0" applyNumberFormat="1" applyFont="1" applyFill="1" applyBorder="1" applyAlignment="1">
      <alignment vertical="center"/>
    </xf>
    <xf numFmtId="3" fontId="95" fillId="2" borderId="0" xfId="0" applyNumberFormat="1" applyFont="1" applyFill="1" applyAlignment="1">
      <alignment vertical="center"/>
    </xf>
    <xf numFmtId="3" fontId="25" fillId="6" borderId="198" xfId="1" applyNumberFormat="1" applyFont="1" applyFill="1" applyBorder="1" applyAlignment="1">
      <alignment vertical="top"/>
    </xf>
    <xf numFmtId="3" fontId="27" fillId="2" borderId="198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98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09" xfId="1" applyNumberFormat="1" applyFont="1" applyFill="1" applyBorder="1" applyAlignment="1">
      <alignment horizontal="right" vertical="center"/>
    </xf>
    <xf numFmtId="3" fontId="92" fillId="0" borderId="0" xfId="0" applyNumberFormat="1" applyFont="1" applyBorder="1"/>
    <xf numFmtId="3" fontId="23" fillId="6" borderId="168" xfId="6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horizontal="right" vertical="center"/>
    </xf>
    <xf numFmtId="43" fontId="31" fillId="0" borderId="168" xfId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214" xfId="1" applyFont="1" applyFill="1" applyBorder="1" applyAlignment="1">
      <alignment vertical="center"/>
    </xf>
    <xf numFmtId="3" fontId="7" fillId="0" borderId="214" xfId="0" applyNumberFormat="1" applyFont="1" applyFill="1" applyBorder="1" applyAlignment="1">
      <alignment horizontal="right" vertical="center"/>
    </xf>
    <xf numFmtId="43" fontId="31" fillId="0" borderId="214" xfId="1" applyFont="1" applyFill="1" applyBorder="1" applyAlignment="1">
      <alignment horizontal="right"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32" fillId="0" borderId="178" xfId="6" applyNumberFormat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/>
    </xf>
    <xf numFmtId="3" fontId="7" fillId="0" borderId="16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horizontal="right" vertical="center"/>
    </xf>
    <xf numFmtId="3" fontId="31" fillId="0" borderId="178" xfId="4" applyNumberFormat="1" applyFont="1" applyFill="1" applyBorder="1" applyAlignment="1">
      <alignment vertical="center"/>
    </xf>
    <xf numFmtId="3" fontId="31" fillId="23" borderId="209" xfId="4" applyNumberFormat="1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3" fontId="24" fillId="26" borderId="167" xfId="4" applyNumberFormat="1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23" fillId="0" borderId="170" xfId="0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/>
    </xf>
    <xf numFmtId="0" fontId="25" fillId="8" borderId="19" xfId="4" applyFont="1" applyFill="1" applyBorder="1" applyAlignment="1">
      <alignment vertical="center" wrapText="1"/>
    </xf>
    <xf numFmtId="3" fontId="31" fillId="0" borderId="168" xfId="4" applyNumberFormat="1" applyFont="1" applyFill="1" applyBorder="1" applyAlignment="1">
      <alignment horizontal="right" vertical="center"/>
    </xf>
    <xf numFmtId="0" fontId="25" fillId="6" borderId="172" xfId="4" applyFont="1" applyFill="1" applyBorder="1" applyAlignment="1">
      <alignment horizontal="center" vertical="center"/>
    </xf>
    <xf numFmtId="0" fontId="31" fillId="0" borderId="173" xfId="4" applyFont="1" applyFill="1" applyBorder="1" applyAlignment="1">
      <alignment vertical="center"/>
    </xf>
    <xf numFmtId="0" fontId="7" fillId="0" borderId="173" xfId="4" applyFont="1" applyFill="1" applyBorder="1" applyAlignment="1">
      <alignment vertical="center"/>
    </xf>
    <xf numFmtId="0" fontId="27" fillId="2" borderId="173" xfId="4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3" fontId="27" fillId="2" borderId="167" xfId="4" applyNumberFormat="1" applyFont="1" applyFill="1" applyBorder="1" applyAlignment="1">
      <alignment vertical="center"/>
    </xf>
    <xf numFmtId="43" fontId="7" fillId="0" borderId="177" xfId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43" fontId="32" fillId="0" borderId="178" xfId="1" applyFont="1" applyFill="1" applyBorder="1" applyAlignment="1">
      <alignment vertical="center"/>
    </xf>
    <xf numFmtId="0" fontId="24" fillId="6" borderId="189" xfId="4" applyFont="1" applyFill="1" applyBorder="1" applyAlignment="1">
      <alignment horizontal="left" vertical="center"/>
    </xf>
    <xf numFmtId="3" fontId="24" fillId="22" borderId="192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vertical="center"/>
    </xf>
    <xf numFmtId="3" fontId="7" fillId="25" borderId="198" xfId="4" applyNumberFormat="1" applyFont="1" applyFill="1" applyBorder="1" applyAlignment="1">
      <alignment horizontal="right" vertical="center"/>
    </xf>
    <xf numFmtId="0" fontId="24" fillId="6" borderId="124" xfId="4" applyFont="1" applyFill="1" applyBorder="1" applyAlignment="1">
      <alignment horizontal="left" vertical="center"/>
    </xf>
    <xf numFmtId="43" fontId="7" fillId="0" borderId="178" xfId="1" applyFont="1" applyFill="1" applyBorder="1" applyAlignment="1">
      <alignment vertical="center"/>
    </xf>
    <xf numFmtId="0" fontId="24" fillId="6" borderId="172" xfId="4" applyFont="1" applyFill="1" applyBorder="1" applyAlignment="1">
      <alignment horizontal="left" vertical="center"/>
    </xf>
    <xf numFmtId="43" fontId="7" fillId="0" borderId="167" xfId="1" applyFont="1" applyFill="1" applyBorder="1" applyAlignment="1">
      <alignment vertical="center"/>
    </xf>
    <xf numFmtId="0" fontId="24" fillId="6" borderId="200" xfId="4" applyFont="1" applyFill="1" applyBorder="1" applyAlignment="1">
      <alignment horizontal="left" vertical="center"/>
    </xf>
    <xf numFmtId="43" fontId="7" fillId="0" borderId="199" xfId="1" applyFont="1" applyFill="1" applyBorder="1" applyAlignment="1">
      <alignment vertical="center"/>
    </xf>
    <xf numFmtId="3" fontId="24" fillId="6" borderId="202" xfId="4" applyNumberFormat="1" applyFont="1" applyFill="1" applyBorder="1" applyAlignment="1">
      <alignment horizontal="right" vertical="center"/>
    </xf>
    <xf numFmtId="43" fontId="7" fillId="0" borderId="74" xfId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vertical="center"/>
    </xf>
    <xf numFmtId="43" fontId="25" fillId="6" borderId="9" xfId="1" applyFont="1" applyFill="1" applyBorder="1" applyAlignment="1">
      <alignment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4" fillId="26" borderId="110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6" borderId="74" xfId="4" applyNumberFormat="1" applyFont="1" applyFill="1" applyBorder="1" applyAlignment="1">
      <alignment horizontal="center" vertical="center"/>
    </xf>
    <xf numFmtId="43" fontId="25" fillId="6" borderId="103" xfId="1" applyFont="1" applyFill="1" applyBorder="1" applyAlignment="1">
      <alignment horizontal="right" vertical="center"/>
    </xf>
    <xf numFmtId="3" fontId="25" fillId="22" borderId="102" xfId="4" applyNumberFormat="1" applyFont="1" applyFill="1" applyBorder="1" applyAlignment="1">
      <alignment horizontal="right" vertical="center"/>
    </xf>
    <xf numFmtId="3" fontId="27" fillId="25" borderId="103" xfId="4" applyNumberFormat="1" applyFont="1" applyFill="1" applyBorder="1" applyAlignment="1">
      <alignment horizontal="right" vertical="center"/>
    </xf>
    <xf numFmtId="43" fontId="31" fillId="0" borderId="107" xfId="1" applyFont="1" applyFill="1" applyBorder="1" applyAlignment="1">
      <alignment vertical="center"/>
    </xf>
    <xf numFmtId="43" fontId="7" fillId="0" borderId="103" xfId="1" applyFont="1" applyFill="1" applyBorder="1" applyAlignment="1">
      <alignment horizontal="right" vertical="center"/>
    </xf>
    <xf numFmtId="43" fontId="31" fillId="25" borderId="103" xfId="1" applyFont="1" applyFill="1" applyBorder="1" applyAlignment="1">
      <alignment horizontal="right" vertical="center"/>
    </xf>
    <xf numFmtId="3" fontId="31" fillId="25" borderId="103" xfId="4" applyNumberFormat="1" applyFont="1" applyFill="1" applyBorder="1" applyAlignment="1">
      <alignment horizontal="right" vertical="center"/>
    </xf>
    <xf numFmtId="3" fontId="7" fillId="0" borderId="103" xfId="4" applyNumberFormat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43" fontId="24" fillId="32" borderId="198" xfId="1" applyFont="1" applyFill="1" applyBorder="1" applyAlignment="1">
      <alignment vertical="center"/>
    </xf>
    <xf numFmtId="3" fontId="24" fillId="32" borderId="103" xfId="4" applyNumberFormat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43" fontId="29" fillId="2" borderId="198" xfId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31" fillId="0" borderId="198" xfId="1" applyFont="1" applyFill="1" applyBorder="1" applyAlignment="1">
      <alignment vertical="center"/>
    </xf>
    <xf numFmtId="43" fontId="31" fillId="0" borderId="210" xfId="1" applyFont="1" applyFill="1" applyBorder="1" applyAlignment="1">
      <alignment vertical="center"/>
    </xf>
    <xf numFmtId="3" fontId="29" fillId="2" borderId="9" xfId="4" applyNumberFormat="1" applyFont="1" applyFill="1" applyBorder="1" applyAlignment="1">
      <alignment vertical="center"/>
    </xf>
    <xf numFmtId="3" fontId="29" fillId="2" borderId="168" xfId="4" applyNumberFormat="1" applyFont="1" applyFill="1" applyBorder="1" applyAlignment="1">
      <alignment vertical="center"/>
    </xf>
    <xf numFmtId="3" fontId="23" fillId="6" borderId="103" xfId="6" applyNumberFormat="1" applyFont="1" applyFill="1" applyBorder="1" applyAlignment="1">
      <alignment horizontal="right" vertical="center"/>
    </xf>
    <xf numFmtId="43" fontId="23" fillId="6" borderId="103" xfId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0" fontId="31" fillId="0" borderId="113" xfId="4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31" fillId="25" borderId="169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68" xfId="1" applyFont="1" applyFill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8" fillId="0" borderId="209" xfId="4" applyNumberFormat="1" applyFont="1" applyFill="1" applyBorder="1" applyAlignment="1">
      <alignment horizontal="right" vertical="center"/>
    </xf>
    <xf numFmtId="3" fontId="8" fillId="0" borderId="145" xfId="4" applyNumberFormat="1" applyFont="1" applyFill="1" applyBorder="1" applyAlignment="1">
      <alignment horizontal="right"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24" fillId="6" borderId="198" xfId="0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horizontal="right" vertical="center"/>
    </xf>
    <xf numFmtId="3" fontId="31" fillId="0" borderId="145" xfId="4" applyNumberFormat="1" applyFont="1" applyFill="1" applyBorder="1" applyAlignment="1">
      <alignment horizontal="right" vertical="center"/>
    </xf>
    <xf numFmtId="0" fontId="24" fillId="8" borderId="167" xfId="4" applyFont="1" applyFill="1" applyBorder="1" applyAlignment="1">
      <alignment vertical="center" wrapText="1"/>
    </xf>
    <xf numFmtId="0" fontId="24" fillId="8" borderId="167" xfId="4" applyFont="1" applyFill="1" applyBorder="1" applyAlignment="1">
      <alignment horizontal="center" vertical="center" wrapText="1"/>
    </xf>
    <xf numFmtId="3" fontId="24" fillId="8" borderId="167" xfId="4" applyNumberFormat="1" applyFont="1" applyFill="1" applyBorder="1" applyAlignment="1">
      <alignment horizontal="right" vertical="center"/>
    </xf>
    <xf numFmtId="0" fontId="28" fillId="0" borderId="167" xfId="4" applyFont="1" applyFill="1" applyBorder="1" applyAlignment="1">
      <alignment vertical="center"/>
    </xf>
    <xf numFmtId="43" fontId="28" fillId="0" borderId="167" xfId="1" applyFont="1" applyFill="1" applyBorder="1" applyAlignment="1">
      <alignment horizontal="right" vertical="center"/>
    </xf>
    <xf numFmtId="3" fontId="28" fillId="0" borderId="167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center"/>
    </xf>
    <xf numFmtId="43" fontId="31" fillId="0" borderId="29" xfId="1" applyFont="1" applyFill="1" applyBorder="1" applyAlignment="1">
      <alignment vertical="center"/>
    </xf>
    <xf numFmtId="0" fontId="7" fillId="0" borderId="127" xfId="4" applyFont="1" applyFill="1" applyBorder="1" applyAlignment="1">
      <alignment vertical="center"/>
    </xf>
    <xf numFmtId="0" fontId="24" fillId="8" borderId="199" xfId="4" applyFont="1" applyFill="1" applyBorder="1" applyAlignment="1">
      <alignment vertical="center" wrapText="1"/>
    </xf>
    <xf numFmtId="0" fontId="24" fillId="8" borderId="199" xfId="4" applyFont="1" applyFill="1" applyBorder="1" applyAlignment="1">
      <alignment horizontal="center" vertical="center" wrapText="1"/>
    </xf>
    <xf numFmtId="3" fontId="24" fillId="8" borderId="199" xfId="4" applyNumberFormat="1" applyFont="1" applyFill="1" applyBorder="1" applyAlignment="1">
      <alignment horizontal="right" vertical="center"/>
    </xf>
    <xf numFmtId="0" fontId="24" fillId="6" borderId="199" xfId="4" applyFont="1" applyFill="1" applyBorder="1" applyAlignment="1">
      <alignment horizontal="left" vertical="center"/>
    </xf>
    <xf numFmtId="3" fontId="29" fillId="2" borderId="199" xfId="4" applyNumberFormat="1" applyFont="1" applyFill="1" applyBorder="1" applyAlignment="1">
      <alignment vertical="top" wrapText="1"/>
    </xf>
    <xf numFmtId="0" fontId="7" fillId="0" borderId="199" xfId="4" applyFont="1" applyFill="1" applyBorder="1" applyAlignment="1">
      <alignment vertical="top"/>
    </xf>
    <xf numFmtId="0" fontId="29" fillId="2" borderId="199" xfId="4" applyFont="1" applyFill="1" applyBorder="1" applyAlignment="1">
      <alignment vertical="top"/>
    </xf>
    <xf numFmtId="0" fontId="32" fillId="0" borderId="209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>
      <alignment horizontal="right" vertical="center"/>
    </xf>
    <xf numFmtId="3" fontId="24" fillId="22" borderId="35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top"/>
    </xf>
    <xf numFmtId="3" fontId="33" fillId="25" borderId="167" xfId="6" applyNumberFormat="1" applyFont="1" applyFill="1" applyBorder="1" applyAlignment="1">
      <alignment vertical="center"/>
    </xf>
    <xf numFmtId="0" fontId="32" fillId="0" borderId="127" xfId="0" applyFont="1" applyBorder="1" applyAlignment="1">
      <alignment vertical="center"/>
    </xf>
    <xf numFmtId="0" fontId="24" fillId="8" borderId="183" xfId="4" applyFont="1" applyFill="1" applyBorder="1" applyAlignment="1">
      <alignment vertical="center" wrapText="1"/>
    </xf>
    <xf numFmtId="0" fontId="24" fillId="8" borderId="183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83" xfId="4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0" fontId="24" fillId="6" borderId="183" xfId="4" applyFont="1" applyFill="1" applyBorder="1" applyAlignment="1">
      <alignment horizontal="left" vertical="center"/>
    </xf>
    <xf numFmtId="0" fontId="25" fillId="6" borderId="183" xfId="4" applyFont="1" applyFill="1" applyBorder="1" applyAlignment="1">
      <alignment horizontal="lef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9" fillId="2" borderId="183" xfId="4" applyNumberFormat="1" applyFont="1" applyFill="1" applyBorder="1" applyAlignment="1">
      <alignment vertical="top" wrapText="1"/>
    </xf>
    <xf numFmtId="0" fontId="7" fillId="0" borderId="183" xfId="4" applyFont="1" applyFill="1" applyBorder="1" applyAlignment="1">
      <alignment vertical="top"/>
    </xf>
    <xf numFmtId="3" fontId="31" fillId="0" borderId="183" xfId="0" applyNumberFormat="1" applyFont="1" applyFill="1" applyBorder="1" applyAlignment="1">
      <alignment vertical="top"/>
    </xf>
    <xf numFmtId="3" fontId="7" fillId="0" borderId="183" xfId="4" applyNumberFormat="1" applyFont="1" applyFill="1" applyBorder="1" applyAlignment="1">
      <alignment horizontal="right" vertical="center"/>
    </xf>
    <xf numFmtId="0" fontId="29" fillId="2" borderId="183" xfId="4" applyFont="1" applyFill="1" applyBorder="1" applyAlignment="1">
      <alignment vertical="top"/>
    </xf>
    <xf numFmtId="3" fontId="33" fillId="0" borderId="183" xfId="6" applyNumberFormat="1" applyFont="1" applyFill="1" applyBorder="1" applyAlignment="1">
      <alignment vertical="center"/>
    </xf>
    <xf numFmtId="3" fontId="33" fillId="25" borderId="183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horizontal="right"/>
    </xf>
    <xf numFmtId="3" fontId="31" fillId="0" borderId="183" xfId="0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24" fillId="6" borderId="199" xfId="4" applyNumberFormat="1" applyFont="1" applyFill="1" applyBorder="1" applyAlignment="1">
      <alignment horizontal="right" vertical="center"/>
    </xf>
    <xf numFmtId="3" fontId="29" fillId="2" borderId="199" xfId="4" applyNumberFormat="1" applyFont="1" applyFill="1" applyBorder="1" applyAlignment="1">
      <alignment vertical="center" wrapText="1"/>
    </xf>
    <xf numFmtId="0" fontId="38" fillId="0" borderId="199" xfId="4" applyFont="1" applyFill="1" applyBorder="1" applyAlignment="1">
      <alignment vertical="top"/>
    </xf>
    <xf numFmtId="3" fontId="63" fillId="0" borderId="199" xfId="6" applyNumberFormat="1" applyFont="1" applyFill="1" applyBorder="1" applyAlignment="1">
      <alignment vertical="center"/>
    </xf>
    <xf numFmtId="0" fontId="7" fillId="0" borderId="209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33" xfId="0" applyNumberFormat="1" applyFont="1" applyFill="1" applyBorder="1" applyAlignment="1">
      <alignment horizontal="right" vertical="center"/>
    </xf>
    <xf numFmtId="0" fontId="28" fillId="0" borderId="141" xfId="0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horizontal="right" vertical="center"/>
    </xf>
    <xf numFmtId="3" fontId="31" fillId="25" borderId="177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8" xfId="0" applyNumberFormat="1" applyFont="1" applyFill="1" applyBorder="1" applyAlignment="1">
      <alignment horizontal="right" vertical="center"/>
    </xf>
    <xf numFmtId="3" fontId="28" fillId="25" borderId="133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3" fontId="25" fillId="6" borderId="190" xfId="0" applyNumberFormat="1" applyFont="1" applyFill="1" applyBorder="1" applyAlignment="1">
      <alignment vertical="top"/>
    </xf>
    <xf numFmtId="43" fontId="25" fillId="6" borderId="190" xfId="1" applyFont="1" applyFill="1" applyBorder="1" applyAlignment="1">
      <alignment vertical="top"/>
    </xf>
    <xf numFmtId="3" fontId="25" fillId="22" borderId="190" xfId="0" applyNumberFormat="1" applyFont="1" applyFill="1" applyBorder="1" applyAlignment="1">
      <alignment vertical="top"/>
    </xf>
    <xf numFmtId="43" fontId="27" fillId="2" borderId="198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8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3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99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89" xfId="0" applyFont="1" applyFill="1" applyBorder="1" applyAlignment="1">
      <alignment horizontal="left" vertical="center" wrapText="1"/>
    </xf>
    <xf numFmtId="43" fontId="31" fillId="0" borderId="199" xfId="1" applyFont="1" applyFill="1" applyBorder="1" applyAlignment="1">
      <alignment vertical="top"/>
    </xf>
    <xf numFmtId="0" fontId="27" fillId="2" borderId="176" xfId="4" applyFont="1" applyFill="1" applyBorder="1" applyAlignment="1">
      <alignment vertical="top"/>
    </xf>
    <xf numFmtId="3" fontId="28" fillId="56" borderId="9" xfId="0" applyNumberFormat="1" applyFont="1" applyFill="1" applyBorder="1" applyAlignment="1">
      <alignment vertical="center"/>
    </xf>
    <xf numFmtId="3" fontId="28" fillId="55" borderId="9" xfId="0" applyNumberFormat="1" applyFont="1" applyFill="1" applyBorder="1" applyAlignment="1">
      <alignment horizontal="right"/>
    </xf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4" xfId="4" applyFont="1" applyFill="1" applyBorder="1" applyAlignment="1">
      <alignment horizontal="left" vertical="center"/>
    </xf>
    <xf numFmtId="3" fontId="24" fillId="6" borderId="183" xfId="0" applyNumberFormat="1" applyFont="1" applyFill="1" applyBorder="1" applyAlignment="1">
      <alignment vertical="center"/>
    </xf>
    <xf numFmtId="3" fontId="24" fillId="6" borderId="167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3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3" fontId="29" fillId="25" borderId="167" xfId="0" applyNumberFormat="1" applyFont="1" applyFill="1" applyBorder="1" applyAlignment="1">
      <alignment vertical="top"/>
    </xf>
    <xf numFmtId="0" fontId="8" fillId="0" borderId="131" xfId="0" applyFont="1" applyFill="1" applyBorder="1" applyAlignment="1">
      <alignment vertical="center" wrapText="1"/>
    </xf>
    <xf numFmtId="3" fontId="31" fillId="0" borderId="177" xfId="4" applyNumberFormat="1" applyFont="1" applyFill="1" applyBorder="1" applyAlignment="1">
      <alignment vertical="center"/>
    </xf>
    <xf numFmtId="3" fontId="38" fillId="0" borderId="167" xfId="0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29" fillId="2" borderId="131" xfId="4" applyFont="1" applyFill="1" applyBorder="1" applyAlignment="1">
      <alignment vertical="top"/>
    </xf>
    <xf numFmtId="3" fontId="29" fillId="0" borderId="183" xfId="0" applyNumberFormat="1" applyFont="1" applyFill="1" applyBorder="1" applyAlignment="1">
      <alignment horizontal="right" vertical="center"/>
    </xf>
    <xf numFmtId="3" fontId="29" fillId="0" borderId="167" xfId="0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vertical="center"/>
    </xf>
    <xf numFmtId="3" fontId="38" fillId="0" borderId="183" xfId="0" applyNumberFormat="1" applyFont="1" applyFill="1" applyBorder="1" applyAlignment="1">
      <alignment vertical="center"/>
    </xf>
    <xf numFmtId="3" fontId="38" fillId="0" borderId="177" xfId="0" applyNumberFormat="1" applyFont="1" applyFill="1" applyBorder="1" applyAlignment="1">
      <alignment vertical="center"/>
    </xf>
    <xf numFmtId="3" fontId="38" fillId="2" borderId="135" xfId="0" applyNumberFormat="1" applyFont="1" applyFill="1" applyBorder="1" applyAlignment="1">
      <alignment vertical="top"/>
    </xf>
    <xf numFmtId="3" fontId="7" fillId="0" borderId="167" xfId="0" applyNumberFormat="1" applyFont="1" applyFill="1" applyBorder="1" applyAlignment="1">
      <alignment vertical="center"/>
    </xf>
    <xf numFmtId="3" fontId="7" fillId="0" borderId="127" xfId="4" applyNumberFormat="1" applyFont="1" applyFill="1" applyBorder="1" applyAlignment="1">
      <alignment vertical="center"/>
    </xf>
    <xf numFmtId="3" fontId="38" fillId="0" borderId="127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31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92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27" xfId="0" applyNumberFormat="1" applyFont="1" applyFill="1" applyBorder="1" applyAlignment="1">
      <alignment horizontal="right" vertical="center"/>
    </xf>
    <xf numFmtId="3" fontId="24" fillId="22" borderId="198" xfId="0" applyNumberFormat="1" applyFont="1" applyFill="1" applyBorder="1" applyAlignment="1">
      <alignment vertical="top"/>
    </xf>
    <xf numFmtId="3" fontId="25" fillId="2" borderId="198" xfId="0" applyNumberFormat="1" applyFont="1" applyFill="1" applyBorder="1" applyAlignment="1">
      <alignment vertical="center"/>
    </xf>
    <xf numFmtId="3" fontId="27" fillId="2" borderId="198" xfId="0" applyNumberFormat="1" applyFont="1" applyFill="1" applyBorder="1" applyAlignment="1">
      <alignment vertical="center"/>
    </xf>
    <xf numFmtId="43" fontId="27" fillId="32" borderId="198" xfId="1" applyFont="1" applyFill="1" applyBorder="1" applyAlignment="1">
      <alignment vertical="center"/>
    </xf>
    <xf numFmtId="3" fontId="29" fillId="26" borderId="198" xfId="0" applyNumberFormat="1" applyFont="1" applyFill="1" applyBorder="1" applyAlignment="1">
      <alignment vertical="center"/>
    </xf>
    <xf numFmtId="0" fontId="31" fillId="2" borderId="77" xfId="0" applyFont="1" applyFill="1" applyBorder="1" applyAlignment="1">
      <alignment vertical="center"/>
    </xf>
    <xf numFmtId="3" fontId="31" fillId="2" borderId="144" xfId="0" applyNumberFormat="1" applyFont="1" applyFill="1" applyBorder="1" applyAlignment="1">
      <alignment vertical="top"/>
    </xf>
    <xf numFmtId="3" fontId="31" fillId="2" borderId="127" xfId="0" applyNumberFormat="1" applyFont="1" applyFill="1" applyBorder="1" applyAlignment="1">
      <alignment vertical="top"/>
    </xf>
    <xf numFmtId="3" fontId="31" fillId="32" borderId="127" xfId="0" applyNumberFormat="1" applyFont="1" applyFill="1" applyBorder="1" applyAlignment="1">
      <alignment vertical="top"/>
    </xf>
    <xf numFmtId="43" fontId="31" fillId="32" borderId="127" xfId="1" applyFont="1" applyFill="1" applyBorder="1" applyAlignment="1">
      <alignment vertical="top"/>
    </xf>
    <xf numFmtId="0" fontId="31" fillId="0" borderId="133" xfId="4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vertical="center" wrapText="1"/>
    </xf>
    <xf numFmtId="3" fontId="60" fillId="0" borderId="133" xfId="0" applyNumberFormat="1" applyFont="1" applyBorder="1"/>
    <xf numFmtId="0" fontId="32" fillId="0" borderId="133" xfId="0" applyFont="1" applyBorder="1" applyAlignment="1">
      <alignment vertical="center"/>
    </xf>
    <xf numFmtId="3" fontId="0" fillId="0" borderId="127" xfId="0" applyNumberFormat="1" applyFont="1" applyBorder="1"/>
    <xf numFmtId="0" fontId="25" fillId="6" borderId="178" xfId="4" applyFont="1" applyFill="1" applyBorder="1" applyAlignment="1">
      <alignment horizontal="left" vertical="center"/>
    </xf>
    <xf numFmtId="0" fontId="31" fillId="6" borderId="178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top"/>
    </xf>
    <xf numFmtId="3" fontId="25" fillId="22" borderId="178" xfId="0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3" fontId="27" fillId="0" borderId="178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0" fontId="32" fillId="0" borderId="178" xfId="0" applyFont="1" applyBorder="1"/>
    <xf numFmtId="3" fontId="31" fillId="0" borderId="178" xfId="0" applyNumberFormat="1" applyFont="1" applyFill="1" applyBorder="1" applyAlignment="1">
      <alignment vertical="top"/>
    </xf>
    <xf numFmtId="3" fontId="31" fillId="2" borderId="178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top"/>
    </xf>
    <xf numFmtId="0" fontId="33" fillId="0" borderId="178" xfId="0" applyFont="1" applyBorder="1" applyAlignment="1">
      <alignment vertical="center"/>
    </xf>
    <xf numFmtId="3" fontId="27" fillId="0" borderId="178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78" xfId="0" applyFont="1" applyFill="1" applyBorder="1" applyAlignment="1">
      <alignment vertical="center"/>
    </xf>
    <xf numFmtId="3" fontId="25" fillId="6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3" xfId="4" applyNumberFormat="1" applyFont="1" applyFill="1" applyBorder="1" applyAlignment="1">
      <alignment vertical="center" wrapText="1"/>
    </xf>
    <xf numFmtId="3" fontId="25" fillId="6" borderId="133" xfId="0" applyNumberFormat="1" applyFont="1" applyFill="1" applyBorder="1" applyAlignment="1">
      <alignment vertical="center"/>
    </xf>
    <xf numFmtId="3" fontId="25" fillId="22" borderId="133" xfId="0" applyNumberFormat="1" applyFont="1" applyFill="1" applyBorder="1" applyAlignment="1">
      <alignment vertical="center"/>
    </xf>
    <xf numFmtId="0" fontId="31" fillId="6" borderId="199" xfId="0" applyFont="1" applyFill="1" applyBorder="1" applyAlignment="1">
      <alignment vertical="top"/>
    </xf>
    <xf numFmtId="3" fontId="27" fillId="0" borderId="199" xfId="4" applyNumberFormat="1" applyFont="1" applyFill="1" applyBorder="1" applyAlignment="1">
      <alignment vertical="top" wrapText="1"/>
    </xf>
    <xf numFmtId="0" fontId="32" fillId="0" borderId="199" xfId="0" applyFont="1" applyBorder="1"/>
    <xf numFmtId="3" fontId="31" fillId="2" borderId="199" xfId="0" applyNumberFormat="1" applyFont="1" applyFill="1" applyBorder="1" applyAlignment="1">
      <alignment vertical="top"/>
    </xf>
    <xf numFmtId="0" fontId="32" fillId="0" borderId="199" xfId="0" applyFont="1" applyBorder="1" applyAlignment="1">
      <alignment vertical="center"/>
    </xf>
    <xf numFmtId="3" fontId="31" fillId="2" borderId="199" xfId="0" applyNumberFormat="1" applyFont="1" applyFill="1" applyBorder="1" applyAlignment="1">
      <alignment vertical="center"/>
    </xf>
    <xf numFmtId="0" fontId="33" fillId="0" borderId="199" xfId="0" applyFont="1" applyBorder="1" applyAlignment="1">
      <alignment vertical="center"/>
    </xf>
    <xf numFmtId="0" fontId="31" fillId="6" borderId="199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216" xfId="4" applyNumberFormat="1" applyFont="1" applyFill="1" applyBorder="1" applyAlignment="1">
      <alignment vertical="center"/>
    </xf>
    <xf numFmtId="43" fontId="31" fillId="0" borderId="216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3" fontId="27" fillId="0" borderId="133" xfId="4" applyNumberFormat="1" applyFont="1" applyFill="1" applyBorder="1" applyAlignment="1">
      <alignment vertical="top" wrapText="1"/>
    </xf>
    <xf numFmtId="0" fontId="33" fillId="0" borderId="133" xfId="0" applyFont="1" applyBorder="1" applyAlignment="1">
      <alignment vertical="center"/>
    </xf>
    <xf numFmtId="3" fontId="27" fillId="0" borderId="133" xfId="0" applyNumberFormat="1" applyFont="1" applyFill="1" applyBorder="1" applyAlignment="1">
      <alignment vertical="center"/>
    </xf>
    <xf numFmtId="0" fontId="31" fillId="6" borderId="133" xfId="0" applyFont="1" applyFill="1" applyBorder="1" applyAlignment="1">
      <alignment vertical="center"/>
    </xf>
    <xf numFmtId="3" fontId="27" fillId="2" borderId="133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3" fontId="31" fillId="0" borderId="199" xfId="4" applyNumberFormat="1" applyFont="1" applyFill="1" applyBorder="1" applyAlignment="1"/>
    <xf numFmtId="3" fontId="25" fillId="6" borderId="192" xfId="4" applyNumberFormat="1" applyFont="1" applyFill="1" applyBorder="1" applyAlignment="1">
      <alignment vertical="center"/>
    </xf>
    <xf numFmtId="3" fontId="31" fillId="0" borderId="192" xfId="4" applyNumberFormat="1" applyFont="1" applyFill="1" applyBorder="1" applyAlignment="1"/>
    <xf numFmtId="3" fontId="31" fillId="0" borderId="127" xfId="4" applyNumberFormat="1" applyFont="1" applyFill="1" applyBorder="1" applyAlignment="1">
      <alignment vertical="top"/>
    </xf>
    <xf numFmtId="3" fontId="31" fillId="0" borderId="145" xfId="4" applyNumberFormat="1" applyFont="1" applyFill="1" applyBorder="1" applyAlignment="1">
      <alignment vertical="top"/>
    </xf>
    <xf numFmtId="0" fontId="24" fillId="8" borderId="131" xfId="4" applyFont="1" applyFill="1" applyBorder="1" applyAlignment="1">
      <alignment horizontal="left" vertical="center" wrapText="1"/>
    </xf>
    <xf numFmtId="3" fontId="24" fillId="8" borderId="198" xfId="4" applyNumberFormat="1" applyFont="1" applyFill="1" applyBorder="1" applyAlignment="1">
      <alignment horizontal="center" vertical="center"/>
    </xf>
    <xf numFmtId="3" fontId="7" fillId="23" borderId="207" xfId="4" applyNumberFormat="1" applyFont="1" applyFill="1" applyBorder="1" applyAlignment="1">
      <alignment horizontal="right" vertical="center"/>
    </xf>
    <xf numFmtId="3" fontId="17" fillId="6" borderId="189" xfId="4" applyNumberFormat="1" applyFont="1" applyFill="1" applyBorder="1" applyAlignment="1">
      <alignment vertical="center"/>
    </xf>
    <xf numFmtId="3" fontId="29" fillId="25" borderId="199" xfId="4" applyNumberFormat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vertical="center"/>
    </xf>
    <xf numFmtId="3" fontId="7" fillId="0" borderId="199" xfId="4" applyNumberFormat="1" applyFont="1" applyFill="1" applyBorder="1" applyAlignment="1"/>
    <xf numFmtId="0" fontId="7" fillId="32" borderId="131" xfId="4" applyFont="1" applyFill="1" applyBorder="1" applyAlignment="1">
      <alignment vertical="top"/>
    </xf>
    <xf numFmtId="0" fontId="7" fillId="32" borderId="77" xfId="4" applyFont="1" applyFill="1" applyBorder="1" applyAlignment="1">
      <alignment vertical="top"/>
    </xf>
    <xf numFmtId="0" fontId="25" fillId="6" borderId="119" xfId="4" applyFont="1" applyFill="1" applyBorder="1" applyAlignment="1">
      <alignment horizontal="left" vertical="center"/>
    </xf>
    <xf numFmtId="3" fontId="24" fillId="6" borderId="128" xfId="4" applyNumberFormat="1" applyFont="1" applyFill="1" applyBorder="1" applyAlignment="1">
      <alignment vertical="center"/>
    </xf>
    <xf numFmtId="3" fontId="25" fillId="22" borderId="125" xfId="4" applyNumberFormat="1" applyFont="1" applyFill="1" applyBorder="1" applyAlignment="1">
      <alignment horizontal="right" vertical="center"/>
    </xf>
    <xf numFmtId="3" fontId="27" fillId="2" borderId="122" xfId="4" applyNumberFormat="1" applyFont="1" applyFill="1" applyBorder="1" applyAlignment="1">
      <alignment vertical="center" wrapText="1"/>
    </xf>
    <xf numFmtId="3" fontId="33" fillId="0" borderId="128" xfId="6" applyNumberFormat="1" applyFont="1" applyFill="1" applyBorder="1" applyAlignment="1">
      <alignment vertical="center"/>
    </xf>
    <xf numFmtId="3" fontId="27" fillId="0" borderId="126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7" fillId="0" borderId="117" xfId="4" applyNumberFormat="1" applyFont="1" applyFill="1" applyBorder="1" applyAlignment="1">
      <alignment horizontal="right" vertical="center"/>
    </xf>
    <xf numFmtId="3" fontId="27" fillId="25" borderId="128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3" fontId="27" fillId="2" borderId="119" xfId="4" applyNumberFormat="1" applyFont="1" applyFill="1" applyBorder="1" applyAlignment="1">
      <alignment vertical="center" wrapText="1"/>
    </xf>
    <xf numFmtId="3" fontId="33" fillId="0" borderId="125" xfId="6" applyNumberFormat="1" applyFont="1" applyFill="1" applyBorder="1" applyAlignment="1">
      <alignment vertical="center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3" fontId="27" fillId="23" borderId="90" xfId="4" applyNumberFormat="1" applyFont="1" applyFill="1" applyBorder="1" applyAlignment="1">
      <alignment vertical="center"/>
    </xf>
    <xf numFmtId="0" fontId="20" fillId="6" borderId="200" xfId="4" applyFont="1" applyFill="1" applyBorder="1" applyAlignment="1">
      <alignment horizontal="left" vertical="center"/>
    </xf>
    <xf numFmtId="3" fontId="29" fillId="0" borderId="188" xfId="4" applyNumberFormat="1" applyFont="1" applyFill="1" applyBorder="1" applyAlignment="1">
      <alignment horizontal="right" vertical="center"/>
    </xf>
    <xf numFmtId="3" fontId="27" fillId="23" borderId="199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43" fontId="31" fillId="0" borderId="169" xfId="1" applyFont="1" applyFill="1" applyBorder="1" applyAlignment="1"/>
    <xf numFmtId="3" fontId="28" fillId="0" borderId="169" xfId="4" applyNumberFormat="1" applyFont="1" applyFill="1" applyBorder="1" applyAlignment="1">
      <alignment horizontal="right" vertical="center"/>
    </xf>
    <xf numFmtId="3" fontId="7" fillId="8" borderId="3" xfId="0" applyNumberFormat="1" applyFont="1" applyFill="1" applyBorder="1" applyAlignment="1">
      <alignment vertical="center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43" fontId="7" fillId="8" borderId="70" xfId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6" xfId="4" applyFont="1" applyFill="1" applyBorder="1" applyAlignment="1">
      <alignment horizontal="right" vertical="center"/>
    </xf>
    <xf numFmtId="41" fontId="31" fillId="0" borderId="169" xfId="1" applyNumberFormat="1" applyFont="1" applyFill="1" applyBorder="1" applyAlignment="1"/>
    <xf numFmtId="43" fontId="33" fillId="0" borderId="178" xfId="6" applyNumberFormat="1" applyFont="1" applyFill="1" applyBorder="1" applyAlignment="1">
      <alignment vertical="center"/>
    </xf>
    <xf numFmtId="43" fontId="33" fillId="0" borderId="29" xfId="6" applyNumberFormat="1" applyFont="1" applyFill="1" applyBorder="1" applyAlignment="1">
      <alignment vertical="center"/>
    </xf>
    <xf numFmtId="0" fontId="0" fillId="0" borderId="131" xfId="0" applyFont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3" fontId="28" fillId="2" borderId="131" xfId="4" applyNumberFormat="1" applyFont="1" applyFill="1" applyBorder="1" applyAlignment="1">
      <alignment horizontal="right" vertical="center" wrapText="1"/>
    </xf>
    <xf numFmtId="41" fontId="31" fillId="0" borderId="169" xfId="1" applyNumberFormat="1" applyFont="1" applyFill="1" applyBorder="1" applyAlignment="1">
      <alignment horizontal="right" vertical="center"/>
    </xf>
    <xf numFmtId="43" fontId="32" fillId="0" borderId="178" xfId="6" applyNumberFormat="1" applyFont="1" applyFill="1" applyBorder="1" applyAlignment="1">
      <alignment vertical="center"/>
    </xf>
    <xf numFmtId="0" fontId="39" fillId="0" borderId="131" xfId="0" applyFont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43" fontId="7" fillId="0" borderId="167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3" fontId="24" fillId="6" borderId="198" xfId="1" applyNumberFormat="1" applyFont="1" applyFill="1" applyBorder="1" applyAlignment="1">
      <alignment horizontal="right" vertical="center"/>
    </xf>
    <xf numFmtId="3" fontId="27" fillId="0" borderId="195" xfId="1" applyNumberFormat="1" applyFont="1" applyFill="1" applyBorder="1" applyAlignment="1">
      <alignment horizontal="right" vertical="center"/>
    </xf>
    <xf numFmtId="43" fontId="27" fillId="0" borderId="195" xfId="1" applyFont="1" applyFill="1" applyBorder="1" applyAlignment="1">
      <alignment horizontal="right" vertical="center"/>
    </xf>
    <xf numFmtId="43" fontId="31" fillId="0" borderId="198" xfId="1" applyFont="1" applyFill="1" applyBorder="1" applyAlignment="1"/>
    <xf numFmtId="3" fontId="31" fillId="0" borderId="198" xfId="1" applyNumberFormat="1" applyFont="1" applyFill="1" applyBorder="1" applyAlignment="1">
      <alignment horizontal="right"/>
    </xf>
    <xf numFmtId="3" fontId="33" fillId="0" borderId="199" xfId="1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/>
    <xf numFmtId="3" fontId="31" fillId="0" borderId="210" xfId="1" applyNumberFormat="1" applyFont="1" applyFill="1" applyBorder="1" applyAlignment="1">
      <alignment horizontal="right"/>
    </xf>
    <xf numFmtId="43" fontId="31" fillId="0" borderId="188" xfId="4" applyNumberFormat="1" applyFont="1" applyFill="1" applyBorder="1" applyAlignment="1">
      <alignment vertical="center"/>
    </xf>
    <xf numFmtId="0" fontId="28" fillId="0" borderId="202" xfId="4" applyFont="1" applyFill="1" applyBorder="1" applyAlignment="1">
      <alignment horizontal="right" vertical="center"/>
    </xf>
    <xf numFmtId="3" fontId="28" fillId="0" borderId="188" xfId="4" applyNumberFormat="1" applyFont="1" applyFill="1" applyBorder="1" applyAlignment="1">
      <alignment vertical="center"/>
    </xf>
    <xf numFmtId="41" fontId="28" fillId="0" borderId="188" xfId="1" applyNumberFormat="1" applyFont="1" applyFill="1" applyBorder="1" applyAlignment="1"/>
    <xf numFmtId="43" fontId="33" fillId="0" borderId="199" xfId="6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43" fontId="32" fillId="0" borderId="188" xfId="6" applyNumberFormat="1" applyFont="1" applyFill="1" applyBorder="1" applyAlignment="1">
      <alignment vertical="center"/>
    </xf>
    <xf numFmtId="43" fontId="33" fillId="0" borderId="188" xfId="6" applyNumberFormat="1" applyFont="1" applyFill="1" applyBorder="1" applyAlignment="1">
      <alignment vertical="center"/>
    </xf>
    <xf numFmtId="41" fontId="28" fillId="0" borderId="188" xfId="1" applyNumberFormat="1" applyFont="1" applyFill="1" applyBorder="1" applyAlignment="1">
      <alignment horizontal="right" vertical="center"/>
    </xf>
    <xf numFmtId="3" fontId="28" fillId="0" borderId="188" xfId="4" applyNumberFormat="1" applyFont="1" applyFill="1" applyBorder="1" applyAlignment="1">
      <alignment horizontal="right" vertical="center"/>
    </xf>
    <xf numFmtId="43" fontId="63" fillId="0" borderId="199" xfId="6" applyNumberFormat="1" applyFont="1" applyFill="1" applyBorder="1" applyAlignment="1">
      <alignment vertical="center"/>
    </xf>
    <xf numFmtId="43" fontId="32" fillId="0" borderId="199" xfId="6" applyNumberFormat="1" applyFont="1" applyFill="1" applyBorder="1" applyAlignment="1">
      <alignment vertical="center"/>
    </xf>
    <xf numFmtId="41" fontId="28" fillId="0" borderId="198" xfId="1" applyNumberFormat="1" applyFont="1" applyFill="1" applyBorder="1" applyAlignment="1"/>
    <xf numFmtId="43" fontId="7" fillId="0" borderId="127" xfId="4" applyNumberFormat="1" applyFont="1" applyFill="1" applyBorder="1" applyAlignment="1">
      <alignment horizontal="right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31" fillId="2" borderId="209" xfId="0" applyNumberFormat="1" applyFont="1" applyFill="1" applyBorder="1" applyAlignment="1">
      <alignment vertical="center"/>
    </xf>
    <xf numFmtId="3" fontId="31" fillId="23" borderId="209" xfId="0" applyNumberFormat="1" applyFont="1" applyFill="1" applyBorder="1" applyAlignment="1">
      <alignment vertical="top"/>
    </xf>
    <xf numFmtId="43" fontId="27" fillId="2" borderId="199" xfId="1" applyFont="1" applyFill="1" applyBorder="1" applyAlignment="1">
      <alignment vertical="center"/>
    </xf>
    <xf numFmtId="3" fontId="17" fillId="6" borderId="200" xfId="4" applyNumberFormat="1" applyFont="1" applyFill="1" applyBorder="1" applyAlignment="1">
      <alignment vertical="center"/>
    </xf>
    <xf numFmtId="3" fontId="7" fillId="0" borderId="209" xfId="4" applyNumberFormat="1" applyFont="1" applyFill="1" applyBorder="1" applyAlignment="1">
      <alignment vertical="center"/>
    </xf>
    <xf numFmtId="3" fontId="7" fillId="0" borderId="209" xfId="4" applyNumberFormat="1" applyFont="1" applyFill="1" applyBorder="1" applyAlignment="1"/>
    <xf numFmtId="3" fontId="7" fillId="0" borderId="209" xfId="4" applyNumberFormat="1" applyFont="1" applyFill="1" applyBorder="1" applyAlignment="1">
      <alignment vertical="top"/>
    </xf>
    <xf numFmtId="0" fontId="28" fillId="0" borderId="202" xfId="4" quotePrefix="1" applyFont="1" applyFill="1" applyBorder="1" applyAlignment="1">
      <alignment horizontal="right" vertical="center"/>
    </xf>
    <xf numFmtId="3" fontId="31" fillId="23" borderId="195" xfId="4" applyNumberFormat="1" applyFont="1" applyFill="1" applyBorder="1" applyAlignment="1">
      <alignment vertical="center"/>
    </xf>
    <xf numFmtId="0" fontId="32" fillId="0" borderId="199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5" fillId="8" borderId="35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top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35" xfId="4" applyNumberFormat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5" borderId="35" xfId="4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3" fontId="6" fillId="6" borderId="35" xfId="0" applyNumberFormat="1" applyFont="1" applyFill="1" applyBorder="1" applyAlignment="1">
      <alignment vertical="center"/>
    </xf>
    <xf numFmtId="3" fontId="27" fillId="2" borderId="130" xfId="4" applyNumberFormat="1" applyFont="1" applyFill="1" applyBorder="1" applyAlignment="1">
      <alignment vertical="center" wrapText="1"/>
    </xf>
    <xf numFmtId="3" fontId="33" fillId="0" borderId="216" xfId="6" applyNumberFormat="1" applyFont="1" applyFill="1" applyBorder="1" applyAlignment="1">
      <alignment vertical="center"/>
    </xf>
    <xf numFmtId="3" fontId="27" fillId="0" borderId="209" xfId="4" applyNumberFormat="1" applyFont="1" applyFill="1" applyBorder="1" applyAlignment="1">
      <alignment horizontal="right" vertical="center"/>
    </xf>
    <xf numFmtId="3" fontId="27" fillId="0" borderId="216" xfId="4" applyNumberFormat="1" applyFont="1" applyFill="1" applyBorder="1" applyAlignment="1">
      <alignment horizontal="right" vertical="center"/>
    </xf>
    <xf numFmtId="3" fontId="27" fillId="25" borderId="209" xfId="4" applyNumberFormat="1" applyFont="1" applyFill="1" applyBorder="1" applyAlignment="1">
      <alignment horizontal="right" vertical="center"/>
    </xf>
    <xf numFmtId="3" fontId="27" fillId="25" borderId="216" xfId="4" applyNumberFormat="1" applyFont="1" applyFill="1" applyBorder="1" applyAlignment="1">
      <alignment horizontal="right" vertical="center"/>
    </xf>
    <xf numFmtId="43" fontId="29" fillId="0" borderId="199" xfId="1" applyFont="1" applyFill="1" applyBorder="1" applyAlignment="1">
      <alignment horizontal="right" vertical="center"/>
    </xf>
    <xf numFmtId="3" fontId="7" fillId="0" borderId="209" xfId="0" applyNumberFormat="1" applyFont="1" applyFill="1" applyBorder="1" applyAlignment="1">
      <alignment vertical="top"/>
    </xf>
    <xf numFmtId="43" fontId="7" fillId="0" borderId="209" xfId="1" applyFont="1" applyFill="1" applyBorder="1" applyAlignment="1">
      <alignment vertical="top"/>
    </xf>
    <xf numFmtId="3" fontId="7" fillId="25" borderId="209" xfId="4" applyNumberFormat="1" applyFont="1" applyFill="1" applyBorder="1" applyAlignment="1">
      <alignment vertical="top"/>
    </xf>
    <xf numFmtId="3" fontId="7" fillId="0" borderId="199" xfId="0" applyNumberFormat="1" applyFont="1" applyFill="1" applyBorder="1" applyAlignment="1">
      <alignment vertical="top"/>
    </xf>
    <xf numFmtId="3" fontId="24" fillId="34" borderId="199" xfId="4" applyNumberFormat="1" applyFont="1" applyFill="1" applyBorder="1" applyAlignment="1">
      <alignment horizontal="center" vertical="center"/>
    </xf>
    <xf numFmtId="3" fontId="7" fillId="0" borderId="207" xfId="4" applyNumberFormat="1" applyFont="1" applyFill="1" applyBorder="1" applyAlignment="1">
      <alignment vertical="top"/>
    </xf>
    <xf numFmtId="0" fontId="37" fillId="0" borderId="199" xfId="0" applyFont="1" applyBorder="1" applyAlignment="1">
      <alignment vertical="center"/>
    </xf>
    <xf numFmtId="0" fontId="0" fillId="0" borderId="199" xfId="0" applyFont="1" applyBorder="1"/>
    <xf numFmtId="0" fontId="0" fillId="0" borderId="199" xfId="0" applyFont="1" applyBorder="1" applyAlignment="1">
      <alignment vertical="center"/>
    </xf>
    <xf numFmtId="0" fontId="39" fillId="0" borderId="199" xfId="0" applyFont="1" applyBorder="1" applyAlignment="1">
      <alignment vertical="center"/>
    </xf>
    <xf numFmtId="0" fontId="18" fillId="0" borderId="199" xfId="0" applyFont="1" applyBorder="1" applyAlignment="1">
      <alignment vertical="top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3" fontId="28" fillId="2" borderId="216" xfId="0" applyNumberFormat="1" applyFont="1" applyFill="1" applyBorder="1" applyAlignment="1">
      <alignment vertical="top"/>
    </xf>
    <xf numFmtId="2" fontId="31" fillId="0" borderId="216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3" fontId="31" fillId="0" borderId="199" xfId="0" applyNumberFormat="1" applyFont="1" applyFill="1" applyBorder="1" applyAlignment="1">
      <alignment horizontal="right"/>
    </xf>
    <xf numFmtId="0" fontId="7" fillId="0" borderId="209" xfId="4" applyFont="1" applyFill="1" applyBorder="1" applyAlignment="1">
      <alignment vertical="top"/>
    </xf>
    <xf numFmtId="3" fontId="27" fillId="23" borderId="199" xfId="4" applyNumberFormat="1" applyFont="1" applyFill="1" applyBorder="1" applyAlignment="1">
      <alignment horizontal="right" vertical="center"/>
    </xf>
    <xf numFmtId="0" fontId="7" fillId="59" borderId="199" xfId="4" applyFont="1" applyFill="1" applyBorder="1" applyAlignment="1">
      <alignment vertical="top"/>
    </xf>
    <xf numFmtId="3" fontId="32" fillId="59" borderId="199" xfId="6" applyNumberFormat="1" applyFont="1" applyFill="1" applyBorder="1" applyAlignment="1">
      <alignment vertical="center"/>
    </xf>
    <xf numFmtId="3" fontId="7" fillId="59" borderId="199" xfId="4" applyNumberFormat="1" applyFont="1" applyFill="1" applyBorder="1" applyAlignment="1">
      <alignment horizontal="right" vertical="center"/>
    </xf>
    <xf numFmtId="3" fontId="31" fillId="59" borderId="199" xfId="4" applyNumberFormat="1" applyFont="1" applyFill="1" applyBorder="1" applyAlignment="1">
      <alignment horizontal="right" vertical="center"/>
    </xf>
    <xf numFmtId="3" fontId="7" fillId="25" borderId="199" xfId="4" applyNumberFormat="1" applyFont="1" applyFill="1" applyBorder="1" applyAlignment="1">
      <alignment horizontal="right" vertical="center"/>
    </xf>
    <xf numFmtId="0" fontId="7" fillId="62" borderId="199" xfId="4" applyFont="1" applyFill="1" applyBorder="1" applyAlignment="1">
      <alignment vertical="top"/>
    </xf>
    <xf numFmtId="3" fontId="32" fillId="62" borderId="199" xfId="6" applyNumberFormat="1" applyFont="1" applyFill="1" applyBorder="1" applyAlignment="1">
      <alignment vertical="center"/>
    </xf>
    <xf numFmtId="3" fontId="7" fillId="62" borderId="199" xfId="4" applyNumberFormat="1" applyFont="1" applyFill="1" applyBorder="1" applyAlignment="1">
      <alignment horizontal="right" vertical="center"/>
    </xf>
    <xf numFmtId="3" fontId="31" fillId="62" borderId="199" xfId="4" applyNumberFormat="1" applyFont="1" applyFill="1" applyBorder="1" applyAlignment="1">
      <alignment horizontal="right" vertical="center"/>
    </xf>
    <xf numFmtId="0" fontId="32" fillId="62" borderId="199" xfId="0" applyFont="1" applyFill="1" applyBorder="1" applyAlignment="1">
      <alignment horizontal="center" vertical="center" wrapText="1"/>
    </xf>
    <xf numFmtId="3" fontId="28" fillId="23" borderId="209" xfId="4" applyNumberFormat="1" applyFont="1" applyFill="1" applyBorder="1" applyAlignment="1">
      <alignment horizontal="right" vertical="center"/>
    </xf>
    <xf numFmtId="0" fontId="25" fillId="6" borderId="200" xfId="4" applyFont="1" applyFill="1" applyBorder="1" applyAlignment="1">
      <alignment horizontal="center" vertical="center"/>
    </xf>
    <xf numFmtId="3" fontId="32" fillId="0" borderId="216" xfId="6" applyNumberFormat="1" applyFont="1" applyFill="1" applyBorder="1" applyAlignment="1">
      <alignment vertical="center"/>
    </xf>
    <xf numFmtId="0" fontId="65" fillId="0" borderId="207" xfId="0" applyFont="1" applyBorder="1" applyAlignment="1">
      <alignment horizontal="center" vertical="center"/>
    </xf>
    <xf numFmtId="0" fontId="65" fillId="0" borderId="217" xfId="0" applyFont="1" applyBorder="1" applyAlignment="1">
      <alignment horizontal="center" vertical="center"/>
    </xf>
    <xf numFmtId="0" fontId="65" fillId="0" borderId="195" xfId="0" applyFont="1" applyBorder="1" applyAlignment="1">
      <alignment horizontal="center" vertical="center"/>
    </xf>
    <xf numFmtId="0" fontId="65" fillId="0" borderId="195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99" xfId="0" applyNumberFormat="1" applyFont="1" applyFill="1" applyBorder="1"/>
    <xf numFmtId="3" fontId="8" fillId="6" borderId="202" xfId="0" applyNumberFormat="1" applyFont="1" applyFill="1" applyBorder="1"/>
    <xf numFmtId="3" fontId="6" fillId="6" borderId="199" xfId="0" applyNumberFormat="1" applyFont="1" applyFill="1" applyBorder="1"/>
    <xf numFmtId="3" fontId="8" fillId="6" borderId="209" xfId="0" applyNumberFormat="1" applyFont="1" applyFill="1" applyBorder="1"/>
    <xf numFmtId="3" fontId="8" fillId="6" borderId="216" xfId="0" applyNumberFormat="1" applyFont="1" applyFill="1" applyBorder="1"/>
    <xf numFmtId="3" fontId="6" fillId="6" borderId="209" xfId="0" applyNumberFormat="1" applyFont="1" applyFill="1" applyBorder="1"/>
    <xf numFmtId="0" fontId="6" fillId="0" borderId="218" xfId="0" applyFont="1" applyFill="1" applyBorder="1" applyAlignment="1">
      <alignment vertical="center" wrapText="1"/>
    </xf>
    <xf numFmtId="0" fontId="31" fillId="55" borderId="218" xfId="4" applyFont="1" applyFill="1" applyBorder="1" applyAlignment="1">
      <alignment horizontal="left" vertical="center"/>
    </xf>
    <xf numFmtId="0" fontId="27" fillId="2" borderId="218" xfId="4" applyFont="1" applyFill="1" applyBorder="1" applyAlignment="1">
      <alignment vertical="top"/>
    </xf>
    <xf numFmtId="3" fontId="27" fillId="0" borderId="168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211" xfId="0" applyNumberFormat="1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204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97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95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0" borderId="205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5" fillId="2" borderId="197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9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3" fontId="25" fillId="2" borderId="137" xfId="4" applyNumberFormat="1" applyFont="1" applyFill="1" applyBorder="1" applyAlignment="1">
      <alignment horizontal="center" vertical="center" wrapText="1"/>
    </xf>
    <xf numFmtId="3" fontId="25" fillId="2" borderId="73" xfId="4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0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3" fontId="24" fillId="2" borderId="137" xfId="4" applyNumberFormat="1" applyFont="1" applyFill="1" applyBorder="1" applyAlignment="1">
      <alignment horizontal="center" vertical="center" wrapText="1"/>
    </xf>
    <xf numFmtId="3" fontId="25" fillId="26" borderId="177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32" fillId="0" borderId="205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3" fontId="25" fillId="26" borderId="101" xfId="4" applyNumberFormat="1" applyFont="1" applyFill="1" applyBorder="1" applyAlignment="1">
      <alignment horizontal="center" vertical="center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3" fontId="24" fillId="26" borderId="177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 wrapText="1"/>
    </xf>
    <xf numFmtId="3" fontId="25" fillId="2" borderId="105" xfId="4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5" fillId="2" borderId="137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6" fillId="0" borderId="13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3" fontId="18" fillId="0" borderId="205" xfId="4" applyNumberFormat="1" applyFont="1" applyFill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32" fillId="25" borderId="195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0" fontId="32" fillId="0" borderId="136" xfId="0" applyFont="1" applyBorder="1" applyAlignment="1">
      <alignment horizontal="center" vertical="center" wrapText="1"/>
    </xf>
    <xf numFmtId="3" fontId="24" fillId="26" borderId="195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3" fontId="31" fillId="26" borderId="177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7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35" xfId="4" applyNumberFormat="1" applyFont="1" applyFill="1" applyBorder="1" applyAlignment="1">
      <alignment horizontal="center" vertical="center"/>
    </xf>
    <xf numFmtId="3" fontId="24" fillId="24" borderId="177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25" fillId="2" borderId="197" xfId="4" applyFont="1" applyFill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88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5" borderId="195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18" fillId="0" borderId="82" xfId="4" applyNumberFormat="1" applyFont="1" applyFill="1" applyBorder="1" applyAlignment="1">
      <alignment horizontal="center" vertical="center" wrapText="1"/>
    </xf>
    <xf numFmtId="43" fontId="24" fillId="22" borderId="195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43" fontId="24" fillId="22" borderId="177" xfId="1" applyFont="1" applyFill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 wrapText="1"/>
    </xf>
    <xf numFmtId="3" fontId="25" fillId="25" borderId="177" xfId="4" applyNumberFormat="1" applyFont="1" applyFill="1" applyBorder="1" applyAlignment="1">
      <alignment horizontal="center" vertical="center"/>
    </xf>
    <xf numFmtId="3" fontId="18" fillId="0" borderId="136" xfId="4" applyNumberFormat="1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89" xfId="4" applyFont="1" applyFill="1" applyBorder="1" applyAlignment="1">
      <alignment horizontal="center" vertical="center" wrapText="1"/>
    </xf>
    <xf numFmtId="0" fontId="17" fillId="0" borderId="200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0" fontId="0" fillId="0" borderId="20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3" fontId="25" fillId="0" borderId="192" xfId="4" applyNumberFormat="1" applyFont="1" applyFill="1" applyBorder="1" applyAlignment="1">
      <alignment horizontal="center" vertical="center" wrapText="1"/>
    </xf>
    <xf numFmtId="0" fontId="32" fillId="0" borderId="199" xfId="0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3" fontId="24" fillId="26" borderId="192" xfId="4" applyNumberFormat="1" applyFont="1" applyFill="1" applyBorder="1" applyAlignment="1">
      <alignment horizontal="center" vertical="center"/>
    </xf>
    <xf numFmtId="3" fontId="24" fillId="26" borderId="199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20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17" fillId="0" borderId="200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24" fillId="0" borderId="194" xfId="4" applyFont="1" applyFill="1" applyBorder="1" applyAlignment="1">
      <alignment horizontal="center" vertical="center" wrapText="1"/>
    </xf>
    <xf numFmtId="0" fontId="23" fillId="0" borderId="194" xfId="0" applyFont="1" applyFill="1" applyBorder="1" applyAlignment="1">
      <alignment horizontal="center" vertical="center" wrapText="1"/>
    </xf>
    <xf numFmtId="0" fontId="23" fillId="0" borderId="129" xfId="0" applyFont="1" applyFill="1" applyBorder="1" applyAlignment="1">
      <alignment horizontal="center" vertical="center" wrapText="1"/>
    </xf>
    <xf numFmtId="3" fontId="25" fillId="2" borderId="199" xfId="4" applyNumberFormat="1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horizontal="center" vertical="center" wrapText="1"/>
    </xf>
    <xf numFmtId="0" fontId="25" fillId="2" borderId="199" xfId="4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wrapText="1"/>
    </xf>
    <xf numFmtId="0" fontId="32" fillId="0" borderId="209" xfId="0" applyFont="1" applyBorder="1" applyAlignment="1">
      <alignment wrapText="1"/>
    </xf>
    <xf numFmtId="3" fontId="24" fillId="26" borderId="209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3" fontId="25" fillId="0" borderId="167" xfId="4" applyNumberFormat="1" applyFont="1" applyFill="1" applyBorder="1" applyAlignment="1">
      <alignment horizontal="center" vertical="center" wrapText="1"/>
    </xf>
    <xf numFmtId="0" fontId="32" fillId="0" borderId="167" xfId="0" applyFont="1" applyFill="1" applyBorder="1" applyAlignment="1">
      <alignment horizontal="center" vertical="center" wrapText="1"/>
    </xf>
    <xf numFmtId="0" fontId="25" fillId="0" borderId="177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3" fontId="24" fillId="26" borderId="167" xfId="4" applyNumberFormat="1" applyFont="1" applyFill="1" applyBorder="1" applyAlignment="1">
      <alignment horizontal="center" vertical="center"/>
    </xf>
    <xf numFmtId="0" fontId="17" fillId="0" borderId="20" xfId="4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24" fillId="0" borderId="170" xfId="4" applyFont="1" applyFill="1" applyBorder="1" applyAlignment="1">
      <alignment horizontal="center" vertical="center" wrapText="1"/>
    </xf>
    <xf numFmtId="0" fontId="23" fillId="0" borderId="170" xfId="0" applyFont="1" applyFill="1" applyBorder="1" applyAlignment="1">
      <alignment horizontal="center" vertical="center" wrapText="1"/>
    </xf>
    <xf numFmtId="3" fontId="25" fillId="2" borderId="167" xfId="4" applyNumberFormat="1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25" fillId="2" borderId="167" xfId="4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32" fillId="0" borderId="127" xfId="0" applyFont="1" applyBorder="1" applyAlignment="1">
      <alignment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22" fillId="0" borderId="16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7" xfId="0" applyFont="1" applyFill="1" applyBorder="1" applyAlignment="1">
      <alignment horizontal="center" vertical="center" wrapText="1"/>
    </xf>
    <xf numFmtId="0" fontId="17" fillId="0" borderId="70" xfId="4" applyFont="1" applyBorder="1" applyAlignment="1">
      <alignment horizontal="center" vertical="center" wrapText="1"/>
    </xf>
    <xf numFmtId="0" fontId="17" fillId="0" borderId="167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172" xfId="4" quotePrefix="1" applyFont="1" applyFill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0" fontId="23" fillId="0" borderId="170" xfId="0" applyFont="1" applyBorder="1" applyAlignment="1">
      <alignment horizontal="center" vertical="center" wrapText="1"/>
    </xf>
    <xf numFmtId="0" fontId="23" fillId="0" borderId="129" xfId="0" applyFont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3" fontId="24" fillId="22" borderId="167" xfId="4" applyNumberFormat="1" applyFont="1" applyFill="1" applyBorder="1" applyAlignment="1">
      <alignment horizontal="center" vertical="center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27" xfId="4" applyNumberFormat="1" applyFont="1" applyFill="1" applyBorder="1" applyAlignment="1">
      <alignment horizontal="center" vertical="center"/>
    </xf>
    <xf numFmtId="3" fontId="25" fillId="2" borderId="183" xfId="4" applyNumberFormat="1" applyFont="1" applyFill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3" fontId="24" fillId="26" borderId="183" xfId="4" applyNumberFormat="1" applyFont="1" applyFill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3" fillId="0" borderId="194" xfId="0" applyFont="1" applyBorder="1" applyAlignment="1">
      <alignment horizontal="center" vertical="center" wrapText="1"/>
    </xf>
    <xf numFmtId="3" fontId="25" fillId="0" borderId="199" xfId="4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99" xfId="0" applyFont="1" applyBorder="1" applyAlignment="1">
      <alignment horizontal="center" vertical="center" wrapText="1"/>
    </xf>
    <xf numFmtId="0" fontId="23" fillId="0" borderId="209" xfId="0" applyFont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4" fillId="0" borderId="129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17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3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6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95" xfId="6" applyFont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79" fillId="0" borderId="137" xfId="0" applyFont="1" applyFill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0" fontId="89" fillId="0" borderId="137" xfId="0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43" fontId="82" fillId="22" borderId="136" xfId="1" applyFont="1" applyFill="1" applyBorder="1" applyAlignment="1">
      <alignment horizontal="center" vertical="center"/>
    </xf>
    <xf numFmtId="43" fontId="82" fillId="22" borderId="43" xfId="1" applyFont="1" applyFill="1" applyBorder="1" applyAlignment="1">
      <alignment horizontal="center" vertical="center"/>
    </xf>
    <xf numFmtId="43" fontId="82" fillId="22" borderId="41" xfId="1" applyFont="1" applyFill="1" applyBorder="1" applyAlignment="1">
      <alignment horizontal="center" vertical="center"/>
    </xf>
    <xf numFmtId="0" fontId="88" fillId="2" borderId="5" xfId="0" quotePrefix="1" applyFont="1" applyFill="1" applyBorder="1" applyAlignment="1">
      <alignment horizontal="center" vertical="center" wrapText="1"/>
    </xf>
    <xf numFmtId="0" fontId="78" fillId="0" borderId="26" xfId="0" applyFont="1" applyBorder="1"/>
    <xf numFmtId="0" fontId="78" fillId="0" borderId="68" xfId="0" applyFont="1" applyBorder="1"/>
    <xf numFmtId="0" fontId="84" fillId="0" borderId="66" xfId="0" applyFont="1" applyFill="1" applyBorder="1" applyAlignment="1">
      <alignment horizontal="center" vertical="center" wrapText="1"/>
    </xf>
    <xf numFmtId="0" fontId="84" fillId="0" borderId="67" xfId="0" applyFont="1" applyFill="1" applyBorder="1" applyAlignment="1">
      <alignment horizontal="center" vertical="center" wrapText="1"/>
    </xf>
    <xf numFmtId="0" fontId="78" fillId="0" borderId="67" xfId="0" applyFont="1" applyBorder="1" applyAlignment="1">
      <alignment horizontal="center" wrapText="1"/>
    </xf>
    <xf numFmtId="0" fontId="78" fillId="0" borderId="69" xfId="0" applyFont="1" applyBorder="1" applyAlignment="1">
      <alignment horizontal="center"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49" fontId="86" fillId="0" borderId="66" xfId="3" applyNumberFormat="1" applyFont="1" applyBorder="1" applyAlignment="1">
      <alignment horizontal="center" vertical="center" wrapText="1"/>
    </xf>
    <xf numFmtId="49" fontId="86" fillId="0" borderId="67" xfId="3" applyNumberFormat="1" applyFont="1" applyBorder="1" applyAlignment="1">
      <alignment horizontal="center" vertical="center" wrapText="1"/>
    </xf>
    <xf numFmtId="49" fontId="86" fillId="0" borderId="69" xfId="3" applyNumberFormat="1" applyFont="1" applyBorder="1" applyAlignment="1">
      <alignment horizontal="center" vertical="center" wrapText="1"/>
    </xf>
    <xf numFmtId="0" fontId="24" fillId="2" borderId="197" xfId="0" applyFont="1" applyFill="1" applyBorder="1" applyAlignment="1">
      <alignment horizontal="center" vertical="center" wrapText="1"/>
    </xf>
    <xf numFmtId="3" fontId="24" fillId="22" borderId="195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95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97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95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0" fillId="0" borderId="197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95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7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95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9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5" fillId="22" borderId="95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2" borderId="101" xfId="0" applyNumberFormat="1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37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3" fontId="25" fillId="22" borderId="177" xfId="0" applyNumberFormat="1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7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97" xfId="4" applyFont="1" applyFill="1" applyBorder="1" applyAlignment="1">
      <alignment horizontal="center" vertical="center" wrapText="1"/>
    </xf>
    <xf numFmtId="0" fontId="25" fillId="2" borderId="197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19" fillId="0" borderId="26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9" fillId="0" borderId="175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3" fontId="24" fillId="22" borderId="177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3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10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95" xfId="4" applyNumberFormat="1" applyFont="1" applyFill="1" applyBorder="1" applyAlignment="1">
      <alignment horizontal="center" vertical="center" wrapText="1"/>
    </xf>
    <xf numFmtId="0" fontId="23" fillId="0" borderId="195" xfId="0" applyFont="1" applyBorder="1" applyAlignment="1">
      <alignment horizontal="center" vertical="center"/>
    </xf>
    <xf numFmtId="3" fontId="25" fillId="25" borderId="208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3" fontId="25" fillId="2" borderId="133" xfId="4" applyNumberFormat="1" applyFont="1" applyFill="1" applyBorder="1" applyAlignment="1">
      <alignment horizontal="center" vertical="center" wrapText="1"/>
    </xf>
    <xf numFmtId="0" fontId="32" fillId="0" borderId="13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4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3" xfId="4" applyFont="1" applyFill="1" applyBorder="1" applyAlignment="1">
      <alignment horizontal="center" vertical="center"/>
    </xf>
    <xf numFmtId="0" fontId="27" fillId="8" borderId="199" xfId="4" applyFont="1" applyFill="1" applyBorder="1" applyAlignment="1">
      <alignment horizontal="center" vertical="center"/>
    </xf>
    <xf numFmtId="0" fontId="27" fillId="8" borderId="134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4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3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0" fillId="2" borderId="177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" borderId="12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15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0" borderId="187" xfId="4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0" fontId="25" fillId="0" borderId="189" xfId="4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92" xfId="4" applyNumberFormat="1" applyFont="1" applyFill="1" applyBorder="1" applyAlignment="1">
      <alignment horizontal="center" vertical="center"/>
    </xf>
    <xf numFmtId="3" fontId="24" fillId="34" borderId="127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34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199" xfId="4" applyFont="1" applyFill="1" applyBorder="1" applyAlignment="1">
      <alignment horizontal="center" vertical="center" wrapText="1"/>
    </xf>
    <xf numFmtId="0" fontId="18" fillId="0" borderId="127" xfId="4" applyFont="1" applyFill="1" applyBorder="1" applyAlignment="1">
      <alignment horizontal="center" vertical="center" wrapText="1"/>
    </xf>
    <xf numFmtId="0" fontId="24" fillId="2" borderId="189" xfId="4" applyFont="1" applyFill="1" applyBorder="1" applyAlignment="1">
      <alignment horizontal="center" vertical="center" wrapText="1"/>
    </xf>
    <xf numFmtId="0" fontId="24" fillId="2" borderId="200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99" xfId="4" applyNumberFormat="1" applyFont="1" applyFill="1" applyBorder="1" applyAlignment="1">
      <alignment horizontal="center" vertical="center"/>
    </xf>
    <xf numFmtId="3" fontId="24" fillId="22" borderId="209" xfId="4" applyNumberFormat="1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124" xfId="4" applyFont="1" applyFill="1" applyBorder="1" applyAlignment="1">
      <alignment horizontal="center" vertical="center" wrapText="1"/>
    </xf>
    <xf numFmtId="0" fontId="0" fillId="0" borderId="124" xfId="0" applyFont="1" applyBorder="1"/>
    <xf numFmtId="0" fontId="32" fillId="0" borderId="124" xfId="0" applyFont="1" applyBorder="1" applyAlignment="1">
      <alignment horizontal="center" vertical="center" wrapText="1"/>
    </xf>
    <xf numFmtId="3" fontId="25" fillId="22" borderId="195" xfId="4" applyNumberFormat="1" applyFont="1" applyFill="1" applyBorder="1" applyAlignment="1">
      <alignment horizontal="center" vertical="center"/>
    </xf>
    <xf numFmtId="3" fontId="24" fillId="34" borderId="195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200" xfId="4" applyFont="1" applyFill="1" applyBorder="1" applyAlignment="1">
      <alignment horizontal="center" vertical="center" wrapText="1"/>
    </xf>
    <xf numFmtId="0" fontId="32" fillId="0" borderId="200" xfId="0" applyFont="1" applyBorder="1" applyAlignment="1">
      <alignment horizontal="center" vertical="center" wrapText="1"/>
    </xf>
    <xf numFmtId="0" fontId="0" fillId="0" borderId="202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205" xfId="0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25" fillId="2" borderId="172" xfId="4" applyFont="1" applyFill="1" applyBorder="1" applyAlignment="1">
      <alignment horizontal="center" vertical="center" wrapText="1"/>
    </xf>
    <xf numFmtId="3" fontId="25" fillId="2" borderId="120" xfId="4" applyNumberFormat="1" applyFont="1" applyFill="1" applyBorder="1" applyAlignment="1">
      <alignment horizontal="center" vertical="center" wrapText="1"/>
    </xf>
    <xf numFmtId="3" fontId="24" fillId="26" borderId="126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22" fillId="0" borderId="1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3" fontId="24" fillId="26" borderId="95" xfId="4" applyNumberFormat="1" applyFont="1" applyFill="1" applyBorder="1" applyAlignment="1">
      <alignment horizontal="center" vertical="center"/>
    </xf>
    <xf numFmtId="3" fontId="17" fillId="26" borderId="195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3" fontId="17" fillId="26" borderId="177" xfId="4" applyNumberFormat="1" applyFont="1" applyFill="1" applyBorder="1" applyAlignment="1">
      <alignment horizontal="center" vertical="center"/>
    </xf>
    <xf numFmtId="0" fontId="25" fillId="32" borderId="195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5" fillId="0" borderId="137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0" fillId="0" borderId="136" xfId="0" applyFont="1" applyBorder="1" applyAlignment="1">
      <alignment horizontal="center" vertical="center" wrapText="1"/>
    </xf>
    <xf numFmtId="0" fontId="18" fillId="0" borderId="136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3" fontId="24" fillId="26" borderId="134" xfId="4" applyNumberFormat="1" applyFont="1" applyFill="1" applyBorder="1" applyAlignment="1">
      <alignment horizontal="center"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195" xfId="4" applyFont="1" applyBorder="1" applyAlignment="1">
      <alignment horizontal="center" vertical="center" wrapText="1"/>
    </xf>
    <xf numFmtId="0" fontId="66" fillId="6" borderId="87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77" fillId="4" borderId="85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4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74" xfId="4" applyFont="1" applyFill="1" applyBorder="1" applyAlignment="1">
      <alignment horizontal="left" vertical="center" wrapText="1"/>
    </xf>
    <xf numFmtId="0" fontId="39" fillId="61" borderId="168" xfId="0" applyFont="1" applyFill="1" applyBorder="1" applyAlignment="1">
      <alignment vertical="center" wrapText="1"/>
    </xf>
    <xf numFmtId="0" fontId="77" fillId="6" borderId="85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61" borderId="174" xfId="4" applyFont="1" applyFill="1" applyBorder="1" applyAlignment="1">
      <alignment horizontal="left" vertical="center"/>
    </xf>
    <xf numFmtId="0" fontId="39" fillId="61" borderId="168" xfId="0" applyFont="1" applyFill="1" applyBorder="1" applyAlignment="1">
      <alignment vertical="center"/>
    </xf>
    <xf numFmtId="0" fontId="77" fillId="6" borderId="85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66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66" fillId="37" borderId="87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7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68" fillId="37" borderId="87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FF66FF"/>
      <color rgb="FF00FF00"/>
      <color rgb="FFFFFF00"/>
      <color rgb="FFFFFF99"/>
      <color rgb="FFCCFF33"/>
      <color rgb="FFFF99FF"/>
      <color rgb="FF0000CC"/>
      <color rgb="FF66FF66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0</xdr:rowOff>
    </xdr:from>
    <xdr:to>
      <xdr:col>18</xdr:col>
      <xdr:colOff>0</xdr:colOff>
      <xdr:row>58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  <cell r="N7">
            <v>65059576</v>
          </cell>
        </row>
        <row r="8">
          <cell r="K8">
            <v>155678690</v>
          </cell>
          <cell r="N8">
            <v>49018142</v>
          </cell>
        </row>
        <row r="13">
          <cell r="K13">
            <v>2071007</v>
          </cell>
          <cell r="N13">
            <v>3889275</v>
          </cell>
        </row>
        <row r="14">
          <cell r="K14">
            <v>2071007</v>
          </cell>
          <cell r="N14">
            <v>3889275</v>
          </cell>
        </row>
        <row r="17">
          <cell r="K17">
            <v>5027207</v>
          </cell>
          <cell r="N17">
            <v>3955373</v>
          </cell>
        </row>
        <row r="18">
          <cell r="K18">
            <v>5078627</v>
          </cell>
          <cell r="N18">
            <v>6218524</v>
          </cell>
        </row>
        <row r="19">
          <cell r="K19">
            <v>1230114</v>
          </cell>
          <cell r="N19">
            <v>1533867</v>
          </cell>
        </row>
        <row r="20">
          <cell r="K20">
            <v>1230114</v>
          </cell>
          <cell r="N20">
            <v>1523256</v>
          </cell>
        </row>
        <row r="23">
          <cell r="K23">
            <v>448847</v>
          </cell>
          <cell r="N23">
            <v>1310999</v>
          </cell>
        </row>
        <row r="24">
          <cell r="K24">
            <v>378288</v>
          </cell>
          <cell r="N24">
            <v>1104910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tabSelected="1" view="pageBreakPreview" zoomScaleNormal="110" zoomScaleSheetLayoutView="100" workbookViewId="0">
      <selection activeCell="J94" sqref="J94:J260"/>
    </sheetView>
  </sheetViews>
  <sheetFormatPr defaultColWidth="9.140625" defaultRowHeight="12.75" outlineLevelCol="1"/>
  <cols>
    <col min="1" max="1" width="49.140625" style="1081" customWidth="1"/>
    <col min="2" max="2" width="16" style="1082" customWidth="1"/>
    <col min="3" max="4" width="13.85546875" style="1082" customWidth="1"/>
    <col min="5" max="5" width="13" style="1082" customWidth="1"/>
    <col min="6" max="6" width="12.85546875" style="1082" customWidth="1"/>
    <col min="7" max="8" width="13.140625" style="1082" customWidth="1"/>
    <col min="9" max="9" width="14.42578125" style="1082" customWidth="1"/>
    <col min="10" max="10" width="16.140625" style="1081" customWidth="1"/>
    <col min="11" max="11" width="14.5703125" style="1084" hidden="1" customWidth="1" outlineLevel="1"/>
    <col min="12" max="12" width="14.5703125" style="1084" customWidth="1" outlineLevel="1"/>
    <col min="13" max="13" width="17.28515625" style="1084" hidden="1" customWidth="1" outlineLevel="1"/>
    <col min="14" max="14" width="14.7109375" style="1081" hidden="1" customWidth="1"/>
    <col min="15" max="15" width="14.28515625" style="1081" hidden="1" customWidth="1"/>
    <col min="16" max="16" width="0" style="1081" hidden="1" customWidth="1"/>
    <col min="17" max="17" width="9.7109375" style="1081" hidden="1" customWidth="1"/>
    <col min="18" max="18" width="0" style="1081" hidden="1" customWidth="1"/>
    <col min="19" max="16384" width="9.140625" style="1081"/>
  </cols>
  <sheetData>
    <row r="1" spans="1:15" ht="23.25" customHeight="1">
      <c r="A1" s="1080"/>
      <c r="E1" s="1083"/>
      <c r="G1" s="1083"/>
      <c r="H1" s="1083"/>
      <c r="I1" s="1083"/>
    </row>
    <row r="2" spans="1:15" ht="15">
      <c r="C2" s="1086"/>
      <c r="D2" s="1086"/>
      <c r="E2" s="1086"/>
      <c r="G2" s="1086"/>
      <c r="H2" s="1086"/>
      <c r="I2" s="1083" t="s">
        <v>357</v>
      </c>
      <c r="J2" s="1085"/>
    </row>
    <row r="3" spans="1:15">
      <c r="B3" s="1089"/>
      <c r="C3" s="1086"/>
      <c r="D3" s="1086"/>
      <c r="E3" s="1086"/>
      <c r="F3" s="1086"/>
      <c r="G3" s="1086"/>
      <c r="H3" s="1086"/>
      <c r="I3" s="1086"/>
      <c r="J3" s="1085"/>
    </row>
    <row r="4" spans="1:15" ht="12.75" customHeight="1">
      <c r="C4" s="1085"/>
      <c r="D4" s="1085"/>
      <c r="E4" s="1085"/>
      <c r="F4" s="1085"/>
      <c r="G4" s="1085"/>
      <c r="H4" s="1085"/>
      <c r="I4" s="1085"/>
      <c r="J4" s="1693"/>
    </row>
    <row r="5" spans="1:15" ht="72" customHeight="1">
      <c r="A5" s="3172" t="s">
        <v>0</v>
      </c>
      <c r="B5" s="3172"/>
      <c r="C5" s="3172"/>
      <c r="D5" s="3172"/>
      <c r="E5" s="3172"/>
      <c r="F5" s="3172"/>
      <c r="G5" s="3172"/>
      <c r="H5" s="3172"/>
      <c r="I5" s="3172"/>
      <c r="J5" s="3172"/>
      <c r="K5" s="2175"/>
      <c r="L5" s="2175"/>
    </row>
    <row r="6" spans="1:15" ht="12" customHeight="1">
      <c r="A6" s="1087"/>
      <c r="B6" s="1087"/>
      <c r="C6" s="1087"/>
      <c r="D6" s="1087"/>
      <c r="E6" s="1087"/>
      <c r="F6" s="1087"/>
      <c r="G6" s="1087"/>
      <c r="H6" s="1087"/>
      <c r="I6" s="1087"/>
      <c r="J6" s="1087"/>
    </row>
    <row r="7" spans="1:15" ht="48.75" customHeight="1" thickBot="1">
      <c r="A7" s="3173" t="s">
        <v>1</v>
      </c>
      <c r="B7" s="3173"/>
      <c r="C7" s="3173"/>
      <c r="D7" s="3173"/>
      <c r="E7" s="3173"/>
      <c r="F7" s="3173"/>
      <c r="G7" s="3173"/>
      <c r="H7" s="3173"/>
      <c r="I7" s="3173"/>
      <c r="J7" s="3173"/>
      <c r="K7" s="1444"/>
      <c r="L7" s="1444"/>
    </row>
    <row r="8" spans="1:15" s="1082" customFormat="1" ht="24.75" customHeight="1">
      <c r="A8" s="1088"/>
      <c r="B8" s="3177" t="s">
        <v>262</v>
      </c>
      <c r="C8" s="3184" t="s">
        <v>526</v>
      </c>
      <c r="D8" s="3180" t="s">
        <v>455</v>
      </c>
      <c r="E8" s="3180"/>
      <c r="F8" s="3180"/>
      <c r="G8" s="3180"/>
      <c r="H8" s="3180"/>
      <c r="I8" s="3181"/>
      <c r="J8" s="3174" t="s">
        <v>3</v>
      </c>
      <c r="K8" s="3187" t="s">
        <v>479</v>
      </c>
      <c r="L8" s="3192" t="s">
        <v>456</v>
      </c>
      <c r="M8" s="1089"/>
    </row>
    <row r="9" spans="1:15" ht="27" customHeight="1">
      <c r="A9" s="1090" t="s">
        <v>4</v>
      </c>
      <c r="B9" s="3178"/>
      <c r="C9" s="3185"/>
      <c r="D9" s="3182"/>
      <c r="E9" s="3182"/>
      <c r="F9" s="3182"/>
      <c r="G9" s="3182"/>
      <c r="H9" s="3182"/>
      <c r="I9" s="3183"/>
      <c r="J9" s="3175"/>
      <c r="K9" s="3188"/>
      <c r="L9" s="3193"/>
      <c r="M9" s="1089" t="s">
        <v>2</v>
      </c>
    </row>
    <row r="10" spans="1:15" ht="19.5" customHeight="1" thickBot="1">
      <c r="A10" s="1090"/>
      <c r="B10" s="1091" t="s">
        <v>444</v>
      </c>
      <c r="C10" s="3186"/>
      <c r="D10" s="1092" t="s">
        <v>6</v>
      </c>
      <c r="E10" s="1092" t="s">
        <v>206</v>
      </c>
      <c r="F10" s="1092" t="s">
        <v>208</v>
      </c>
      <c r="G10" s="1092" t="s">
        <v>253</v>
      </c>
      <c r="H10" s="1092" t="s">
        <v>254</v>
      </c>
      <c r="I10" s="1093" t="s">
        <v>252</v>
      </c>
      <c r="J10" s="3176"/>
      <c r="K10" s="3188"/>
      <c r="L10" s="3193"/>
      <c r="M10" s="231"/>
      <c r="N10" s="1094"/>
    </row>
    <row r="11" spans="1:15" ht="13.5" customHeight="1" thickBot="1">
      <c r="A11" s="1095">
        <v>1</v>
      </c>
      <c r="B11" s="1096">
        <v>2</v>
      </c>
      <c r="C11" s="1097">
        <v>3</v>
      </c>
      <c r="D11" s="1096">
        <v>4</v>
      </c>
      <c r="E11" s="1098">
        <v>5</v>
      </c>
      <c r="F11" s="1099">
        <v>6</v>
      </c>
      <c r="G11" s="1100">
        <v>7</v>
      </c>
      <c r="H11" s="1096">
        <v>8</v>
      </c>
      <c r="I11" s="1100">
        <v>9</v>
      </c>
      <c r="J11" s="2117">
        <v>10</v>
      </c>
      <c r="K11" s="2323">
        <v>11</v>
      </c>
      <c r="L11" s="1101">
        <v>11</v>
      </c>
      <c r="N11" s="3197" t="s">
        <v>42</v>
      </c>
      <c r="O11" s="3198"/>
    </row>
    <row r="12" spans="1:15" s="1106" customFormat="1" ht="18.75" customHeight="1">
      <c r="A12" s="1102" t="s">
        <v>7</v>
      </c>
      <c r="B12" s="1103">
        <f>+B13+B14</f>
        <v>100304624</v>
      </c>
      <c r="C12" s="1103">
        <f t="shared" ref="C12:D12" si="0">+C13+C14</f>
        <v>275149029</v>
      </c>
      <c r="D12" s="1103">
        <f t="shared" si="0"/>
        <v>589058792</v>
      </c>
      <c r="E12" s="1103">
        <f t="shared" ref="E12:L12" si="1">+E13+E14</f>
        <v>222025076</v>
      </c>
      <c r="F12" s="1103">
        <f t="shared" si="1"/>
        <v>98577883</v>
      </c>
      <c r="G12" s="1103">
        <f t="shared" si="1"/>
        <v>42681799</v>
      </c>
      <c r="H12" s="1103">
        <f t="shared" si="1"/>
        <v>37881641</v>
      </c>
      <c r="I12" s="1103">
        <f t="shared" si="1"/>
        <v>36052136</v>
      </c>
      <c r="J12" s="2118">
        <f>+J13+J14</f>
        <v>1401730980</v>
      </c>
      <c r="K12" s="2324">
        <f>+K13+K14</f>
        <v>1301426356</v>
      </c>
      <c r="L12" s="1104">
        <f t="shared" si="1"/>
        <v>1026277327</v>
      </c>
      <c r="M12" s="2334"/>
      <c r="N12" s="471">
        <f t="shared" ref="N12:N31" si="2">+C12+D12+E12+F12+G12+H12+I12+B12</f>
        <v>1401730980</v>
      </c>
      <c r="O12" s="1105">
        <f>J12-N12</f>
        <v>0</v>
      </c>
    </row>
    <row r="13" spans="1:15" s="1106" customFormat="1" ht="17.25" customHeight="1">
      <c r="A13" s="1107" t="s">
        <v>8</v>
      </c>
      <c r="B13" s="1108">
        <f>+'Tab. 6B Polit społ i rozwój prz'!E8+'Tab. 6D - Oświata'!E11+'Tab. 6A -Drogi'!E9+'Tab. 6E - Administracja'!E10+'Tab. 6G - Roln i ochrona środ.'!E9+'Tab. 6H - Kultura fiz. i turyst'!E8+'Tab.6I - Planow. przestrz.'!E9</f>
        <v>44484437</v>
      </c>
      <c r="C13" s="1108">
        <f>+'Tab. 6B Polit społ i rozwój prz'!F8+'Tab. 6D - Oświata'!F11+'Tab. 6A -Drogi'!F9+'Tab. 6E - Administracja'!F10+'Tab. 6G - Roln i ochrona środ.'!F9+'Tab. 6H - Kultura fiz. i turyst'!F8+'Tab.6I - Planow. przestrz.'!F9</f>
        <v>45901126</v>
      </c>
      <c r="D13" s="1108">
        <f>+'Tab. 6B Polit społ i rozwój prz'!G8+'Tab. 6D - Oświata'!G11+'Tab. 6A -Drogi'!G9+'Tab. 6E - Administracja'!G10+'Tab. 6G - Roln i ochrona środ.'!G9+'Tab. 6H - Kultura fiz. i turyst'!G8+'Tab.6I - Planow. przestrz.'!G9</f>
        <v>74211450</v>
      </c>
      <c r="E13" s="1108">
        <f>+'Tab. 6B Polit społ i rozwój prz'!H8+'Tab. 6D - Oświata'!H11+'Tab. 6A -Drogi'!H9+'Tab. 6E - Administracja'!H10+'Tab. 6G - Roln i ochrona środ.'!H9+'Tab. 6H - Kultura fiz. i turyst'!H8+'Tab.6I - Planow. przestrz.'!H9</f>
        <v>65606492</v>
      </c>
      <c r="F13" s="1108">
        <f>+'Tab. 6B Polit społ i rozwój prz'!I8+'Tab. 6D - Oświata'!I11+'Tab. 6A -Drogi'!I9+'Tab. 6E - Administracja'!I10+'Tab. 6G - Roln i ochrona środ.'!I9+'Tab. 6H - Kultura fiz. i turyst'!I8+'Tab.6I - Planow. przestrz.'!I9</f>
        <v>53348641</v>
      </c>
      <c r="G13" s="1108">
        <f>+'Tab. 6B Polit społ i rozwój prz'!J8+'Tab. 6D - Oświata'!J11+'Tab. 6A -Drogi'!J9+'Tab. 6E - Administracja'!J10+'Tab. 6G - Roln i ochrona środ.'!J9+'Tab. 6H - Kultura fiz. i turyst'!J8+'Tab.6I - Planow. przestrz.'!J9</f>
        <v>42537299</v>
      </c>
      <c r="H13" s="1108">
        <f>+'Tab. 6B Polit społ i rozwój prz'!K8+'Tab. 6D - Oświata'!K11+'Tab. 6A -Drogi'!K9+'Tab. 6E - Administracja'!K10+'Tab. 6G - Roln i ochrona środ.'!K9+'Tab. 6H - Kultura fiz. i turyst'!K8+'Tab.6I - Planow. przestrz.'!K9</f>
        <v>37737141</v>
      </c>
      <c r="I13" s="1108">
        <f>+'Tab. 6B Polit społ i rozwój prz'!L8+'Tab. 6D - Oświata'!L11+'Tab. 6A -Drogi'!L9+'Tab. 6E - Administracja'!L10+'Tab. 6G - Roln i ochrona środ.'!L9+'Tab. 6H - Kultura fiz. i turyst'!L8+'Tab.6I - Planow. przestrz.'!L9</f>
        <v>35907636</v>
      </c>
      <c r="J13" s="2119">
        <f>'Tab. 6A -Drogi'!D9+'Tab. 6B Polit społ i rozwój prz'!D8+'Tab. 6D - Oświata'!D11+'Tab. 6E - Administracja'!D10+'Tab. 6G - Roln i ochrona środ.'!D9+'Tab. 6H - Kultura fiz. i turyst'!D8+'Tab.6I - Planow. przestrz.'!D9</f>
        <v>399734222</v>
      </c>
      <c r="K13" s="2325">
        <f>SUM(C13:I13)</f>
        <v>355249785</v>
      </c>
      <c r="L13" s="1362">
        <f>SUM(D13:I13)</f>
        <v>309348659</v>
      </c>
      <c r="M13" s="456">
        <f>K13-C13-D13-E13-F13-G13-H13-I13</f>
        <v>0</v>
      </c>
      <c r="N13" s="471">
        <f t="shared" si="2"/>
        <v>399734222</v>
      </c>
      <c r="O13" s="472">
        <f>J13-N13</f>
        <v>0</v>
      </c>
    </row>
    <row r="14" spans="1:15" s="1106" customFormat="1" ht="17.25" customHeight="1" thickBot="1">
      <c r="A14" s="1110" t="s">
        <v>9</v>
      </c>
      <c r="B14" s="1111">
        <f>+'Tab. 6D - Oświata'!E12+'Tab. 6A -Drogi'!E10+'Tab. 6E - Administracja'!E11+'Tab. 6G - Roln i ochrona środ.'!E10+'Tab. 6H - Kultura fiz. i turyst'!E9+'Tab. 6B Polit społ i rozwój prz'!E9+'Tab.6I - Planow. przestrz.'!E10</f>
        <v>55820187</v>
      </c>
      <c r="C14" s="1111">
        <f>+'Tab. 6D - Oświata'!F12+'Tab. 6A -Drogi'!F10+'Tab. 6E - Administracja'!F11+'Tab. 6G - Roln i ochrona środ.'!F10+'Tab. 6H - Kultura fiz. i turyst'!F9+'Tab. 6B Polit społ i rozwój prz'!F9+'Tab.6I - Planow. przestrz.'!F10</f>
        <v>229247903</v>
      </c>
      <c r="D14" s="1111">
        <f>+'Tab. 6D - Oświata'!G12+'Tab. 6A -Drogi'!G10+'Tab. 6E - Administracja'!G11+'Tab. 6G - Roln i ochrona środ.'!G10+'Tab. 6H - Kultura fiz. i turyst'!G9+'Tab. 6B Polit społ i rozwój prz'!G9+'Tab.6I - Planow. przestrz.'!G10</f>
        <v>514847342</v>
      </c>
      <c r="E14" s="1111">
        <f>+'Tab. 6D - Oświata'!H12+'Tab. 6A -Drogi'!H10+'Tab. 6E - Administracja'!H11+'Tab. 6G - Roln i ochrona środ.'!H10+'Tab. 6H - Kultura fiz. i turyst'!H9+'Tab. 6B Polit społ i rozwój prz'!H9+'Tab.6I - Planow. przestrz.'!H10</f>
        <v>156418584</v>
      </c>
      <c r="F14" s="1111">
        <f>+'Tab. 6D - Oświata'!I12+'Tab. 6A -Drogi'!I10+'Tab. 6E - Administracja'!I11+'Tab. 6G - Roln i ochrona środ.'!I10+'Tab. 6H - Kultura fiz. i turyst'!I9+'Tab. 6B Polit społ i rozwój prz'!I9+'Tab.6I - Planow. przestrz.'!I10</f>
        <v>45229242</v>
      </c>
      <c r="G14" s="1111">
        <f>+'Tab. 6D - Oświata'!J12+'Tab. 6A -Drogi'!J10+'Tab. 6E - Administracja'!J11+'Tab. 6G - Roln i ochrona środ.'!J10+'Tab. 6H - Kultura fiz. i turyst'!J9+'Tab. 6B Polit społ i rozwój prz'!J9+'Tab.6I - Planow. przestrz.'!J10</f>
        <v>144500</v>
      </c>
      <c r="H14" s="1111">
        <f>+'Tab. 6D - Oświata'!K12+'Tab. 6A -Drogi'!K10+'Tab. 6E - Administracja'!K11+'Tab. 6G - Roln i ochrona środ.'!K10+'Tab. 6H - Kultura fiz. i turyst'!K9+'Tab. 6B Polit społ i rozwój prz'!K9+'Tab.6I - Planow. przestrz.'!K10</f>
        <v>144500</v>
      </c>
      <c r="I14" s="1111">
        <f>+'Tab. 6D - Oświata'!L12+'Tab. 6A -Drogi'!L10+'Tab. 6E - Administracja'!L11+'Tab. 6G - Roln i ochrona środ.'!L10+'Tab. 6H - Kultura fiz. i turyst'!L9+'Tab. 6B Polit społ i rozwój prz'!L9+'Tab.6I - Planow. przestrz.'!L10</f>
        <v>144500</v>
      </c>
      <c r="J14" s="2120">
        <f>'Tab. 6A -Drogi'!D10+'Tab. 6B Polit społ i rozwój prz'!D9+'Tab. 6D - Oświata'!D12+'Tab. 6E - Administracja'!D11+'Tab. 6G - Roln i ochrona środ.'!D10+'Tab. 6H - Kultura fiz. i turyst'!D9+'Tab.6I - Planow. przestrz.'!D10</f>
        <v>1001996758</v>
      </c>
      <c r="K14" s="2326">
        <f>SUM(C14:I14)</f>
        <v>946176571</v>
      </c>
      <c r="L14" s="1363">
        <f>SUM(D14:I14)</f>
        <v>716928668</v>
      </c>
      <c r="M14" s="456">
        <f>K14-C14-D14-E14-F14-G14-H14-I14</f>
        <v>0</v>
      </c>
      <c r="N14" s="471">
        <f t="shared" si="2"/>
        <v>1001996758</v>
      </c>
      <c r="O14" s="472">
        <f>J14-N14</f>
        <v>0</v>
      </c>
    </row>
    <row r="15" spans="1:15" s="473" customFormat="1">
      <c r="A15" s="1112"/>
      <c r="B15" s="1113"/>
      <c r="C15" s="1113"/>
      <c r="D15" s="1113"/>
      <c r="E15" s="1113"/>
      <c r="F15" s="1113"/>
      <c r="G15" s="1113"/>
      <c r="H15" s="1113">
        <v>0</v>
      </c>
      <c r="I15" s="1113"/>
      <c r="J15" s="1113"/>
      <c r="K15" s="2327"/>
      <c r="L15" s="2131"/>
      <c r="M15" s="470"/>
      <c r="N15" s="471">
        <f t="shared" si="2"/>
        <v>0</v>
      </c>
      <c r="O15" s="472">
        <f t="shared" ref="O15:O31" si="3">J15-N15</f>
        <v>0</v>
      </c>
    </row>
    <row r="16" spans="1:15" s="1116" customFormat="1" ht="18" customHeight="1">
      <c r="A16" s="1114" t="s">
        <v>10</v>
      </c>
      <c r="B16" s="1115">
        <f t="shared" ref="B16:L16" si="4">+B17+B26</f>
        <v>100695740.3</v>
      </c>
      <c r="C16" s="1115">
        <f t="shared" si="4"/>
        <v>275538908</v>
      </c>
      <c r="D16" s="1115">
        <f t="shared" si="4"/>
        <v>589520439</v>
      </c>
      <c r="E16" s="1115">
        <f t="shared" si="4"/>
        <v>222119344</v>
      </c>
      <c r="F16" s="1115">
        <f t="shared" si="4"/>
        <v>98655348</v>
      </c>
      <c r="G16" s="1115">
        <f t="shared" si="4"/>
        <v>42745818</v>
      </c>
      <c r="H16" s="1115">
        <f t="shared" si="4"/>
        <v>37945659</v>
      </c>
      <c r="I16" s="1115">
        <f t="shared" si="4"/>
        <v>36116154</v>
      </c>
      <c r="J16" s="2121">
        <f>+J17+J26</f>
        <v>1403337410.3</v>
      </c>
      <c r="K16" s="2328">
        <f t="shared" ref="K16" si="5">+K17+K26</f>
        <v>1301426356</v>
      </c>
      <c r="L16" s="2132">
        <f t="shared" si="4"/>
        <v>1026277327</v>
      </c>
      <c r="M16" s="456"/>
      <c r="N16" s="471">
        <f t="shared" si="2"/>
        <v>1403337410.3</v>
      </c>
      <c r="O16" s="472">
        <f>J16-N16</f>
        <v>0</v>
      </c>
    </row>
    <row r="17" spans="1:15" s="1120" customFormat="1" ht="17.25" customHeight="1">
      <c r="A17" s="1117" t="s">
        <v>11</v>
      </c>
      <c r="B17" s="1118">
        <f t="shared" ref="B17:I17" si="6">SUM(B18:B25)</f>
        <v>26049549.300000001</v>
      </c>
      <c r="C17" s="1118">
        <f t="shared" si="6"/>
        <v>47276375</v>
      </c>
      <c r="D17" s="1118">
        <f t="shared" si="6"/>
        <v>106582949</v>
      </c>
      <c r="E17" s="1118">
        <f>SUM(E18:E25)</f>
        <v>45115999</v>
      </c>
      <c r="F17" s="1118">
        <f t="shared" si="6"/>
        <v>23388924</v>
      </c>
      <c r="G17" s="1118">
        <f>SUM(G18:G25)</f>
        <v>7270041</v>
      </c>
      <c r="H17" s="1118">
        <f>SUM(H18:H25)</f>
        <v>5177432</v>
      </c>
      <c r="I17" s="1118">
        <f t="shared" si="6"/>
        <v>5040508</v>
      </c>
      <c r="J17" s="2122">
        <f>SUM(J18:J25)</f>
        <v>265901777.30000001</v>
      </c>
      <c r="K17" s="2329">
        <f>SUM(K18:K25)</f>
        <v>238636914</v>
      </c>
      <c r="L17" s="1119">
        <f>SUM(L18:L25)</f>
        <v>191750418</v>
      </c>
      <c r="M17" s="456"/>
      <c r="N17" s="471">
        <f t="shared" si="2"/>
        <v>265901777.30000001</v>
      </c>
      <c r="O17" s="472">
        <f t="shared" si="3"/>
        <v>0</v>
      </c>
    </row>
    <row r="18" spans="1:15" s="473" customFormat="1" ht="14.25" customHeight="1">
      <c r="A18" s="1121" t="s">
        <v>12</v>
      </c>
      <c r="B18" s="1122">
        <f>+'Tab. 6B Polit społ i rozwój prz'!E12+'Tab. 6D - Oświata'!E15+'Tab. 6A -Drogi'!E13+'Tab. 6E - Administracja'!E14+'Tab. 6G - Roln i ochrona środ.'!E13+'Tab. 6H - Kultura fiz. i turyst'!E12+'Tab.6I - Planow. przestrz.'!E13+0.3</f>
        <v>11376361.300000001</v>
      </c>
      <c r="C18" s="1122">
        <f>+'Tab. 6B Polit społ i rozwój prz'!F12+'Tab. 6D - Oświata'!F15+'Tab. 6A -Drogi'!F13+'Tab. 6E - Administracja'!F14+'Tab. 6G - Roln i ochrona środ.'!F13+'Tab. 6H - Kultura fiz. i turyst'!F12+'Tab.6I - Planow. przestrz.'!F13</f>
        <v>40051281</v>
      </c>
      <c r="D18" s="1122">
        <f>+'Tab. 6B Polit społ i rozwój prz'!G12+'Tab. 6D - Oświata'!G15+'Tab. 6A -Drogi'!G13+'Tab. 6E - Administracja'!G14+'Tab. 6G - Roln i ochrona środ.'!G13+'Tab. 6H - Kultura fiz. i turyst'!G12+'Tab.6I - Planow. przestrz.'!G13</f>
        <v>93218133</v>
      </c>
      <c r="E18" s="1122">
        <f>+'Tab. 6B Polit społ i rozwój prz'!H12+'Tab. 6D - Oświata'!H15+'Tab. 6A -Drogi'!H13+'Tab. 6E - Administracja'!H14+'Tab. 6G - Roln i ochrona środ.'!H13+'Tab. 6H - Kultura fiz. i turyst'!H12+'Tab.6I - Planow. przestrz.'!H13</f>
        <v>40249090</v>
      </c>
      <c r="F18" s="1122">
        <f>+'Tab. 6B Polit społ i rozwój prz'!I12+'Tab. 6D - Oświata'!I15+'Tab. 6A -Drogi'!I13+'Tab. 6E - Administracja'!I14+'Tab. 6G - Roln i ochrona środ.'!I13+'Tab. 6H - Kultura fiz. i turyst'!I12+'Tab.6I - Planow. przestrz.'!I13</f>
        <v>20301901</v>
      </c>
      <c r="G18" s="1122">
        <f>+'Tab. 6B Polit społ i rozwój prz'!J12+'Tab. 6D - Oświata'!J15+'Tab. 6A -Drogi'!J13+'Tab. 6E - Administracja'!J14+'Tab. 6G - Roln i ochrona środ.'!J13+'Tab. 6H - Kultura fiz. i turyst'!J12+'Tab.6I - Planow. przestrz.'!J13</f>
        <v>6154875</v>
      </c>
      <c r="H18" s="1122">
        <f>+'Tab. 6B Polit społ i rozwój prz'!K12+'Tab. 6D - Oświata'!K15+'Tab. 6A -Drogi'!K13+'Tab. 6E - Administracja'!K14+'Tab. 6G - Roln i ochrona środ.'!K13+'Tab. 6H - Kultura fiz. i turyst'!K12+'Tab.6I - Planow. przestrz.'!K13</f>
        <v>4459602</v>
      </c>
      <c r="I18" s="1122">
        <f>+'Tab. 6B Polit społ i rozwój prz'!L12+'Tab. 6D - Oświata'!L15+'Tab. 6A -Drogi'!L13+'Tab. 6E - Administracja'!L14+'Tab. 6G - Roln i ochrona środ.'!L13+'Tab. 6H - Kultura fiz. i turyst'!L12+'Tab.6I - Planow. przestrz.'!L13</f>
        <v>4414090</v>
      </c>
      <c r="J18" s="2123">
        <f t="shared" ref="J18:J25" si="7">B18+C18+D18+E18+F18+G18+H18+I18</f>
        <v>220225333.30000001</v>
      </c>
      <c r="K18" s="2330">
        <f>SUM(C18:I18)</f>
        <v>208848972</v>
      </c>
      <c r="L18" s="1109">
        <f>SUM(D18:I18)</f>
        <v>168797691</v>
      </c>
      <c r="M18" s="456"/>
      <c r="N18" s="471">
        <f t="shared" si="2"/>
        <v>220225333.30000001</v>
      </c>
      <c r="O18" s="472">
        <f t="shared" si="3"/>
        <v>0</v>
      </c>
    </row>
    <row r="19" spans="1:15" s="473" customFormat="1" ht="15.75" customHeight="1">
      <c r="A19" s="474" t="s">
        <v>13</v>
      </c>
      <c r="B19" s="1122">
        <f>+'Tab. 6B Polit społ i rozwój prz'!E13+'Tab. 6A -Drogi'!E14+'Tab. 6E - Administracja'!E15+'Tab. 6G - Roln i ochrona środ.'!E14+'Tab.6I - Planow. przestrz.'!E14</f>
        <v>2611211</v>
      </c>
      <c r="C19" s="1122">
        <f>+'Tab. 6B Polit społ i rozwój prz'!F13+'Tab. 6A -Drogi'!F14+'Tab. 6E - Administracja'!F15+'Tab. 6G - Roln i ochrona środ.'!F14+'Tab.6I - Planow. przestrz.'!F14</f>
        <v>1771324</v>
      </c>
      <c r="D19" s="1122">
        <f>+'Tab. 6B Polit społ i rozwój prz'!G13+'Tab. 6A -Drogi'!G14+'Tab. 6E - Administracja'!G15+'Tab. 6G - Roln i ochrona środ.'!G14+'Tab.6I - Planow. przestrz.'!G14</f>
        <v>3331313</v>
      </c>
      <c r="E19" s="1122">
        <f>+'Tab. 6B Polit społ i rozwój prz'!H13+'Tab. 6A -Drogi'!H14+'Tab. 6E - Administracja'!H15+'Tab. 6G - Roln i ochrona środ.'!H14+'Tab.6I - Planow. przestrz.'!H14</f>
        <v>3528925</v>
      </c>
      <c r="F19" s="1122">
        <f>+'Tab. 6B Polit społ i rozwój prz'!I13+'Tab. 6A -Drogi'!I14+'Tab. 6E - Administracja'!I15+'Tab. 6G - Roln i ochrona środ.'!I14+'Tab.6I - Planow. przestrz.'!I14</f>
        <v>3009558</v>
      </c>
      <c r="G19" s="1122">
        <f>+'Tab. 6B Polit społ i rozwój prz'!J13+'Tab. 6A -Drogi'!J14+'Tab. 6E - Administracja'!J15+'Tab. 6G - Roln i ochrona środ.'!J14+'Tab.6I - Planow. przestrz.'!J14</f>
        <v>1051147</v>
      </c>
      <c r="H19" s="1122">
        <f>+'Tab. 6B Polit społ i rozwój prz'!K13+'Tab. 6A -Drogi'!K14+'Tab. 6E - Administracja'!K15+'Tab. 6G - Roln i ochrona środ.'!K14+'Tab.6I - Planow. przestrz.'!K14</f>
        <v>653812</v>
      </c>
      <c r="I19" s="1122">
        <f>+'Tab. 6B Polit społ i rozwój prz'!L13+'Tab. 6A -Drogi'!L14+'Tab. 6E - Administracja'!L15+'Tab. 6G - Roln i ochrona środ.'!L14+'Tab.6I - Planow. przestrz.'!L14</f>
        <v>562400</v>
      </c>
      <c r="J19" s="2123">
        <f t="shared" si="7"/>
        <v>16519690</v>
      </c>
      <c r="K19" s="2330">
        <f t="shared" ref="K19:K22" si="8">SUM(C19:I19)</f>
        <v>13908479</v>
      </c>
      <c r="L19" s="1109">
        <f>SUM(D19:I19)</f>
        <v>12137155</v>
      </c>
      <c r="M19" s="456"/>
      <c r="N19" s="471">
        <f t="shared" si="2"/>
        <v>16519690</v>
      </c>
      <c r="O19" s="472">
        <f t="shared" si="3"/>
        <v>0</v>
      </c>
    </row>
    <row r="20" spans="1:15" s="473" customFormat="1" ht="13.5" hidden="1" customHeight="1">
      <c r="A20" s="474" t="s">
        <v>14</v>
      </c>
      <c r="B20" s="1122"/>
      <c r="C20" s="1123"/>
      <c r="D20" s="1123"/>
      <c r="E20" s="1123"/>
      <c r="F20" s="1123"/>
      <c r="G20" s="1123"/>
      <c r="H20" s="1123"/>
      <c r="I20" s="1123"/>
      <c r="J20" s="2123">
        <f t="shared" si="7"/>
        <v>0</v>
      </c>
      <c r="K20" s="2330">
        <f t="shared" si="8"/>
        <v>0</v>
      </c>
      <c r="L20" s="1109">
        <f t="shared" ref="K20:L24" si="9">SUM(D20:I20)</f>
        <v>0</v>
      </c>
      <c r="M20" s="456"/>
      <c r="N20" s="471">
        <f t="shared" si="2"/>
        <v>0</v>
      </c>
      <c r="O20" s="472">
        <f t="shared" si="3"/>
        <v>0</v>
      </c>
    </row>
    <row r="21" spans="1:15" s="473" customFormat="1" ht="15.75" customHeight="1">
      <c r="A21" s="474" t="s">
        <v>15</v>
      </c>
      <c r="B21" s="249">
        <f>+'Tab. 6A -Drogi'!E15+'Tab. 6H - Kultura fiz. i turyst'!E14</f>
        <v>9474831</v>
      </c>
      <c r="C21" s="1122">
        <f>+'Tab. 6A -Drogi'!F15+'Tab. 6H - Kultura fiz. i turyst'!F14</f>
        <v>1739767</v>
      </c>
      <c r="D21" s="1122">
        <f>+'Tab. 6A -Drogi'!G15+'Tab. 6H - Kultura fiz. i turyst'!G14</f>
        <v>5993155</v>
      </c>
      <c r="E21" s="1856">
        <f>+'Tab. 6A -Drogi'!H15+'Tab. 6H - Kultura fiz. i turyst'!H14</f>
        <v>0</v>
      </c>
      <c r="F21" s="1856">
        <f>+'Tab. 6A -Drogi'!I15+'Tab. 6H - Kultura fiz. i turyst'!I14</f>
        <v>0</v>
      </c>
      <c r="G21" s="1856">
        <f>+'Tab. 6A -Drogi'!J15+'Tab. 6H - Kultura fiz. i turyst'!J14</f>
        <v>0</v>
      </c>
      <c r="H21" s="1856">
        <f>+'Tab. 6A -Drogi'!K15+'Tab. 6H - Kultura fiz. i turyst'!K14</f>
        <v>0</v>
      </c>
      <c r="I21" s="1856">
        <f>+'Tab. 6A -Drogi'!L15+'Tab. 6H - Kultura fiz. i turyst'!L14</f>
        <v>0</v>
      </c>
      <c r="J21" s="2123">
        <f t="shared" si="7"/>
        <v>17207753</v>
      </c>
      <c r="K21" s="2330">
        <f t="shared" si="8"/>
        <v>7732922</v>
      </c>
      <c r="L21" s="1109">
        <f>SUM(D21:I21)</f>
        <v>5993155</v>
      </c>
      <c r="M21" s="456"/>
      <c r="N21" s="471">
        <f t="shared" si="2"/>
        <v>17207753</v>
      </c>
      <c r="O21" s="472">
        <f t="shared" si="3"/>
        <v>0</v>
      </c>
    </row>
    <row r="22" spans="1:15" s="473" customFormat="1" ht="15.75" customHeight="1">
      <c r="A22" s="474" t="s">
        <v>16</v>
      </c>
      <c r="B22" s="1125">
        <f>+'Tab. 6A -Drogi'!E16+'Tab. 6G - Roln i ochrona środ.'!E15+'Tab. 6E - Administracja'!E16+'Tab. 6H - Kultura fiz. i turyst'!E13</f>
        <v>2196030</v>
      </c>
      <c r="C22" s="1125">
        <f>+'Tab. 6A -Drogi'!F16+'Tab. 6G - Roln i ochrona środ.'!F15+'Tab. 6E - Administracja'!F16+'Tab. 6H - Kultura fiz. i turyst'!F13</f>
        <v>3324124</v>
      </c>
      <c r="D22" s="1125">
        <f>+'Tab. 6A -Drogi'!G16+'Tab. 6G - Roln i ochrona środ.'!G15+'Tab. 6E - Administracja'!G16+'Tab. 6H - Kultura fiz. i turyst'!G13</f>
        <v>3578701</v>
      </c>
      <c r="E22" s="1125">
        <f>+'Tab. 6A -Drogi'!H16+'Tab. 6G - Roln i ochrona środ.'!H15+'Tab. 6E - Administracja'!H16+'Tab. 6H - Kultura fiz. i turyst'!H13</f>
        <v>1243716</v>
      </c>
      <c r="F22" s="1856">
        <f>+'Tab. 6A -Drogi'!I16+'Tab. 6G - Roln i ochrona środ.'!I15+'Tab. 6E - Administracja'!I16+'Tab. 6H - Kultura fiz. i turyst'!I13</f>
        <v>0</v>
      </c>
      <c r="G22" s="1856">
        <f>+'Tab. 6A -Drogi'!J16+'Tab. 6G - Roln i ochrona środ.'!J15+'Tab. 6E - Administracja'!J16+'Tab. 6H - Kultura fiz. i turyst'!J13</f>
        <v>0</v>
      </c>
      <c r="H22" s="1856">
        <f>+'Tab. 6A -Drogi'!K16+'Tab. 6G - Roln i ochrona środ.'!K15+'Tab. 6E - Administracja'!K16+'Tab. 6H - Kultura fiz. i turyst'!K13</f>
        <v>0</v>
      </c>
      <c r="I22" s="1856">
        <f>+'Tab. 6A -Drogi'!L16+'Tab. 6G - Roln i ochrona środ.'!L15+'Tab. 6E - Administracja'!L16+'Tab. 6H - Kultura fiz. i turyst'!L13</f>
        <v>0</v>
      </c>
      <c r="J22" s="2123">
        <f t="shared" si="7"/>
        <v>10342571</v>
      </c>
      <c r="K22" s="2330">
        <f t="shared" si="8"/>
        <v>8146541</v>
      </c>
      <c r="L22" s="1109">
        <f>SUM(D22:I22)</f>
        <v>4822417</v>
      </c>
      <c r="M22" s="456"/>
      <c r="N22" s="471">
        <f t="shared" si="2"/>
        <v>10342571</v>
      </c>
      <c r="O22" s="472">
        <f t="shared" si="3"/>
        <v>0</v>
      </c>
    </row>
    <row r="23" spans="1:15" s="473" customFormat="1" ht="15.75" hidden="1" customHeight="1">
      <c r="A23" s="474" t="s">
        <v>25</v>
      </c>
      <c r="B23" s="1128"/>
      <c r="C23" s="1129">
        <v>0</v>
      </c>
      <c r="D23" s="1129">
        <v>0</v>
      </c>
      <c r="E23" s="1129">
        <v>0</v>
      </c>
      <c r="F23" s="1129">
        <v>0</v>
      </c>
      <c r="G23" s="1129">
        <f>+'Tab.6I - Planow. przestrz.'!J14</f>
        <v>0</v>
      </c>
      <c r="H23" s="1129"/>
      <c r="I23" s="1129"/>
      <c r="J23" s="2123">
        <f t="shared" si="7"/>
        <v>0</v>
      </c>
      <c r="K23" s="2330">
        <f t="shared" si="9"/>
        <v>0</v>
      </c>
      <c r="L23" s="1109">
        <f t="shared" si="9"/>
        <v>0</v>
      </c>
      <c r="M23" s="456"/>
      <c r="N23" s="471">
        <f t="shared" si="2"/>
        <v>0</v>
      </c>
      <c r="O23" s="472"/>
    </row>
    <row r="24" spans="1:15" s="473" customFormat="1" ht="15.75" hidden="1" customHeight="1">
      <c r="A24" s="474" t="s">
        <v>17</v>
      </c>
      <c r="B24" s="1125">
        <f>+'Tab. 6A -Drogi'!E17</f>
        <v>0</v>
      </c>
      <c r="C24" s="1124">
        <f>+'Tab. 6A -Drogi'!F17</f>
        <v>0</v>
      </c>
      <c r="D24" s="1124">
        <f>+'Tab. 6A -Drogi'!G17</f>
        <v>0</v>
      </c>
      <c r="E24" s="1124">
        <f>+'Tab. 6A -Drogi'!H17</f>
        <v>0</v>
      </c>
      <c r="F24" s="1124">
        <f>+'Tab. 6A -Drogi'!I17</f>
        <v>0</v>
      </c>
      <c r="G24" s="1124">
        <f>+'Tab. 6A -Drogi'!J17</f>
        <v>0</v>
      </c>
      <c r="H24" s="1124">
        <f>+'Tab. 6A -Drogi'!K17</f>
        <v>0</v>
      </c>
      <c r="I24" s="1124">
        <f>+'Tab. 6A -Drogi'!L17</f>
        <v>0</v>
      </c>
      <c r="J24" s="2124">
        <f t="shared" si="7"/>
        <v>0</v>
      </c>
      <c r="K24" s="2331">
        <f t="shared" si="9"/>
        <v>0</v>
      </c>
      <c r="L24" s="1849">
        <f t="shared" si="9"/>
        <v>0</v>
      </c>
      <c r="M24" s="456"/>
      <c r="N24" s="471">
        <f t="shared" si="2"/>
        <v>0</v>
      </c>
      <c r="O24" s="472">
        <f t="shared" si="3"/>
        <v>0</v>
      </c>
    </row>
    <row r="25" spans="1:15" s="473" customFormat="1" ht="15.75" customHeight="1">
      <c r="A25" s="474" t="s">
        <v>32</v>
      </c>
      <c r="B25" s="1127">
        <f>'Tab. 6E - Administracja'!E17</f>
        <v>391116</v>
      </c>
      <c r="C25" s="1127">
        <f>'Tab. 6E - Administracja'!F17</f>
        <v>389879</v>
      </c>
      <c r="D25" s="1127">
        <f>'Tab. 6E - Administracja'!G17</f>
        <v>461647</v>
      </c>
      <c r="E25" s="1127">
        <f>'Tab. 6E - Administracja'!H17</f>
        <v>94268</v>
      </c>
      <c r="F25" s="1127">
        <f>'Tab. 6E - Administracja'!I17</f>
        <v>77465</v>
      </c>
      <c r="G25" s="1127">
        <f>'Tab. 6E - Administracja'!J17</f>
        <v>64019</v>
      </c>
      <c r="H25" s="1127">
        <f>'Tab. 6E - Administracja'!K17</f>
        <v>64018</v>
      </c>
      <c r="I25" s="1127">
        <f>'Tab. 6E - Administracja'!L17</f>
        <v>64018</v>
      </c>
      <c r="J25" s="2123">
        <f t="shared" si="7"/>
        <v>1606430</v>
      </c>
      <c r="K25" s="2332" t="s">
        <v>61</v>
      </c>
      <c r="L25" s="1848" t="s">
        <v>61</v>
      </c>
      <c r="M25" s="456"/>
      <c r="N25" s="471">
        <f t="shared" si="2"/>
        <v>1606430</v>
      </c>
      <c r="O25" s="472">
        <f t="shared" si="3"/>
        <v>0</v>
      </c>
    </row>
    <row r="26" spans="1:15" s="473" customFormat="1" ht="17.25" customHeight="1">
      <c r="A26" s="467" t="s">
        <v>18</v>
      </c>
      <c r="B26" s="468">
        <f t="shared" ref="B26:C26" si="10">SUM(B27:B31)</f>
        <v>74646191</v>
      </c>
      <c r="C26" s="468">
        <f t="shared" si="10"/>
        <v>228262533</v>
      </c>
      <c r="D26" s="468">
        <f t="shared" ref="D26:J26" si="11">SUM(D27:D31)</f>
        <v>482937490</v>
      </c>
      <c r="E26" s="468">
        <f t="shared" si="11"/>
        <v>177003345</v>
      </c>
      <c r="F26" s="468">
        <f t="shared" si="11"/>
        <v>75266424</v>
      </c>
      <c r="G26" s="468">
        <f t="shared" si="11"/>
        <v>35475777</v>
      </c>
      <c r="H26" s="468">
        <f t="shared" si="11"/>
        <v>32768227</v>
      </c>
      <c r="I26" s="468">
        <f t="shared" si="11"/>
        <v>31075646</v>
      </c>
      <c r="J26" s="2125">
        <f t="shared" si="11"/>
        <v>1137435633</v>
      </c>
      <c r="K26" s="2333">
        <f>SUM(K29:K31)</f>
        <v>1062789442</v>
      </c>
      <c r="L26" s="2133">
        <f>SUM(L29:L31)</f>
        <v>834526909</v>
      </c>
      <c r="M26" s="456"/>
      <c r="N26" s="471">
        <f t="shared" si="2"/>
        <v>1137435633</v>
      </c>
      <c r="O26" s="472">
        <f t="shared" si="3"/>
        <v>0</v>
      </c>
    </row>
    <row r="27" spans="1:15" s="473" customFormat="1" ht="15.75" hidden="1" customHeight="1">
      <c r="A27" s="1121" t="s">
        <v>12</v>
      </c>
      <c r="B27" s="1122">
        <f>+'Tab. 6G - Roln i ochrona środ.'!E17</f>
        <v>0</v>
      </c>
      <c r="C27" s="1122">
        <f>+'Tab. 6G - Roln i ochrona środ.'!F17</f>
        <v>0</v>
      </c>
      <c r="D27" s="1122">
        <f>+'Tab. 6G - Roln i ochrona środ.'!G17</f>
        <v>0</v>
      </c>
      <c r="E27" s="1122">
        <f>+'Tab. 6G - Roln i ochrona środ.'!H17</f>
        <v>0</v>
      </c>
      <c r="F27" s="1122">
        <f>+'Tab. 6G - Roln i ochrona środ.'!I17</f>
        <v>0</v>
      </c>
      <c r="G27" s="1122">
        <f>+'Tab. 6G - Roln i ochrona środ.'!J17</f>
        <v>0</v>
      </c>
      <c r="H27" s="1122">
        <f>+'Tab. 6G - Roln i ochrona środ.'!K17</f>
        <v>0</v>
      </c>
      <c r="I27" s="1122">
        <f>+'Tab. 6G - Roln i ochrona środ.'!L17</f>
        <v>0</v>
      </c>
      <c r="J27" s="2123">
        <f>B27+C27+D27+E27+F27+G27+H27+I27</f>
        <v>0</v>
      </c>
      <c r="K27" s="2330">
        <f>SUM(B27:H27)</f>
        <v>0</v>
      </c>
      <c r="L27" s="1109">
        <f>SUM(C27:I27)</f>
        <v>0</v>
      </c>
      <c r="M27" s="456"/>
      <c r="N27" s="471">
        <f t="shared" si="2"/>
        <v>0</v>
      </c>
      <c r="O27" s="472">
        <f t="shared" si="3"/>
        <v>0</v>
      </c>
    </row>
    <row r="28" spans="1:15" s="473" customFormat="1" ht="13.5" hidden="1" customHeight="1">
      <c r="A28" s="1121" t="s">
        <v>19</v>
      </c>
      <c r="B28" s="1122">
        <f>+'Tab. 6A -Drogi'!E21</f>
        <v>0</v>
      </c>
      <c r="C28" s="1122">
        <f>+'Tab. 6A -Drogi'!F21</f>
        <v>0</v>
      </c>
      <c r="D28" s="1122">
        <f>+'Tab. 6A -Drogi'!G21</f>
        <v>0</v>
      </c>
      <c r="E28" s="1122">
        <f>+'Tab. 6A -Drogi'!H21</f>
        <v>0</v>
      </c>
      <c r="F28" s="1122">
        <f>+'Tab. 6A -Drogi'!I21</f>
        <v>0</v>
      </c>
      <c r="G28" s="1122">
        <f>+'Tab. 6A -Drogi'!J21</f>
        <v>0</v>
      </c>
      <c r="H28" s="1122">
        <f>+'Tab. 6A -Drogi'!K21</f>
        <v>0</v>
      </c>
      <c r="I28" s="1122">
        <f>+'Tab. 6A -Drogi'!L21</f>
        <v>0</v>
      </c>
      <c r="J28" s="2123">
        <f>B28+C28+D28+E28+F28+G28+H28+I28</f>
        <v>0</v>
      </c>
      <c r="K28" s="2330">
        <f>SUM(B28:H28)</f>
        <v>0</v>
      </c>
      <c r="L28" s="1109">
        <f>SUM(C28:I28)</f>
        <v>0</v>
      </c>
      <c r="M28" s="456"/>
      <c r="N28" s="471">
        <f t="shared" si="2"/>
        <v>0</v>
      </c>
      <c r="O28" s="472">
        <f t="shared" si="3"/>
        <v>0</v>
      </c>
    </row>
    <row r="29" spans="1:15" s="473" customFormat="1" ht="14.25" customHeight="1">
      <c r="A29" s="474" t="s">
        <v>20</v>
      </c>
      <c r="B29" s="1122">
        <f>+'Tab. 6D - Oświata'!E17+'Tab. 6A -Drogi'!E19+'Tab. 6G - Roln i ochrona środ.'!E20+'Tab.6I - Planow. przestrz.'!E17+'Tab. 6B Polit społ i rozwój prz'!E15</f>
        <v>7849356</v>
      </c>
      <c r="C29" s="1122">
        <f>+'Tab. 6D - Oświata'!F17+'Tab. 6A -Drogi'!F19+'Tab. 6G - Roln i ochrona środ.'!F20+'Tab.6I - Planow. przestrz.'!F17+'Tab. 6B Polit społ i rozwój prz'!F15</f>
        <v>6909726</v>
      </c>
      <c r="D29" s="1122">
        <f>+'Tab. 6D - Oświata'!G17+'Tab. 6A -Drogi'!G19+'Tab. 6G - Roln i ochrona środ.'!G20+'Tab.6I - Planow. przestrz.'!G17+'Tab. 6B Polit społ i rozwój prz'!G15</f>
        <v>11251098</v>
      </c>
      <c r="E29" s="1122">
        <f>+'Tab. 6D - Oświata'!H17+'Tab. 6A -Drogi'!H19+'Tab. 6G - Roln i ochrona środ.'!H20+'Tab.6I - Planow. przestrz.'!H17+'Tab. 6B Polit społ i rozwój prz'!H15</f>
        <v>21196983</v>
      </c>
      <c r="F29" s="1122">
        <f>+'Tab. 6D - Oświata'!I17+'Tab. 6A -Drogi'!I19+'Tab. 6G - Roln i ochrona środ.'!I20+'Tab.6I - Planow. przestrz.'!I17+'Tab. 6B Polit społ i rozwój prz'!I15</f>
        <v>283032</v>
      </c>
      <c r="G29" s="1122">
        <f>+'Tab. 6D - Oświata'!J17+'Tab. 6A -Drogi'!J19+'Tab. 6G - Roln i ochrona środ.'!J20+'Tab.6I - Planow. przestrz.'!J17+'Tab. 6B Polit społ i rozwój prz'!J15</f>
        <v>0</v>
      </c>
      <c r="H29" s="1122">
        <f>+'Tab. 6D - Oświata'!K17+'Tab. 6A -Drogi'!K19+'Tab. 6G - Roln i ochrona środ.'!K20+'Tab.6I - Planow. przestrz.'!K17+'Tab. 6B Polit społ i rozwój prz'!K15</f>
        <v>0</v>
      </c>
      <c r="I29" s="1122">
        <f>+'Tab. 6D - Oświata'!L17+'Tab. 6A -Drogi'!L19+'Tab. 6G - Roln i ochrona środ.'!L20+'Tab.6I - Planow. przestrz.'!L17+'Tab. 6B Polit społ i rozwój prz'!L15</f>
        <v>0</v>
      </c>
      <c r="J29" s="2123">
        <f>B29+C29+D29+E29+F29+G29+H29+I29</f>
        <v>47490195</v>
      </c>
      <c r="K29" s="2330">
        <f t="shared" ref="K29:K31" si="12">SUM(C29:I29)</f>
        <v>39640839</v>
      </c>
      <c r="L29" s="1109">
        <f>SUM(D29:I29)</f>
        <v>32731113</v>
      </c>
      <c r="M29" s="456"/>
      <c r="N29" s="471">
        <f t="shared" si="2"/>
        <v>47490195</v>
      </c>
      <c r="O29" s="472">
        <f t="shared" si="3"/>
        <v>0</v>
      </c>
    </row>
    <row r="30" spans="1:15" s="473" customFormat="1" ht="14.25" hidden="1" customHeight="1">
      <c r="A30" s="474" t="s">
        <v>14</v>
      </c>
      <c r="B30" s="249">
        <f>+'Tab. 6G - Roln i ochrona środ.'!E19</f>
        <v>0</v>
      </c>
      <c r="C30" s="249">
        <f>+'Tab. 6G - Roln i ochrona środ.'!F19</f>
        <v>0</v>
      </c>
      <c r="D30" s="249">
        <f>+'Tab. 6G - Roln i ochrona środ.'!G19</f>
        <v>0</v>
      </c>
      <c r="E30" s="249">
        <f>+'Tab. 6G - Roln i ochrona środ.'!H19</f>
        <v>0</v>
      </c>
      <c r="F30" s="249">
        <f>+'Tab. 6G - Roln i ochrona środ.'!I19</f>
        <v>0</v>
      </c>
      <c r="G30" s="249">
        <f>+'Tab. 6G - Roln i ochrona środ.'!J19</f>
        <v>0</v>
      </c>
      <c r="H30" s="249">
        <f>+'Tab. 6G - Roln i ochrona środ.'!K19</f>
        <v>0</v>
      </c>
      <c r="I30" s="249">
        <f>+'Tab. 6G - Roln i ochrona środ.'!L19</f>
        <v>0</v>
      </c>
      <c r="J30" s="2123">
        <f>B30+C30+D30+E30+F30+G30+H30+I30</f>
        <v>0</v>
      </c>
      <c r="K30" s="2330">
        <f t="shared" si="12"/>
        <v>0</v>
      </c>
      <c r="L30" s="1109">
        <f t="shared" ref="L30" si="13">SUM(D30:I30)</f>
        <v>0</v>
      </c>
      <c r="M30" s="456"/>
      <c r="N30" s="471">
        <f t="shared" si="2"/>
        <v>0</v>
      </c>
      <c r="O30" s="472">
        <f t="shared" si="3"/>
        <v>0</v>
      </c>
    </row>
    <row r="31" spans="1:15" s="473" customFormat="1" ht="14.25" customHeight="1">
      <c r="A31" s="474" t="s">
        <v>21</v>
      </c>
      <c r="B31" s="249">
        <f>+'Tab. 6B Polit społ i rozwój prz'!E16+'Tab. 6A -Drogi'!E20+'Tab. 6E - Administracja'!E19+'Tab. 6G - Roln i ochrona środ.'!E18+'Tab. 6H - Kultura fiz. i turyst'!E16+'Tab.6I - Planow. przestrz.'!E16</f>
        <v>66796835</v>
      </c>
      <c r="C31" s="249">
        <f>+'Tab. 6B Polit społ i rozwój prz'!F16+'Tab. 6A -Drogi'!F20+'Tab. 6E - Administracja'!F19+'Tab. 6G - Roln i ochrona środ.'!F18+'Tab. 6H - Kultura fiz. i turyst'!F16+'Tab.6I - Planow. przestrz.'!F16</f>
        <v>221352807</v>
      </c>
      <c r="D31" s="249">
        <f>+'Tab. 6B Polit społ i rozwój prz'!G16+'Tab. 6A -Drogi'!G20+'Tab. 6E - Administracja'!G19+'Tab. 6G - Roln i ochrona środ.'!G18+'Tab. 6H - Kultura fiz. i turyst'!G16+'Tab.6I - Planow. przestrz.'!G16</f>
        <v>471686392</v>
      </c>
      <c r="E31" s="249">
        <f>+'Tab. 6B Polit społ i rozwój prz'!H16+'Tab. 6A -Drogi'!H20+'Tab. 6E - Administracja'!H19+'Tab. 6G - Roln i ochrona środ.'!H18+'Tab. 6H - Kultura fiz. i turyst'!H16+'Tab.6I - Planow. przestrz.'!H16</f>
        <v>155806362</v>
      </c>
      <c r="F31" s="249">
        <f>+'Tab. 6B Polit społ i rozwój prz'!I16+'Tab. 6A -Drogi'!I20+'Tab. 6E - Administracja'!I19+'Tab. 6G - Roln i ochrona środ.'!I18+'Tab. 6H - Kultura fiz. i turyst'!I16+'Tab.6I - Planow. przestrz.'!I16</f>
        <v>74983392</v>
      </c>
      <c r="G31" s="249">
        <f>+'Tab. 6B Polit społ i rozwój prz'!J16+'Tab. 6A -Drogi'!J20+'Tab. 6E - Administracja'!J19+'Tab. 6G - Roln i ochrona środ.'!J18+'Tab. 6H - Kultura fiz. i turyst'!J16+'Tab.6I - Planow. przestrz.'!J16</f>
        <v>35475777</v>
      </c>
      <c r="H31" s="249">
        <f>+'Tab. 6B Polit społ i rozwój prz'!K16+'Tab. 6A -Drogi'!K20+'Tab. 6E - Administracja'!K19+'Tab. 6G - Roln i ochrona środ.'!K18+'Tab. 6H - Kultura fiz. i turyst'!K16+'Tab.6I - Planow. przestrz.'!K16</f>
        <v>32768227</v>
      </c>
      <c r="I31" s="249">
        <f>+'Tab. 6B Polit społ i rozwój prz'!L16+'Tab. 6A -Drogi'!L20+'Tab. 6E - Administracja'!L19+'Tab. 6G - Roln i ochrona środ.'!L18+'Tab. 6H - Kultura fiz. i turyst'!L16+'Tab.6I - Planow. przestrz.'!L16</f>
        <v>31075646</v>
      </c>
      <c r="J31" s="2123">
        <f>B31+C31+D31+E31+F31+G31+H31+I31</f>
        <v>1089945438</v>
      </c>
      <c r="K31" s="2330">
        <f t="shared" si="12"/>
        <v>1023148603</v>
      </c>
      <c r="L31" s="1109">
        <f>SUM(D31:I31)</f>
        <v>801795796</v>
      </c>
      <c r="M31" s="456"/>
      <c r="N31" s="471">
        <f t="shared" si="2"/>
        <v>1089945438</v>
      </c>
      <c r="O31" s="1105">
        <f t="shared" si="3"/>
        <v>0</v>
      </c>
    </row>
    <row r="32" spans="1:15" s="1130" customFormat="1" ht="15.75" customHeight="1">
      <c r="A32" s="1694" t="s">
        <v>22</v>
      </c>
      <c r="B32" s="1695">
        <f>+B33+B41</f>
        <v>79176360</v>
      </c>
      <c r="C32" s="1695">
        <f t="shared" ref="C32:D32" si="14">+C33+C41</f>
        <v>225073816</v>
      </c>
      <c r="D32" s="1695">
        <f t="shared" si="14"/>
        <v>491114270</v>
      </c>
      <c r="E32" s="1695">
        <f t="shared" ref="E32:I32" si="15">+E33+E41</f>
        <v>183778706</v>
      </c>
      <c r="F32" s="1695">
        <f t="shared" si="15"/>
        <v>89565442</v>
      </c>
      <c r="G32" s="1695">
        <f t="shared" si="15"/>
        <v>40130367</v>
      </c>
      <c r="H32" s="1695">
        <f t="shared" si="15"/>
        <v>33272974</v>
      </c>
      <c r="I32" s="1695">
        <f t="shared" si="15"/>
        <v>31999081</v>
      </c>
      <c r="J32" s="2126">
        <f>+J33+J41</f>
        <v>1181505647</v>
      </c>
      <c r="K32" s="3189" t="s">
        <v>23</v>
      </c>
      <c r="L32" s="3194" t="s">
        <v>23</v>
      </c>
      <c r="M32" s="456"/>
    </row>
    <row r="33" spans="1:15" s="473" customFormat="1" ht="17.25" customHeight="1">
      <c r="A33" s="467" t="s">
        <v>24</v>
      </c>
      <c r="B33" s="1696">
        <f>SUM(B34:B40)</f>
        <v>14251622</v>
      </c>
      <c r="C33" s="1696">
        <f>SUM(C34:C40)</f>
        <v>6812182</v>
      </c>
      <c r="D33" s="1696">
        <f>SUM(D34:D40)</f>
        <v>10459971</v>
      </c>
      <c r="E33" s="1696">
        <f t="shared" ref="E33:I33" si="16">SUM(E34:E40)</f>
        <v>7243018</v>
      </c>
      <c r="F33" s="1696">
        <f t="shared" si="16"/>
        <v>3009558</v>
      </c>
      <c r="G33" s="1696">
        <f t="shared" si="16"/>
        <v>1077451</v>
      </c>
      <c r="H33" s="1696">
        <f t="shared" si="16"/>
        <v>653812</v>
      </c>
      <c r="I33" s="1696">
        <f t="shared" si="16"/>
        <v>562400</v>
      </c>
      <c r="J33" s="2127">
        <f>SUM(J34:J40)</f>
        <v>44070014</v>
      </c>
      <c r="K33" s="3190"/>
      <c r="L33" s="3195"/>
      <c r="M33" s="470" t="s">
        <v>239</v>
      </c>
    </row>
    <row r="34" spans="1:15" s="473" customFormat="1" ht="14.25" customHeight="1">
      <c r="A34" s="1552" t="s">
        <v>13</v>
      </c>
      <c r="B34" s="936">
        <f>+'Tab. 6B Polit społ i rozwój prz'!E19+'Tab. 6A -Drogi'!E24+'Tab. 6E - Administracja'!E22+'Tab. 6G - Roln i ochrona środ.'!E23</f>
        <v>2580761</v>
      </c>
      <c r="C34" s="936">
        <f>+'Tab. 6B Polit społ i rozwój prz'!F19+'Tab. 6A -Drogi'!F24+'Tab. 6E - Administracja'!F22+'Tab. 6G - Roln i ochrona środ.'!F23+'Tab.6I - Planow. przestrz.'!F20</f>
        <v>1748291</v>
      </c>
      <c r="D34" s="936">
        <f>+'Tab. 6B Polit społ i rozwój prz'!G19+'Tab. 6A -Drogi'!G24+'Tab. 6E - Administracja'!G22+'Tab. 6G - Roln i ochrona środ.'!G23+'Tab.6I - Planow. przestrz.'!G20</f>
        <v>3348400</v>
      </c>
      <c r="E34" s="936">
        <f>+'Tab. 6B Polit społ i rozwój prz'!H19+'Tab. 6A -Drogi'!H24+'Tab. 6E - Administracja'!H22+'Tab. 6G - Roln i ochrona środ.'!H23+'Tab.6I - Planow. przestrz.'!H20</f>
        <v>3539017</v>
      </c>
      <c r="F34" s="936">
        <f>+'Tab. 6B Polit społ i rozwój prz'!I19+'Tab. 6A -Drogi'!I24+'Tab. 6E - Administracja'!I22+'Tab. 6G - Roln i ochrona środ.'!I23+'Tab.6I - Planow. przestrz.'!I20</f>
        <v>3009558</v>
      </c>
      <c r="G34" s="936">
        <f>+'Tab. 6B Polit społ i rozwój prz'!J19+'Tab. 6A -Drogi'!J24+'Tab. 6E - Administracja'!J22+'Tab. 6G - Roln i ochrona środ.'!J23+'Tab.6I - Planow. przestrz.'!J20</f>
        <v>1077451</v>
      </c>
      <c r="H34" s="936">
        <f>+'Tab. 6B Polit społ i rozwój prz'!K19+'Tab. 6A -Drogi'!K24+'Tab. 6E - Administracja'!K22+'Tab. 6G - Roln i ochrona środ.'!K23+'Tab.6I - Planow. przestrz.'!K20</f>
        <v>653812</v>
      </c>
      <c r="I34" s="936">
        <f>+'Tab. 6B Polit społ i rozwój prz'!L19+'Tab. 6A -Drogi'!L24+'Tab. 6E - Administracja'!L22+'Tab. 6G - Roln i ochrona środ.'!L23+'Tab.6I - Planow. przestrz.'!L20</f>
        <v>562400</v>
      </c>
      <c r="J34" s="2123">
        <f t="shared" ref="J34:J40" si="17">B34+C34+D34+E34+F34+G34+H34+I34</f>
        <v>16519690</v>
      </c>
      <c r="K34" s="3190"/>
      <c r="L34" s="3195"/>
      <c r="M34" s="2576">
        <f>J19-J34</f>
        <v>0</v>
      </c>
    </row>
    <row r="35" spans="1:15" s="473" customFormat="1" hidden="1">
      <c r="A35" s="1552" t="s">
        <v>25</v>
      </c>
      <c r="B35" s="936"/>
      <c r="C35" s="936">
        <v>0</v>
      </c>
      <c r="D35" s="936">
        <v>0</v>
      </c>
      <c r="E35" s="936">
        <v>0</v>
      </c>
      <c r="F35" s="936">
        <v>0</v>
      </c>
      <c r="G35" s="936">
        <v>0</v>
      </c>
      <c r="H35" s="1131">
        <f>+'Tab. 6G - Roln i ochrona środ.'!K26</f>
        <v>0</v>
      </c>
      <c r="I35" s="1131">
        <f>+'Tab. 6G - Roln i ochrona środ.'!L26</f>
        <v>0</v>
      </c>
      <c r="J35" s="2123">
        <f t="shared" si="17"/>
        <v>0</v>
      </c>
      <c r="K35" s="3190"/>
      <c r="L35" s="3195"/>
      <c r="M35" s="470"/>
    </row>
    <row r="36" spans="1:15" s="473" customFormat="1" ht="14.25" hidden="1" customHeight="1">
      <c r="A36" s="1552" t="s">
        <v>14</v>
      </c>
      <c r="B36" s="936">
        <f>+'Tab. 6G - Roln i ochrona środ.'!E24</f>
        <v>0</v>
      </c>
      <c r="C36" s="936">
        <f>+'Tab. 6G - Roln i ochrona środ.'!F24</f>
        <v>0</v>
      </c>
      <c r="D36" s="936">
        <f>+'Tab. 6G - Roln i ochrona środ.'!G24</f>
        <v>0</v>
      </c>
      <c r="E36" s="936">
        <f>+'Tab. 6G - Roln i ochrona środ.'!H24</f>
        <v>0</v>
      </c>
      <c r="F36" s="936">
        <f>+'Tab. 6G - Roln i ochrona środ.'!I24</f>
        <v>0</v>
      </c>
      <c r="G36" s="936">
        <f>+'Tab. 6G - Roln i ochrona środ.'!J24</f>
        <v>0</v>
      </c>
      <c r="H36" s="936">
        <f>+'Tab. 6G - Roln i ochrona środ.'!K24</f>
        <v>0</v>
      </c>
      <c r="I36" s="936">
        <f>+'Tab. 6G - Roln i ochrona środ.'!L24</f>
        <v>0</v>
      </c>
      <c r="J36" s="2123">
        <f t="shared" si="17"/>
        <v>0</v>
      </c>
      <c r="K36" s="3190"/>
      <c r="L36" s="3195"/>
      <c r="M36" s="470">
        <f>J36-J20</f>
        <v>0</v>
      </c>
    </row>
    <row r="37" spans="1:15" s="473" customFormat="1" ht="14.25" customHeight="1">
      <c r="A37" s="1552" t="s">
        <v>15</v>
      </c>
      <c r="B37" s="1122">
        <f>+'Tab. 6A -Drogi'!E25+'Tab. 6H - Kultura fiz. i turyst'!E21</f>
        <v>9474831</v>
      </c>
      <c r="C37" s="1122">
        <f>+'Tab. 6A -Drogi'!F25+'Tab. 6H - Kultura fiz. i turyst'!F21</f>
        <v>1739767</v>
      </c>
      <c r="D37" s="1122">
        <f>+'Tab. 6A -Drogi'!G25+'Tab. 6H - Kultura fiz. i turyst'!G21</f>
        <v>5993155</v>
      </c>
      <c r="E37" s="1857">
        <f>+'Tab. 6A -Drogi'!H25+'Tab. 6H - Kultura fiz. i turyst'!H21</f>
        <v>0</v>
      </c>
      <c r="F37" s="1857">
        <f>+'Tab. 6A -Drogi'!I25+'Tab. 6H - Kultura fiz. i turyst'!I21</f>
        <v>0</v>
      </c>
      <c r="G37" s="1857">
        <f>+'Tab. 6A -Drogi'!J25+'Tab. 6H - Kultura fiz. i turyst'!J21</f>
        <v>0</v>
      </c>
      <c r="H37" s="1857">
        <f>+'Tab. 6A -Drogi'!K25+'Tab. 6H - Kultura fiz. i turyst'!K21</f>
        <v>0</v>
      </c>
      <c r="I37" s="1857">
        <f>+'Tab. 6A -Drogi'!L25+'Tab. 6G - Roln i ochrona środ.'!L24+'Tab. 6E - Administracja'!L22+'Tab. 6H - Kultura fiz. i turyst'!L19</f>
        <v>0</v>
      </c>
      <c r="J37" s="2123">
        <f t="shared" si="17"/>
        <v>17207753</v>
      </c>
      <c r="K37" s="3190"/>
      <c r="L37" s="3195"/>
      <c r="M37" s="470">
        <f>J37-J21</f>
        <v>0</v>
      </c>
      <c r="N37" s="1132"/>
    </row>
    <row r="38" spans="1:15" s="473" customFormat="1">
      <c r="A38" s="1552" t="s">
        <v>16</v>
      </c>
      <c r="B38" s="1697">
        <f>+'Tab. 6A -Drogi'!E26+'Tab. 6G - Roln i ochrona środ.'!E25+'Tab. 6E - Administracja'!E23+'Tab. 6H - Kultura fiz. i turyst'!E20</f>
        <v>2196030</v>
      </c>
      <c r="C38" s="1697">
        <f>+'Tab. 6A -Drogi'!F26+'Tab. 6G - Roln i ochrona środ.'!F25+'Tab. 6E - Administracja'!F23+'Tab. 6H - Kultura fiz. i turyst'!F20</f>
        <v>3324124</v>
      </c>
      <c r="D38" s="1697">
        <f>+'Tab. 6A -Drogi'!G26+'Tab. 6G - Roln i ochrona środ.'!G25+'Tab. 6E - Administracja'!G23+'Tab. 6H - Kultura fiz. i turyst'!G20</f>
        <v>1118416</v>
      </c>
      <c r="E38" s="1697">
        <f>+'Tab. 6A -Drogi'!H26+'Tab. 6G - Roln i ochrona środ.'!H25+'Tab. 6E - Administracja'!H23+'Tab. 6H - Kultura fiz. i turyst'!H20</f>
        <v>3704001</v>
      </c>
      <c r="F38" s="1857">
        <f>+'Tab. 6A -Drogi'!I26+'Tab. 6G - Roln i ochrona środ.'!I25+'Tab. 6E - Administracja'!I23+'Tab. 6H - Kultura fiz. i turyst'!I20</f>
        <v>0</v>
      </c>
      <c r="G38" s="1857">
        <f>+'Tab. 6A -Drogi'!J26+'Tab. 6G - Roln i ochrona środ.'!J25+'Tab. 6E - Administracja'!J23+'Tab. 6H - Kultura fiz. i turyst'!J20</f>
        <v>0</v>
      </c>
      <c r="H38" s="1857">
        <f>+'Tab. 6A -Drogi'!K26+'Tab. 6G - Roln i ochrona środ.'!K25+'Tab. 6E - Administracja'!K23+'Tab. 6H - Kultura fiz. i turyst'!K20</f>
        <v>0</v>
      </c>
      <c r="I38" s="1857">
        <f>+'Tab. 6A -Drogi'!L26+'Tab. 6G - Roln i ochrona środ.'!L25+'Tab. 6E - Administracja'!L23+'Tab. 6H - Kultura fiz. i turyst'!L20</f>
        <v>0</v>
      </c>
      <c r="J38" s="2123">
        <f t="shared" si="17"/>
        <v>10342571</v>
      </c>
      <c r="K38" s="3190"/>
      <c r="L38" s="3195"/>
      <c r="M38" s="470">
        <f>J38-J22</f>
        <v>0</v>
      </c>
    </row>
    <row r="39" spans="1:15" s="473" customFormat="1" ht="15" hidden="1" customHeight="1">
      <c r="A39" s="1552" t="s">
        <v>17</v>
      </c>
      <c r="B39" s="1122">
        <f>+'Tab. 6A -Drogi'!E27</f>
        <v>0</v>
      </c>
      <c r="C39" s="1123">
        <f>+'Tab. 6A -Drogi'!F27</f>
        <v>0</v>
      </c>
      <c r="D39" s="1123">
        <f>+'Tab. 6A -Drogi'!G27</f>
        <v>0</v>
      </c>
      <c r="E39" s="1123">
        <f>+'Tab. 6A -Drogi'!H27</f>
        <v>0</v>
      </c>
      <c r="F39" s="1123">
        <f>+'Tab. 6A -Drogi'!I27</f>
        <v>0</v>
      </c>
      <c r="G39" s="1123">
        <f>+'Tab. 6A -Drogi'!J27</f>
        <v>0</v>
      </c>
      <c r="H39" s="1123">
        <f>+'Tab. 6A -Drogi'!K27</f>
        <v>0</v>
      </c>
      <c r="I39" s="1123">
        <f>+'Tab. 6A -Drogi'!L27</f>
        <v>0</v>
      </c>
      <c r="J39" s="2123">
        <f t="shared" si="17"/>
        <v>0</v>
      </c>
      <c r="K39" s="3190"/>
      <c r="L39" s="3195"/>
      <c r="M39" s="470">
        <f>J39-J24</f>
        <v>0</v>
      </c>
    </row>
    <row r="40" spans="1:15" s="473" customFormat="1" ht="25.5" hidden="1" customHeight="1">
      <c r="A40" s="1121" t="s">
        <v>26</v>
      </c>
      <c r="B40" s="1127">
        <f>+'Tab. 6A -Drogi'!E28</f>
        <v>0</v>
      </c>
      <c r="C40" s="1126">
        <f>+'Tab. 6A -Drogi'!F28</f>
        <v>0</v>
      </c>
      <c r="D40" s="1126">
        <f>+'Tab. 6A -Drogi'!G28</f>
        <v>0</v>
      </c>
      <c r="E40" s="1126">
        <f>+'Tab. 6A -Drogi'!H28</f>
        <v>0</v>
      </c>
      <c r="F40" s="1126">
        <f>+'Tab. 6A -Drogi'!I28</f>
        <v>0</v>
      </c>
      <c r="G40" s="1126">
        <f>+'Tab. 6A -Drogi'!J28</f>
        <v>0</v>
      </c>
      <c r="H40" s="1126">
        <f>+'Tab. 6A -Drogi'!K28</f>
        <v>0</v>
      </c>
      <c r="I40" s="1126">
        <f>+'Tab. 6A -Drogi'!L28</f>
        <v>0</v>
      </c>
      <c r="J40" s="2123">
        <f t="shared" si="17"/>
        <v>0</v>
      </c>
      <c r="K40" s="3190"/>
      <c r="L40" s="3195"/>
      <c r="M40" s="470"/>
    </row>
    <row r="41" spans="1:15" s="473" customFormat="1" ht="16.5" customHeight="1">
      <c r="A41" s="467" t="s">
        <v>18</v>
      </c>
      <c r="B41" s="1698">
        <f t="shared" ref="B41:C41" si="18">SUM(B42:B46)</f>
        <v>64924738</v>
      </c>
      <c r="C41" s="1698">
        <f t="shared" si="18"/>
        <v>218261634</v>
      </c>
      <c r="D41" s="1698">
        <f t="shared" ref="D41:I41" si="19">SUM(D42:D46)</f>
        <v>480654299</v>
      </c>
      <c r="E41" s="1698">
        <f t="shared" si="19"/>
        <v>176535688</v>
      </c>
      <c r="F41" s="1698">
        <f t="shared" si="19"/>
        <v>86555884</v>
      </c>
      <c r="G41" s="1698">
        <f t="shared" si="19"/>
        <v>39052916</v>
      </c>
      <c r="H41" s="1698">
        <f t="shared" si="19"/>
        <v>32619162</v>
      </c>
      <c r="I41" s="1698">
        <f t="shared" si="19"/>
        <v>31436681</v>
      </c>
      <c r="J41" s="2127">
        <f>SUM(J42:J46)</f>
        <v>1137435633</v>
      </c>
      <c r="K41" s="3190"/>
      <c r="L41" s="3195"/>
      <c r="M41" s="470"/>
    </row>
    <row r="42" spans="1:15" s="473" customFormat="1" ht="15.75" hidden="1" customHeight="1">
      <c r="A42" s="1699" t="s">
        <v>17</v>
      </c>
      <c r="B42" s="1133"/>
      <c r="C42" s="1122"/>
      <c r="D42" s="1122"/>
      <c r="E42" s="1122"/>
      <c r="F42" s="1122"/>
      <c r="G42" s="1122"/>
      <c r="H42" s="1122"/>
      <c r="I42" s="1122"/>
      <c r="J42" s="2123">
        <f>B42+C42+D42+E42+F42+G42+H42+I42</f>
        <v>0</v>
      </c>
      <c r="K42" s="3190"/>
      <c r="L42" s="3195"/>
      <c r="M42" s="470"/>
    </row>
    <row r="43" spans="1:15" s="473" customFormat="1" ht="14.25" hidden="1" customHeight="1">
      <c r="A43" s="1552" t="s">
        <v>19</v>
      </c>
      <c r="B43" s="1122">
        <f>+'Tab. 6A -Drogi'!E33</f>
        <v>0</v>
      </c>
      <c r="C43" s="1122">
        <f>+'Tab. 6A -Drogi'!F33</f>
        <v>0</v>
      </c>
      <c r="D43" s="1122">
        <f>+'Tab. 6A -Drogi'!G33</f>
        <v>0</v>
      </c>
      <c r="E43" s="1122">
        <f>+'Tab. 6A -Drogi'!H33</f>
        <v>0</v>
      </c>
      <c r="F43" s="1122">
        <f>+'Tab. 6A -Drogi'!I33</f>
        <v>0</v>
      </c>
      <c r="G43" s="1122">
        <f>+'Tab. 6A -Drogi'!J33</f>
        <v>0</v>
      </c>
      <c r="H43" s="1122">
        <f>+'Tab. 6A -Drogi'!K33</f>
        <v>0</v>
      </c>
      <c r="I43" s="1122">
        <f>+'Tab. 6A -Drogi'!L33</f>
        <v>0</v>
      </c>
      <c r="J43" s="2123">
        <f>B43+C43+D43+E43+F43+G43+H43+I43</f>
        <v>0</v>
      </c>
      <c r="K43" s="3190"/>
      <c r="L43" s="3195"/>
      <c r="M43" s="470">
        <f>J43-J28</f>
        <v>0</v>
      </c>
    </row>
    <row r="44" spans="1:15" s="473" customFormat="1" ht="15.75" hidden="1" customHeight="1">
      <c r="A44" s="1552" t="s">
        <v>14</v>
      </c>
      <c r="B44" s="1122">
        <f>+'Tab. 6G - Roln i ochrona środ.'!E30</f>
        <v>0</v>
      </c>
      <c r="C44" s="1122">
        <f>+'Tab. 6G - Roln i ochrona środ.'!F30</f>
        <v>0</v>
      </c>
      <c r="D44" s="1122">
        <f>+'Tab. 6G - Roln i ochrona środ.'!G30</f>
        <v>0</v>
      </c>
      <c r="E44" s="1122">
        <f>+'Tab. 6G - Roln i ochrona środ.'!H30</f>
        <v>0</v>
      </c>
      <c r="F44" s="1122">
        <f>+'Tab. 6G - Roln i ochrona środ.'!I30</f>
        <v>0</v>
      </c>
      <c r="G44" s="1122">
        <f>+'Tab. 6G - Roln i ochrona środ.'!J30</f>
        <v>0</v>
      </c>
      <c r="H44" s="1122">
        <f>+'Tab. 6G - Roln i ochrona środ.'!K30</f>
        <v>0</v>
      </c>
      <c r="I44" s="1122">
        <f>+'Tab. 6G - Roln i ochrona środ.'!L30</f>
        <v>0</v>
      </c>
      <c r="J44" s="2123">
        <f>B44+C44+D44+E44+F44+G44+H44+I44</f>
        <v>0</v>
      </c>
      <c r="K44" s="3190"/>
      <c r="L44" s="3195"/>
      <c r="M44" s="470">
        <f>J44-J30</f>
        <v>0</v>
      </c>
    </row>
    <row r="45" spans="1:15" s="473" customFormat="1" ht="14.25" customHeight="1">
      <c r="A45" s="1552" t="s">
        <v>20</v>
      </c>
      <c r="B45" s="1700">
        <f>+'Tab. 6A -Drogi'!E31+'Tab. 6G - Roln i ochrona środ.'!E31+'Tab. 6D - Oświata'!E20+'Tab.6I - Planow. przestrz.'!E23+'Tab. 6B Polit społ i rozwój prz'!E21</f>
        <v>9393236</v>
      </c>
      <c r="C45" s="1700">
        <f>+'Tab. 6A -Drogi'!F31+'Tab. 6G - Roln i ochrona środ.'!F31+'Tab. 6D - Oświata'!F20+'Tab.6I - Planow. przestrz.'!F23+'Tab. 6B Polit społ i rozwój prz'!F21</f>
        <v>616458</v>
      </c>
      <c r="D45" s="1700">
        <f>+'Tab. 6A -Drogi'!G31+'Tab. 6G - Roln i ochrona środ.'!G31+'Tab. 6D - Oświata'!G20+'Tab.6I - Planow. przestrz.'!G23+'Tab. 6B Polit społ i rozwój prz'!G21</f>
        <v>8747368</v>
      </c>
      <c r="E45" s="1700">
        <f>+'Tab. 6A -Drogi'!H31+'Tab. 6G - Roln i ochrona środ.'!H31+'Tab. 6D - Oświata'!H20+'Tab.6I - Planow. przestrz.'!H23+'Tab. 6B Polit społ i rozwój prz'!H21</f>
        <v>19051237</v>
      </c>
      <c r="F45" s="1700">
        <f>+'Tab. 6A -Drogi'!I31+'Tab. 6G - Roln i ochrona środ.'!I31+'Tab. 6D - Oświata'!I20+'Tab.6I - Planow. przestrz.'!I23+'Tab. 6B Polit społ i rozwój prz'!I21</f>
        <v>9565714</v>
      </c>
      <c r="G45" s="1700">
        <f>+'Tab. 6A -Drogi'!J31+'Tab. 6G - Roln i ochrona środ.'!J31+'Tab. 6D - Oświata'!J20+'Tab.6I - Planow. przestrz.'!J23+'Tab. 6B Polit społ i rozwój prz'!J21</f>
        <v>116182</v>
      </c>
      <c r="H45" s="1700">
        <f>+'Tab. 6A -Drogi'!K31+'Tab. 6G - Roln i ochrona środ.'!K31+'Tab. 6D - Oświata'!K20+'Tab.6I - Planow. przestrz.'!K23+'Tab. 6B Polit społ i rozwój prz'!K21</f>
        <v>0</v>
      </c>
      <c r="I45" s="1700">
        <f>+'Tab. 6A -Drogi'!L31+'Tab. 6G - Roln i ochrona środ.'!L31+'Tab. 6D - Oświata'!L20+'Tab.6I - Planow. przestrz.'!L23+'Tab. 6B Polit społ i rozwój prz'!L21</f>
        <v>0</v>
      </c>
      <c r="J45" s="2123">
        <f>B45+C45+D45+E45+F45+G45+H45+I45</f>
        <v>47490195</v>
      </c>
      <c r="K45" s="3190"/>
      <c r="L45" s="3195"/>
      <c r="M45" s="2576">
        <f>J45-J29-J27</f>
        <v>0</v>
      </c>
      <c r="N45" s="2577" t="s">
        <v>411</v>
      </c>
    </row>
    <row r="46" spans="1:15" s="473" customFormat="1" ht="15.75" customHeight="1" thickBot="1">
      <c r="A46" s="1154" t="s">
        <v>21</v>
      </c>
      <c r="B46" s="1701">
        <f>+'Tab. 6B Polit społ i rozwój prz'!E22+'Tab. 6A -Drogi'!E32+'Tab. 6E - Administracja'!E25+'Tab. 6G - Roln i ochrona środ.'!E29+'Tab. 6H - Kultura fiz. i turyst'!E23+'Tab.6I - Planow. przestrz.'!E22</f>
        <v>55531502</v>
      </c>
      <c r="C46" s="1702">
        <f>+'Tab. 6B Polit społ i rozwój prz'!F22+'Tab. 6A -Drogi'!F32+'Tab. 6E - Administracja'!F25+'Tab. 6G - Roln i ochrona środ.'!F29+'Tab. 6H - Kultura fiz. i turyst'!F23+'Tab.6I - Planow. przestrz.'!F22</f>
        <v>217645176</v>
      </c>
      <c r="D46" s="1702">
        <f>+'Tab. 6B Polit społ i rozwój prz'!G22+'Tab. 6A -Drogi'!G32+'Tab. 6E - Administracja'!G25+'Tab. 6G - Roln i ochrona środ.'!G29+'Tab. 6H - Kultura fiz. i turyst'!G23+'Tab.6I - Planow. przestrz.'!G22</f>
        <v>471906931</v>
      </c>
      <c r="E46" s="1702">
        <f>+'Tab. 6B Polit społ i rozwój prz'!H22+'Tab. 6A -Drogi'!H32+'Tab. 6E - Administracja'!H25+'Tab. 6G - Roln i ochrona środ.'!H29+'Tab. 6H - Kultura fiz. i turyst'!H23+'Tab.6I - Planow. przestrz.'!H22</f>
        <v>157484451</v>
      </c>
      <c r="F46" s="1702">
        <f>+'Tab. 6B Polit społ i rozwój prz'!I22+'Tab. 6A -Drogi'!I32+'Tab. 6E - Administracja'!I25+'Tab. 6G - Roln i ochrona środ.'!I29+'Tab. 6H - Kultura fiz. i turyst'!I23+'Tab.6I - Planow. przestrz.'!I22</f>
        <v>76990170</v>
      </c>
      <c r="G46" s="1702">
        <f>+'Tab. 6B Polit społ i rozwój prz'!J22+'Tab. 6A -Drogi'!J32+'Tab. 6E - Administracja'!J25+'Tab. 6G - Roln i ochrona środ.'!J29+'Tab. 6H - Kultura fiz. i turyst'!J23+'Tab.6I - Planow. przestrz.'!J22</f>
        <v>38936734</v>
      </c>
      <c r="H46" s="1702">
        <f>+'Tab. 6B Polit społ i rozwój prz'!K22+'Tab. 6A -Drogi'!K32+'Tab. 6E - Administracja'!K25+'Tab. 6G - Roln i ochrona środ.'!K29+'Tab. 6H - Kultura fiz. i turyst'!K23+'Tab.6I - Planow. przestrz.'!K22</f>
        <v>32619162</v>
      </c>
      <c r="I46" s="1702">
        <f>+'Tab. 6B Polit społ i rozwój prz'!L22+'Tab. 6A -Drogi'!L32+'Tab. 6E - Administracja'!L25+'Tab. 6G - Roln i ochrona środ.'!L29+'Tab. 6H - Kultura fiz. i turyst'!L23+'Tab.6I - Planow. przestrz.'!L22</f>
        <v>31436681</v>
      </c>
      <c r="J46" s="2128">
        <f>B46+C46+D46+E46+F46+G46+H46+I46+5028154+11590+2055406+299481</f>
        <v>1089945438</v>
      </c>
      <c r="K46" s="3191"/>
      <c r="L46" s="3196"/>
      <c r="M46" s="470">
        <f>J46-J31</f>
        <v>0</v>
      </c>
      <c r="N46" s="1132"/>
    </row>
    <row r="47" spans="1:15" s="473" customFormat="1" ht="21" customHeight="1" thickBot="1">
      <c r="A47" s="1112"/>
      <c r="B47" s="1113"/>
      <c r="C47" s="1113"/>
      <c r="D47" s="1113"/>
      <c r="E47" s="1113"/>
      <c r="F47" s="1113"/>
      <c r="G47" s="1113"/>
      <c r="H47" s="1113"/>
      <c r="I47" s="1113"/>
      <c r="J47" s="1113"/>
      <c r="K47" s="1136"/>
      <c r="L47" s="1136"/>
      <c r="M47" s="470"/>
    </row>
    <row r="48" spans="1:15" s="1116" customFormat="1" ht="18.75" customHeight="1" thickBot="1">
      <c r="A48" s="1137" t="s">
        <v>27</v>
      </c>
      <c r="B48" s="1138">
        <f>+B16-B25</f>
        <v>100304624.3</v>
      </c>
      <c r="C48" s="1138">
        <f t="shared" ref="C48:I48" si="20">+C16-C25</f>
        <v>275149029</v>
      </c>
      <c r="D48" s="1138">
        <f t="shared" si="20"/>
        <v>589058792</v>
      </c>
      <c r="E48" s="1138">
        <f t="shared" si="20"/>
        <v>222025076</v>
      </c>
      <c r="F48" s="1138">
        <f t="shared" si="20"/>
        <v>98577883</v>
      </c>
      <c r="G48" s="1138">
        <f t="shared" si="20"/>
        <v>42681799</v>
      </c>
      <c r="H48" s="1138">
        <f t="shared" si="20"/>
        <v>37881641</v>
      </c>
      <c r="I48" s="1138">
        <f t="shared" si="20"/>
        <v>36052136</v>
      </c>
      <c r="J48" s="2129">
        <f>+J16-J25</f>
        <v>1401730980.3</v>
      </c>
      <c r="K48" s="2134">
        <f>+C48+D48+E48+F48+G48+H48+I48</f>
        <v>1301426356</v>
      </c>
      <c r="L48" s="1139">
        <f>+D48+E48+F48+G48+H48+I48</f>
        <v>1026277327</v>
      </c>
      <c r="M48" s="1140">
        <f>B48+C48+D48+E48+F48+G48+H48+I48</f>
        <v>1401730980.3</v>
      </c>
      <c r="N48" s="1141">
        <f>M48-J48</f>
        <v>0</v>
      </c>
      <c r="O48" s="1141"/>
    </row>
    <row r="49" spans="1:15" s="1116" customFormat="1" ht="16.5" customHeight="1" thickBot="1">
      <c r="A49" s="1137" t="s">
        <v>28</v>
      </c>
      <c r="B49" s="1142">
        <f>+B32</f>
        <v>79176360</v>
      </c>
      <c r="C49" s="1142">
        <f>+C32</f>
        <v>225073816</v>
      </c>
      <c r="D49" s="1142">
        <f>+D32</f>
        <v>491114270</v>
      </c>
      <c r="E49" s="1142">
        <f t="shared" ref="E49:I49" si="21">+E32</f>
        <v>183778706</v>
      </c>
      <c r="F49" s="1142">
        <f t="shared" si="21"/>
        <v>89565442</v>
      </c>
      <c r="G49" s="1142">
        <f t="shared" si="21"/>
        <v>40130367</v>
      </c>
      <c r="H49" s="1142">
        <f t="shared" si="21"/>
        <v>33272974</v>
      </c>
      <c r="I49" s="1142">
        <f t="shared" si="21"/>
        <v>31999081</v>
      </c>
      <c r="J49" s="2130">
        <f>+J32</f>
        <v>1181505647</v>
      </c>
      <c r="K49" s="2135" t="s">
        <v>23</v>
      </c>
      <c r="L49" s="1143" t="s">
        <v>23</v>
      </c>
      <c r="M49" s="1140">
        <v>105067692</v>
      </c>
      <c r="N49" s="1141" t="s">
        <v>251</v>
      </c>
    </row>
    <row r="50" spans="1:15" s="473" customFormat="1" ht="18.75" hidden="1" customHeight="1">
      <c r="A50" s="1144"/>
      <c r="B50" s="1113">
        <f>'Tab. 6A -Drogi'!E16+'Tab. 6E - Administracja'!E16+'Tab. 6G - Roln i ochrona środ.'!E15</f>
        <v>2196030</v>
      </c>
      <c r="C50" s="1113"/>
      <c r="D50" s="1113"/>
      <c r="E50" s="1113"/>
      <c r="F50" s="1113"/>
      <c r="G50" s="1113"/>
      <c r="H50" s="1113"/>
      <c r="I50" s="1113"/>
      <c r="J50" s="1136"/>
      <c r="K50" s="1132"/>
      <c r="L50" s="1132"/>
      <c r="M50" s="1132">
        <f>M49+M48</f>
        <v>1506798672.3</v>
      </c>
      <c r="N50" s="1132">
        <f>J48-M50</f>
        <v>-105067692</v>
      </c>
    </row>
    <row r="51" spans="1:15" s="473" customFormat="1" ht="12.75" hidden="1" customHeight="1">
      <c r="A51" s="1113"/>
      <c r="B51" s="1113">
        <f>'Tab. 6A -Drogi'!E32+'Tab. 6B Polit społ i rozwój prz'!E22+'Tab. 6E - Administracja'!E25+'Tab. 6H - Kultura fiz. i turyst'!E23+'Tab.6I - Planow. przestrz.'!E22+'Tab. 6G - Roln i ochrona środ.'!E29</f>
        <v>55531502</v>
      </c>
      <c r="C51" s="1113">
        <f>'Tab. 6A -Drogi'!F32+'Tab. 6B Polit społ i rozwój prz'!F22+'Tab. 6E - Administracja'!F25+'Tab. 6H - Kultura fiz. i turyst'!F23+'Tab.6I - Planow. przestrz.'!F22+'Tab. 6G - Roln i ochrona środ.'!F29</f>
        <v>217645176</v>
      </c>
      <c r="D51" s="1113">
        <f>'Tab. 6A -Drogi'!G32+'Tab. 6B Polit społ i rozwój prz'!G22+'Tab. 6E - Administracja'!G25+'Tab. 6H - Kultura fiz. i turyst'!G23+'Tab.6I - Planow. przestrz.'!G22+'Tab. 6G - Roln i ochrona środ.'!G29</f>
        <v>471906931</v>
      </c>
      <c r="E51" s="1113">
        <f>'Tab. 6A -Drogi'!H32+'Tab. 6B Polit społ i rozwój prz'!H22+'Tab. 6E - Administracja'!H25+'Tab. 6H - Kultura fiz. i turyst'!H23+'Tab.6I - Planow. przestrz.'!H22+'Tab. 6G - Roln i ochrona środ.'!H29</f>
        <v>157484451</v>
      </c>
      <c r="F51" s="1113">
        <f>'Tab. 6A -Drogi'!I32+'Tab. 6B Polit społ i rozwój prz'!I22+'Tab. 6E - Administracja'!I25+'Tab. 6H - Kultura fiz. i turyst'!I23+'Tab.6I - Planow. przestrz.'!I22+'Tab. 6G - Roln i ochrona środ.'!I29</f>
        <v>76990170</v>
      </c>
      <c r="G51" s="1113">
        <f>'Tab. 6A -Drogi'!J32+'Tab. 6B Polit społ i rozwój prz'!J22+'Tab. 6E - Administracja'!J25+'Tab. 6H - Kultura fiz. i turyst'!J23+'Tab.6I - Planow. przestrz.'!J22+'Tab. 6G - Roln i ochrona środ.'!J29</f>
        <v>38936734</v>
      </c>
      <c r="H51" s="1113">
        <f>'Tab. 6A -Drogi'!K32+'Tab. 6B Polit społ i rozwój prz'!K22+'Tab. 6E - Administracja'!K25+'Tab. 6H - Kultura fiz. i turyst'!K23+'Tab.6I - Planow. przestrz.'!K22+'Tab. 6G - Roln i ochrona środ.'!K29</f>
        <v>32619162</v>
      </c>
      <c r="I51" s="1113">
        <f>'Tab. 6A -Drogi'!L32+'Tab. 6B Polit społ i rozwój prz'!L22+'Tab. 6E - Administracja'!L25+'Tab. 6H - Kultura fiz. i turyst'!L23+'Tab.6I - Planow. przestrz.'!L22+'Tab. 6G - Roln i ochrona środ.'!L29</f>
        <v>31436681</v>
      </c>
      <c r="J51" s="1113" t="e">
        <f>B51+#REF!+#REF!+C51+D51+E51+F51+G51+H51+I51</f>
        <v>#REF!</v>
      </c>
      <c r="K51" s="470"/>
      <c r="L51" s="470"/>
      <c r="M51" s="470"/>
    </row>
    <row r="52" spans="1:15" s="473" customFormat="1" hidden="1">
      <c r="A52" s="1145"/>
      <c r="B52" s="1113">
        <f>B46-B51</f>
        <v>0</v>
      </c>
      <c r="C52" s="1113">
        <f t="shared" ref="C52:I52" si="22">C46-C51</f>
        <v>0</v>
      </c>
      <c r="D52" s="1113">
        <f t="shared" si="22"/>
        <v>0</v>
      </c>
      <c r="E52" s="1113">
        <f t="shared" si="22"/>
        <v>0</v>
      </c>
      <c r="F52" s="1113">
        <f t="shared" si="22"/>
        <v>0</v>
      </c>
      <c r="G52" s="1113">
        <f t="shared" si="22"/>
        <v>0</v>
      </c>
      <c r="H52" s="1113">
        <f t="shared" si="22"/>
        <v>0</v>
      </c>
      <c r="I52" s="1113">
        <f t="shared" si="22"/>
        <v>0</v>
      </c>
      <c r="J52" s="1113"/>
      <c r="K52" s="470"/>
      <c r="L52" s="470"/>
      <c r="M52" s="470"/>
    </row>
    <row r="53" spans="1:15" s="473" customFormat="1">
      <c r="A53" s="1144"/>
      <c r="B53" s="1113"/>
      <c r="C53" s="1113"/>
      <c r="D53" s="1113"/>
      <c r="E53" s="1113"/>
      <c r="F53" s="1113"/>
      <c r="G53" s="1113"/>
      <c r="H53" s="1113"/>
      <c r="I53" s="1113"/>
      <c r="J53" s="1136"/>
      <c r="K53" s="470"/>
      <c r="L53" s="470"/>
      <c r="M53" s="470"/>
    </row>
    <row r="54" spans="1:15" ht="31.5" customHeight="1" thickBot="1">
      <c r="A54" s="3179" t="s">
        <v>29</v>
      </c>
      <c r="B54" s="3179"/>
      <c r="C54" s="3179"/>
      <c r="D54" s="3179"/>
      <c r="E54" s="3179"/>
      <c r="F54" s="3179"/>
      <c r="G54" s="3179"/>
      <c r="H54" s="3179"/>
      <c r="I54" s="3179"/>
      <c r="J54" s="3179"/>
      <c r="K54" s="1146"/>
      <c r="L54" s="1146"/>
    </row>
    <row r="55" spans="1:15" s="1082" customFormat="1" ht="34.5" customHeight="1">
      <c r="A55" s="1088"/>
      <c r="B55" s="3177" t="s">
        <v>262</v>
      </c>
      <c r="C55" s="3184" t="s">
        <v>526</v>
      </c>
      <c r="D55" s="3180" t="s">
        <v>455</v>
      </c>
      <c r="E55" s="3180"/>
      <c r="F55" s="3180"/>
      <c r="G55" s="3180"/>
      <c r="H55" s="3180"/>
      <c r="I55" s="3181"/>
      <c r="J55" s="3174" t="s">
        <v>3</v>
      </c>
      <c r="K55" s="3192" t="s">
        <v>479</v>
      </c>
      <c r="L55" s="3192" t="s">
        <v>456</v>
      </c>
    </row>
    <row r="56" spans="1:15" ht="19.5" customHeight="1">
      <c r="A56" s="1090" t="s">
        <v>4</v>
      </c>
      <c r="B56" s="3178"/>
      <c r="C56" s="3185"/>
      <c r="D56" s="3182"/>
      <c r="E56" s="3182"/>
      <c r="F56" s="3182"/>
      <c r="G56" s="3182"/>
      <c r="H56" s="3182"/>
      <c r="I56" s="3183"/>
      <c r="J56" s="3175"/>
      <c r="K56" s="3193"/>
      <c r="L56" s="3193"/>
    </row>
    <row r="57" spans="1:15" ht="24" customHeight="1" thickBot="1">
      <c r="A57" s="1090"/>
      <c r="B57" s="1091" t="s">
        <v>444</v>
      </c>
      <c r="C57" s="3186"/>
      <c r="D57" s="1092" t="s">
        <v>6</v>
      </c>
      <c r="E57" s="1092" t="s">
        <v>206</v>
      </c>
      <c r="F57" s="1092" t="s">
        <v>208</v>
      </c>
      <c r="G57" s="1092" t="s">
        <v>253</v>
      </c>
      <c r="H57" s="1092" t="s">
        <v>254</v>
      </c>
      <c r="I57" s="1093" t="s">
        <v>252</v>
      </c>
      <c r="J57" s="3176"/>
      <c r="K57" s="3193"/>
      <c r="L57" s="3193"/>
    </row>
    <row r="58" spans="1:15" ht="13.5" customHeight="1" thickBot="1">
      <c r="A58" s="1095">
        <v>1</v>
      </c>
      <c r="B58" s="1096">
        <v>2</v>
      </c>
      <c r="C58" s="1097">
        <v>3</v>
      </c>
      <c r="D58" s="1096">
        <v>4</v>
      </c>
      <c r="E58" s="1098">
        <v>5</v>
      </c>
      <c r="F58" s="1099">
        <v>6</v>
      </c>
      <c r="G58" s="1100">
        <v>7</v>
      </c>
      <c r="H58" s="1096">
        <v>8</v>
      </c>
      <c r="I58" s="1100">
        <v>9</v>
      </c>
      <c r="J58" s="2117">
        <v>10</v>
      </c>
      <c r="K58" s="1101">
        <v>12</v>
      </c>
      <c r="L58" s="1101">
        <v>11</v>
      </c>
    </row>
    <row r="59" spans="1:15" ht="18.75" customHeight="1">
      <c r="A59" s="1102" t="s">
        <v>7</v>
      </c>
      <c r="B59" s="1103">
        <f>+B60+B61</f>
        <v>403685749</v>
      </c>
      <c r="C59" s="1103">
        <f t="shared" ref="C59:L59" si="23">+C60+C61</f>
        <v>184738018</v>
      </c>
      <c r="D59" s="1103">
        <f t="shared" si="23"/>
        <v>249600084</v>
      </c>
      <c r="E59" s="1103">
        <f>+E60+E61</f>
        <v>322267878</v>
      </c>
      <c r="F59" s="1103">
        <f>+F60+F61</f>
        <v>233937938</v>
      </c>
      <c r="G59" s="1103">
        <f>+G60+G61</f>
        <v>66185422</v>
      </c>
      <c r="H59" s="1103">
        <f>+H60+H61</f>
        <v>7257957</v>
      </c>
      <c r="I59" s="1103">
        <f>+I60+I61</f>
        <v>4270868</v>
      </c>
      <c r="J59" s="2136">
        <f t="shared" si="23"/>
        <v>1506251361</v>
      </c>
      <c r="K59" s="1104">
        <f t="shared" ref="K59" si="24">+K60+K61</f>
        <v>1102565612</v>
      </c>
      <c r="L59" s="1104">
        <f t="shared" si="23"/>
        <v>917827594</v>
      </c>
      <c r="M59" s="456">
        <f>+L63-L59</f>
        <v>0</v>
      </c>
      <c r="N59" s="471">
        <f>+C59+D59+E59+F59+G59+H59+I59+B59+'Tab. 6C - Ochrona zdrowia'!P51+'Tab. 6C - Ochrona zdrowia'!P56</f>
        <v>1506251361</v>
      </c>
      <c r="O59" s="472">
        <f>J59-N59</f>
        <v>0</v>
      </c>
    </row>
    <row r="60" spans="1:15" s="1106" customFormat="1" ht="15" customHeight="1">
      <c r="A60" s="1107" t="s">
        <v>358</v>
      </c>
      <c r="B60" s="1108">
        <f>'Tab. 6A -Drogi'!E498+'Tab. 6C - Ochrona zdrowia'!E11+'Tab. 6D - Oświata'!E74+'Tab. 6E - Administracja'!E239+'Tab. 6F - Kultura'!E8+'Tab. 6G - Roln i ochrona środ.'!E77+'Tab. 6H - Kultura fiz. i turyst'!E232+'Tab.6I - Planow. przestrz.'!E84</f>
        <v>362255011</v>
      </c>
      <c r="C60" s="1108">
        <f>'Tab. 6A -Drogi'!F498+'Tab. 6C - Ochrona zdrowia'!F11+'Tab. 6D - Oświata'!F74+'Tab. 6E - Administracja'!F239+'Tab. 6F - Kultura'!F8+'Tab. 6G - Roln i ochrona środ.'!F77+'Tab. 6H - Kultura fiz. i turyst'!F232+'Tab.6I - Planow. przestrz.'!F84</f>
        <v>138684748</v>
      </c>
      <c r="D60" s="1108">
        <f>'Tab. 6A -Drogi'!G498+'Tab. 6C - Ochrona zdrowia'!G11+'Tab. 6D - Oświata'!G74+'Tab. 6E - Administracja'!G239+'Tab. 6F - Kultura'!G8+'Tab. 6G - Roln i ochrona środ.'!G77+'Tab. 6H - Kultura fiz. i turyst'!G232+'Tab.6I - Planow. przestrz.'!G84</f>
        <v>169643240</v>
      </c>
      <c r="E60" s="1108">
        <f>'Tab. 6A -Drogi'!H498+'Tab. 6C - Ochrona zdrowia'!H11+'Tab. 6D - Oświata'!H74+'Tab. 6E - Administracja'!H239+'Tab. 6F - Kultura'!H8+'Tab. 6G - Roln i ochrona środ.'!H77+'Tab. 6H - Kultura fiz. i turyst'!H232+'Tab.6I - Planow. przestrz.'!H84</f>
        <v>156141795</v>
      </c>
      <c r="F60" s="1108">
        <f>'Tab. 6A -Drogi'!I498+'Tab. 6C - Ochrona zdrowia'!I11+'Tab. 6D - Oświata'!I74+'Tab. 6E - Administracja'!I239+'Tab. 6F - Kultura'!I8+'Tab. 6G - Roln i ochrona środ.'!I77+'Tab. 6H - Kultura fiz. i turyst'!I232+'Tab.6I - Planow. przestrz.'!I84</f>
        <v>150415631</v>
      </c>
      <c r="G60" s="1108">
        <f>'Tab. 6A -Drogi'!J498+'Tab. 6C - Ochrona zdrowia'!J11+'Tab. 6D - Oświata'!J74+'Tab. 6E - Administracja'!J239+'Tab. 6F - Kultura'!J8+'Tab. 6G - Roln i ochrona środ.'!J77+'Tab. 6H - Kultura fiz. i turyst'!J232+'Tab.6I - Planow. przestrz.'!J84</f>
        <v>9268402</v>
      </c>
      <c r="H60" s="1108">
        <f>'Tab. 6A -Drogi'!K498+'Tab. 6C - Ochrona zdrowia'!K11+'Tab. 6D - Oświata'!K74+'Tab. 6E - Administracja'!K239+'Tab. 6F - Kultura'!K8+'Tab. 6G - Roln i ochrona środ.'!K77+'Tab. 6H - Kultura fiz. i turyst'!K232+'Tab.6I - Planow. przestrz.'!K84</f>
        <v>5199552</v>
      </c>
      <c r="I60" s="1108">
        <f>'Tab. 6A -Drogi'!L498+'Tab. 6C - Ochrona zdrowia'!L11+'Tab. 6D - Oświata'!L74+'Tab. 6E - Administracja'!L239+'Tab. 6F - Kultura'!L8+'Tab. 6G - Roln i ochrona środ.'!L77+'Tab. 6H - Kultura fiz. i turyst'!L232+'Tab.6I - Planow. przestrz.'!L84</f>
        <v>4270868</v>
      </c>
      <c r="J60" s="2137">
        <f>'Tab. 6A -Drogi'!D498+'Tab. 6C - Ochrona zdrowia'!D11+'Tab. 6D - Oświata'!D74+'Tab. 6E - Administracja'!D239+'Tab. 6F - Kultura'!D8+'Tab. 6G - Roln i ochrona środ.'!D77+'Tab. 6H - Kultura fiz. i turyst'!D232+'Tab.6I - Planow. przestrz.'!D84</f>
        <v>1030186694</v>
      </c>
      <c r="K60" s="1362">
        <f>SUM(C60:I60)+'Tab. 6C - Ochrona zdrowia'!P51+'Tab. 6C - Ochrona zdrowia'!P56</f>
        <v>667931683</v>
      </c>
      <c r="L60" s="1362">
        <f>SUM(D60:I60)+'Tab. 6C - Ochrona zdrowia'!P51+'Tab. 6C - Ochrona zdrowia'!P56</f>
        <v>529246935</v>
      </c>
      <c r="M60" s="231"/>
      <c r="N60" s="471">
        <f>+C60+D60+E60+F60+G60+H60+I60+B60+'Tab. 6C - Ochrona zdrowia'!P51+'Tab. 6C - Ochrona zdrowia'!P56</f>
        <v>1030186694</v>
      </c>
      <c r="O60" s="472">
        <f t="shared" ref="O60:O74" si="25">J60-N60</f>
        <v>0</v>
      </c>
    </row>
    <row r="61" spans="1:15" ht="14.25" customHeight="1" thickBot="1">
      <c r="A61" s="1147" t="s">
        <v>30</v>
      </c>
      <c r="B61" s="1148">
        <f>'Tab. 6A -Drogi'!E499+'Tab. 6C - Ochrona zdrowia'!E12+'Tab. 6D - Oświata'!E75+'Tab. 6E - Administracja'!E240+'Tab. 6F - Kultura'!E9+'Tab. 6G - Roln i ochrona środ.'!E78</f>
        <v>41430738</v>
      </c>
      <c r="C61" s="1148">
        <f>'Tab. 6A -Drogi'!F499+'Tab. 6C - Ochrona zdrowia'!F12+'Tab. 6D - Oświata'!F75+'Tab. 6E - Administracja'!F240+'Tab. 6F - Kultura'!F9+'Tab. 6G - Roln i ochrona środ.'!F78</f>
        <v>46053270</v>
      </c>
      <c r="D61" s="1148">
        <f>'Tab. 6A -Drogi'!G499+'Tab. 6C - Ochrona zdrowia'!G12+'Tab. 6D - Oświata'!G75+'Tab. 6E - Administracja'!G240+'Tab. 6F - Kultura'!G9+'Tab. 6G - Roln i ochrona środ.'!G78</f>
        <v>79956844</v>
      </c>
      <c r="E61" s="1148">
        <f>'Tab. 6A -Drogi'!H499+'Tab. 6C - Ochrona zdrowia'!H12+'Tab. 6D - Oświata'!H75+'Tab. 6E - Administracja'!H240+'Tab. 6F - Kultura'!H9+'Tab. 6G - Roln i ochrona środ.'!H78</f>
        <v>166126083</v>
      </c>
      <c r="F61" s="1148">
        <f>'Tab. 6A -Drogi'!I499+'Tab. 6C - Ochrona zdrowia'!I12+'Tab. 6D - Oświata'!I75+'Tab. 6E - Administracja'!I240+'Tab. 6F - Kultura'!I9+'Tab. 6G - Roln i ochrona środ.'!I78</f>
        <v>83522307</v>
      </c>
      <c r="G61" s="1148">
        <f>'Tab. 6A -Drogi'!J499+'Tab. 6C - Ochrona zdrowia'!J12+'Tab. 6D - Oświata'!J75+'Tab. 6E - Administracja'!J240+'Tab. 6F - Kultura'!J9+'Tab. 6G - Roln i ochrona środ.'!J78</f>
        <v>56917020</v>
      </c>
      <c r="H61" s="1148">
        <f>'Tab. 6A -Drogi'!K499+'Tab. 6C - Ochrona zdrowia'!K12+'Tab. 6D - Oświata'!K75+'Tab. 6E - Administracja'!K240+'Tab. 6F - Kultura'!K9+'Tab. 6G - Roln i ochrona środ.'!K78</f>
        <v>2058405</v>
      </c>
      <c r="I61" s="1148">
        <f>'Tab. 6A -Drogi'!L499+'Tab. 6C - Ochrona zdrowia'!L12+'Tab. 6D - Oświata'!L75+'Tab. 6E - Administracja'!L240+'Tab. 6F - Kultura'!L9+'Tab. 6G - Roln i ochrona środ.'!L78</f>
        <v>0</v>
      </c>
      <c r="J61" s="2138">
        <f>'Tab. 6A -Drogi'!D499+'Tab. 6C - Ochrona zdrowia'!D12+'Tab. 6D - Oświata'!D75+'Tab. 6E - Administracja'!D240+'Tab. 6F - Kultura'!D9+'Tab. 6G - Roln i ochrona środ.'!D78</f>
        <v>476064667</v>
      </c>
      <c r="K61" s="1363">
        <f>SUM(C61:I61)</f>
        <v>434633929</v>
      </c>
      <c r="L61" s="1363">
        <f>SUM(D61:I61)</f>
        <v>388580659</v>
      </c>
      <c r="M61" s="231"/>
      <c r="N61" s="471">
        <f>+C61+D61+E61+F61+G61+H61+I61+B61</f>
        <v>476064667</v>
      </c>
      <c r="O61" s="472">
        <f t="shared" si="25"/>
        <v>0</v>
      </c>
    </row>
    <row r="62" spans="1:15" s="473" customFormat="1" ht="4.5" customHeight="1">
      <c r="A62" s="1112"/>
      <c r="B62" s="1113"/>
      <c r="C62" s="1113"/>
      <c r="D62" s="1135"/>
      <c r="E62" s="1113"/>
      <c r="F62" s="1113"/>
      <c r="G62" s="1113"/>
      <c r="H62" s="1113"/>
      <c r="I62" s="1113"/>
      <c r="J62" s="1136"/>
      <c r="K62" s="2143"/>
      <c r="L62" s="2143"/>
      <c r="M62" s="470"/>
      <c r="N62" s="471"/>
      <c r="O62" s="472"/>
    </row>
    <row r="63" spans="1:15" s="1130" customFormat="1" ht="18" customHeight="1">
      <c r="A63" s="1114" t="s">
        <v>10</v>
      </c>
      <c r="B63" s="1115">
        <f>+B64+B73</f>
        <v>406004048.63999999</v>
      </c>
      <c r="C63" s="1115">
        <f t="shared" ref="C63:J63" si="26">+C64+C73</f>
        <v>186139264</v>
      </c>
      <c r="D63" s="1115">
        <f t="shared" si="26"/>
        <v>256498339</v>
      </c>
      <c r="E63" s="1115">
        <f>+E64+E73</f>
        <v>354590836</v>
      </c>
      <c r="F63" s="1115">
        <f>+F64+F73</f>
        <v>280592258</v>
      </c>
      <c r="G63" s="1115">
        <f>+G64+G73</f>
        <v>82525829</v>
      </c>
      <c r="H63" s="1115">
        <f>+H64+H73</f>
        <v>17350457</v>
      </c>
      <c r="I63" s="1115">
        <f>+I64+I73</f>
        <v>4270868</v>
      </c>
      <c r="J63" s="2121">
        <f t="shared" si="26"/>
        <v>1622279346.6400001</v>
      </c>
      <c r="K63" s="2132">
        <f>+K64</f>
        <v>1102565612</v>
      </c>
      <c r="L63" s="2132">
        <f>+L64</f>
        <v>917827594</v>
      </c>
      <c r="M63" s="1140"/>
      <c r="N63" s="471">
        <f>+C63+D63+E63+F63+G63+H63+I63+B63+'Tab. 6C - Ochrona zdrowia'!P51+'Tab. 6C - Ochrona zdrowia'!P56</f>
        <v>1622279346.6399999</v>
      </c>
      <c r="O63" s="472">
        <f t="shared" si="25"/>
        <v>0</v>
      </c>
    </row>
    <row r="64" spans="1:15" s="1120" customFormat="1" ht="18" customHeight="1">
      <c r="A64" s="1117" t="s">
        <v>11</v>
      </c>
      <c r="B64" s="1149">
        <f t="shared" ref="B64" si="27">SUM(B65:B72)</f>
        <v>405479148.63999999</v>
      </c>
      <c r="C64" s="1149">
        <f t="shared" ref="C64:J64" si="28">SUM(C65:C72)</f>
        <v>186092259</v>
      </c>
      <c r="D64" s="1149">
        <f t="shared" si="28"/>
        <v>249662241</v>
      </c>
      <c r="E64" s="1149">
        <f>SUM(E65:E72)</f>
        <v>322267878</v>
      </c>
      <c r="F64" s="1149">
        <f t="shared" si="28"/>
        <v>233937938</v>
      </c>
      <c r="G64" s="1149">
        <f>SUM(G65:G72)</f>
        <v>66185422</v>
      </c>
      <c r="H64" s="1149">
        <f>SUM(H65:H72)</f>
        <v>7257957</v>
      </c>
      <c r="I64" s="1149">
        <f>SUM(I65:I72)</f>
        <v>4270868</v>
      </c>
      <c r="J64" s="2139">
        <f t="shared" si="28"/>
        <v>1509461158.6400001</v>
      </c>
      <c r="K64" s="2144">
        <f>SUM(K65:K72)</f>
        <v>1102565612</v>
      </c>
      <c r="L64" s="2144">
        <f>SUM(L65:L72)</f>
        <v>917827594</v>
      </c>
      <c r="M64" s="470"/>
      <c r="N64" s="471">
        <f>+C64+D64+E64+F64+G64+H64+I64+B64+'Tab. 6C - Ochrona zdrowia'!P51+'Tab. 6C - Ochrona zdrowia'!P56</f>
        <v>1509461158.6399999</v>
      </c>
      <c r="O64" s="472">
        <f t="shared" si="25"/>
        <v>0</v>
      </c>
    </row>
    <row r="65" spans="1:15" s="473" customFormat="1" ht="16.5" customHeight="1">
      <c r="A65" s="1121" t="s">
        <v>31</v>
      </c>
      <c r="B65" s="476">
        <f>+'Tab. 6D - Oświata'!E80+'Tab. 6A -Drogi'!E502+'Tab. 6E - Administracja'!E243+'Tab. 6C - Ochrona zdrowia'!E15+'Tab.6I - Planow. przestrz.'!E88+'Tab. 6G - Roln i ochrona środ.'!E81+'Tab. 6H - Kultura fiz. i turyst'!E236</f>
        <v>390774617</v>
      </c>
      <c r="C65" s="476">
        <f>+'Tab. 6D - Oświata'!F80+'Tab. 6A -Drogi'!F502+'Tab. 6E - Administracja'!F243+'Tab. 6C - Ochrona zdrowia'!F15+'Tab.6I - Planow. przestrz.'!F88+'Tab. 6G - Roln i ochrona środ.'!F81+'Tab. 6H - Kultura fiz. i turyst'!F236</f>
        <v>136104751</v>
      </c>
      <c r="D65" s="476">
        <f>+'Tab. 6D - Oświata'!G80+'Tab. 6A -Drogi'!G502+'Tab. 6E - Administracja'!G243+'Tab. 6C - Ochrona zdrowia'!G15+'Tab.6I - Planow. przestrz.'!G88+'Tab. 6G - Roln i ochrona środ.'!G81+'Tab. 6H - Kultura fiz. i turyst'!G236</f>
        <v>186830052</v>
      </c>
      <c r="E65" s="476">
        <f>+'Tab. 6D - Oświata'!H80+'Tab. 6A -Drogi'!H502+'Tab. 6E - Administracja'!H243+'Tab. 6C - Ochrona zdrowia'!H15+'Tab.6I - Planow. przestrz.'!H88+'Tab. 6G - Roln i ochrona środ.'!H81+'Tab. 6H - Kultura fiz. i turyst'!H236</f>
        <v>184181020</v>
      </c>
      <c r="F65" s="476">
        <f>+'Tab. 6D - Oświata'!I80+'Tab. 6A -Drogi'!I502+'Tab. 6E - Administracja'!I243+'Tab. 6C - Ochrona zdrowia'!I15+'Tab.6I - Planow. przestrz.'!I88+'Tab. 6G - Roln i ochrona środ.'!I81+'Tab. 6H - Kultura fiz. i turyst'!I236</f>
        <v>170888510</v>
      </c>
      <c r="G65" s="476">
        <f>+'Tab. 6D - Oświata'!J80+'Tab. 6A -Drogi'!J502+'Tab. 6E - Administracja'!J243+'Tab. 6C - Ochrona zdrowia'!J15+'Tab.6I - Planow. przestrz.'!J88+'Tab. 6G - Roln i ochrona środ.'!J81+'Tab. 6H - Kultura fiz. i turyst'!J236</f>
        <v>9268402</v>
      </c>
      <c r="H65" s="476">
        <f>+'Tab. 6D - Oświata'!K80+'Tab. 6A -Drogi'!K502+'Tab. 6E - Administracja'!K243+'Tab. 6C - Ochrona zdrowia'!K15+'Tab.6I - Planow. przestrz.'!K88+'Tab. 6G - Roln i ochrona środ.'!K81+'Tab. 6H - Kultura fiz. i turyst'!K236</f>
        <v>5199552</v>
      </c>
      <c r="I65" s="476">
        <f>+'Tab. 6D - Oświata'!L80+'Tab. 6A -Drogi'!L502+'Tab. 6E - Administracja'!L243+'Tab. 6C - Ochrona zdrowia'!L15+'Tab.6I - Planow. przestrz.'!L88+'Tab. 6G - Roln i ochrona środ.'!L81+'Tab. 6H - Kultura fiz. i turyst'!L236</f>
        <v>4270868</v>
      </c>
      <c r="J65" s="2123">
        <f>B65+C65+D65+E65+F65+G65+H65+I65+'Tab. 6C - Ochrona zdrowia'!P51+'Tab. 6C - Ochrona zdrowia'!P56</f>
        <v>1121825219</v>
      </c>
      <c r="K65" s="1109">
        <f>SUM(C65:I65)+'Tab. 6C - Ochrona zdrowia'!P51+'Tab. 6C - Ochrona zdrowia'!P56</f>
        <v>731050602</v>
      </c>
      <c r="L65" s="1109">
        <f>SUM(D65:I65)+'Tab. 6C - Ochrona zdrowia'!P51+'Tab. 6C - Ochrona zdrowia'!P56</f>
        <v>594945851</v>
      </c>
      <c r="M65" s="231"/>
      <c r="N65" s="471">
        <f>+C65+D65+E65+F65+G65+H65+I65+B65+'Tab. 6C - Ochrona zdrowia'!P51+'Tab. 6C - Ochrona zdrowia'!P56</f>
        <v>1121825219</v>
      </c>
      <c r="O65" s="472">
        <f t="shared" si="25"/>
        <v>0</v>
      </c>
    </row>
    <row r="66" spans="1:15" s="473" customFormat="1" ht="15.75" customHeight="1">
      <c r="A66" s="474" t="s">
        <v>16</v>
      </c>
      <c r="B66" s="475">
        <f>+'Tab. 6A -Drogi'!E505+'Tab. 6G - Roln i ochrona środ.'!E85+'Tab. 6H - Kultura fiz. i turyst'!E13</f>
        <v>0</v>
      </c>
      <c r="C66" s="476">
        <f>+'Tab. 6A -Drogi'!F505+'Tab. 6G - Roln i ochrona środ.'!F85+'Tab. 6H - Kultura fiz. i turyst'!F237</f>
        <v>10003578</v>
      </c>
      <c r="D66" s="476">
        <f>+'Tab. 6A -Drogi'!G505+'Tab. 6G - Roln i ochrona środ.'!G85+'Tab. 6H - Kultura fiz. i turyst'!G237</f>
        <v>24142763</v>
      </c>
      <c r="E66" s="476">
        <f>+'Tab. 6A -Drogi'!H505+'Tab. 6G - Roln i ochrona środ.'!H85+'Tab. 6H - Kultura fiz. i turyst'!H237</f>
        <v>14120000</v>
      </c>
      <c r="F66" s="476">
        <f>+'Tab. 6A -Drogi'!I505+'Tab. 6G - Roln i ochrona środ.'!I85+'Tab. 6H - Kultura fiz. i turyst'!I237</f>
        <v>14182860</v>
      </c>
      <c r="G66" s="475">
        <f>+'Tab. 6A -Drogi'!J505+'Tab. 6G - Roln i ochrona środ.'!J85+'Tab. 6H - Kultura fiz. i turyst'!J237</f>
        <v>0</v>
      </c>
      <c r="H66" s="475">
        <f>+'Tab. 6A -Drogi'!K505+'Tab. 6G - Roln i ochrona środ.'!K85+'Tab. 6H - Kultura fiz. i turyst'!K237</f>
        <v>0</v>
      </c>
      <c r="I66" s="475">
        <f>+'Tab. 6A -Drogi'!L505+'Tab. 6G - Roln i ochrona środ.'!L85+'Tab. 6H - Kultura fiz. i turyst'!L237</f>
        <v>0</v>
      </c>
      <c r="J66" s="2123">
        <f t="shared" ref="J66:J72" si="29">B66+C66+D66+E66+F66+G66+H66+I66</f>
        <v>62449201</v>
      </c>
      <c r="K66" s="1109">
        <f t="shared" ref="K66" si="30">SUM(C66:I66)</f>
        <v>62449201</v>
      </c>
      <c r="L66" s="1109">
        <f>SUM(D66:I66)</f>
        <v>52445623</v>
      </c>
      <c r="M66" s="231"/>
      <c r="N66" s="471">
        <f>+C66+D66+E66+F66+G66+H66+I66+B66</f>
        <v>62449201</v>
      </c>
      <c r="O66" s="472">
        <f t="shared" si="25"/>
        <v>0</v>
      </c>
    </row>
    <row r="67" spans="1:15" s="473" customFormat="1" ht="15.75" customHeight="1">
      <c r="A67" s="474" t="s">
        <v>32</v>
      </c>
      <c r="B67" s="476">
        <f>+'Tab. 6F - Kultura'!E12+'Tab. 6C - Ochrona zdrowia'!E16</f>
        <v>1793399.64</v>
      </c>
      <c r="C67" s="476">
        <f>+'Tab. 6F - Kultura'!F12+'Tab. 6C - Ochrona zdrowia'!F16</f>
        <v>1354241</v>
      </c>
      <c r="D67" s="476">
        <f>+'Tab. 6F - Kultura'!G12+'Tab. 6C - Ochrona zdrowia'!G16</f>
        <v>62157</v>
      </c>
      <c r="E67" s="475">
        <f>+'Tab. 6F - Kultura'!H12+'Tab. 6C - Ochrona zdrowia'!H16</f>
        <v>0</v>
      </c>
      <c r="F67" s="475">
        <f>+'Tab. 6F - Kultura'!I12+'Tab. 6C - Ochrona zdrowia'!I16</f>
        <v>0</v>
      </c>
      <c r="G67" s="475">
        <f>+'Tab. 6F - Kultura'!J12+'Tab. 6C - Ochrona zdrowia'!J16</f>
        <v>0</v>
      </c>
      <c r="H67" s="475">
        <f>+'Tab. 6F - Kultura'!K12+'Tab. 6C - Ochrona zdrowia'!K16</f>
        <v>0</v>
      </c>
      <c r="I67" s="475">
        <f>+'Tab. 6F - Kultura'!L12+'Tab. 6C - Ochrona zdrowia'!L16+'Tab. 6H - Kultura fiz. i turyst'!L13</f>
        <v>0</v>
      </c>
      <c r="J67" s="2123">
        <f t="shared" si="29"/>
        <v>3209797.6399999997</v>
      </c>
      <c r="K67" s="1848" t="s">
        <v>61</v>
      </c>
      <c r="L67" s="1848" t="s">
        <v>61</v>
      </c>
      <c r="M67" s="470"/>
      <c r="N67" s="471">
        <f t="shared" ref="N67:N74" si="31">+C67+D67+E67+F67+G67+H67+I67+B67</f>
        <v>3209797.6399999997</v>
      </c>
      <c r="O67" s="472">
        <f t="shared" si="25"/>
        <v>0</v>
      </c>
    </row>
    <row r="68" spans="1:15" s="473" customFormat="1" ht="15.75" customHeight="1">
      <c r="A68" s="1121" t="s">
        <v>33</v>
      </c>
      <c r="B68" s="476">
        <f>+'Tab. 6F - Kultura'!E13+'Tab. 6C - Ochrona zdrowia'!E17+'Tab. 6D - Oświata'!E79+'Tab. 6H - Kultura fiz. i turyst'!E245</f>
        <v>8217368</v>
      </c>
      <c r="C68" s="476">
        <f>+'Tab. 6F - Kultura'!F13+'Tab. 6C - Ochrona zdrowia'!F17+'Tab. 6D - Oświata'!F79+'Tab. 6H - Kultura fiz. i turyst'!F245</f>
        <v>7874823</v>
      </c>
      <c r="D68" s="476">
        <f>+'Tab. 6F - Kultura'!G13+'Tab. 6C - Ochrona zdrowia'!G17+'Tab. 6D - Oświata'!G79+'Tab. 6H - Kultura fiz. i turyst'!G245</f>
        <v>17726692</v>
      </c>
      <c r="E68" s="476">
        <f>+'Tab. 6F - Kultura'!H13+'Tab. 6C - Ochrona zdrowia'!H17+'Tab. 6D - Oświata'!H79+'Tab. 6H - Kultura fiz. i turyst'!H245</f>
        <v>63805701</v>
      </c>
      <c r="F68" s="476">
        <f>+'Tab. 6F - Kultura'!I13+'Tab. 6C - Ochrona zdrowia'!I17+'Tab. 6D - Oświata'!I79+'Tab. 6H - Kultura fiz. i turyst'!I245</f>
        <v>28482568</v>
      </c>
      <c r="G68" s="476">
        <f>+'Tab. 6F - Kultura'!J13+'Tab. 6C - Ochrona zdrowia'!J17+'Tab. 6D - Oświata'!J79+'Tab. 6H - Kultura fiz. i turyst'!J245</f>
        <v>16856220</v>
      </c>
      <c r="H68" s="476">
        <f>+'Tab. 6F - Kultura'!K13+'Tab. 6C - Ochrona zdrowia'!K17+'Tab. 6D - Oświata'!K79+'Tab. 6H - Kultura fiz. i turyst'!K245</f>
        <v>1472245</v>
      </c>
      <c r="I68" s="476">
        <f>+'Tab. 6F - Kultura'!L13+'Tab. 6C - Ochrona zdrowia'!L17+'Tab. 6D - Oświata'!L79+'Tab. 6H - Kultura fiz. i turyst'!L245</f>
        <v>0</v>
      </c>
      <c r="J68" s="2123">
        <f t="shared" si="29"/>
        <v>144435617</v>
      </c>
      <c r="K68" s="1109">
        <f t="shared" ref="K68:K72" si="32">SUM(C68:I68)</f>
        <v>136218249</v>
      </c>
      <c r="L68" s="1109">
        <f>SUM(D68:I68)</f>
        <v>128343426</v>
      </c>
      <c r="M68" s="231"/>
      <c r="N68" s="471">
        <f t="shared" si="31"/>
        <v>144435617</v>
      </c>
      <c r="O68" s="472">
        <f t="shared" si="25"/>
        <v>0</v>
      </c>
    </row>
    <row r="69" spans="1:15" s="473" customFormat="1" ht="15.75" customHeight="1">
      <c r="A69" s="474" t="s">
        <v>15</v>
      </c>
      <c r="B69" s="476">
        <f>+'Tab. 6A -Drogi'!E504+'Tab. 6C - Ochrona zdrowia'!E20</f>
        <v>4693764</v>
      </c>
      <c r="C69" s="476">
        <f>+'Tab. 6A -Drogi'!F504+'Tab. 6C - Ochrona zdrowia'!F20</f>
        <v>4000167</v>
      </c>
      <c r="D69" s="476">
        <f>+'Tab. 6A -Drogi'!G504+'Tab. 6C - Ochrona zdrowia'!G20</f>
        <v>1360602</v>
      </c>
      <c r="E69" s="475">
        <f>+'Tab. 6A -Drogi'!H504+'Tab. 6C - Ochrona zdrowia'!H20</f>
        <v>0</v>
      </c>
      <c r="F69" s="475">
        <f>+'Tab. 6A -Drogi'!I504+'Tab. 6C - Ochrona zdrowia'!I20</f>
        <v>0</v>
      </c>
      <c r="G69" s="475">
        <f>+'Tab. 6A -Drogi'!J504+'Tab. 6C - Ochrona zdrowia'!J20</f>
        <v>0</v>
      </c>
      <c r="H69" s="475">
        <f>+'Tab. 6A -Drogi'!K504+'Tab. 6C - Ochrona zdrowia'!K20</f>
        <v>0</v>
      </c>
      <c r="I69" s="475">
        <f>+'Tab. 6A -Drogi'!L504+'Tab. 6C - Ochrona zdrowia'!L20</f>
        <v>0</v>
      </c>
      <c r="J69" s="2123">
        <f t="shared" si="29"/>
        <v>10054533</v>
      </c>
      <c r="K69" s="1109">
        <f t="shared" si="32"/>
        <v>5360769</v>
      </c>
      <c r="L69" s="1109">
        <f>SUM(D69:I69)</f>
        <v>1360602</v>
      </c>
      <c r="M69" s="231"/>
      <c r="N69" s="471">
        <f t="shared" si="31"/>
        <v>10054533</v>
      </c>
      <c r="O69" s="472">
        <f t="shared" si="25"/>
        <v>0</v>
      </c>
    </row>
    <row r="70" spans="1:15" s="473" customFormat="1" ht="15.75" customHeight="1">
      <c r="A70" s="474" t="s">
        <v>13</v>
      </c>
      <c r="B70" s="476">
        <f>+'Tab. 6A -Drogi'!E503+'Tab. 6C - Ochrona zdrowia'!E18</f>
        <v>0</v>
      </c>
      <c r="C70" s="476">
        <f>+'Tab. 6A -Drogi'!F503+'Tab. 6C - Ochrona zdrowia'!F18</f>
        <v>23425991</v>
      </c>
      <c r="D70" s="475">
        <f>+'Tab. 6A -Drogi'!G503+'Tab. 6C - Ochrona zdrowia'!G18</f>
        <v>0</v>
      </c>
      <c r="E70" s="475">
        <f>+'Tab. 6A -Drogi'!H503+'Tab. 6C - Ochrona zdrowia'!H18</f>
        <v>0</v>
      </c>
      <c r="F70" s="475">
        <f>+'Tab. 6A -Drogi'!I503+'Tab. 6C - Ochrona zdrowia'!I18</f>
        <v>0</v>
      </c>
      <c r="G70" s="475">
        <f>+'Tab. 6A -Drogi'!J503+'Tab. 6C - Ochrona zdrowia'!J18</f>
        <v>0</v>
      </c>
      <c r="H70" s="475">
        <f>+'Tab. 6A -Drogi'!K503+'Tab. 6C - Ochrona zdrowia'!K18</f>
        <v>0</v>
      </c>
      <c r="I70" s="475">
        <f>+'Tab. 6A -Drogi'!L503+'Tab. 6C - Ochrona zdrowia'!L18</f>
        <v>0</v>
      </c>
      <c r="J70" s="2123">
        <f t="shared" si="29"/>
        <v>23425991</v>
      </c>
      <c r="K70" s="1109">
        <f t="shared" si="32"/>
        <v>23425991</v>
      </c>
      <c r="L70" s="1109">
        <f>SUM(D70:I70)</f>
        <v>0</v>
      </c>
      <c r="M70" s="231"/>
      <c r="N70" s="471">
        <f t="shared" si="31"/>
        <v>23425991</v>
      </c>
      <c r="O70" s="472">
        <f t="shared" si="25"/>
        <v>0</v>
      </c>
    </row>
    <row r="71" spans="1:15" s="473" customFormat="1" ht="13.5" hidden="1" customHeight="1">
      <c r="A71" s="1150" t="s">
        <v>34</v>
      </c>
      <c r="B71" s="476">
        <v>0</v>
      </c>
      <c r="C71" s="475">
        <f>+'Tab. 6C - Ochrona zdrowia'!F19</f>
        <v>0</v>
      </c>
      <c r="D71" s="475">
        <f>+'Tab. 6D - Oświata'!G78</f>
        <v>0</v>
      </c>
      <c r="E71" s="475">
        <f>+'Tab. 6D - Oświata'!H78</f>
        <v>0</v>
      </c>
      <c r="F71" s="475">
        <f>+'Tab. 6D - Oświata'!I78</f>
        <v>0</v>
      </c>
      <c r="G71" s="475">
        <f>+'Tab. 6D - Oświata'!J78</f>
        <v>0</v>
      </c>
      <c r="H71" s="475">
        <f>+'Tab. 6D - Oświata'!K78</f>
        <v>0</v>
      </c>
      <c r="I71" s="475">
        <f>+'Tab. 6D - Oświata'!L78</f>
        <v>0</v>
      </c>
      <c r="J71" s="2123">
        <f t="shared" si="29"/>
        <v>0</v>
      </c>
      <c r="K71" s="1109">
        <f t="shared" si="32"/>
        <v>0</v>
      </c>
      <c r="L71" s="1109">
        <f>SUM(D71:I71)+'Tab. 6C - Ochrona zdrowia'!P57+'Tab. 6C - Ochrona zdrowia'!P62</f>
        <v>0</v>
      </c>
      <c r="M71" s="470"/>
      <c r="N71" s="471">
        <f t="shared" si="31"/>
        <v>0</v>
      </c>
      <c r="O71" s="472">
        <f t="shared" si="25"/>
        <v>0</v>
      </c>
    </row>
    <row r="72" spans="1:15" s="473" customFormat="1" ht="15.75" customHeight="1">
      <c r="A72" s="474" t="s">
        <v>14</v>
      </c>
      <c r="B72" s="475">
        <f>+'Tab. 6G - Roln i ochrona środ.'!E84+'Tab. 6E - Administracja'!E260</f>
        <v>0</v>
      </c>
      <c r="C72" s="476">
        <f>'Tab. 6G - Roln i ochrona środ.'!F84</f>
        <v>3328708</v>
      </c>
      <c r="D72" s="476">
        <f>'Tab. 6G - Roln i ochrona środ.'!G84</f>
        <v>19539975</v>
      </c>
      <c r="E72" s="476">
        <f>'Tab. 6G - Roln i ochrona środ.'!H84</f>
        <v>60161157</v>
      </c>
      <c r="F72" s="476">
        <f>'Tab. 6G - Roln i ochrona środ.'!I84</f>
        <v>20384000</v>
      </c>
      <c r="G72" s="476">
        <f>'Tab. 6G - Roln i ochrona środ.'!J84</f>
        <v>40060800</v>
      </c>
      <c r="H72" s="476">
        <f>'Tab. 6G - Roln i ochrona środ.'!K84</f>
        <v>586160</v>
      </c>
      <c r="I72" s="475">
        <f>'Tab. 6G - Roln i ochrona środ.'!L84</f>
        <v>0</v>
      </c>
      <c r="J72" s="2123">
        <f t="shared" si="29"/>
        <v>144060800</v>
      </c>
      <c r="K72" s="1109">
        <f t="shared" si="32"/>
        <v>144060800</v>
      </c>
      <c r="L72" s="1109">
        <f>SUM(D72:I72)</f>
        <v>140732092</v>
      </c>
      <c r="M72" s="231"/>
      <c r="N72" s="471">
        <f t="shared" si="31"/>
        <v>144060800</v>
      </c>
      <c r="O72" s="472">
        <f t="shared" si="25"/>
        <v>0</v>
      </c>
    </row>
    <row r="73" spans="1:15" s="473" customFormat="1" ht="18" customHeight="1">
      <c r="A73" s="467" t="s">
        <v>18</v>
      </c>
      <c r="B73" s="469">
        <f t="shared" ref="B73:I73" si="33">SUM(B74:B74)</f>
        <v>524900</v>
      </c>
      <c r="C73" s="468">
        <f t="shared" si="33"/>
        <v>47005</v>
      </c>
      <c r="D73" s="468">
        <f t="shared" si="33"/>
        <v>6836098</v>
      </c>
      <c r="E73" s="468">
        <f t="shared" si="33"/>
        <v>32322958</v>
      </c>
      <c r="F73" s="468">
        <f t="shared" si="33"/>
        <v>46654320</v>
      </c>
      <c r="G73" s="468">
        <f t="shared" si="33"/>
        <v>16340407</v>
      </c>
      <c r="H73" s="468">
        <f t="shared" si="33"/>
        <v>10092500</v>
      </c>
      <c r="I73" s="469">
        <f t="shared" si="33"/>
        <v>0</v>
      </c>
      <c r="J73" s="2125">
        <f>+J74</f>
        <v>112818188</v>
      </c>
      <c r="K73" s="2145" t="s">
        <v>61</v>
      </c>
      <c r="L73" s="2145" t="s">
        <v>61</v>
      </c>
      <c r="M73" s="470"/>
      <c r="N73" s="471">
        <f t="shared" si="31"/>
        <v>112818188</v>
      </c>
      <c r="O73" s="472">
        <f t="shared" si="25"/>
        <v>0</v>
      </c>
    </row>
    <row r="74" spans="1:15" s="473" customFormat="1" ht="16.5" customHeight="1">
      <c r="A74" s="474" t="s">
        <v>35</v>
      </c>
      <c r="B74" s="475">
        <f>+'Tab. 6D - Oświata'!E82+'Tab. 6F - Kultura'!E16+'Tab. 6C - Ochrona zdrowia'!E22</f>
        <v>524900</v>
      </c>
      <c r="C74" s="476">
        <f>+'Tab. 6D - Oświata'!F82+'Tab. 6F - Kultura'!F16+'Tab. 6C - Ochrona zdrowia'!F22</f>
        <v>47005</v>
      </c>
      <c r="D74" s="476">
        <f>+'Tab. 6D - Oświata'!G82+'Tab. 6F - Kultura'!G16+'Tab. 6C - Ochrona zdrowia'!G22</f>
        <v>6836098</v>
      </c>
      <c r="E74" s="476">
        <f>+'Tab. 6D - Oświata'!H82+'Tab. 6F - Kultura'!H16+'Tab. 6C - Ochrona zdrowia'!H22</f>
        <v>32322958</v>
      </c>
      <c r="F74" s="476">
        <f>+'Tab. 6D - Oświata'!I82+'Tab. 6F - Kultura'!I16+'Tab. 6C - Ochrona zdrowia'!I22</f>
        <v>46654320</v>
      </c>
      <c r="G74" s="476">
        <f>+'Tab. 6D - Oświata'!J82+'Tab. 6F - Kultura'!J16+'Tab. 6C - Ochrona zdrowia'!J22</f>
        <v>16340407</v>
      </c>
      <c r="H74" s="476">
        <f>+'Tab. 6D - Oświata'!K82+'Tab. 6F - Kultura'!K16+'Tab. 6C - Ochrona zdrowia'!K22</f>
        <v>10092500</v>
      </c>
      <c r="I74" s="475">
        <f>+'Tab. 6D - Oświata'!L82+'Tab. 6F - Kultura'!L16+'Tab. 6C - Ochrona zdrowia'!L22</f>
        <v>0</v>
      </c>
      <c r="J74" s="2123">
        <f>B74+C74+D74+E74+F74+G74+H74+I74</f>
        <v>112818188</v>
      </c>
      <c r="K74" s="1850" t="s">
        <v>61</v>
      </c>
      <c r="L74" s="1850" t="s">
        <v>61</v>
      </c>
      <c r="M74" s="470"/>
      <c r="N74" s="471">
        <f t="shared" si="31"/>
        <v>112818188</v>
      </c>
      <c r="O74" s="472">
        <f t="shared" si="25"/>
        <v>0</v>
      </c>
    </row>
    <row r="75" spans="1:15" s="1116" customFormat="1" ht="18" customHeight="1">
      <c r="A75" s="1114" t="s">
        <v>22</v>
      </c>
      <c r="B75" s="934">
        <f>+B76+B82</f>
        <v>57289196</v>
      </c>
      <c r="C75" s="934">
        <f t="shared" ref="C75:F75" si="34">+C76+C82</f>
        <v>53176752</v>
      </c>
      <c r="D75" s="934">
        <f t="shared" si="34"/>
        <v>56447000</v>
      </c>
      <c r="E75" s="934">
        <f t="shared" si="34"/>
        <v>138307382</v>
      </c>
      <c r="F75" s="934">
        <f t="shared" si="34"/>
        <v>109441713</v>
      </c>
      <c r="G75" s="934">
        <f t="shared" ref="G75:I75" si="35">+G76+G82</f>
        <v>62076280</v>
      </c>
      <c r="H75" s="934">
        <f t="shared" si="35"/>
        <v>12329389</v>
      </c>
      <c r="I75" s="1547">
        <f t="shared" si="35"/>
        <v>0</v>
      </c>
      <c r="J75" s="2140">
        <f t="shared" ref="J75" si="36">+J76+J82</f>
        <v>489067712</v>
      </c>
      <c r="K75" s="3194" t="s">
        <v>23</v>
      </c>
      <c r="L75" s="3194" t="s">
        <v>23</v>
      </c>
      <c r="M75" s="1140"/>
    </row>
    <row r="76" spans="1:15" s="473" customFormat="1" ht="15" customHeight="1">
      <c r="A76" s="467" t="s">
        <v>24</v>
      </c>
      <c r="B76" s="935">
        <f>SUM(B77:B81)</f>
        <v>56764296</v>
      </c>
      <c r="C76" s="935">
        <f t="shared" ref="C76:F76" si="37">SUM(C77:C81)</f>
        <v>53154397</v>
      </c>
      <c r="D76" s="935">
        <f t="shared" si="37"/>
        <v>49836603</v>
      </c>
      <c r="E76" s="935">
        <f t="shared" si="37"/>
        <v>106354073</v>
      </c>
      <c r="F76" s="935">
        <f t="shared" si="37"/>
        <v>62167393</v>
      </c>
      <c r="G76" s="935">
        <f t="shared" ref="G76:I76" si="38">SUM(G77:G81)</f>
        <v>45735873</v>
      </c>
      <c r="H76" s="935">
        <f t="shared" si="38"/>
        <v>2236889</v>
      </c>
      <c r="I76" s="1152">
        <f t="shared" si="38"/>
        <v>0</v>
      </c>
      <c r="J76" s="2127">
        <f>SUM(J77:J81)</f>
        <v>376249524</v>
      </c>
      <c r="K76" s="3195"/>
      <c r="L76" s="3195"/>
      <c r="M76" s="470" t="s">
        <v>239</v>
      </c>
    </row>
    <row r="77" spans="1:15" s="473" customFormat="1" ht="15.75" customHeight="1">
      <c r="A77" s="474" t="s">
        <v>13</v>
      </c>
      <c r="B77" s="936">
        <f>+'Tab. 6C - Ochrona zdrowia'!E25+'Tab. 6A -Drogi'!E509</f>
        <v>0</v>
      </c>
      <c r="C77" s="250">
        <f>+'Tab. 6C - Ochrona zdrowia'!F25+'Tab. 6A -Drogi'!F509</f>
        <v>23425991</v>
      </c>
      <c r="D77" s="1151">
        <f>+'Tab. 6C - Ochrona zdrowia'!G25+'Tab. 6A -Drogi'!G509</f>
        <v>0</v>
      </c>
      <c r="E77" s="1151">
        <f>+'Tab. 6C - Ochrona zdrowia'!H25+'Tab. 6A -Drogi'!H509</f>
        <v>0</v>
      </c>
      <c r="F77" s="1151">
        <f>+'Tab. 6C - Ochrona zdrowia'!I25+'Tab. 6A -Drogi'!I509</f>
        <v>0</v>
      </c>
      <c r="G77" s="1151">
        <f>+'Tab. 6C - Ochrona zdrowia'!J25+'Tab. 6A -Drogi'!J509</f>
        <v>0</v>
      </c>
      <c r="H77" s="1151">
        <f>+'Tab. 6C - Ochrona zdrowia'!K25+'Tab. 6A -Drogi'!K509</f>
        <v>0</v>
      </c>
      <c r="I77" s="1151">
        <f>+'Tab. 6C - Ochrona zdrowia'!L25+'Tab. 6A -Drogi'!L509</f>
        <v>0</v>
      </c>
      <c r="J77" s="2123">
        <f>B77+C77+D77+E77+F77+G77+H77+I77</f>
        <v>23425991</v>
      </c>
      <c r="K77" s="3195"/>
      <c r="L77" s="3195"/>
      <c r="M77" s="470">
        <f>J77-J70</f>
        <v>0</v>
      </c>
    </row>
    <row r="78" spans="1:15" s="473" customFormat="1" ht="15" customHeight="1">
      <c r="A78" s="474" t="s">
        <v>15</v>
      </c>
      <c r="B78" s="936">
        <f>+'Tab. 6A -Drogi'!E510+'Tab. 6C - Ochrona zdrowia'!E26</f>
        <v>4693764</v>
      </c>
      <c r="C78" s="250">
        <f>+'Tab. 6A -Drogi'!F510+'Tab. 6C - Ochrona zdrowia'!F26</f>
        <v>4000167</v>
      </c>
      <c r="D78" s="250">
        <f>+'Tab. 6A -Drogi'!G510+'Tab. 6C - Ochrona zdrowia'!G26</f>
        <v>1360602</v>
      </c>
      <c r="E78" s="1151">
        <f>+'Tab. 6A -Drogi'!H510+'Tab. 6C - Ochrona zdrowia'!H26</f>
        <v>0</v>
      </c>
      <c r="F78" s="1151">
        <f>+'Tab. 6A -Drogi'!I510+'Tab. 6C - Ochrona zdrowia'!I26</f>
        <v>0</v>
      </c>
      <c r="G78" s="1151">
        <f>+'Tab. 6A -Drogi'!J510+'Tab. 6C - Ochrona zdrowia'!J26</f>
        <v>0</v>
      </c>
      <c r="H78" s="1151">
        <f>+'Tab. 6A -Drogi'!K510+'Tab. 6C - Ochrona zdrowia'!K26</f>
        <v>0</v>
      </c>
      <c r="I78" s="1151">
        <f>+'Tab. 6A -Drogi'!L510+'Tab. 6C - Ochrona zdrowia'!L26</f>
        <v>0</v>
      </c>
      <c r="J78" s="2123">
        <f>B78+C78+D78+E78+F78+G78+H78+I78</f>
        <v>10054533</v>
      </c>
      <c r="K78" s="3195"/>
      <c r="L78" s="3195"/>
      <c r="M78" s="470">
        <f>J78-J69</f>
        <v>0</v>
      </c>
    </row>
    <row r="79" spans="1:15" s="473" customFormat="1" ht="15" customHeight="1">
      <c r="A79" s="474" t="s">
        <v>16</v>
      </c>
      <c r="B79" s="936">
        <f>+'Tab. 6A -Drogi'!E511+'Tab. 6G - Roln i ochrona środ.'!E91</f>
        <v>28772061</v>
      </c>
      <c r="C79" s="936">
        <f>+'Tab. 6A -Drogi'!F511+'Tab. 6G - Roln i ochrona środ.'!F91</f>
        <v>8419285</v>
      </c>
      <c r="D79" s="936">
        <f>+'Tab. 6A -Drogi'!G511+'Tab. 6G - Roln i ochrona środ.'!G91</f>
        <v>8419285</v>
      </c>
      <c r="E79" s="936">
        <f>+'Tab. 6A -Drogi'!H511+'Tab. 6G - Roln i ochrona środ.'!H91</f>
        <v>8419285</v>
      </c>
      <c r="F79" s="936">
        <f>+'Tab. 6A -Drogi'!I511+'Tab. 6G - Roln i ochrona środ.'!I91</f>
        <v>8419285</v>
      </c>
      <c r="G79" s="1131">
        <f>+'Tab. 6A -Drogi'!J511+'Tab. 6G - Roln i ochrona środ.'!J91</f>
        <v>0</v>
      </c>
      <c r="H79" s="1131">
        <f>+'Tab. 6A -Drogi'!K511+'Tab. 6G - Roln i ochrona środ.'!K91</f>
        <v>0</v>
      </c>
      <c r="I79" s="1131">
        <f>+'Tab. 6A -Drogi'!L511+'Tab. 6G - Roln i ochrona środ.'!L91</f>
        <v>0</v>
      </c>
      <c r="J79" s="2123">
        <f>B79+C79+D79+E79+F79+G79+H79+I79</f>
        <v>62449201</v>
      </c>
      <c r="K79" s="3195"/>
      <c r="L79" s="3195"/>
      <c r="M79" s="470">
        <f>J79-J66</f>
        <v>0</v>
      </c>
    </row>
    <row r="80" spans="1:15" s="473" customFormat="1" ht="14.25" customHeight="1">
      <c r="A80" s="1121" t="s">
        <v>212</v>
      </c>
      <c r="B80" s="937">
        <f>+'Tab. 6F - Kultura'!E19+'Tab. 6D - Oświata'!E86+'Tab. 6A -Drogi'!E508</f>
        <v>23298471</v>
      </c>
      <c r="C80" s="1122">
        <f>+'Tab. 6F - Kultura'!F19+'Tab. 6D - Oświata'!F86+'Tab. 6A -Drogi'!F508</f>
        <v>13980246</v>
      </c>
      <c r="D80" s="1122">
        <f>+'Tab. 6F - Kultura'!G19+'Tab. 6D - Oświata'!G86+'Tab. 6A -Drogi'!G508</f>
        <v>20516741</v>
      </c>
      <c r="E80" s="1122">
        <f>+'Tab. 6F - Kultura'!H19+'Tab. 6D - Oświata'!H86+'Tab. 6A -Drogi'!H508</f>
        <v>37773631</v>
      </c>
      <c r="F80" s="1122">
        <f>+'Tab. 6F - Kultura'!I19+'Tab. 6D - Oświata'!I86+'Tab. 6A -Drogi'!I508</f>
        <v>33364108</v>
      </c>
      <c r="G80" s="1122">
        <f>+'Tab. 6F - Kultura'!J19+'Tab. 6D - Oświata'!J86+'Tab. 6A -Drogi'!J508</f>
        <v>5675073</v>
      </c>
      <c r="H80" s="1122">
        <f>+'Tab. 6F - Kultura'!K19+'Tab. 6D - Oświata'!K86+'Tab. 6A -Drogi'!K508</f>
        <v>1650729</v>
      </c>
      <c r="I80" s="1123">
        <f>+'Tab. 6F - Kultura'!L19+'Tab. 6D - Oświata'!L86+'Tab. 6A -Drogi'!L508</f>
        <v>0</v>
      </c>
      <c r="J80" s="2123">
        <f>B80+C80+D80+E80+F80+G80+H80+I80</f>
        <v>136258999</v>
      </c>
      <c r="K80" s="3195"/>
      <c r="L80" s="3195"/>
      <c r="M80" s="470"/>
    </row>
    <row r="81" spans="1:14" s="473" customFormat="1" ht="15" customHeight="1">
      <c r="A81" s="474" t="s">
        <v>14</v>
      </c>
      <c r="B81" s="1131">
        <f>+'Tab. 6G - Roln i ochrona środ.'!E90+'Tab. 6E - Administracja'!E263</f>
        <v>0</v>
      </c>
      <c r="C81" s="1122">
        <f>+'Tab. 6G - Roln i ochrona środ.'!F90</f>
        <v>3328708</v>
      </c>
      <c r="D81" s="1122">
        <f>+'Tab. 6G - Roln i ochrona środ.'!G90</f>
        <v>19539975</v>
      </c>
      <c r="E81" s="1122">
        <f>+'Tab. 6G - Roln i ochrona środ.'!H90</f>
        <v>60161157</v>
      </c>
      <c r="F81" s="1122">
        <f>+'Tab. 6G - Roln i ochrona środ.'!I90</f>
        <v>20384000</v>
      </c>
      <c r="G81" s="1122">
        <f>+'Tab. 6G - Roln i ochrona środ.'!J90</f>
        <v>40060800</v>
      </c>
      <c r="H81" s="1122">
        <f>+'Tab. 6G - Roln i ochrona środ.'!K90</f>
        <v>586160</v>
      </c>
      <c r="I81" s="1151">
        <f>+'Tab. 6G - Roln i ochrona środ.'!L90</f>
        <v>0</v>
      </c>
      <c r="J81" s="2123">
        <f>B81+C81+D81+E81+F81+G81+H81+I81</f>
        <v>144060800</v>
      </c>
      <c r="K81" s="3195"/>
      <c r="L81" s="3195"/>
      <c r="M81" s="470">
        <f>J81-J72</f>
        <v>0</v>
      </c>
    </row>
    <row r="82" spans="1:14" s="473" customFormat="1" ht="14.25" customHeight="1">
      <c r="A82" s="467" t="s">
        <v>18</v>
      </c>
      <c r="B82" s="1153">
        <f t="shared" ref="B82:I82" si="39">SUM(B83:B83)</f>
        <v>524900</v>
      </c>
      <c r="C82" s="938">
        <f t="shared" si="39"/>
        <v>22355</v>
      </c>
      <c r="D82" s="938">
        <f t="shared" si="39"/>
        <v>6610397</v>
      </c>
      <c r="E82" s="938">
        <f t="shared" si="39"/>
        <v>31953309</v>
      </c>
      <c r="F82" s="938">
        <f t="shared" si="39"/>
        <v>47274320</v>
      </c>
      <c r="G82" s="938">
        <f t="shared" si="39"/>
        <v>16340407</v>
      </c>
      <c r="H82" s="938">
        <f t="shared" si="39"/>
        <v>10092500</v>
      </c>
      <c r="I82" s="1153">
        <f t="shared" si="39"/>
        <v>0</v>
      </c>
      <c r="J82" s="2141">
        <f>+J83</f>
        <v>112818188</v>
      </c>
      <c r="K82" s="3195"/>
      <c r="L82" s="3195"/>
      <c r="M82" s="470"/>
    </row>
    <row r="83" spans="1:14" s="473" customFormat="1" ht="15.75" customHeight="1" thickBot="1">
      <c r="A83" s="1154" t="s">
        <v>35</v>
      </c>
      <c r="B83" s="1546">
        <f>+'Tab. 6D - Oświata'!E88+'Tab. 6F - Kultura'!E22+'Tab. 6C - Ochrona zdrowia'!E28</f>
        <v>524900</v>
      </c>
      <c r="C83" s="1548">
        <f>+'Tab. 6D - Oświata'!F88+'Tab. 6F - Kultura'!F22+'Tab. 6C - Ochrona zdrowia'!F28</f>
        <v>22355</v>
      </c>
      <c r="D83" s="1156">
        <f>+'Tab. 6D - Oświata'!G88+'Tab. 6F - Kultura'!G22+'Tab. 6C - Ochrona zdrowia'!G28</f>
        <v>6610397</v>
      </c>
      <c r="E83" s="1156">
        <f>+'Tab. 6D - Oświata'!H88+'Tab. 6F - Kultura'!H22+'Tab. 6C - Ochrona zdrowia'!H28</f>
        <v>31953309</v>
      </c>
      <c r="F83" s="1156">
        <f>+'Tab. 6D - Oświata'!I88+'Tab. 6F - Kultura'!I22+'Tab. 6C - Ochrona zdrowia'!I28</f>
        <v>47274320</v>
      </c>
      <c r="G83" s="1156">
        <f>+'Tab. 6D - Oświata'!J88+'Tab. 6F - Kultura'!J22+'Tab. 6C - Ochrona zdrowia'!J28</f>
        <v>16340407</v>
      </c>
      <c r="H83" s="1156">
        <f>+'Tab. 6D - Oświata'!K88+'Tab. 6F - Kultura'!K22+'Tab. 6C - Ochrona zdrowia'!K28</f>
        <v>10092500</v>
      </c>
      <c r="I83" s="1155">
        <f>+'Tab. 6D - Oświata'!L88+'Tab. 6F - Kultura'!L22+'Tab. 6C - Ochrona zdrowia'!L28</f>
        <v>0</v>
      </c>
      <c r="J83" s="2142">
        <f>B83+C83+D83+E83+F83+G83+H83+I83</f>
        <v>112818188</v>
      </c>
      <c r="K83" s="3196"/>
      <c r="L83" s="3196"/>
      <c r="M83" s="470"/>
      <c r="N83" s="1132"/>
    </row>
    <row r="84" spans="1:14" s="473" customFormat="1" ht="9.75" customHeight="1" thickBot="1">
      <c r="A84" s="1144"/>
      <c r="B84" s="1113"/>
      <c r="C84" s="1113"/>
      <c r="D84" s="1113"/>
      <c r="E84" s="1113"/>
      <c r="F84" s="1113"/>
      <c r="G84" s="1135"/>
      <c r="H84" s="1134"/>
      <c r="I84" s="1134"/>
      <c r="J84" s="1136"/>
      <c r="K84" s="1136"/>
      <c r="L84" s="1136"/>
      <c r="M84" s="470"/>
    </row>
    <row r="85" spans="1:14" s="1116" customFormat="1" ht="18" customHeight="1" thickBot="1">
      <c r="A85" s="1157" t="s">
        <v>27</v>
      </c>
      <c r="B85" s="1158">
        <f>+B63-B71-B73-B67</f>
        <v>403685749</v>
      </c>
      <c r="C85" s="1158">
        <f t="shared" ref="C85" si="40">+C63-C71-C73-C67</f>
        <v>184738018</v>
      </c>
      <c r="D85" s="1159">
        <f t="shared" ref="D85:I85" si="41">+D63-D71-D73-D67</f>
        <v>249600084</v>
      </c>
      <c r="E85" s="1159">
        <f t="shared" si="41"/>
        <v>322267878</v>
      </c>
      <c r="F85" s="1159">
        <f t="shared" si="41"/>
        <v>233937938</v>
      </c>
      <c r="G85" s="1159">
        <f t="shared" si="41"/>
        <v>66185422</v>
      </c>
      <c r="H85" s="1158">
        <f t="shared" si="41"/>
        <v>7257957</v>
      </c>
      <c r="I85" s="1158">
        <f t="shared" si="41"/>
        <v>4270868</v>
      </c>
      <c r="J85" s="1160">
        <f>SUM(C85:I85)+B85+'Tab. 6C - Ochrona zdrowia'!P51+'Tab. 6C - Ochrona zdrowia'!P56</f>
        <v>1506251361</v>
      </c>
      <c r="K85" s="1161">
        <f>+C85+D85+E85+F85+G85+H85+I85+'Tab. 6C - Ochrona zdrowia'!P51+'Tab. 6C - Ochrona zdrowia'!P56</f>
        <v>1102565612</v>
      </c>
      <c r="L85" s="1161">
        <f>+D85+E85+F85+G85+H85+I85+'Tab. 6C - Ochrona zdrowia'!P51+'Tab. 6C - Ochrona zdrowia'!P56</f>
        <v>917827594</v>
      </c>
      <c r="M85" s="1140">
        <f>+D85+E85+F85+G85+H85+I85+M86-L85</f>
        <v>0</v>
      </c>
      <c r="N85" s="1141">
        <f>J65+J66+J68+J69+J70+J72-J85</f>
        <v>0</v>
      </c>
    </row>
    <row r="86" spans="1:14" s="1116" customFormat="1" ht="18" customHeight="1" thickBot="1">
      <c r="A86" s="1157" t="s">
        <v>28</v>
      </c>
      <c r="B86" s="1162">
        <f>+B75-B82</f>
        <v>56764296</v>
      </c>
      <c r="C86" s="1162">
        <f t="shared" ref="C86:I86" si="42">+C75-C82</f>
        <v>53154397</v>
      </c>
      <c r="D86" s="1163">
        <f t="shared" si="42"/>
        <v>49836603</v>
      </c>
      <c r="E86" s="1163">
        <f t="shared" si="42"/>
        <v>106354073</v>
      </c>
      <c r="F86" s="1163">
        <f t="shared" si="42"/>
        <v>62167393</v>
      </c>
      <c r="G86" s="1163">
        <f t="shared" si="42"/>
        <v>45735873</v>
      </c>
      <c r="H86" s="1162">
        <f t="shared" si="42"/>
        <v>2236889</v>
      </c>
      <c r="I86" s="1162">
        <f t="shared" si="42"/>
        <v>0</v>
      </c>
      <c r="J86" s="1160">
        <f>SUM(C86:I86)+B86</f>
        <v>376249524</v>
      </c>
      <c r="K86" s="1164" t="s">
        <v>23</v>
      </c>
      <c r="L86" s="1164" t="s">
        <v>23</v>
      </c>
      <c r="M86" s="1140">
        <f>+'Tab. 6C - Ochrona zdrowia'!P51+'Tab. 6C - Ochrona zdrowia'!P56</f>
        <v>34307447</v>
      </c>
      <c r="N86" s="1116" t="s">
        <v>405</v>
      </c>
    </row>
    <row r="87" spans="1:14" s="1168" customFormat="1" ht="15" customHeight="1" thickBot="1">
      <c r="A87" s="1165"/>
      <c r="B87" s="1166"/>
      <c r="C87" s="1166"/>
      <c r="D87" s="1166"/>
      <c r="E87" s="1166"/>
      <c r="F87" s="1166"/>
      <c r="G87" s="1166"/>
      <c r="H87" s="1166"/>
      <c r="I87" s="1166"/>
      <c r="J87" s="1166"/>
      <c r="K87" s="1166"/>
      <c r="L87" s="1166"/>
      <c r="M87" s="1167"/>
    </row>
    <row r="88" spans="1:14" s="1168" customFormat="1" ht="18" customHeight="1" thickBot="1">
      <c r="A88" s="1169" t="s">
        <v>36</v>
      </c>
      <c r="B88" s="1170">
        <f>B89+B90</f>
        <v>503990373</v>
      </c>
      <c r="C88" s="1170">
        <f t="shared" ref="C88:D88" si="43">C89+C90</f>
        <v>459887047</v>
      </c>
      <c r="D88" s="1170">
        <f t="shared" si="43"/>
        <v>838658876</v>
      </c>
      <c r="E88" s="1170">
        <f t="shared" ref="E88:L88" si="44">E89+E90</f>
        <v>544292954</v>
      </c>
      <c r="F88" s="1170">
        <f t="shared" si="44"/>
        <v>332515821</v>
      </c>
      <c r="G88" s="1170">
        <f t="shared" si="44"/>
        <v>108867221</v>
      </c>
      <c r="H88" s="1170">
        <f t="shared" si="44"/>
        <v>45139598</v>
      </c>
      <c r="I88" s="1170">
        <f t="shared" si="44"/>
        <v>40323004</v>
      </c>
      <c r="J88" s="1171">
        <f t="shared" si="44"/>
        <v>2907982341</v>
      </c>
      <c r="K88" s="1172">
        <f>K89+K90</f>
        <v>2403991968</v>
      </c>
      <c r="L88" s="1172">
        <f t="shared" si="44"/>
        <v>1944104921</v>
      </c>
      <c r="M88" s="1167"/>
    </row>
    <row r="89" spans="1:14" s="1168" customFormat="1" ht="18" customHeight="1" thickTop="1">
      <c r="A89" s="1173" t="s">
        <v>37</v>
      </c>
      <c r="B89" s="1174">
        <f t="shared" ref="B89:I89" si="45">B13+B60</f>
        <v>406739448</v>
      </c>
      <c r="C89" s="1174">
        <f t="shared" si="45"/>
        <v>184585874</v>
      </c>
      <c r="D89" s="1174">
        <f t="shared" si="45"/>
        <v>243854690</v>
      </c>
      <c r="E89" s="1174">
        <f>E13+E60</f>
        <v>221748287</v>
      </c>
      <c r="F89" s="1174">
        <f t="shared" si="45"/>
        <v>203764272</v>
      </c>
      <c r="G89" s="1174">
        <f t="shared" si="45"/>
        <v>51805701</v>
      </c>
      <c r="H89" s="1174">
        <f t="shared" si="45"/>
        <v>42936693</v>
      </c>
      <c r="I89" s="1174">
        <f t="shared" si="45"/>
        <v>40178504</v>
      </c>
      <c r="J89" s="1175">
        <f>J13+J60</f>
        <v>1429920916</v>
      </c>
      <c r="K89" s="1176">
        <f>K13+K60</f>
        <v>1023181468</v>
      </c>
      <c r="L89" s="1176">
        <f>L13+L60</f>
        <v>838595594</v>
      </c>
      <c r="M89" s="1167"/>
    </row>
    <row r="90" spans="1:14" s="1168" customFormat="1" ht="18" customHeight="1">
      <c r="A90" s="1173" t="s">
        <v>38</v>
      </c>
      <c r="B90" s="1174">
        <f t="shared" ref="B90:L90" si="46">B14+B61</f>
        <v>97250925</v>
      </c>
      <c r="C90" s="1174">
        <f t="shared" si="46"/>
        <v>275301173</v>
      </c>
      <c r="D90" s="1174">
        <f t="shared" si="46"/>
        <v>594804186</v>
      </c>
      <c r="E90" s="1174">
        <f t="shared" si="46"/>
        <v>322544667</v>
      </c>
      <c r="F90" s="1174">
        <f t="shared" si="46"/>
        <v>128751549</v>
      </c>
      <c r="G90" s="1174">
        <f t="shared" si="46"/>
        <v>57061520</v>
      </c>
      <c r="H90" s="1174">
        <f t="shared" si="46"/>
        <v>2202905</v>
      </c>
      <c r="I90" s="1174">
        <f t="shared" si="46"/>
        <v>144500</v>
      </c>
      <c r="J90" s="1175">
        <f>J14+J61</f>
        <v>1478061425</v>
      </c>
      <c r="K90" s="1176">
        <f t="shared" ref="K90" si="47">K14+K61</f>
        <v>1380810500</v>
      </c>
      <c r="L90" s="1176">
        <f t="shared" si="46"/>
        <v>1105509327</v>
      </c>
      <c r="M90" s="1167"/>
    </row>
    <row r="91" spans="1:14" s="1168" customFormat="1" ht="18" customHeight="1" thickBot="1">
      <c r="A91" s="1177" t="s">
        <v>39</v>
      </c>
      <c r="B91" s="1178">
        <f>B49+B86</f>
        <v>135940656</v>
      </c>
      <c r="C91" s="1178">
        <f t="shared" ref="C91:D91" si="48">C49+C86</f>
        <v>278228213</v>
      </c>
      <c r="D91" s="1178">
        <f t="shared" si="48"/>
        <v>540950873</v>
      </c>
      <c r="E91" s="1178">
        <f t="shared" ref="E91:I91" si="49">E49+E86</f>
        <v>290132779</v>
      </c>
      <c r="F91" s="1178">
        <f>F49+F86</f>
        <v>151732835</v>
      </c>
      <c r="G91" s="1178">
        <f t="shared" si="49"/>
        <v>85866240</v>
      </c>
      <c r="H91" s="1178">
        <f t="shared" si="49"/>
        <v>35509863</v>
      </c>
      <c r="I91" s="1178">
        <f t="shared" si="49"/>
        <v>31999081</v>
      </c>
      <c r="J91" s="1178">
        <f>J49+J86</f>
        <v>1557755171</v>
      </c>
      <c r="K91" s="1179" t="s">
        <v>23</v>
      </c>
      <c r="L91" s="1179" t="s">
        <v>23</v>
      </c>
      <c r="M91" s="1167">
        <f>'Tab. 6A -Drogi'!D22+'Tab. 6A -Drogi'!D506+'Tab. 6B Polit społ i rozwój prz'!D17+'Tab. 6C - Ochrona zdrowia'!D24+'Tab. 6D - Oświata'!D18+'Tab. 6E - Administracja'!D20+'Tab. 6E - Administracja'!D245+'Tab. 6F - Kultura'!D19+'Tab. 6G - Roln i ochrona środ.'!D21+'Tab. 6G - Roln i ochrona środ.'!D86+'Tab. 6H - Kultura fiz. i turyst'!D18+'Tab.6I - Planow. przestrz.'!D18</f>
        <v>1557755171</v>
      </c>
      <c r="N91" s="1168" t="s">
        <v>240</v>
      </c>
    </row>
    <row r="92" spans="1:14" s="1168" customFormat="1" ht="18.75" customHeight="1" thickTop="1">
      <c r="A92" s="1173" t="s">
        <v>40</v>
      </c>
      <c r="B92" s="1174">
        <f>B98+B102</f>
        <v>89142881</v>
      </c>
      <c r="C92" s="1174">
        <f>C98+C102</f>
        <v>87133965</v>
      </c>
      <c r="D92" s="1174">
        <f t="shared" ref="C92:D93" si="50">D98+D102</f>
        <v>98557627</v>
      </c>
      <c r="E92" s="1174">
        <f t="shared" ref="E92:I93" si="51">E98+E102</f>
        <v>99971212</v>
      </c>
      <c r="F92" s="1174">
        <f t="shared" si="51"/>
        <v>88026714</v>
      </c>
      <c r="G92" s="1174">
        <f t="shared" si="51"/>
        <v>42636915</v>
      </c>
      <c r="H92" s="1174">
        <f t="shared" si="51"/>
        <v>34779203</v>
      </c>
      <c r="I92" s="1174">
        <f t="shared" si="51"/>
        <v>31854581</v>
      </c>
      <c r="J92" s="1174">
        <f>J98+J102</f>
        <v>579186658</v>
      </c>
      <c r="K92" s="1180" t="s">
        <v>23</v>
      </c>
      <c r="L92" s="1180" t="s">
        <v>23</v>
      </c>
      <c r="M92" s="1167">
        <f>J91-M91</f>
        <v>0</v>
      </c>
      <c r="N92" s="1181"/>
    </row>
    <row r="93" spans="1:14" s="1168" customFormat="1" ht="16.5" customHeight="1" thickBot="1">
      <c r="A93" s="1182" t="s">
        <v>41</v>
      </c>
      <c r="B93" s="1183">
        <f>B99+B103</f>
        <v>46797775</v>
      </c>
      <c r="C93" s="1183">
        <f t="shared" si="50"/>
        <v>191094248</v>
      </c>
      <c r="D93" s="1183">
        <f t="shared" si="50"/>
        <v>442393246</v>
      </c>
      <c r="E93" s="1183">
        <f t="shared" si="51"/>
        <v>190161567</v>
      </c>
      <c r="F93" s="1183">
        <f t="shared" si="51"/>
        <v>63706121</v>
      </c>
      <c r="G93" s="1183">
        <f t="shared" si="51"/>
        <v>43229325</v>
      </c>
      <c r="H93" s="1183">
        <f t="shared" si="51"/>
        <v>730660</v>
      </c>
      <c r="I93" s="1183">
        <f t="shared" si="51"/>
        <v>144500</v>
      </c>
      <c r="J93" s="1183">
        <f>J99+J103</f>
        <v>978568513</v>
      </c>
      <c r="K93" s="1184" t="s">
        <v>23</v>
      </c>
      <c r="L93" s="1184" t="s">
        <v>23</v>
      </c>
      <c r="M93" s="1167">
        <f>M91-J97-J101</f>
        <v>0</v>
      </c>
    </row>
    <row r="94" spans="1:14" s="1168" customFormat="1" ht="18" hidden="1" customHeight="1">
      <c r="A94" s="1185" t="s">
        <v>42</v>
      </c>
      <c r="B94" s="1186">
        <f>B92+B93-B91</f>
        <v>0</v>
      </c>
      <c r="C94" s="1186">
        <f>C92+C93-C91</f>
        <v>0</v>
      </c>
      <c r="D94" s="1186">
        <f t="shared" ref="D94:I94" si="52">D92+D93-D91</f>
        <v>0</v>
      </c>
      <c r="E94" s="1186">
        <f t="shared" si="52"/>
        <v>0</v>
      </c>
      <c r="F94" s="1186">
        <f>F92+F93-F91</f>
        <v>0</v>
      </c>
      <c r="G94" s="1186">
        <f t="shared" si="52"/>
        <v>0</v>
      </c>
      <c r="H94" s="1186">
        <f t="shared" si="52"/>
        <v>0</v>
      </c>
      <c r="I94" s="1186">
        <f t="shared" si="52"/>
        <v>0</v>
      </c>
      <c r="J94" s="1186">
        <f>J92+J93-J91</f>
        <v>0</v>
      </c>
      <c r="K94" s="1167"/>
      <c r="L94" s="1167"/>
      <c r="M94" s="1167"/>
      <c r="N94" s="1181"/>
    </row>
    <row r="95" spans="1:14" s="1168" customFormat="1" ht="11.25" hidden="1" customHeight="1">
      <c r="A95" s="1187"/>
      <c r="B95" s="1186"/>
      <c r="C95" s="1186"/>
      <c r="D95" s="1186"/>
      <c r="E95" s="1186"/>
      <c r="F95" s="1186"/>
      <c r="G95" s="1186"/>
      <c r="H95" s="1186"/>
      <c r="I95" s="1186"/>
      <c r="J95" s="1186"/>
      <c r="K95" s="1167"/>
      <c r="L95" s="1167"/>
      <c r="M95" s="1167"/>
    </row>
    <row r="96" spans="1:14" s="1168" customFormat="1" ht="18" hidden="1" customHeight="1" thickBot="1">
      <c r="A96" s="1188" t="s">
        <v>43</v>
      </c>
      <c r="B96" s="1189">
        <f>B32-B97</f>
        <v>0</v>
      </c>
      <c r="C96" s="1189">
        <f t="shared" ref="C96:D96" si="53">C32-C97</f>
        <v>0</v>
      </c>
      <c r="D96" s="1189">
        <f t="shared" si="53"/>
        <v>0</v>
      </c>
      <c r="E96" s="1189">
        <f t="shared" ref="E96:J96" si="54">E32-E97</f>
        <v>0</v>
      </c>
      <c r="F96" s="1189">
        <f t="shared" si="54"/>
        <v>0</v>
      </c>
      <c r="G96" s="1189">
        <f t="shared" si="54"/>
        <v>0</v>
      </c>
      <c r="H96" s="1189">
        <f t="shared" si="54"/>
        <v>0</v>
      </c>
      <c r="I96" s="1189">
        <f t="shared" si="54"/>
        <v>0</v>
      </c>
      <c r="J96" s="1189">
        <f t="shared" si="54"/>
        <v>0</v>
      </c>
      <c r="K96" s="1167"/>
      <c r="L96" s="2578">
        <f>J97-L97</f>
        <v>0</v>
      </c>
      <c r="M96" s="1167"/>
      <c r="N96" s="1181">
        <f>M97+M101-M91</f>
        <v>0</v>
      </c>
    </row>
    <row r="97" spans="1:15" s="1168" customFormat="1" ht="18" hidden="1" customHeight="1" thickBot="1">
      <c r="A97" s="1190" t="s">
        <v>44</v>
      </c>
      <c r="B97" s="1191">
        <f t="shared" ref="B97:D97" si="55">B98+B99</f>
        <v>79176360</v>
      </c>
      <c r="C97" s="1191">
        <f t="shared" si="55"/>
        <v>225073816</v>
      </c>
      <c r="D97" s="1191">
        <f t="shared" si="55"/>
        <v>491114270</v>
      </c>
      <c r="E97" s="1191">
        <f t="shared" ref="E97:N97" si="56">E98+E99</f>
        <v>183778706</v>
      </c>
      <c r="F97" s="1191">
        <f t="shared" si="56"/>
        <v>89565442</v>
      </c>
      <c r="G97" s="1191">
        <f t="shared" si="56"/>
        <v>40130367</v>
      </c>
      <c r="H97" s="1191">
        <f t="shared" si="56"/>
        <v>33272974</v>
      </c>
      <c r="I97" s="1191">
        <f t="shared" si="56"/>
        <v>31999081</v>
      </c>
      <c r="J97" s="1192">
        <f>J98+J99</f>
        <v>1181505647</v>
      </c>
      <c r="K97" s="1167"/>
      <c r="L97" s="2578">
        <f>'Tab. 6A -Drogi'!D22+'Tab. 6B Polit społ i rozwój prz'!D17+'Tab. 6D - Oświata'!D18+'Tab. 6E - Administracja'!D20+'Tab. 6G - Roln i ochrona środ.'!D21+'Tab. 6H - Kultura fiz. i turyst'!D18+'Tab.6I - Planow. przestrz.'!D18</f>
        <v>1181505647</v>
      </c>
      <c r="M97" s="1192">
        <f>M98+M99</f>
        <v>1181505647</v>
      </c>
      <c r="N97" s="1192">
        <f t="shared" si="56"/>
        <v>0</v>
      </c>
      <c r="O97" s="1445" t="s">
        <v>400</v>
      </c>
    </row>
    <row r="98" spans="1:15" s="1168" customFormat="1" ht="20.25" hidden="1" customHeight="1" thickTop="1">
      <c r="A98" s="1193" t="s">
        <v>40</v>
      </c>
      <c r="B98" s="1194">
        <f>'Tab. 6A -Drogi'!E645+'Tab. 6B Polit społ i rozwój prz'!E251+'Tab. 6D - Oświata'!E116+'Tab. 6E - Administracja'!E268+'Tab. 6G - Roln i ochrona środ.'!E115+'Tab. 6H - Kultura fiz. i turyst'!E261+'Tab.6I - Planow. przestrz.'!E104</f>
        <v>32378585</v>
      </c>
      <c r="C98" s="1194">
        <f>'Tab. 6A -Drogi'!F645+'Tab. 6B Polit społ i rozwój prz'!F251+'Tab. 6D - Oświata'!F116+'Tab. 6E - Administracja'!F268+'Tab. 6G - Roln i ochrona środ.'!F115+'Tab. 6H - Kultura fiz. i turyst'!F261+'Tab.6I - Planow. przestrz.'!F104</f>
        <v>39490276</v>
      </c>
      <c r="D98" s="1194">
        <f>'Tab. 6A -Drogi'!G645+'Tab. 6B Polit społ i rozwój prz'!G251+'Tab. 6D - Oświata'!G116+'Tab. 6E - Administracja'!G268+'Tab. 6G - Roln i ochrona środ.'!G115+'Tab. 6H - Kultura fiz. i turyst'!G261+'Tab.6I - Planow. przestrz.'!G104</f>
        <v>68260999</v>
      </c>
      <c r="E98" s="1194">
        <f>'Tab. 6A -Drogi'!H645+'Tab. 6B Polit społ i rozwój prz'!H251+'Tab. 6D - Oświata'!H116+'Tab. 6E - Administracja'!H268+'Tab. 6G - Roln i ochrona środ.'!H115+'Tab. 6H - Kultura fiz. i turyst'!H261+'Tab.6I - Planow. przestrz.'!H104</f>
        <v>53778296</v>
      </c>
      <c r="F98" s="1194">
        <f>'Tab. 6A -Drogi'!I645+'Tab. 6B Polit społ i rozwój prz'!I251+'Tab. 6D - Oświata'!I116+'Tab. 6E - Administracja'!I268+'Tab. 6G - Roln i ochrona środ.'!I115+'Tab. 6H - Kultura fiz. i turyst'!I261+'Tab.6I - Planow. przestrz.'!I104</f>
        <v>46243321</v>
      </c>
      <c r="G98" s="1194">
        <f>'Tab. 6A -Drogi'!J645+'Tab. 6B Polit społ i rozwój prz'!J251+'Tab. 6D - Oświata'!J116+'Tab. 6E - Administracja'!J268+'Tab. 6G - Roln i ochrona środ.'!J115+'Tab. 6H - Kultura fiz. i turyst'!J261+'Tab.6I - Planow. przestrz.'!J104</f>
        <v>36961842</v>
      </c>
      <c r="H98" s="1194">
        <f>'Tab. 6A -Drogi'!K645+'Tab. 6B Polit społ i rozwój prz'!K251+'Tab. 6D - Oświata'!K116+'Tab. 6E - Administracja'!K268+'Tab. 6G - Roln i ochrona środ.'!K115+'Tab. 6H - Kultura fiz. i turyst'!K261+'Tab.6I - Planow. przestrz.'!K104</f>
        <v>33128474</v>
      </c>
      <c r="I98" s="1194">
        <f>'Tab. 6A -Drogi'!L645+'Tab. 6B Polit społ i rozwój prz'!L251+'Tab. 6D - Oświata'!L116+'Tab. 6E - Administracja'!L268+'Tab. 6G - Roln i ochrona środ.'!L115+'Tab. 6H - Kultura fiz. i turyst'!L261+'Tab.6I - Planow. przestrz.'!L104</f>
        <v>31854581</v>
      </c>
      <c r="J98" s="1195">
        <f>B98+C98+D98+E98+F98+G98+H98+I98+2029435+2998719+2055406</f>
        <v>349179934</v>
      </c>
      <c r="K98" s="1167"/>
      <c r="M98" s="1446">
        <f>'Tab. 6A -Drogi'!D645+'Tab. 6B Polit społ i rozwój prz'!D251+'Tab. 6D - Oświata'!D116+'Tab. 6E - Administracja'!D268+'Tab. 6G - Roln i ochrona środ.'!D115+'Tab. 6H - Kultura fiz. i turyst'!D261+'Tab.6I - Planow. przestrz.'!D104</f>
        <v>349179934</v>
      </c>
      <c r="N98" s="1447">
        <f>J98-M98</f>
        <v>0</v>
      </c>
      <c r="O98" s="1447"/>
    </row>
    <row r="99" spans="1:15" s="1168" customFormat="1" ht="18" hidden="1" customHeight="1">
      <c r="A99" s="1193" t="s">
        <v>41</v>
      </c>
      <c r="B99" s="1194">
        <f>'Tab. 6A -Drogi'!E646+'Tab. 6B Polit społ i rozwój prz'!E252+'Tab. 6D - Oświata'!E117+'Tab. 6E - Administracja'!E269+'Tab. 6G - Roln i ochrona środ.'!E116+'Tab. 6H - Kultura fiz. i turyst'!E262+'Tab.6I - Planow. przestrz.'!E105</f>
        <v>46797775</v>
      </c>
      <c r="C99" s="1194">
        <f>'Tab. 6A -Drogi'!F646+'Tab. 6B Polit społ i rozwój prz'!F252+'Tab. 6D - Oświata'!F117+'Tab. 6E - Administracja'!F269+'Tab. 6G - Roln i ochrona środ.'!F116+'Tab. 6H - Kultura fiz. i turyst'!F262+'Tab.6I - Planow. przestrz.'!F105</f>
        <v>185583540</v>
      </c>
      <c r="D99" s="1194">
        <f>'Tab. 6A -Drogi'!G646+'Tab. 6B Polit społ i rozwój prz'!G252+'Tab. 6D - Oświata'!G117+'Tab. 6E - Administracja'!G269+'Tab. 6G - Roln i ochrona środ.'!G116+'Tab. 6H - Kultura fiz. i turyst'!G262+'Tab.6I - Planow. przestrz.'!G105</f>
        <v>422853271</v>
      </c>
      <c r="E99" s="1194">
        <f>'Tab. 6A -Drogi'!H646+'Tab. 6B Polit społ i rozwój prz'!H252+'Tab. 6D - Oświata'!H117+'Tab. 6E - Administracja'!H269+'Tab. 6G - Roln i ochrona środ.'!H116+'Tab. 6H - Kultura fiz. i turyst'!H262+'Tab.6I - Planow. przestrz.'!H105</f>
        <v>130000410</v>
      </c>
      <c r="F99" s="1194">
        <f>'Tab. 6A -Drogi'!I646+'Tab. 6B Polit społ i rozwój prz'!I252+'Tab. 6D - Oświata'!I117+'Tab. 6E - Administracja'!I269+'Tab. 6G - Roln i ochrona środ.'!I116+'Tab. 6H - Kultura fiz. i turyst'!I262+'Tab.6I - Planow. przestrz.'!I105</f>
        <v>43322121</v>
      </c>
      <c r="G99" s="1194">
        <f>'Tab. 6A -Drogi'!J646+'Tab. 6B Polit społ i rozwój prz'!J252+'Tab. 6D - Oświata'!J117+'Tab. 6E - Administracja'!J269+'Tab. 6G - Roln i ochrona środ.'!J116+'Tab. 6H - Kultura fiz. i turyst'!J262+'Tab.6I - Planow. przestrz.'!J105</f>
        <v>3168525</v>
      </c>
      <c r="H99" s="1194">
        <f>'Tab. 6A -Drogi'!K646+'Tab. 6B Polit społ i rozwój prz'!K252+'Tab. 6D - Oświata'!K117+'Tab. 6E - Administracja'!K269+'Tab. 6G - Roln i ochrona środ.'!K116+'Tab. 6H - Kultura fiz. i turyst'!K262+'Tab.6I - Planow. przestrz.'!K105</f>
        <v>144500</v>
      </c>
      <c r="I99" s="1194">
        <f>'Tab. 6A -Drogi'!L646+'Tab. 6B Polit społ i rozwój prz'!L252+'Tab. 6D - Oświata'!L117+'Tab. 6E - Administracja'!L269+'Tab. 6G - Roln i ochrona środ.'!L116+'Tab. 6H - Kultura fiz. i turyst'!L262+'Tab.6I - Planow. przestrz.'!L105</f>
        <v>144500</v>
      </c>
      <c r="J99" s="1195">
        <f>B99+C99+D99+E99+F99+G99+H99+I99+11590+299481</f>
        <v>832325713</v>
      </c>
      <c r="K99" s="1167"/>
      <c r="L99" s="1167"/>
      <c r="M99" s="1446">
        <f>'Tab. 6A -Drogi'!D646+'Tab. 6B Polit społ i rozwój prz'!D252+'Tab. 6E - Administracja'!D269+'Tab. 6G - Roln i ochrona środ.'!D116+'Tab. 6H - Kultura fiz. i turyst'!D262+'Tab.6I - Planow. przestrz.'!D105</f>
        <v>832325713</v>
      </c>
      <c r="N99" s="1447">
        <f>J99-M99</f>
        <v>0</v>
      </c>
      <c r="O99" s="1445"/>
    </row>
    <row r="100" spans="1:15" s="1168" customFormat="1" ht="24" hidden="1" customHeight="1" thickBot="1">
      <c r="A100" s="1188" t="s">
        <v>45</v>
      </c>
      <c r="B100" s="1189">
        <f t="shared" ref="B100:J100" si="57">B86-B101</f>
        <v>0</v>
      </c>
      <c r="C100" s="1189">
        <f>C86-C101</f>
        <v>0</v>
      </c>
      <c r="D100" s="1189">
        <f t="shared" si="57"/>
        <v>0</v>
      </c>
      <c r="E100" s="1189">
        <f t="shared" si="57"/>
        <v>0</v>
      </c>
      <c r="F100" s="1189">
        <f>F86-F101</f>
        <v>0</v>
      </c>
      <c r="G100" s="1189">
        <f t="shared" si="57"/>
        <v>0</v>
      </c>
      <c r="H100" s="1189">
        <f t="shared" si="57"/>
        <v>0</v>
      </c>
      <c r="I100" s="1189">
        <f t="shared" si="57"/>
        <v>0</v>
      </c>
      <c r="J100" s="1189">
        <f t="shared" si="57"/>
        <v>0</v>
      </c>
      <c r="K100" s="1167"/>
      <c r="L100" s="1167"/>
      <c r="M100" s="1446"/>
      <c r="N100" s="1445"/>
      <c r="O100" s="1445"/>
    </row>
    <row r="101" spans="1:15" s="1168" customFormat="1" ht="20.25" hidden="1" customHeight="1" thickBot="1">
      <c r="A101" s="1190" t="s">
        <v>44</v>
      </c>
      <c r="B101" s="1191">
        <f>B102+B103</f>
        <v>56764296</v>
      </c>
      <c r="C101" s="1191">
        <f t="shared" ref="C101:J101" si="58">C102+C103</f>
        <v>53154397</v>
      </c>
      <c r="D101" s="1191">
        <f t="shared" si="58"/>
        <v>49836603</v>
      </c>
      <c r="E101" s="1191">
        <f t="shared" si="58"/>
        <v>106354073</v>
      </c>
      <c r="F101" s="1191">
        <f t="shared" si="58"/>
        <v>62167393</v>
      </c>
      <c r="G101" s="1191">
        <f t="shared" si="58"/>
        <v>45735873</v>
      </c>
      <c r="H101" s="1191">
        <f>H102+H103</f>
        <v>2236889</v>
      </c>
      <c r="I101" s="1191">
        <f>I102+I103</f>
        <v>0</v>
      </c>
      <c r="J101" s="1192">
        <f t="shared" si="58"/>
        <v>376249524</v>
      </c>
      <c r="K101" s="1181"/>
      <c r="L101" s="1181"/>
      <c r="M101" s="1192">
        <f t="shared" ref="M101:N101" si="59">M102+M103</f>
        <v>376249524</v>
      </c>
      <c r="N101" s="1192">
        <f t="shared" si="59"/>
        <v>0</v>
      </c>
      <c r="O101" s="1445" t="s">
        <v>400</v>
      </c>
    </row>
    <row r="102" spans="1:15" s="1168" customFormat="1" ht="19.5" hidden="1" customHeight="1" thickTop="1">
      <c r="A102" s="1193" t="s">
        <v>40</v>
      </c>
      <c r="B102" s="1194">
        <f>'Tab. 6A -Drogi'!E652+'Tab. 6F - Kultura'!E19</f>
        <v>56764296</v>
      </c>
      <c r="C102" s="1194">
        <f>'Tab. 6A -Drogi'!F652+'Tab. 6F - Kultura'!F19</f>
        <v>47643689</v>
      </c>
      <c r="D102" s="1194">
        <f>'Tab. 6A -Drogi'!G652+'Tab. 6F - Kultura'!G19</f>
        <v>30296628</v>
      </c>
      <c r="E102" s="1194">
        <f>'Tab. 6A -Drogi'!H652+'Tab. 6F - Kultura'!H19</f>
        <v>46192916</v>
      </c>
      <c r="F102" s="1194">
        <f>'Tab. 6A -Drogi'!I652+'Tab. 6F - Kultura'!I19</f>
        <v>41783393</v>
      </c>
      <c r="G102" s="1194">
        <f>'Tab. 6A -Drogi'!J652+'Tab. 6F - Kultura'!J19</f>
        <v>5675073</v>
      </c>
      <c r="H102" s="1194">
        <f>'Tab. 6A -Drogi'!K652+'Tab. 6F - Kultura'!K19</f>
        <v>1650729</v>
      </c>
      <c r="I102" s="1194">
        <f>'Tab. 6A -Drogi'!L652+'Tab. 6F - Kultura'!L19</f>
        <v>0</v>
      </c>
      <c r="J102" s="1195">
        <f>B102+C102+D102+E102+F102+G102+H102+I102</f>
        <v>230006724</v>
      </c>
      <c r="K102" s="1181"/>
      <c r="L102" s="1181"/>
      <c r="M102" s="1447">
        <f>'Tab. 6A -Drogi'!D517+'Tab. 6A -Drogi'!D579+'Tab. 6A -Drogi'!D624+'Tab. 6F - Kultura'!D19+'Tab. 6A -Drogi'!D552</f>
        <v>230006724</v>
      </c>
      <c r="N102" s="1447">
        <f>J102-M102</f>
        <v>0</v>
      </c>
      <c r="O102" s="1445"/>
    </row>
    <row r="103" spans="1:15" s="1168" customFormat="1" ht="19.5" hidden="1" customHeight="1">
      <c r="A103" s="1193" t="s">
        <v>41</v>
      </c>
      <c r="B103" s="1194">
        <f>'Tab. 6A -Drogi'!E529+'Tab. 6A -Drogi'!E632+'Tab. 6C - Ochrona zdrowia'!E24+'Tab. 6G - Roln i ochrona środ.'!E97</f>
        <v>0</v>
      </c>
      <c r="C103" s="1194">
        <f>'Tab. 6A -Drogi'!F529+'Tab. 6A -Drogi'!F632+'Tab. 6C - Ochrona zdrowia'!F24+'Tab. 6G - Roln i ochrona środ.'!F97</f>
        <v>5510708</v>
      </c>
      <c r="D103" s="1194">
        <f>'Tab. 6A -Drogi'!G529+'Tab. 6A -Drogi'!G632+'Tab. 6C - Ochrona zdrowia'!G24+'Tab. 6G - Roln i ochrona środ.'!G97</f>
        <v>19539975</v>
      </c>
      <c r="E103" s="1194">
        <f>'Tab. 6A -Drogi'!H529+'Tab. 6A -Drogi'!H632+'Tab. 6C - Ochrona zdrowia'!H24+'Tab. 6G - Roln i ochrona środ.'!H97</f>
        <v>60161157</v>
      </c>
      <c r="F103" s="1194">
        <f>'Tab. 6A -Drogi'!I529+'Tab. 6A -Drogi'!I632+'Tab. 6C - Ochrona zdrowia'!I24+'Tab. 6G - Roln i ochrona środ.'!I97</f>
        <v>20384000</v>
      </c>
      <c r="G103" s="1194">
        <f>'Tab. 6A -Drogi'!J529+'Tab. 6A -Drogi'!J632+'Tab. 6C - Ochrona zdrowia'!J24+'Tab. 6G - Roln i ochrona środ.'!J97</f>
        <v>40060800</v>
      </c>
      <c r="H103" s="1194">
        <f>'Tab. 6A -Drogi'!K529+'Tab. 6A -Drogi'!K632+'Tab. 6C - Ochrona zdrowia'!K24+'Tab. 6G - Roln i ochrona środ.'!K97</f>
        <v>586160</v>
      </c>
      <c r="I103" s="1194">
        <f>'Tab. 6A -Drogi'!L529+'Tab. 6A -Drogi'!L632+'Tab. 6C - Ochrona zdrowia'!L24+'Tab. 6G - Roln i ochrona środ.'!L97</f>
        <v>0</v>
      </c>
      <c r="J103" s="1195">
        <f>B103+C103+D103+E103+F103+G103+H103+I103</f>
        <v>146242800</v>
      </c>
      <c r="K103" s="1181"/>
      <c r="L103" s="1181"/>
      <c r="M103" s="1447">
        <f>'Tab. 6A -Drogi'!D653+'Tab. 6C - Ochrona zdrowia'!D24+'Tab. 6G - Roln i ochrona środ.'!D97</f>
        <v>146242800</v>
      </c>
      <c r="N103" s="1447">
        <f>J103-M103</f>
        <v>0</v>
      </c>
      <c r="O103" s="1445"/>
    </row>
    <row r="104" spans="1:15" s="1168" customFormat="1" ht="18" hidden="1" customHeight="1">
      <c r="A104" s="1187"/>
      <c r="B104" s="1186">
        <f>B101+B97-B91</f>
        <v>0</v>
      </c>
      <c r="C104" s="1186">
        <f>C101+C97-C91</f>
        <v>0</v>
      </c>
      <c r="D104" s="1186">
        <f t="shared" ref="D104:I104" si="60">D101+D97-D91</f>
        <v>0</v>
      </c>
      <c r="E104" s="1186">
        <f t="shared" si="60"/>
        <v>0</v>
      </c>
      <c r="F104" s="1186">
        <f t="shared" si="60"/>
        <v>0</v>
      </c>
      <c r="G104" s="1186">
        <f t="shared" si="60"/>
        <v>0</v>
      </c>
      <c r="H104" s="1186">
        <f t="shared" si="60"/>
        <v>0</v>
      </c>
      <c r="I104" s="1186">
        <f t="shared" si="60"/>
        <v>0</v>
      </c>
      <c r="J104" s="1186">
        <f>J101+J97-J91</f>
        <v>0</v>
      </c>
      <c r="K104" s="1181"/>
      <c r="L104" s="1181"/>
      <c r="M104" s="1181"/>
    </row>
    <row r="105" spans="1:15" s="1168" customFormat="1" ht="18" hidden="1" customHeight="1" thickBot="1">
      <c r="A105" s="1196"/>
      <c r="B105" s="1197"/>
      <c r="C105" s="1197"/>
      <c r="D105" s="1197"/>
      <c r="E105" s="1197"/>
      <c r="F105" s="1197"/>
      <c r="G105" s="1197"/>
      <c r="H105" s="1197"/>
      <c r="I105" s="1197"/>
      <c r="J105" s="1197"/>
      <c r="K105" s="1181"/>
      <c r="L105" s="1181"/>
      <c r="M105" s="1181"/>
    </row>
    <row r="106" spans="1:15" s="1168" customFormat="1" ht="18" hidden="1" customHeight="1">
      <c r="A106" s="1165"/>
      <c r="B106" s="1166">
        <f>+B85-B59</f>
        <v>0</v>
      </c>
      <c r="C106" s="1166">
        <f>+C85-C59</f>
        <v>0</v>
      </c>
      <c r="D106" s="1166">
        <f>+D85-D59</f>
        <v>0</v>
      </c>
      <c r="E106" s="1166">
        <f t="shared" ref="E106:I106" si="61">+E85-E59</f>
        <v>0</v>
      </c>
      <c r="F106" s="1166">
        <f>+F85-F59</f>
        <v>0</v>
      </c>
      <c r="G106" s="1166">
        <f t="shared" si="61"/>
        <v>0</v>
      </c>
      <c r="H106" s="1166">
        <f t="shared" si="61"/>
        <v>0</v>
      </c>
      <c r="I106" s="1166">
        <f t="shared" si="61"/>
        <v>0</v>
      </c>
      <c r="J106" s="1166">
        <f>+J85-J59</f>
        <v>0</v>
      </c>
      <c r="K106" s="1166"/>
      <c r="L106" s="1166"/>
      <c r="M106" s="1181"/>
    </row>
    <row r="107" spans="1:15" s="1168" customFormat="1" ht="18" hidden="1" customHeight="1" thickBot="1">
      <c r="A107" s="1165"/>
      <c r="B107" s="1166">
        <f t="shared" ref="B107:I107" si="62">B12+B59</f>
        <v>503990373</v>
      </c>
      <c r="C107" s="1166">
        <f t="shared" si="62"/>
        <v>459887047</v>
      </c>
      <c r="D107" s="1166">
        <f t="shared" si="62"/>
        <v>838658876</v>
      </c>
      <c r="E107" s="1166">
        <f t="shared" si="62"/>
        <v>544292954</v>
      </c>
      <c r="F107" s="1166">
        <f t="shared" si="62"/>
        <v>332515821</v>
      </c>
      <c r="G107" s="1166">
        <f t="shared" si="62"/>
        <v>108867221</v>
      </c>
      <c r="H107" s="1166">
        <f t="shared" si="62"/>
        <v>45139598</v>
      </c>
      <c r="I107" s="1166">
        <f t="shared" si="62"/>
        <v>40323004</v>
      </c>
      <c r="J107" s="1166">
        <f>J12+J59</f>
        <v>2907982341</v>
      </c>
      <c r="K107" s="1166"/>
      <c r="L107" s="1166"/>
      <c r="M107" s="1181"/>
    </row>
    <row r="108" spans="1:15" s="1168" customFormat="1" ht="16.5" hidden="1" customHeight="1" thickBot="1">
      <c r="A108" s="1165"/>
      <c r="B108" s="3148" t="s">
        <v>444</v>
      </c>
      <c r="C108" s="3149" t="s">
        <v>5</v>
      </c>
      <c r="D108" s="2518" t="s">
        <v>6</v>
      </c>
      <c r="E108" s="2505" t="s">
        <v>206</v>
      </c>
      <c r="F108" s="3150" t="s">
        <v>208</v>
      </c>
      <c r="G108" s="3150" t="s">
        <v>253</v>
      </c>
      <c r="H108" s="3150" t="s">
        <v>254</v>
      </c>
      <c r="I108" s="3150" t="s">
        <v>252</v>
      </c>
      <c r="J108" s="3151" t="s">
        <v>46</v>
      </c>
      <c r="K108" s="3151" t="s">
        <v>382</v>
      </c>
      <c r="L108" s="3151" t="s">
        <v>382</v>
      </c>
      <c r="M108" s="1181"/>
    </row>
    <row r="109" spans="1:15" s="1168" customFormat="1" ht="18" hidden="1" customHeight="1">
      <c r="A109" s="1165"/>
      <c r="B109" s="1166"/>
      <c r="C109" s="1166"/>
      <c r="D109" s="2519"/>
      <c r="E109" s="1166"/>
      <c r="F109" s="1166"/>
      <c r="G109" s="1166"/>
      <c r="H109" s="1166"/>
      <c r="I109" s="1166"/>
      <c r="J109" s="1166"/>
      <c r="K109" s="1200"/>
      <c r="L109" s="1200"/>
      <c r="M109" s="1181"/>
    </row>
    <row r="110" spans="1:15" s="1168" customFormat="1" ht="18" hidden="1" customHeight="1">
      <c r="A110" s="1165"/>
      <c r="B110" s="1166"/>
      <c r="C110" s="1166"/>
      <c r="D110" s="2519"/>
      <c r="E110" s="1166"/>
      <c r="F110" s="1166"/>
      <c r="G110" s="1166"/>
      <c r="H110" s="1166"/>
      <c r="I110" s="1166"/>
      <c r="J110" s="1166"/>
      <c r="K110" s="1200"/>
      <c r="L110" s="1200"/>
      <c r="M110" s="1181"/>
    </row>
    <row r="111" spans="1:15" s="473" customFormat="1" ht="12.75" hidden="1" customHeight="1">
      <c r="A111" s="1144"/>
      <c r="B111" s="1113"/>
      <c r="C111" s="1113">
        <f t="shared" ref="C111:D112" si="63">+C13+C60</f>
        <v>184585874</v>
      </c>
      <c r="D111" s="2131">
        <f t="shared" si="63"/>
        <v>243854690</v>
      </c>
      <c r="E111" s="1113"/>
      <c r="F111" s="1113"/>
      <c r="G111" s="1113"/>
      <c r="H111" s="1113"/>
      <c r="I111" s="1113"/>
      <c r="J111" s="1113"/>
      <c r="M111" s="1132"/>
    </row>
    <row r="112" spans="1:15" s="473" customFormat="1" ht="28.5" hidden="1" customHeight="1">
      <c r="A112" s="1201"/>
      <c r="B112" s="1202"/>
      <c r="C112" s="1202">
        <f t="shared" si="63"/>
        <v>275301173</v>
      </c>
      <c r="D112" s="2520">
        <f t="shared" si="63"/>
        <v>594804186</v>
      </c>
      <c r="E112" s="1202"/>
      <c r="F112" s="1202"/>
      <c r="G112" s="1202"/>
      <c r="H112" s="1202"/>
      <c r="I112" s="1202"/>
      <c r="J112" s="1201"/>
      <c r="K112" s="1201"/>
      <c r="L112" s="1201"/>
      <c r="M112" s="1132"/>
    </row>
    <row r="113" spans="1:15" s="473" customFormat="1" ht="8.25" hidden="1" customHeight="1" thickBot="1">
      <c r="A113" s="1144"/>
      <c r="B113" s="1113"/>
      <c r="C113" s="1113"/>
      <c r="D113" s="2131"/>
      <c r="E113" s="1113"/>
      <c r="F113" s="1113"/>
      <c r="G113" s="1113"/>
      <c r="H113" s="1113"/>
      <c r="I113" s="1113"/>
      <c r="J113" s="1113"/>
      <c r="M113" s="1132"/>
    </row>
    <row r="114" spans="1:15" s="473" customFormat="1" ht="12.75" hidden="1" customHeight="1">
      <c r="A114" s="1144"/>
      <c r="B114" s="1203"/>
      <c r="C114" s="1204">
        <f t="shared" ref="C114:J114" si="64">+C115+C116</f>
        <v>459887047</v>
      </c>
      <c r="D114" s="2521">
        <f>+D115+D116</f>
        <v>838658876</v>
      </c>
      <c r="E114" s="1204"/>
      <c r="F114" s="1204"/>
      <c r="G114" s="1204"/>
      <c r="H114" s="1204"/>
      <c r="I114" s="1204"/>
      <c r="J114" s="1203">
        <f t="shared" si="64"/>
        <v>2907982341</v>
      </c>
      <c r="K114" s="1205"/>
      <c r="L114" s="1205"/>
      <c r="M114" s="1132"/>
    </row>
    <row r="115" spans="1:15" s="473" customFormat="1" ht="12.75" hidden="1" customHeight="1">
      <c r="A115" s="1144"/>
      <c r="B115" s="1206"/>
      <c r="C115" s="1207">
        <f t="shared" ref="C115:D116" si="65">+C13+C60</f>
        <v>184585874</v>
      </c>
      <c r="D115" s="2522">
        <f t="shared" si="65"/>
        <v>243854690</v>
      </c>
      <c r="E115" s="1207"/>
      <c r="F115" s="1207"/>
      <c r="G115" s="1207"/>
      <c r="H115" s="1207"/>
      <c r="I115" s="1207"/>
      <c r="J115" s="1206">
        <f>+J13+J60</f>
        <v>1429920916</v>
      </c>
      <c r="K115" s="1208"/>
      <c r="L115" s="1208"/>
      <c r="M115" s="1132"/>
    </row>
    <row r="116" spans="1:15" s="473" customFormat="1" ht="12.75" hidden="1" customHeight="1" thickBot="1">
      <c r="A116" s="1144"/>
      <c r="B116" s="1209"/>
      <c r="C116" s="1210">
        <f t="shared" si="65"/>
        <v>275301173</v>
      </c>
      <c r="D116" s="2523">
        <f t="shared" si="65"/>
        <v>594804186</v>
      </c>
      <c r="E116" s="1210"/>
      <c r="F116" s="1210"/>
      <c r="G116" s="1210"/>
      <c r="H116" s="1210"/>
      <c r="I116" s="1210"/>
      <c r="J116" s="1209">
        <f>+J14+J61</f>
        <v>1478061425</v>
      </c>
      <c r="K116" s="1211"/>
      <c r="L116" s="1211"/>
      <c r="M116" s="1132"/>
    </row>
    <row r="117" spans="1:15" s="473" customFormat="1" ht="21.75" hidden="1" customHeight="1">
      <c r="A117" s="1212" t="s">
        <v>47</v>
      </c>
      <c r="B117" s="1213"/>
      <c r="C117" s="1213">
        <f t="shared" ref="C117:J117" si="66">+C85+C48</f>
        <v>459887047</v>
      </c>
      <c r="D117" s="2524">
        <f t="shared" si="66"/>
        <v>838658876</v>
      </c>
      <c r="E117" s="1213"/>
      <c r="F117" s="1213"/>
      <c r="G117" s="1213"/>
      <c r="H117" s="1213"/>
      <c r="I117" s="1213"/>
      <c r="J117" s="1213">
        <f t="shared" si="66"/>
        <v>2907982341.3000002</v>
      </c>
      <c r="K117" s="1214"/>
      <c r="L117" s="1214"/>
      <c r="M117" s="1132"/>
    </row>
    <row r="118" spans="1:15" s="473" customFormat="1" ht="9.75" hidden="1" customHeight="1">
      <c r="A118" s="1212"/>
      <c r="B118" s="1202"/>
      <c r="C118" s="1202">
        <f t="shared" ref="C118:J118" si="67">+C117-C114</f>
        <v>0</v>
      </c>
      <c r="D118" s="2520">
        <f t="shared" si="67"/>
        <v>0</v>
      </c>
      <c r="E118" s="1202"/>
      <c r="F118" s="1202"/>
      <c r="G118" s="1202"/>
      <c r="H118" s="1202"/>
      <c r="I118" s="1202"/>
      <c r="J118" s="1202">
        <f t="shared" si="67"/>
        <v>0.30000019073486328</v>
      </c>
      <c r="K118" s="1113"/>
      <c r="L118" s="1113"/>
      <c r="M118" s="1132"/>
    </row>
    <row r="119" spans="1:15" s="473" customFormat="1" ht="15.75" hidden="1" customHeight="1" thickBot="1">
      <c r="A119" s="1212" t="s">
        <v>48</v>
      </c>
      <c r="B119" s="1213"/>
      <c r="C119" s="1213">
        <f t="shared" ref="C119:J119" si="68">+C86+C49</f>
        <v>278228213</v>
      </c>
      <c r="D119" s="2524">
        <f t="shared" si="68"/>
        <v>540950873</v>
      </c>
      <c r="E119" s="1213"/>
      <c r="F119" s="1213"/>
      <c r="G119" s="1213"/>
      <c r="H119" s="1213"/>
      <c r="I119" s="1213"/>
      <c r="J119" s="1213">
        <f t="shared" si="68"/>
        <v>1557755171</v>
      </c>
      <c r="K119" s="1113"/>
      <c r="L119" s="1113"/>
      <c r="M119" s="1132"/>
    </row>
    <row r="120" spans="1:15" ht="1.5" hidden="1" customHeight="1">
      <c r="A120" s="3168" t="s">
        <v>529</v>
      </c>
      <c r="B120" s="1215"/>
      <c r="C120" s="1217"/>
      <c r="D120" s="2525"/>
      <c r="E120" s="1216"/>
      <c r="F120" s="1215"/>
      <c r="G120" s="1215"/>
      <c r="H120" s="1215"/>
      <c r="I120" s="1215"/>
      <c r="J120" s="1215"/>
      <c r="K120" s="1217"/>
      <c r="L120" s="1217"/>
      <c r="M120" s="1834"/>
      <c r="N120" s="1082"/>
      <c r="O120" s="1082"/>
    </row>
    <row r="121" spans="1:15" s="1106" customFormat="1" ht="27.75" hidden="1" customHeight="1" thickBot="1">
      <c r="A121" s="3169"/>
      <c r="B121" s="1218">
        <f>+B85+B48</f>
        <v>503990373.30000001</v>
      </c>
      <c r="C121" s="1220">
        <f t="shared" ref="C121:J121" si="69">+C85+C48</f>
        <v>459887047</v>
      </c>
      <c r="D121" s="2526">
        <f t="shared" si="69"/>
        <v>838658876</v>
      </c>
      <c r="E121" s="1219">
        <f t="shared" si="69"/>
        <v>544292954</v>
      </c>
      <c r="F121" s="1218">
        <f t="shared" si="69"/>
        <v>332515821</v>
      </c>
      <c r="G121" s="1218">
        <f>+G85+G48</f>
        <v>108867221</v>
      </c>
      <c r="H121" s="1218">
        <f>+H85+H48</f>
        <v>45139598</v>
      </c>
      <c r="I121" s="1218">
        <f>+I85+I48</f>
        <v>40323004</v>
      </c>
      <c r="J121" s="1218">
        <f t="shared" si="69"/>
        <v>2907982341.3000002</v>
      </c>
      <c r="K121" s="1220">
        <f>+K85+K48</f>
        <v>2403991968</v>
      </c>
      <c r="L121" s="1220">
        <f>+L85+L48</f>
        <v>1944104921</v>
      </c>
      <c r="M121" s="281"/>
      <c r="N121" s="3152"/>
      <c r="O121" s="3152"/>
    </row>
    <row r="122" spans="1:15" hidden="1">
      <c r="A122" s="1" t="s">
        <v>49</v>
      </c>
      <c r="B122" s="2">
        <f t="shared" ref="B122:J122" si="70">+B18+B65+B27</f>
        <v>402150978.30000001</v>
      </c>
      <c r="C122" s="2485">
        <f t="shared" si="70"/>
        <v>176156032</v>
      </c>
      <c r="D122" s="2527">
        <f t="shared" si="70"/>
        <v>280048185</v>
      </c>
      <c r="E122" s="253">
        <f t="shared" si="70"/>
        <v>224430110</v>
      </c>
      <c r="F122" s="2">
        <f t="shared" si="70"/>
        <v>191190411</v>
      </c>
      <c r="G122" s="2">
        <f t="shared" si="70"/>
        <v>15423277</v>
      </c>
      <c r="H122" s="2">
        <f t="shared" si="70"/>
        <v>9659154</v>
      </c>
      <c r="I122" s="2">
        <f t="shared" si="70"/>
        <v>8684958</v>
      </c>
      <c r="J122" s="3153">
        <f t="shared" si="70"/>
        <v>1342050552.3</v>
      </c>
      <c r="K122" s="1221">
        <f>+K18+K65+K27</f>
        <v>939899574</v>
      </c>
      <c r="L122" s="1221">
        <f>+L18+L65+L27</f>
        <v>763743542</v>
      </c>
      <c r="M122" s="1834"/>
      <c r="N122" s="1082"/>
      <c r="O122" s="1082"/>
    </row>
    <row r="123" spans="1:15" hidden="1">
      <c r="A123" s="1" t="s">
        <v>50</v>
      </c>
      <c r="B123" s="3153">
        <f>+B68</f>
        <v>8217368</v>
      </c>
      <c r="C123" s="3154">
        <f t="shared" ref="C123:D123" si="71">+C68</f>
        <v>7874823</v>
      </c>
      <c r="D123" s="2528">
        <f t="shared" si="71"/>
        <v>17726692</v>
      </c>
      <c r="E123" s="2506">
        <f t="shared" ref="E123:L123" si="72">+E68</f>
        <v>63805701</v>
      </c>
      <c r="F123" s="3153">
        <f t="shared" si="72"/>
        <v>28482568</v>
      </c>
      <c r="G123" s="3153">
        <f t="shared" si="72"/>
        <v>16856220</v>
      </c>
      <c r="H123" s="3153">
        <f t="shared" si="72"/>
        <v>1472245</v>
      </c>
      <c r="I123" s="3153">
        <f t="shared" si="72"/>
        <v>0</v>
      </c>
      <c r="J123" s="3153">
        <f t="shared" si="72"/>
        <v>144435617</v>
      </c>
      <c r="K123" s="3155">
        <f t="shared" ref="K123" si="73">+K68</f>
        <v>136218249</v>
      </c>
      <c r="L123" s="3155">
        <f t="shared" si="72"/>
        <v>128343426</v>
      </c>
      <c r="M123" s="1834"/>
      <c r="N123" s="1082"/>
      <c r="O123" s="1082"/>
    </row>
    <row r="124" spans="1:15" ht="13.5" hidden="1" thickBot="1">
      <c r="A124" s="1222" t="s">
        <v>13</v>
      </c>
      <c r="B124" s="3156">
        <f t="shared" ref="B124:L124" si="74">+B19+B70</f>
        <v>2611211</v>
      </c>
      <c r="C124" s="2490">
        <f t="shared" si="74"/>
        <v>25197315</v>
      </c>
      <c r="D124" s="2534">
        <f t="shared" si="74"/>
        <v>3331313</v>
      </c>
      <c r="E124" s="3157">
        <f t="shared" si="74"/>
        <v>3528925</v>
      </c>
      <c r="F124" s="3156">
        <f t="shared" si="74"/>
        <v>3009558</v>
      </c>
      <c r="G124" s="3156">
        <f t="shared" si="74"/>
        <v>1051147</v>
      </c>
      <c r="H124" s="3156">
        <f t="shared" si="74"/>
        <v>653812</v>
      </c>
      <c r="I124" s="3156">
        <f t="shared" si="74"/>
        <v>562400</v>
      </c>
      <c r="J124" s="3156">
        <f>+J19+J70</f>
        <v>39945681</v>
      </c>
      <c r="K124" s="3158">
        <f t="shared" ref="K124" si="75">+K19+K70</f>
        <v>37334470</v>
      </c>
      <c r="L124" s="3158">
        <f t="shared" si="74"/>
        <v>12137155</v>
      </c>
      <c r="M124" s="639"/>
      <c r="N124" s="1327"/>
      <c r="O124" s="1327"/>
    </row>
    <row r="125" spans="1:15" hidden="1">
      <c r="A125" s="3099" t="s">
        <v>51</v>
      </c>
      <c r="B125" s="3100">
        <f t="shared" ref="B125:L125" si="76">+B20+B72</f>
        <v>0</v>
      </c>
      <c r="C125" s="3101">
        <f t="shared" si="76"/>
        <v>3328708</v>
      </c>
      <c r="D125" s="3102">
        <f t="shared" si="76"/>
        <v>19539975</v>
      </c>
      <c r="E125" s="3103">
        <f t="shared" si="76"/>
        <v>60161157</v>
      </c>
      <c r="F125" s="3100">
        <f t="shared" si="76"/>
        <v>20384000</v>
      </c>
      <c r="G125" s="3100">
        <f t="shared" si="76"/>
        <v>40060800</v>
      </c>
      <c r="H125" s="3100">
        <f t="shared" si="76"/>
        <v>586160</v>
      </c>
      <c r="I125" s="3100">
        <f t="shared" si="76"/>
        <v>0</v>
      </c>
      <c r="J125" s="3100">
        <f t="shared" si="76"/>
        <v>144060800</v>
      </c>
      <c r="K125" s="3104">
        <f t="shared" ref="K125" si="77">+K20+K72</f>
        <v>144060800</v>
      </c>
      <c r="L125" s="3104">
        <f t="shared" si="76"/>
        <v>140732092</v>
      </c>
      <c r="M125" s="231">
        <f>+J125+J130</f>
        <v>144060800</v>
      </c>
    </row>
    <row r="126" spans="1:15" hidden="1">
      <c r="A126" s="411" t="s">
        <v>15</v>
      </c>
      <c r="B126" s="3">
        <f t="shared" ref="B126:L126" si="78">+B21+B69</f>
        <v>14168595</v>
      </c>
      <c r="C126" s="2486">
        <f t="shared" si="78"/>
        <v>5739934</v>
      </c>
      <c r="D126" s="2528">
        <f t="shared" si="78"/>
        <v>7353757</v>
      </c>
      <c r="E126" s="2506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27262286</v>
      </c>
      <c r="K126" s="1729">
        <f t="shared" ref="K126" si="79">+K21+K69</f>
        <v>13093691</v>
      </c>
      <c r="L126" s="1729">
        <f t="shared" si="78"/>
        <v>7353757</v>
      </c>
    </row>
    <row r="127" spans="1:15" hidden="1">
      <c r="A127" s="411" t="s">
        <v>52</v>
      </c>
      <c r="B127" s="3">
        <f t="shared" ref="B127:L127" si="80">+B22+B66</f>
        <v>2196030</v>
      </c>
      <c r="C127" s="2486">
        <f t="shared" si="80"/>
        <v>13327702</v>
      </c>
      <c r="D127" s="2528">
        <f t="shared" si="80"/>
        <v>27721464</v>
      </c>
      <c r="E127" s="2506">
        <f t="shared" si="80"/>
        <v>15363716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1823">
        <f>+J22+J66</f>
        <v>72791772</v>
      </c>
      <c r="K127" s="1729">
        <f t="shared" ref="K127" si="81">+K22+K66</f>
        <v>70595742</v>
      </c>
      <c r="L127" s="1729">
        <f t="shared" si="80"/>
        <v>57268040</v>
      </c>
    </row>
    <row r="128" spans="1:15" hidden="1">
      <c r="A128" s="411" t="s">
        <v>20</v>
      </c>
      <c r="B128" s="3">
        <f t="shared" ref="B128:L128" si="82">+B29</f>
        <v>7849356</v>
      </c>
      <c r="C128" s="2486">
        <f t="shared" si="82"/>
        <v>6909726</v>
      </c>
      <c r="D128" s="2528">
        <f t="shared" si="82"/>
        <v>11251098</v>
      </c>
      <c r="E128" s="2506">
        <f t="shared" si="82"/>
        <v>21196983</v>
      </c>
      <c r="F128" s="3">
        <f t="shared" si="82"/>
        <v>283032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1823">
        <f t="shared" si="82"/>
        <v>47490195</v>
      </c>
      <c r="K128" s="1729">
        <f t="shared" ref="K128" si="83">+K29</f>
        <v>39640839</v>
      </c>
      <c r="L128" s="1729">
        <f t="shared" si="82"/>
        <v>32731113</v>
      </c>
    </row>
    <row r="129" spans="1:13" hidden="1">
      <c r="A129" s="411" t="s">
        <v>17</v>
      </c>
      <c r="B129" s="3">
        <f t="shared" ref="B129:L129" si="84">+B24</f>
        <v>0</v>
      </c>
      <c r="C129" s="2486">
        <f t="shared" si="84"/>
        <v>0</v>
      </c>
      <c r="D129" s="2528">
        <f t="shared" si="84"/>
        <v>0</v>
      </c>
      <c r="E129" s="2506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0</v>
      </c>
      <c r="K129" s="1729">
        <f t="shared" ref="K129" si="85">+K24</f>
        <v>0</v>
      </c>
      <c r="L129" s="1729">
        <f t="shared" si="84"/>
        <v>0</v>
      </c>
    </row>
    <row r="130" spans="1:13" ht="22.5" hidden="1" customHeight="1">
      <c r="A130" s="411" t="s">
        <v>53</v>
      </c>
      <c r="B130" s="3">
        <f t="shared" ref="B130:L130" si="86">+B30</f>
        <v>0</v>
      </c>
      <c r="C130" s="2486">
        <f t="shared" si="86"/>
        <v>0</v>
      </c>
      <c r="D130" s="2528">
        <f t="shared" si="86"/>
        <v>0</v>
      </c>
      <c r="E130" s="2506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729">
        <f t="shared" ref="K130" si="87">+K30</f>
        <v>0</v>
      </c>
      <c r="L130" s="1729">
        <f t="shared" si="86"/>
        <v>0</v>
      </c>
    </row>
    <row r="131" spans="1:13" ht="16.5" hidden="1" customHeight="1">
      <c r="A131" s="411" t="s">
        <v>19</v>
      </c>
      <c r="B131" s="3">
        <f t="shared" ref="B131:L131" si="88">+B28</f>
        <v>0</v>
      </c>
      <c r="C131" s="2486">
        <f t="shared" si="88"/>
        <v>0</v>
      </c>
      <c r="D131" s="2528">
        <f t="shared" si="88"/>
        <v>0</v>
      </c>
      <c r="E131" s="2506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730">
        <f t="shared" ref="K131" si="89">+K28</f>
        <v>0</v>
      </c>
      <c r="L131" s="1730">
        <f t="shared" si="88"/>
        <v>0</v>
      </c>
    </row>
    <row r="132" spans="1:13" ht="13.5" hidden="1" thickBot="1">
      <c r="A132" s="1222" t="s">
        <v>21</v>
      </c>
      <c r="B132" s="5">
        <f t="shared" ref="B132:L132" si="90">+B31</f>
        <v>66796835</v>
      </c>
      <c r="C132" s="2487">
        <f t="shared" si="90"/>
        <v>221352807</v>
      </c>
      <c r="D132" s="2529">
        <f t="shared" si="90"/>
        <v>471686392</v>
      </c>
      <c r="E132" s="2507">
        <f t="shared" si="90"/>
        <v>155806362</v>
      </c>
      <c r="F132" s="5">
        <f t="shared" si="90"/>
        <v>74983392</v>
      </c>
      <c r="G132" s="5">
        <f t="shared" si="90"/>
        <v>35475777</v>
      </c>
      <c r="H132" s="5">
        <f t="shared" si="90"/>
        <v>32768227</v>
      </c>
      <c r="I132" s="5">
        <f t="shared" si="90"/>
        <v>31075646</v>
      </c>
      <c r="J132" s="5">
        <f t="shared" si="90"/>
        <v>1089945438</v>
      </c>
      <c r="K132" s="1731">
        <f t="shared" ref="K132" si="91">+K31</f>
        <v>1023148603</v>
      </c>
      <c r="L132" s="1731">
        <f t="shared" si="90"/>
        <v>801795796</v>
      </c>
    </row>
    <row r="133" spans="1:13" s="1106" customFormat="1" ht="18" hidden="1" customHeight="1">
      <c r="A133" s="1223"/>
      <c r="B133" s="1225">
        <f t="shared" ref="B133:L133" si="92">SUM(B122:B132)</f>
        <v>503990373.30000001</v>
      </c>
      <c r="C133" s="1224">
        <f t="shared" si="92"/>
        <v>459887047</v>
      </c>
      <c r="D133" s="2530">
        <f t="shared" si="92"/>
        <v>838658876</v>
      </c>
      <c r="E133" s="1224">
        <f t="shared" si="92"/>
        <v>544292954</v>
      </c>
      <c r="F133" s="1224">
        <f t="shared" si="92"/>
        <v>332515821</v>
      </c>
      <c r="G133" s="1224">
        <f t="shared" si="92"/>
        <v>108867221</v>
      </c>
      <c r="H133" s="1224">
        <f t="shared" si="92"/>
        <v>45139598</v>
      </c>
      <c r="I133" s="1224">
        <f t="shared" si="92"/>
        <v>40323004</v>
      </c>
      <c r="J133" s="1224">
        <f t="shared" si="92"/>
        <v>2907982341.3000002</v>
      </c>
      <c r="K133" s="1224">
        <f t="shared" ref="K133" si="93">SUM(K122:K132)</f>
        <v>2403991968</v>
      </c>
      <c r="L133" s="1224">
        <f t="shared" si="92"/>
        <v>1944104921</v>
      </c>
      <c r="M133" s="233"/>
    </row>
    <row r="134" spans="1:13" ht="18" hidden="1" customHeight="1" thickBot="1">
      <c r="A134" s="1226"/>
      <c r="B134" s="1227">
        <f t="shared" ref="B134:I134" si="94">+B133-B88</f>
        <v>0.30000001192092896</v>
      </c>
      <c r="C134" s="1227">
        <f t="shared" si="94"/>
        <v>0</v>
      </c>
      <c r="D134" s="2531">
        <f t="shared" si="94"/>
        <v>0</v>
      </c>
      <c r="E134" s="1227">
        <f t="shared" si="94"/>
        <v>0</v>
      </c>
      <c r="F134" s="1227">
        <f t="shared" si="94"/>
        <v>0</v>
      </c>
      <c r="G134" s="1227">
        <f t="shared" si="94"/>
        <v>0</v>
      </c>
      <c r="H134" s="1227">
        <f t="shared" si="94"/>
        <v>0</v>
      </c>
      <c r="I134" s="1227">
        <f t="shared" si="94"/>
        <v>0</v>
      </c>
      <c r="J134" s="1227">
        <f>+J133-J88</f>
        <v>0.30000019073486328</v>
      </c>
      <c r="K134" s="1227"/>
      <c r="L134" s="1227"/>
    </row>
    <row r="135" spans="1:13" ht="30" hidden="1" customHeight="1" thickBot="1">
      <c r="A135" s="1228" t="s">
        <v>530</v>
      </c>
      <c r="B135" s="1229">
        <f>+B86+B49</f>
        <v>135940656</v>
      </c>
      <c r="C135" s="2488">
        <f t="shared" ref="C135:I135" si="95">+C86+C49</f>
        <v>278228213</v>
      </c>
      <c r="D135" s="2532">
        <f t="shared" si="95"/>
        <v>540950873</v>
      </c>
      <c r="E135" s="1230">
        <f t="shared" si="95"/>
        <v>290132779</v>
      </c>
      <c r="F135" s="1229">
        <f t="shared" si="95"/>
        <v>151732835</v>
      </c>
      <c r="G135" s="1229">
        <f t="shared" si="95"/>
        <v>85866240</v>
      </c>
      <c r="H135" s="1229">
        <f t="shared" si="95"/>
        <v>35509863</v>
      </c>
      <c r="I135" s="1229">
        <f t="shared" si="95"/>
        <v>31999081</v>
      </c>
      <c r="J135" s="1229">
        <f>+J86+J49</f>
        <v>1557755171</v>
      </c>
      <c r="K135" s="1231" t="s">
        <v>23</v>
      </c>
      <c r="L135" s="1231" t="s">
        <v>23</v>
      </c>
    </row>
    <row r="136" spans="1:13" ht="14.25" hidden="1" customHeight="1">
      <c r="A136" s="1" t="s">
        <v>54</v>
      </c>
      <c r="B136" s="253">
        <f>+B35</f>
        <v>0</v>
      </c>
      <c r="C136" s="2485">
        <f t="shared" ref="C136:L136" si="96">+C35</f>
        <v>0</v>
      </c>
      <c r="D136" s="2527">
        <f t="shared" si="96"/>
        <v>0</v>
      </c>
      <c r="E136" s="253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232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11" t="s">
        <v>13</v>
      </c>
      <c r="B137" s="4">
        <f t="shared" ref="B137:L137" si="98">+B77+B34</f>
        <v>2580761</v>
      </c>
      <c r="C137" s="2486">
        <f t="shared" si="98"/>
        <v>25174282</v>
      </c>
      <c r="D137" s="2528">
        <f t="shared" si="98"/>
        <v>3348400</v>
      </c>
      <c r="E137" s="2506">
        <f t="shared" si="98"/>
        <v>3539017</v>
      </c>
      <c r="F137" s="3">
        <f t="shared" si="98"/>
        <v>3009558</v>
      </c>
      <c r="G137" s="3">
        <f t="shared" si="98"/>
        <v>1077451</v>
      </c>
      <c r="H137" s="3">
        <f t="shared" si="98"/>
        <v>653812</v>
      </c>
      <c r="I137" s="3">
        <f t="shared" si="98"/>
        <v>562400</v>
      </c>
      <c r="J137" s="1233">
        <f t="shared" si="98"/>
        <v>39945681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11" t="s">
        <v>15</v>
      </c>
      <c r="B138" s="4">
        <f t="shared" ref="B138:L138" si="100">+B37+B78</f>
        <v>14168595</v>
      </c>
      <c r="C138" s="2486">
        <f t="shared" si="100"/>
        <v>5739934</v>
      </c>
      <c r="D138" s="2528">
        <f t="shared" si="100"/>
        <v>7353757</v>
      </c>
      <c r="E138" s="2506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233">
        <f t="shared" si="100"/>
        <v>27262286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11" t="s">
        <v>52</v>
      </c>
      <c r="B139" s="4">
        <f t="shared" ref="B139:L139" si="102">+B38+B79</f>
        <v>30968091</v>
      </c>
      <c r="C139" s="2486">
        <f t="shared" si="102"/>
        <v>11743409</v>
      </c>
      <c r="D139" s="2528">
        <f t="shared" si="102"/>
        <v>9537701</v>
      </c>
      <c r="E139" s="2506">
        <f t="shared" si="102"/>
        <v>12123286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233">
        <f t="shared" si="102"/>
        <v>72791772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23298471</v>
      </c>
      <c r="C140" s="2486">
        <f t="shared" si="104"/>
        <v>13980246</v>
      </c>
      <c r="D140" s="2528">
        <f t="shared" si="104"/>
        <v>20516741</v>
      </c>
      <c r="E140" s="2506">
        <f t="shared" si="104"/>
        <v>37773631</v>
      </c>
      <c r="F140" s="3">
        <f t="shared" si="104"/>
        <v>33364108</v>
      </c>
      <c r="G140" s="3">
        <f t="shared" si="104"/>
        <v>5675073</v>
      </c>
      <c r="H140" s="3">
        <f t="shared" si="104"/>
        <v>1650729</v>
      </c>
      <c r="I140" s="3">
        <f t="shared" si="104"/>
        <v>0</v>
      </c>
      <c r="J140" s="1233">
        <f t="shared" si="104"/>
        <v>136258999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11" t="s">
        <v>55</v>
      </c>
      <c r="B141" s="4">
        <f t="shared" ref="B141:L141" si="106">+B81+B36</f>
        <v>0</v>
      </c>
      <c r="C141" s="2486">
        <f t="shared" si="106"/>
        <v>3328708</v>
      </c>
      <c r="D141" s="2528">
        <f t="shared" si="106"/>
        <v>19539975</v>
      </c>
      <c r="E141" s="2506">
        <f t="shared" si="106"/>
        <v>60161157</v>
      </c>
      <c r="F141" s="3">
        <f t="shared" si="106"/>
        <v>20384000</v>
      </c>
      <c r="G141" s="3">
        <f t="shared" si="106"/>
        <v>40060800</v>
      </c>
      <c r="H141" s="3">
        <f t="shared" si="106"/>
        <v>586160</v>
      </c>
      <c r="I141" s="3">
        <f t="shared" si="106"/>
        <v>0</v>
      </c>
      <c r="J141" s="1233">
        <f t="shared" si="106"/>
        <v>144060800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11" t="s">
        <v>56</v>
      </c>
      <c r="B142" s="4">
        <f t="shared" ref="B142:L142" si="108">+B44</f>
        <v>0</v>
      </c>
      <c r="C142" s="2486">
        <f t="shared" si="108"/>
        <v>0</v>
      </c>
      <c r="D142" s="2528">
        <f t="shared" si="108"/>
        <v>0</v>
      </c>
      <c r="E142" s="2506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233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11" t="s">
        <v>17</v>
      </c>
      <c r="B143" s="4">
        <f t="shared" ref="B143:L143" si="110">+B42+B39</f>
        <v>0</v>
      </c>
      <c r="C143" s="2486">
        <f t="shared" si="110"/>
        <v>0</v>
      </c>
      <c r="D143" s="2528">
        <f t="shared" si="110"/>
        <v>0</v>
      </c>
      <c r="E143" s="2506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233">
        <f t="shared" si="110"/>
        <v>0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11" t="s">
        <v>26</v>
      </c>
      <c r="B144" s="3">
        <f t="shared" ref="B144:L144" si="112">+B40</f>
        <v>0</v>
      </c>
      <c r="C144" s="2486">
        <f t="shared" si="112"/>
        <v>0</v>
      </c>
      <c r="D144" s="2528">
        <f t="shared" si="112"/>
        <v>0</v>
      </c>
      <c r="E144" s="2506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233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11" t="s">
        <v>20</v>
      </c>
      <c r="B145" s="4">
        <f t="shared" ref="B145:L145" si="114">+B45</f>
        <v>9393236</v>
      </c>
      <c r="C145" s="2486">
        <f t="shared" si="114"/>
        <v>616458</v>
      </c>
      <c r="D145" s="2528">
        <f t="shared" si="114"/>
        <v>8747368</v>
      </c>
      <c r="E145" s="2506">
        <f t="shared" si="114"/>
        <v>19051237</v>
      </c>
      <c r="F145" s="3">
        <f t="shared" si="114"/>
        <v>9565714</v>
      </c>
      <c r="G145" s="3">
        <f t="shared" si="114"/>
        <v>116182</v>
      </c>
      <c r="H145" s="3">
        <f t="shared" si="114"/>
        <v>0</v>
      </c>
      <c r="I145" s="3">
        <f t="shared" si="114"/>
        <v>0</v>
      </c>
      <c r="J145" s="1233">
        <f t="shared" si="114"/>
        <v>47490195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234" t="s">
        <v>19</v>
      </c>
      <c r="B146" s="261">
        <f t="shared" ref="B146:L146" si="116">+B43</f>
        <v>0</v>
      </c>
      <c r="C146" s="2489">
        <f t="shared" si="116"/>
        <v>0</v>
      </c>
      <c r="D146" s="2533">
        <f t="shared" si="116"/>
        <v>0</v>
      </c>
      <c r="E146" s="2508">
        <f t="shared" si="116"/>
        <v>0</v>
      </c>
      <c r="F146" s="261">
        <f t="shared" si="116"/>
        <v>0</v>
      </c>
      <c r="G146" s="261">
        <f t="shared" si="116"/>
        <v>0</v>
      </c>
      <c r="H146" s="261">
        <f t="shared" si="116"/>
        <v>0</v>
      </c>
      <c r="I146" s="261">
        <f t="shared" si="116"/>
        <v>0</v>
      </c>
      <c r="J146" s="1233">
        <f t="shared" si="116"/>
        <v>0</v>
      </c>
      <c r="K146" s="261">
        <f t="shared" ref="K146" si="117">+K43</f>
        <v>0</v>
      </c>
      <c r="L146" s="261">
        <f t="shared" si="116"/>
        <v>0</v>
      </c>
    </row>
    <row r="147" spans="1:15" ht="14.25" hidden="1" customHeight="1" thickBot="1">
      <c r="A147" s="1222" t="s">
        <v>21</v>
      </c>
      <c r="B147" s="1236">
        <f t="shared" ref="B147:L147" si="118">+B46</f>
        <v>55531502</v>
      </c>
      <c r="C147" s="2490">
        <f t="shared" si="118"/>
        <v>217645176</v>
      </c>
      <c r="D147" s="2534">
        <f t="shared" si="118"/>
        <v>471906931</v>
      </c>
      <c r="E147" s="2509">
        <f t="shared" si="118"/>
        <v>157484451</v>
      </c>
      <c r="F147" s="1235">
        <f t="shared" si="118"/>
        <v>76990170</v>
      </c>
      <c r="G147" s="1235">
        <f t="shared" si="118"/>
        <v>38936734</v>
      </c>
      <c r="H147" s="1235">
        <f t="shared" si="118"/>
        <v>32619162</v>
      </c>
      <c r="I147" s="1235">
        <f t="shared" si="118"/>
        <v>31436681</v>
      </c>
      <c r="J147" s="1237">
        <f t="shared" si="118"/>
        <v>1089945438</v>
      </c>
      <c r="K147" s="1235">
        <f t="shared" ref="K147" si="119">+K46</f>
        <v>0</v>
      </c>
      <c r="L147" s="1235">
        <f t="shared" si="118"/>
        <v>0</v>
      </c>
    </row>
    <row r="148" spans="1:15" ht="14.25" hidden="1" customHeight="1">
      <c r="A148" s="1238"/>
      <c r="B148" s="1239">
        <f>SUM(B136:B147)</f>
        <v>135940656</v>
      </c>
      <c r="C148" s="1239">
        <f t="shared" ref="C148:J148" si="120">SUM(C136:C147)</f>
        <v>278228213</v>
      </c>
      <c r="D148" s="2535">
        <f t="shared" si="120"/>
        <v>540950873</v>
      </c>
      <c r="E148" s="1239">
        <f>SUM(E136:E147)</f>
        <v>290132779</v>
      </c>
      <c r="F148" s="1239">
        <f>SUM(F136:F147)</f>
        <v>151732835</v>
      </c>
      <c r="G148" s="1239">
        <f t="shared" ref="G148:I148" si="121">SUM(G136:G147)</f>
        <v>85866240</v>
      </c>
      <c r="H148" s="1239">
        <f t="shared" si="121"/>
        <v>35509863</v>
      </c>
      <c r="I148" s="1239">
        <f t="shared" si="121"/>
        <v>31999081</v>
      </c>
      <c r="J148" s="1239">
        <f t="shared" si="120"/>
        <v>1557755171</v>
      </c>
      <c r="K148" s="1239">
        <f>SUM(K136:K147)</f>
        <v>0</v>
      </c>
      <c r="L148" s="1239">
        <f>SUM(L136:L147)</f>
        <v>0</v>
      </c>
    </row>
    <row r="149" spans="1:15" ht="14.25" hidden="1" customHeight="1">
      <c r="A149" s="1240"/>
      <c r="B149" s="1241">
        <f t="shared" ref="B149:F149" si="122">+B148-B91</f>
        <v>0</v>
      </c>
      <c r="C149" s="1241">
        <f t="shared" si="122"/>
        <v>0</v>
      </c>
      <c r="D149" s="2536">
        <f t="shared" si="122"/>
        <v>0</v>
      </c>
      <c r="E149" s="1241">
        <f t="shared" si="122"/>
        <v>0</v>
      </c>
      <c r="F149" s="1241">
        <f t="shared" si="122"/>
        <v>0</v>
      </c>
      <c r="G149" s="1241">
        <f t="shared" ref="G149:I149" si="123">+G148-G91</f>
        <v>0</v>
      </c>
      <c r="H149" s="1241">
        <f t="shared" si="123"/>
        <v>0</v>
      </c>
      <c r="I149" s="1241">
        <f t="shared" si="123"/>
        <v>0</v>
      </c>
      <c r="J149" s="1241">
        <f>+J148-J91</f>
        <v>0</v>
      </c>
      <c r="K149" s="1239"/>
      <c r="L149" s="1239"/>
    </row>
    <row r="150" spans="1:15" ht="13.5" hidden="1" thickBot="1">
      <c r="A150" s="1082"/>
      <c r="B150" s="1242" t="s">
        <v>444</v>
      </c>
      <c r="C150" s="2484" t="s">
        <v>5</v>
      </c>
      <c r="D150" s="2537" t="s">
        <v>6</v>
      </c>
      <c r="E150" s="2505" t="s">
        <v>206</v>
      </c>
      <c r="F150" s="1198" t="s">
        <v>208</v>
      </c>
      <c r="G150" s="1198" t="s">
        <v>253</v>
      </c>
      <c r="H150" s="1198" t="s">
        <v>254</v>
      </c>
      <c r="I150" s="1198" t="s">
        <v>252</v>
      </c>
      <c r="J150" s="1199" t="s">
        <v>46</v>
      </c>
      <c r="K150" s="1243" t="s">
        <v>382</v>
      </c>
      <c r="L150" s="1243" t="s">
        <v>507</v>
      </c>
    </row>
    <row r="151" spans="1:15" ht="3" hidden="1" customHeight="1">
      <c r="A151" s="3170" t="s">
        <v>527</v>
      </c>
      <c r="B151" s="1245"/>
      <c r="C151" s="1245"/>
      <c r="D151" s="2538"/>
      <c r="E151" s="1246"/>
      <c r="F151" s="1244"/>
      <c r="G151" s="1244"/>
      <c r="H151" s="1244"/>
      <c r="I151" s="1244"/>
      <c r="J151" s="1244"/>
      <c r="K151" s="1247"/>
      <c r="L151" s="1247"/>
    </row>
    <row r="152" spans="1:15" ht="27" hidden="1" customHeight="1" thickBot="1">
      <c r="A152" s="3171"/>
      <c r="B152" s="1248">
        <f>SUM(B153:B163)</f>
        <v>503872743.30000001</v>
      </c>
      <c r="C152" s="1250">
        <f t="shared" ref="C152:D152" si="124">SUM(C153:C163)</f>
        <v>487161815</v>
      </c>
      <c r="D152" s="2539">
        <f t="shared" si="124"/>
        <v>834672867</v>
      </c>
      <c r="E152" s="1249">
        <f t="shared" ref="E152:L152" si="125">SUM(E153:E163)</f>
        <v>430917943</v>
      </c>
      <c r="F152" s="1248">
        <f t="shared" si="125"/>
        <v>294049249</v>
      </c>
      <c r="G152" s="1248">
        <f t="shared" si="125"/>
        <v>91530665</v>
      </c>
      <c r="H152" s="1248">
        <f t="shared" si="125"/>
        <v>43816214</v>
      </c>
      <c r="I152" s="1248">
        <f t="shared" si="125"/>
        <v>39249562</v>
      </c>
      <c r="J152" s="1248">
        <f t="shared" si="125"/>
        <v>2759578505.3000002</v>
      </c>
      <c r="K152" s="1250">
        <f t="shared" ref="K152" si="126">SUM(K153:K163)</f>
        <v>2255705762</v>
      </c>
      <c r="L152" s="1250">
        <f t="shared" si="125"/>
        <v>1768543947</v>
      </c>
    </row>
    <row r="153" spans="1:15" hidden="1">
      <c r="A153" s="1251" t="s">
        <v>49</v>
      </c>
      <c r="B153" s="1254">
        <v>402150842.30000001</v>
      </c>
      <c r="C153" s="2491">
        <v>185790905</v>
      </c>
      <c r="D153" s="2540">
        <v>282277436</v>
      </c>
      <c r="E153" s="2510">
        <v>210360246</v>
      </c>
      <c r="F153" s="1252">
        <v>189578780</v>
      </c>
      <c r="G153" s="1252">
        <v>15542774</v>
      </c>
      <c r="H153" s="1252">
        <v>9519854</v>
      </c>
      <c r="I153" s="1252">
        <v>8545658</v>
      </c>
      <c r="J153" s="1252">
        <v>1338073942.3</v>
      </c>
      <c r="K153" s="1253">
        <v>935923100</v>
      </c>
      <c r="L153" s="1253">
        <v>750132195</v>
      </c>
      <c r="N153" s="1094"/>
      <c r="O153" s="1094"/>
    </row>
    <row r="154" spans="1:15" hidden="1">
      <c r="A154" s="1251" t="s">
        <v>50</v>
      </c>
      <c r="B154" s="1254">
        <v>8096641</v>
      </c>
      <c r="C154" s="2491">
        <v>8629331</v>
      </c>
      <c r="D154" s="2540">
        <v>15181227</v>
      </c>
      <c r="E154" s="2510">
        <v>13811745</v>
      </c>
      <c r="F154" s="1252">
        <v>5936412</v>
      </c>
      <c r="G154" s="1252">
        <v>3566880</v>
      </c>
      <c r="H154" s="1252">
        <v>1472245</v>
      </c>
      <c r="I154" s="1252">
        <v>0</v>
      </c>
      <c r="J154" s="1252">
        <v>56694481</v>
      </c>
      <c r="K154" s="1253">
        <v>48597840</v>
      </c>
      <c r="L154" s="1253">
        <v>39968509</v>
      </c>
      <c r="N154" s="1094"/>
      <c r="O154" s="1094"/>
    </row>
    <row r="155" spans="1:15" hidden="1">
      <c r="A155" s="158" t="s">
        <v>13</v>
      </c>
      <c r="B155" s="1254">
        <v>2611033</v>
      </c>
      <c r="C155" s="2491">
        <v>25380121</v>
      </c>
      <c r="D155" s="2540">
        <v>3012731</v>
      </c>
      <c r="E155" s="2510">
        <v>1233332</v>
      </c>
      <c r="F155" s="1252">
        <v>1243362</v>
      </c>
      <c r="G155" s="1252">
        <v>585076</v>
      </c>
      <c r="H155" s="1252">
        <v>585076</v>
      </c>
      <c r="I155" s="1252">
        <v>494707</v>
      </c>
      <c r="J155" s="1252">
        <v>35145438</v>
      </c>
      <c r="K155" s="1253">
        <v>32534405</v>
      </c>
      <c r="L155" s="1253">
        <v>7154284</v>
      </c>
      <c r="N155" s="1094"/>
      <c r="O155" s="1094"/>
    </row>
    <row r="156" spans="1:15" ht="24" hidden="1">
      <c r="A156" s="158" t="s">
        <v>51</v>
      </c>
      <c r="B156" s="1254">
        <v>0</v>
      </c>
      <c r="C156" s="2491">
        <v>4004443</v>
      </c>
      <c r="D156" s="2540">
        <v>18864240</v>
      </c>
      <c r="E156" s="2510">
        <v>60161157</v>
      </c>
      <c r="F156" s="1252">
        <v>20384000</v>
      </c>
      <c r="G156" s="1252">
        <v>40060800</v>
      </c>
      <c r="H156" s="1252">
        <v>586160</v>
      </c>
      <c r="I156" s="1252">
        <v>0</v>
      </c>
      <c r="J156" s="1252">
        <v>144060800</v>
      </c>
      <c r="K156" s="1253">
        <v>144060800</v>
      </c>
      <c r="L156" s="1253">
        <v>140056357</v>
      </c>
      <c r="N156" s="1094"/>
      <c r="O156" s="1094"/>
    </row>
    <row r="157" spans="1:15" hidden="1">
      <c r="A157" s="158" t="s">
        <v>15</v>
      </c>
      <c r="B157" s="1254">
        <v>14168459</v>
      </c>
      <c r="C157" s="2491">
        <v>6619850</v>
      </c>
      <c r="D157" s="2540">
        <v>6436767</v>
      </c>
      <c r="E157" s="2510">
        <v>0</v>
      </c>
      <c r="F157" s="1252">
        <v>0</v>
      </c>
      <c r="G157" s="1252">
        <v>0</v>
      </c>
      <c r="H157" s="1252">
        <v>0</v>
      </c>
      <c r="I157" s="1252">
        <v>0</v>
      </c>
      <c r="J157" s="1252">
        <v>27225076</v>
      </c>
      <c r="K157" s="1253">
        <v>13056617</v>
      </c>
      <c r="L157" s="1253">
        <v>6436767</v>
      </c>
      <c r="N157" s="1094"/>
      <c r="O157" s="1094"/>
    </row>
    <row r="158" spans="1:15" hidden="1">
      <c r="A158" s="158" t="s">
        <v>52</v>
      </c>
      <c r="B158" s="1254">
        <v>2196030</v>
      </c>
      <c r="C158" s="2491">
        <v>13327703</v>
      </c>
      <c r="D158" s="2540">
        <v>27721464</v>
      </c>
      <c r="E158" s="2510">
        <v>15363715</v>
      </c>
      <c r="F158" s="1252">
        <v>14182860</v>
      </c>
      <c r="G158" s="1252">
        <v>0</v>
      </c>
      <c r="H158" s="1252">
        <v>0</v>
      </c>
      <c r="I158" s="1252">
        <v>0</v>
      </c>
      <c r="J158" s="1252">
        <v>72791772</v>
      </c>
      <c r="K158" s="1253">
        <v>70595742</v>
      </c>
      <c r="L158" s="1253">
        <v>57268039</v>
      </c>
      <c r="N158" s="1094"/>
      <c r="O158" s="1094"/>
    </row>
    <row r="159" spans="1:15" hidden="1">
      <c r="A159" s="158" t="s">
        <v>20</v>
      </c>
      <c r="B159" s="1254">
        <v>7849356</v>
      </c>
      <c r="C159" s="2491">
        <v>8007183</v>
      </c>
      <c r="D159" s="2540">
        <v>22532182</v>
      </c>
      <c r="E159" s="2510">
        <v>8069390</v>
      </c>
      <c r="F159" s="1252">
        <v>283032</v>
      </c>
      <c r="G159" s="1252">
        <v>0</v>
      </c>
      <c r="H159" s="1252">
        <v>0</v>
      </c>
      <c r="I159" s="1252">
        <v>0</v>
      </c>
      <c r="J159" s="1252">
        <v>46741143</v>
      </c>
      <c r="K159" s="1253">
        <v>38891787</v>
      </c>
      <c r="L159" s="1253">
        <v>30884604</v>
      </c>
      <c r="N159" s="1094"/>
      <c r="O159" s="1094"/>
    </row>
    <row r="160" spans="1:15" hidden="1">
      <c r="A160" s="158" t="s">
        <v>17</v>
      </c>
      <c r="B160" s="1254">
        <v>0</v>
      </c>
      <c r="C160" s="2491">
        <v>0</v>
      </c>
      <c r="D160" s="2540">
        <v>0</v>
      </c>
      <c r="E160" s="2510">
        <v>0</v>
      </c>
      <c r="F160" s="1252">
        <v>0</v>
      </c>
      <c r="G160" s="1252">
        <v>0</v>
      </c>
      <c r="H160" s="1252">
        <v>0</v>
      </c>
      <c r="I160" s="1252">
        <v>0</v>
      </c>
      <c r="J160" s="1252">
        <v>0</v>
      </c>
      <c r="K160" s="1253">
        <v>0</v>
      </c>
      <c r="L160" s="1253">
        <v>0</v>
      </c>
      <c r="N160" s="1094"/>
      <c r="O160" s="1094"/>
    </row>
    <row r="161" spans="1:15" hidden="1">
      <c r="A161" s="1255" t="s">
        <v>53</v>
      </c>
      <c r="B161" s="1254">
        <v>0</v>
      </c>
      <c r="C161" s="2491">
        <v>0</v>
      </c>
      <c r="D161" s="2540">
        <v>0</v>
      </c>
      <c r="E161" s="2510">
        <v>0</v>
      </c>
      <c r="F161" s="1252">
        <v>0</v>
      </c>
      <c r="G161" s="1252">
        <v>0</v>
      </c>
      <c r="H161" s="1252">
        <v>0</v>
      </c>
      <c r="I161" s="1252">
        <v>0</v>
      </c>
      <c r="J161" s="1252">
        <v>0</v>
      </c>
      <c r="K161" s="1253">
        <v>0</v>
      </c>
      <c r="L161" s="1253">
        <v>0</v>
      </c>
      <c r="M161" s="231"/>
      <c r="N161" s="1094"/>
      <c r="O161" s="1094"/>
    </row>
    <row r="162" spans="1:15" hidden="1">
      <c r="A162" s="1256" t="s">
        <v>19</v>
      </c>
      <c r="B162" s="1254">
        <v>0</v>
      </c>
      <c r="C162" s="2492">
        <v>0</v>
      </c>
      <c r="D162" s="2541">
        <v>0</v>
      </c>
      <c r="E162" s="2511">
        <v>0</v>
      </c>
      <c r="F162" s="1257">
        <v>0</v>
      </c>
      <c r="G162" s="1257">
        <v>0</v>
      </c>
      <c r="H162" s="1257">
        <v>0</v>
      </c>
      <c r="I162" s="1257">
        <v>0</v>
      </c>
      <c r="J162" s="1252">
        <v>0</v>
      </c>
      <c r="K162" s="1253">
        <v>0</v>
      </c>
      <c r="L162" s="1253">
        <v>0</v>
      </c>
      <c r="N162" s="1094"/>
      <c r="O162" s="1094"/>
    </row>
    <row r="163" spans="1:15" ht="13.5" hidden="1" thickBot="1">
      <c r="A163" s="682" t="s">
        <v>21</v>
      </c>
      <c r="B163" s="1258">
        <v>66800382</v>
      </c>
      <c r="C163" s="2493">
        <v>235402279</v>
      </c>
      <c r="D163" s="2542">
        <v>458646820</v>
      </c>
      <c r="E163" s="2512">
        <v>121918358</v>
      </c>
      <c r="F163" s="1258">
        <v>62440803</v>
      </c>
      <c r="G163" s="1258">
        <v>31775135</v>
      </c>
      <c r="H163" s="1258">
        <v>31652879</v>
      </c>
      <c r="I163" s="1258">
        <v>30209197</v>
      </c>
      <c r="J163" s="1258">
        <v>1038845853</v>
      </c>
      <c r="K163" s="1259">
        <v>972045471</v>
      </c>
      <c r="L163" s="1259">
        <v>736643192</v>
      </c>
      <c r="N163" s="1094"/>
      <c r="O163" s="1094"/>
    </row>
    <row r="164" spans="1:15" hidden="1">
      <c r="A164" s="1261"/>
      <c r="B164" s="1263">
        <f t="shared" ref="B164:J164" si="127">SUM(B153:B163)</f>
        <v>503872743.30000001</v>
      </c>
      <c r="C164" s="1262">
        <f t="shared" ref="C164:I164" si="128">SUM(C153:C163)</f>
        <v>487161815</v>
      </c>
      <c r="D164" s="2543">
        <f t="shared" si="128"/>
        <v>834672867</v>
      </c>
      <c r="E164" s="1262">
        <f t="shared" si="128"/>
        <v>430917943</v>
      </c>
      <c r="F164" s="1262">
        <f t="shared" si="128"/>
        <v>294049249</v>
      </c>
      <c r="G164" s="1262">
        <f t="shared" si="128"/>
        <v>91530665</v>
      </c>
      <c r="H164" s="1262">
        <f t="shared" si="128"/>
        <v>43816214</v>
      </c>
      <c r="I164" s="1262">
        <f t="shared" si="128"/>
        <v>39249562</v>
      </c>
      <c r="J164" s="1262">
        <f t="shared" si="127"/>
        <v>2759578505.3000002</v>
      </c>
      <c r="K164" s="1262">
        <f>SUM(K153:K163)</f>
        <v>2255705762</v>
      </c>
      <c r="L164" s="1262">
        <f>SUM(L153:L163)</f>
        <v>1768543947</v>
      </c>
    </row>
    <row r="165" spans="1:15" hidden="1">
      <c r="A165" s="1264" t="s">
        <v>42</v>
      </c>
      <c r="B165" s="1266">
        <f t="shared" ref="B165:L165" si="129">+B164-B152</f>
        <v>0</v>
      </c>
      <c r="C165" s="1265">
        <f>+C164-C152</f>
        <v>0</v>
      </c>
      <c r="D165" s="2544">
        <f>+D164-D152</f>
        <v>0</v>
      </c>
      <c r="E165" s="1265">
        <f>+E164-E152</f>
        <v>0</v>
      </c>
      <c r="F165" s="1265">
        <f>+F164-F152</f>
        <v>0</v>
      </c>
      <c r="G165" s="1265"/>
      <c r="H165" s="1265"/>
      <c r="I165" s="1265"/>
      <c r="J165" s="1265">
        <f t="shared" si="129"/>
        <v>0</v>
      </c>
      <c r="K165" s="1265">
        <f t="shared" ref="K165" si="130">+K164-K152</f>
        <v>0</v>
      </c>
      <c r="L165" s="1265">
        <f t="shared" si="129"/>
        <v>0</v>
      </c>
    </row>
    <row r="166" spans="1:15" ht="3.75" hidden="1" customHeight="1" thickBot="1">
      <c r="A166" s="1226"/>
      <c r="B166" s="1267"/>
      <c r="C166" s="1267"/>
      <c r="D166" s="2545"/>
      <c r="E166" s="1267"/>
      <c r="F166" s="1267"/>
      <c r="G166" s="1267"/>
      <c r="H166" s="1267"/>
      <c r="I166" s="1267"/>
      <c r="J166" s="1267"/>
    </row>
    <row r="167" spans="1:15" ht="32.25" hidden="1" customHeight="1" thickBot="1">
      <c r="A167" s="1268" t="s">
        <v>528</v>
      </c>
      <c r="B167" s="1269">
        <f>SUM(B168:B179)</f>
        <v>135826063</v>
      </c>
      <c r="C167" s="2494">
        <f t="shared" ref="C167:J167" si="131">SUM(C168:C179)</f>
        <v>283587787</v>
      </c>
      <c r="D167" s="2546">
        <f t="shared" si="131"/>
        <v>545317220</v>
      </c>
      <c r="E167" s="1270">
        <f>SUM(E168:E179)</f>
        <v>245172014</v>
      </c>
      <c r="F167" s="1269">
        <f>SUM(F168:F179)</f>
        <v>124046051</v>
      </c>
      <c r="G167" s="1269">
        <f>SUM(G168:G179)</f>
        <v>78024454</v>
      </c>
      <c r="H167" s="1269">
        <f>SUM(H168:H179)</f>
        <v>34325779</v>
      </c>
      <c r="I167" s="1269">
        <f>SUM(I168:I179)</f>
        <v>31064939</v>
      </c>
      <c r="J167" s="1269">
        <f t="shared" si="131"/>
        <v>1482404051</v>
      </c>
      <c r="K167" s="1271"/>
      <c r="L167" s="1271"/>
    </row>
    <row r="168" spans="1:15" hidden="1">
      <c r="A168" s="1251" t="s">
        <v>54</v>
      </c>
      <c r="B168" s="1272">
        <v>0</v>
      </c>
      <c r="C168" s="2495">
        <v>0</v>
      </c>
      <c r="D168" s="2547">
        <v>0</v>
      </c>
      <c r="E168" s="1273">
        <v>0</v>
      </c>
      <c r="F168" s="1272">
        <v>0</v>
      </c>
      <c r="G168" s="1274">
        <v>0</v>
      </c>
      <c r="H168" s="1274">
        <v>0</v>
      </c>
      <c r="I168" s="1274">
        <v>0</v>
      </c>
      <c r="J168" s="1252">
        <v>0</v>
      </c>
      <c r="K168" s="1275"/>
      <c r="L168" s="1275"/>
    </row>
    <row r="169" spans="1:15" hidden="1">
      <c r="A169" s="158" t="s">
        <v>13</v>
      </c>
      <c r="B169" s="1252">
        <v>2580761</v>
      </c>
      <c r="C169" s="2491">
        <v>25336847</v>
      </c>
      <c r="D169" s="2540">
        <v>3059974</v>
      </c>
      <c r="E169" s="2510">
        <v>1233331</v>
      </c>
      <c r="F169" s="1252">
        <v>1243362</v>
      </c>
      <c r="G169" s="1252">
        <v>611380</v>
      </c>
      <c r="H169" s="1252">
        <v>585076</v>
      </c>
      <c r="I169" s="1252">
        <v>494707</v>
      </c>
      <c r="J169" s="1252">
        <v>35145438</v>
      </c>
      <c r="K169" s="1275"/>
      <c r="L169" s="1275"/>
    </row>
    <row r="170" spans="1:15" ht="14.25" hidden="1" customHeight="1">
      <c r="A170" s="158" t="s">
        <v>15</v>
      </c>
      <c r="B170" s="1252">
        <v>14168459</v>
      </c>
      <c r="C170" s="2491">
        <v>6619850</v>
      </c>
      <c r="D170" s="2540">
        <v>6436767</v>
      </c>
      <c r="E170" s="2510">
        <v>0</v>
      </c>
      <c r="F170" s="1252">
        <v>0</v>
      </c>
      <c r="G170" s="1252">
        <v>0</v>
      </c>
      <c r="H170" s="1252">
        <v>0</v>
      </c>
      <c r="I170" s="1252">
        <v>0</v>
      </c>
      <c r="J170" s="1252">
        <v>27225076</v>
      </c>
      <c r="K170" s="1275"/>
      <c r="L170" s="1275"/>
    </row>
    <row r="171" spans="1:15" ht="14.25" hidden="1" customHeight="1">
      <c r="A171" s="158" t="s">
        <v>52</v>
      </c>
      <c r="B171" s="1252">
        <v>30968091</v>
      </c>
      <c r="C171" s="2491">
        <v>11743410</v>
      </c>
      <c r="D171" s="2540">
        <v>9537701</v>
      </c>
      <c r="E171" s="2510">
        <v>12123285</v>
      </c>
      <c r="F171" s="1252">
        <v>8419285</v>
      </c>
      <c r="G171" s="1252">
        <v>0</v>
      </c>
      <c r="H171" s="1252">
        <v>0</v>
      </c>
      <c r="I171" s="1252">
        <v>0</v>
      </c>
      <c r="J171" s="1252">
        <v>72791772</v>
      </c>
      <c r="K171" s="1275"/>
      <c r="L171" s="1275"/>
    </row>
    <row r="172" spans="1:15" hidden="1">
      <c r="A172" s="1251" t="s">
        <v>12</v>
      </c>
      <c r="B172" s="1252">
        <v>23178951</v>
      </c>
      <c r="C172" s="2491">
        <v>13998727</v>
      </c>
      <c r="D172" s="2540">
        <v>22337859</v>
      </c>
      <c r="E172" s="2510">
        <v>28644340</v>
      </c>
      <c r="F172" s="1252">
        <v>25783363</v>
      </c>
      <c r="G172" s="1252">
        <v>2000000</v>
      </c>
      <c r="H172" s="1252">
        <v>1650729</v>
      </c>
      <c r="I172" s="1252">
        <v>0</v>
      </c>
      <c r="J172" s="1252">
        <v>117593969</v>
      </c>
      <c r="K172" s="1275"/>
      <c r="L172" s="1275"/>
    </row>
    <row r="173" spans="1:15" hidden="1">
      <c r="A173" s="158" t="s">
        <v>57</v>
      </c>
      <c r="B173" s="1252">
        <v>0</v>
      </c>
      <c r="C173" s="2491">
        <v>4004443</v>
      </c>
      <c r="D173" s="2540">
        <v>18864240</v>
      </c>
      <c r="E173" s="2510">
        <v>60161157</v>
      </c>
      <c r="F173" s="1252">
        <v>20384000</v>
      </c>
      <c r="G173" s="1252">
        <v>40060800</v>
      </c>
      <c r="H173" s="1252">
        <v>586160</v>
      </c>
      <c r="I173" s="1252">
        <v>0</v>
      </c>
      <c r="J173" s="1252">
        <v>144060800</v>
      </c>
      <c r="K173" s="1275"/>
      <c r="L173" s="1275"/>
    </row>
    <row r="174" spans="1:15" hidden="1">
      <c r="A174" s="158" t="s">
        <v>58</v>
      </c>
      <c r="B174" s="1252">
        <v>0</v>
      </c>
      <c r="C174" s="2491">
        <v>0</v>
      </c>
      <c r="D174" s="2540">
        <v>0</v>
      </c>
      <c r="E174" s="2510">
        <v>0</v>
      </c>
      <c r="F174" s="1252">
        <v>0</v>
      </c>
      <c r="G174" s="1252">
        <v>0</v>
      </c>
      <c r="H174" s="1252">
        <v>0</v>
      </c>
      <c r="I174" s="1252">
        <v>0</v>
      </c>
      <c r="J174" s="1252">
        <v>0</v>
      </c>
      <c r="K174" s="1275"/>
      <c r="L174" s="1275"/>
    </row>
    <row r="175" spans="1:15" hidden="1">
      <c r="A175" s="158" t="s">
        <v>17</v>
      </c>
      <c r="B175" s="1252">
        <v>0</v>
      </c>
      <c r="C175" s="2491">
        <v>0</v>
      </c>
      <c r="D175" s="2540">
        <v>0</v>
      </c>
      <c r="E175" s="2510">
        <v>0</v>
      </c>
      <c r="F175" s="1252">
        <v>0</v>
      </c>
      <c r="G175" s="1252">
        <v>0</v>
      </c>
      <c r="H175" s="1252">
        <v>0</v>
      </c>
      <c r="I175" s="1252">
        <v>0</v>
      </c>
      <c r="J175" s="1252">
        <v>0</v>
      </c>
      <c r="K175" s="1275"/>
      <c r="L175" s="1275"/>
    </row>
    <row r="176" spans="1:15" ht="24" hidden="1">
      <c r="A176" s="158" t="s">
        <v>26</v>
      </c>
      <c r="B176" s="1276">
        <v>0</v>
      </c>
      <c r="C176" s="2496">
        <v>0</v>
      </c>
      <c r="D176" s="2548">
        <v>0</v>
      </c>
      <c r="E176" s="2513">
        <v>0</v>
      </c>
      <c r="F176" s="1276">
        <v>0</v>
      </c>
      <c r="G176" s="1276">
        <v>0</v>
      </c>
      <c r="H176" s="1276">
        <v>0</v>
      </c>
      <c r="I176" s="1276">
        <v>0</v>
      </c>
      <c r="J176" s="1252">
        <v>0</v>
      </c>
      <c r="K176" s="1277"/>
      <c r="L176" s="1277"/>
    </row>
    <row r="177" spans="1:12" ht="13.5" hidden="1" customHeight="1">
      <c r="A177" s="158" t="s">
        <v>20</v>
      </c>
      <c r="B177" s="1252">
        <v>9393236</v>
      </c>
      <c r="C177" s="2491">
        <v>618052</v>
      </c>
      <c r="D177" s="2540">
        <v>18959111</v>
      </c>
      <c r="E177" s="2510">
        <v>14255634</v>
      </c>
      <c r="F177" s="1252">
        <v>3398928</v>
      </c>
      <c r="G177" s="1252">
        <v>116182</v>
      </c>
      <c r="H177" s="1252">
        <v>0</v>
      </c>
      <c r="I177" s="1252">
        <v>0</v>
      </c>
      <c r="J177" s="1252">
        <v>46741143</v>
      </c>
      <c r="K177" s="1275"/>
      <c r="L177" s="1275"/>
    </row>
    <row r="178" spans="1:12" ht="14.25" hidden="1" customHeight="1">
      <c r="A178" s="1278" t="s">
        <v>19</v>
      </c>
      <c r="B178" s="1252">
        <v>0</v>
      </c>
      <c r="C178" s="2492">
        <v>0</v>
      </c>
      <c r="D178" s="2541">
        <v>0</v>
      </c>
      <c r="E178" s="2511">
        <v>0</v>
      </c>
      <c r="F178" s="1257">
        <v>0</v>
      </c>
      <c r="G178" s="1257">
        <v>0</v>
      </c>
      <c r="H178" s="1257">
        <v>0</v>
      </c>
      <c r="I178" s="1257">
        <v>0</v>
      </c>
      <c r="J178" s="1252">
        <v>0</v>
      </c>
      <c r="K178" s="1275"/>
      <c r="L178" s="1275"/>
    </row>
    <row r="179" spans="1:12" ht="13.5" hidden="1" thickBot="1">
      <c r="A179" s="682" t="s">
        <v>21</v>
      </c>
      <c r="B179" s="1260">
        <v>55536565</v>
      </c>
      <c r="C179" s="2493">
        <v>221266458</v>
      </c>
      <c r="D179" s="2542">
        <v>466121568</v>
      </c>
      <c r="E179" s="2512">
        <v>128754267</v>
      </c>
      <c r="F179" s="1860">
        <v>64817113</v>
      </c>
      <c r="G179" s="1860">
        <v>35236092</v>
      </c>
      <c r="H179" s="1860">
        <v>31503814</v>
      </c>
      <c r="I179" s="1860">
        <v>30570232</v>
      </c>
      <c r="J179" s="1860">
        <v>1038845853</v>
      </c>
      <c r="K179" s="1275"/>
      <c r="L179" s="1275"/>
    </row>
    <row r="180" spans="1:12" hidden="1">
      <c r="A180" s="1279"/>
      <c r="B180" s="1858">
        <f t="shared" ref="B180:J180" si="132">SUM(B168:B179)</f>
        <v>135826063</v>
      </c>
      <c r="C180" s="2497">
        <f t="shared" si="132"/>
        <v>283587787</v>
      </c>
      <c r="D180" s="2549">
        <f t="shared" si="132"/>
        <v>545317220</v>
      </c>
      <c r="E180" s="2514">
        <f t="shared" si="132"/>
        <v>245172014</v>
      </c>
      <c r="F180" s="1859">
        <f t="shared" si="132"/>
        <v>124046051</v>
      </c>
      <c r="G180" s="1859">
        <f t="shared" si="132"/>
        <v>78024454</v>
      </c>
      <c r="H180" s="1859">
        <f t="shared" si="132"/>
        <v>34325779</v>
      </c>
      <c r="I180" s="1859">
        <f t="shared" si="132"/>
        <v>31064939</v>
      </c>
      <c r="J180" s="1280">
        <f t="shared" si="132"/>
        <v>1482404051</v>
      </c>
      <c r="K180" s="1281"/>
      <c r="L180" s="1281"/>
    </row>
    <row r="181" spans="1:12" ht="17.25" hidden="1" customHeight="1" thickBot="1">
      <c r="A181" s="1282"/>
      <c r="B181" s="1242" t="s">
        <v>444</v>
      </c>
      <c r="C181" s="2484" t="s">
        <v>5</v>
      </c>
      <c r="D181" s="2537" t="s">
        <v>6</v>
      </c>
      <c r="E181" s="2505" t="s">
        <v>206</v>
      </c>
      <c r="F181" s="1198" t="s">
        <v>208</v>
      </c>
      <c r="G181" s="1198" t="s">
        <v>253</v>
      </c>
      <c r="H181" s="1198" t="s">
        <v>254</v>
      </c>
      <c r="I181" s="1198" t="s">
        <v>252</v>
      </c>
      <c r="J181" s="1199" t="s">
        <v>46</v>
      </c>
    </row>
    <row r="182" spans="1:12" ht="9" hidden="1" customHeight="1">
      <c r="A182" s="1283"/>
      <c r="B182" s="1285"/>
      <c r="C182" s="1285"/>
      <c r="D182" s="2550"/>
      <c r="E182" s="1286"/>
      <c r="F182" s="1284"/>
      <c r="G182" s="1284"/>
      <c r="H182" s="1284"/>
      <c r="I182" s="1284"/>
      <c r="J182" s="1284"/>
      <c r="K182" s="1287"/>
      <c r="L182" s="1287"/>
    </row>
    <row r="183" spans="1:12" ht="13.5" hidden="1" thickBot="1">
      <c r="A183" s="1288" t="s">
        <v>59</v>
      </c>
      <c r="B183" s="1289">
        <f>+B121-B152</f>
        <v>117630</v>
      </c>
      <c r="C183" s="2498">
        <f t="shared" ref="C183:J183" si="133">+C121-C152</f>
        <v>-27274768</v>
      </c>
      <c r="D183" s="2551">
        <f t="shared" si="133"/>
        <v>3986009</v>
      </c>
      <c r="E183" s="1290">
        <f t="shared" si="133"/>
        <v>113375011</v>
      </c>
      <c r="F183" s="1289">
        <f t="shared" si="133"/>
        <v>38466572</v>
      </c>
      <c r="G183" s="1289">
        <f t="shared" si="133"/>
        <v>17336556</v>
      </c>
      <c r="H183" s="1289">
        <f t="shared" si="133"/>
        <v>1323384</v>
      </c>
      <c r="I183" s="1289">
        <f t="shared" si="133"/>
        <v>1073442</v>
      </c>
      <c r="J183" s="1289">
        <f t="shared" si="133"/>
        <v>148403836</v>
      </c>
      <c r="K183" s="1291"/>
      <c r="L183" s="1291"/>
    </row>
    <row r="184" spans="1:12" hidden="1">
      <c r="A184" s="1292" t="s">
        <v>12</v>
      </c>
      <c r="B184" s="1293">
        <f t="shared" ref="B184:J184" si="134">+B122-B153</f>
        <v>136</v>
      </c>
      <c r="C184" s="2499">
        <f t="shared" si="134"/>
        <v>-9634873</v>
      </c>
      <c r="D184" s="2552">
        <f t="shared" si="134"/>
        <v>-2229251</v>
      </c>
      <c r="E184" s="1294">
        <f t="shared" si="134"/>
        <v>14069864</v>
      </c>
      <c r="F184" s="1293">
        <f t="shared" si="134"/>
        <v>1611631</v>
      </c>
      <c r="G184" s="1293">
        <f t="shared" si="134"/>
        <v>-119497</v>
      </c>
      <c r="H184" s="1293">
        <f t="shared" si="134"/>
        <v>139300</v>
      </c>
      <c r="I184" s="1293">
        <f t="shared" si="134"/>
        <v>139300</v>
      </c>
      <c r="J184" s="1295">
        <f t="shared" si="134"/>
        <v>3976610</v>
      </c>
      <c r="K184" s="1296"/>
      <c r="L184" s="1296"/>
    </row>
    <row r="185" spans="1:12" hidden="1">
      <c r="A185" s="1297" t="s">
        <v>50</v>
      </c>
      <c r="B185" s="1295">
        <f t="shared" ref="B185:J185" si="135">+B123-B154</f>
        <v>120727</v>
      </c>
      <c r="C185" s="2500">
        <f t="shared" si="135"/>
        <v>-754508</v>
      </c>
      <c r="D185" s="2553">
        <f t="shared" si="135"/>
        <v>2545465</v>
      </c>
      <c r="E185" s="2515">
        <f t="shared" si="135"/>
        <v>49993956</v>
      </c>
      <c r="F185" s="1295">
        <f t="shared" si="135"/>
        <v>22546156</v>
      </c>
      <c r="G185" s="1295">
        <f t="shared" si="135"/>
        <v>13289340</v>
      </c>
      <c r="H185" s="1295">
        <f t="shared" si="135"/>
        <v>0</v>
      </c>
      <c r="I185" s="1295">
        <f t="shared" si="135"/>
        <v>0</v>
      </c>
      <c r="J185" s="1295">
        <f t="shared" si="135"/>
        <v>87741136</v>
      </c>
      <c r="K185" s="1296"/>
      <c r="L185" s="1296"/>
    </row>
    <row r="186" spans="1:12" hidden="1">
      <c r="A186" s="1297" t="s">
        <v>13</v>
      </c>
      <c r="B186" s="1295">
        <f t="shared" ref="B186:J186" si="136">+B124-B155</f>
        <v>178</v>
      </c>
      <c r="C186" s="2500">
        <f t="shared" si="136"/>
        <v>-182806</v>
      </c>
      <c r="D186" s="2553">
        <f t="shared" si="136"/>
        <v>318582</v>
      </c>
      <c r="E186" s="2515">
        <f t="shared" si="136"/>
        <v>2295593</v>
      </c>
      <c r="F186" s="1295">
        <f t="shared" si="136"/>
        <v>1766196</v>
      </c>
      <c r="G186" s="1295">
        <f t="shared" si="136"/>
        <v>466071</v>
      </c>
      <c r="H186" s="1295">
        <f t="shared" si="136"/>
        <v>68736</v>
      </c>
      <c r="I186" s="1295">
        <f t="shared" si="136"/>
        <v>67693</v>
      </c>
      <c r="J186" s="1295">
        <f t="shared" si="136"/>
        <v>4800243</v>
      </c>
      <c r="K186" s="1296"/>
      <c r="L186" s="1296"/>
    </row>
    <row r="187" spans="1:12" hidden="1">
      <c r="A187" s="1297" t="s">
        <v>15</v>
      </c>
      <c r="B187" s="1295">
        <f t="shared" ref="B187:J187" si="137">+B126-B157</f>
        <v>136</v>
      </c>
      <c r="C187" s="2500">
        <f t="shared" si="137"/>
        <v>-879916</v>
      </c>
      <c r="D187" s="2553">
        <f t="shared" si="137"/>
        <v>916990</v>
      </c>
      <c r="E187" s="2515">
        <f t="shared" si="137"/>
        <v>0</v>
      </c>
      <c r="F187" s="1295">
        <f t="shared" si="137"/>
        <v>0</v>
      </c>
      <c r="G187" s="1295">
        <f t="shared" si="137"/>
        <v>0</v>
      </c>
      <c r="H187" s="1295">
        <f t="shared" si="137"/>
        <v>0</v>
      </c>
      <c r="I187" s="1295">
        <f t="shared" si="137"/>
        <v>0</v>
      </c>
      <c r="J187" s="1295">
        <f t="shared" si="137"/>
        <v>37210</v>
      </c>
      <c r="K187" s="1296"/>
      <c r="L187" s="1296"/>
    </row>
    <row r="188" spans="1:12" hidden="1">
      <c r="A188" s="1297" t="s">
        <v>52</v>
      </c>
      <c r="B188" s="1295">
        <f t="shared" ref="B188:J188" si="138">+B127-B158</f>
        <v>0</v>
      </c>
      <c r="C188" s="2500">
        <f t="shared" si="138"/>
        <v>-1</v>
      </c>
      <c r="D188" s="2553">
        <f t="shared" si="138"/>
        <v>0</v>
      </c>
      <c r="E188" s="2515">
        <f t="shared" si="138"/>
        <v>1</v>
      </c>
      <c r="F188" s="1295">
        <f t="shared" si="138"/>
        <v>0</v>
      </c>
      <c r="G188" s="1295">
        <f t="shared" si="138"/>
        <v>0</v>
      </c>
      <c r="H188" s="1295">
        <f t="shared" si="138"/>
        <v>0</v>
      </c>
      <c r="I188" s="1295">
        <f t="shared" si="138"/>
        <v>0</v>
      </c>
      <c r="J188" s="1295">
        <f t="shared" si="138"/>
        <v>0</v>
      </c>
      <c r="K188" s="1296"/>
      <c r="L188" s="1296"/>
    </row>
    <row r="189" spans="1:12" hidden="1">
      <c r="A189" s="1297" t="s">
        <v>20</v>
      </c>
      <c r="B189" s="1295">
        <f>+B128-B159</f>
        <v>0</v>
      </c>
      <c r="C189" s="2500">
        <f t="shared" ref="C189:J190" si="139">+C128-C159</f>
        <v>-1097457</v>
      </c>
      <c r="D189" s="2553">
        <f t="shared" si="139"/>
        <v>-11281084</v>
      </c>
      <c r="E189" s="2515">
        <f t="shared" ref="E189:I190" si="140">+E128-E159</f>
        <v>13127593</v>
      </c>
      <c r="F189" s="1295">
        <f t="shared" si="140"/>
        <v>0</v>
      </c>
      <c r="G189" s="1295">
        <f t="shared" si="140"/>
        <v>0</v>
      </c>
      <c r="H189" s="1295">
        <f t="shared" si="140"/>
        <v>0</v>
      </c>
      <c r="I189" s="1295">
        <f t="shared" si="140"/>
        <v>0</v>
      </c>
      <c r="J189" s="1295">
        <f t="shared" si="139"/>
        <v>749052</v>
      </c>
      <c r="K189" s="1296"/>
      <c r="L189" s="1296"/>
    </row>
    <row r="190" spans="1:12" hidden="1">
      <c r="A190" s="1297" t="s">
        <v>17</v>
      </c>
      <c r="B190" s="1295">
        <f>+B129-B160</f>
        <v>0</v>
      </c>
      <c r="C190" s="2500">
        <f t="shared" si="139"/>
        <v>0</v>
      </c>
      <c r="D190" s="2553">
        <f t="shared" si="139"/>
        <v>0</v>
      </c>
      <c r="E190" s="2515">
        <f t="shared" si="140"/>
        <v>0</v>
      </c>
      <c r="F190" s="1295">
        <f t="shared" si="140"/>
        <v>0</v>
      </c>
      <c r="G190" s="1295">
        <f t="shared" si="140"/>
        <v>0</v>
      </c>
      <c r="H190" s="1295">
        <f t="shared" si="140"/>
        <v>0</v>
      </c>
      <c r="I190" s="1295">
        <f t="shared" si="140"/>
        <v>0</v>
      </c>
      <c r="J190" s="1295">
        <f t="shared" si="139"/>
        <v>0</v>
      </c>
      <c r="K190" s="1296"/>
      <c r="L190" s="1296"/>
    </row>
    <row r="191" spans="1:12" hidden="1">
      <c r="A191" s="1297" t="s">
        <v>57</v>
      </c>
      <c r="B191" s="1295">
        <f t="shared" ref="B191:J191" si="141">+B125-B156</f>
        <v>0</v>
      </c>
      <c r="C191" s="2500">
        <f t="shared" si="141"/>
        <v>-675735</v>
      </c>
      <c r="D191" s="2553">
        <f t="shared" si="141"/>
        <v>675735</v>
      </c>
      <c r="E191" s="2515">
        <f t="shared" si="141"/>
        <v>0</v>
      </c>
      <c r="F191" s="1295">
        <f t="shared" si="141"/>
        <v>0</v>
      </c>
      <c r="G191" s="1295">
        <f t="shared" si="141"/>
        <v>0</v>
      </c>
      <c r="H191" s="1295">
        <f t="shared" si="141"/>
        <v>0</v>
      </c>
      <c r="I191" s="1295">
        <f t="shared" si="141"/>
        <v>0</v>
      </c>
      <c r="J191" s="1295">
        <f t="shared" si="141"/>
        <v>0</v>
      </c>
      <c r="K191" s="1296"/>
      <c r="L191" s="1296"/>
    </row>
    <row r="192" spans="1:12" ht="13.5" hidden="1" customHeight="1">
      <c r="A192" s="1297" t="s">
        <v>56</v>
      </c>
      <c r="B192" s="1295">
        <f>+B130-B161</f>
        <v>0</v>
      </c>
      <c r="C192" s="2500">
        <f t="shared" ref="C192:J194" si="142">+C130-C161</f>
        <v>0</v>
      </c>
      <c r="D192" s="2553">
        <f t="shared" si="142"/>
        <v>0</v>
      </c>
      <c r="E192" s="2515">
        <f t="shared" ref="E192:I194" si="143">+E130-E161</f>
        <v>0</v>
      </c>
      <c r="F192" s="1295">
        <f t="shared" si="143"/>
        <v>0</v>
      </c>
      <c r="G192" s="1295">
        <f t="shared" si="143"/>
        <v>0</v>
      </c>
      <c r="H192" s="1295">
        <f t="shared" si="143"/>
        <v>0</v>
      </c>
      <c r="I192" s="1295">
        <f t="shared" si="143"/>
        <v>0</v>
      </c>
      <c r="J192" s="1295">
        <f t="shared" si="142"/>
        <v>0</v>
      </c>
      <c r="K192" s="1296"/>
      <c r="L192" s="1296"/>
    </row>
    <row r="193" spans="1:17" ht="13.5" hidden="1" customHeight="1">
      <c r="A193" s="1298" t="s">
        <v>19</v>
      </c>
      <c r="B193" s="1295">
        <f>+B131-B162</f>
        <v>0</v>
      </c>
      <c r="C193" s="2500">
        <f t="shared" si="142"/>
        <v>0</v>
      </c>
      <c r="D193" s="2553">
        <f t="shared" si="142"/>
        <v>0</v>
      </c>
      <c r="E193" s="2515">
        <f t="shared" si="143"/>
        <v>0</v>
      </c>
      <c r="F193" s="1295">
        <f t="shared" si="143"/>
        <v>0</v>
      </c>
      <c r="G193" s="1295">
        <f t="shared" si="143"/>
        <v>0</v>
      </c>
      <c r="H193" s="1295">
        <f t="shared" si="143"/>
        <v>0</v>
      </c>
      <c r="I193" s="1295">
        <f t="shared" si="143"/>
        <v>0</v>
      </c>
      <c r="J193" s="1295">
        <f t="shared" si="142"/>
        <v>0</v>
      </c>
      <c r="K193" s="1296"/>
      <c r="L193" s="1296"/>
    </row>
    <row r="194" spans="1:17" ht="13.5" hidden="1" thickBot="1">
      <c r="A194" s="1299" t="s">
        <v>21</v>
      </c>
      <c r="B194" s="1300">
        <f>+B132-B163</f>
        <v>-3547</v>
      </c>
      <c r="C194" s="2501">
        <f t="shared" si="142"/>
        <v>-14049472</v>
      </c>
      <c r="D194" s="2554">
        <f t="shared" si="142"/>
        <v>13039572</v>
      </c>
      <c r="E194" s="2516">
        <f t="shared" si="143"/>
        <v>33888004</v>
      </c>
      <c r="F194" s="1300">
        <f t="shared" si="143"/>
        <v>12542589</v>
      </c>
      <c r="G194" s="1300">
        <f t="shared" si="143"/>
        <v>3700642</v>
      </c>
      <c r="H194" s="1300">
        <f t="shared" si="143"/>
        <v>1115348</v>
      </c>
      <c r="I194" s="1300">
        <f t="shared" si="143"/>
        <v>866449</v>
      </c>
      <c r="J194" s="1295">
        <f>+J132-J163</f>
        <v>51099585</v>
      </c>
      <c r="K194" s="1296">
        <f>+I194-I209</f>
        <v>0</v>
      </c>
      <c r="L194" s="1296">
        <f>+J194-J209</f>
        <v>0</v>
      </c>
      <c r="Q194" s="1094">
        <f>+J194-J209</f>
        <v>0</v>
      </c>
    </row>
    <row r="195" spans="1:17" ht="15" hidden="1" customHeight="1" thickBot="1">
      <c r="A195" s="1301"/>
      <c r="B195" s="1302">
        <f>SUM(B184:B194)</f>
        <v>117630</v>
      </c>
      <c r="C195" s="2502">
        <f t="shared" ref="C195:J195" si="144">SUM(C184:C194)</f>
        <v>-27274768</v>
      </c>
      <c r="D195" s="2555">
        <f t="shared" si="144"/>
        <v>3986009</v>
      </c>
      <c r="E195" s="1303">
        <f>SUM(E184:E194)</f>
        <v>113375011</v>
      </c>
      <c r="F195" s="1302">
        <f>SUM(F184:F194)</f>
        <v>38466572</v>
      </c>
      <c r="G195" s="1302">
        <f>SUM(G184:G194)</f>
        <v>17336556</v>
      </c>
      <c r="H195" s="1302">
        <f>SUM(H184:H194)</f>
        <v>1323384</v>
      </c>
      <c r="I195" s="1302">
        <f>SUM(I184:I194)</f>
        <v>1073442</v>
      </c>
      <c r="J195" s="1302">
        <f t="shared" si="144"/>
        <v>148403836</v>
      </c>
      <c r="K195" s="1304"/>
      <c r="L195" s="1304"/>
    </row>
    <row r="196" spans="1:17" ht="14.25" hidden="1" customHeight="1" thickBot="1">
      <c r="A196" s="1305" t="s">
        <v>42</v>
      </c>
      <c r="B196" s="1307">
        <f t="shared" ref="B196:J196" si="145">+B121-B152</f>
        <v>117630</v>
      </c>
      <c r="C196" s="1306">
        <f t="shared" si="145"/>
        <v>-27274768</v>
      </c>
      <c r="D196" s="2556">
        <f t="shared" si="145"/>
        <v>3986009</v>
      </c>
      <c r="E196" s="1306">
        <f t="shared" si="145"/>
        <v>113375011</v>
      </c>
      <c r="F196" s="1306">
        <f t="shared" si="145"/>
        <v>38466572</v>
      </c>
      <c r="G196" s="1306">
        <f t="shared" si="145"/>
        <v>17336556</v>
      </c>
      <c r="H196" s="1306">
        <f t="shared" si="145"/>
        <v>1323384</v>
      </c>
      <c r="I196" s="1306">
        <f t="shared" si="145"/>
        <v>1073442</v>
      </c>
      <c r="J196" s="1306">
        <f t="shared" si="145"/>
        <v>148403836</v>
      </c>
      <c r="K196" s="1306"/>
      <c r="L196" s="1306"/>
    </row>
    <row r="197" spans="1:17" ht="16.5" hidden="1" customHeight="1" thickBot="1">
      <c r="A197" s="1308" t="s">
        <v>60</v>
      </c>
      <c r="B197" s="1309">
        <f>+B135-B167</f>
        <v>114593</v>
      </c>
      <c r="C197" s="2503">
        <f t="shared" ref="C197:J209" si="146">+C135-C167</f>
        <v>-5359574</v>
      </c>
      <c r="D197" s="2557">
        <f t="shared" si="146"/>
        <v>-4366347</v>
      </c>
      <c r="E197" s="1310">
        <f t="shared" ref="E197:I209" si="147">+E135-E167</f>
        <v>44960765</v>
      </c>
      <c r="F197" s="1309">
        <f t="shared" si="147"/>
        <v>27686784</v>
      </c>
      <c r="G197" s="1309">
        <f t="shared" si="147"/>
        <v>7841786</v>
      </c>
      <c r="H197" s="1309">
        <f t="shared" si="147"/>
        <v>1184084</v>
      </c>
      <c r="I197" s="1309">
        <f t="shared" si="147"/>
        <v>934142</v>
      </c>
      <c r="J197" s="1309">
        <f>SUM(J198:J209)</f>
        <v>75351120</v>
      </c>
      <c r="K197" s="1311"/>
      <c r="L197" s="1311"/>
    </row>
    <row r="198" spans="1:17" hidden="1">
      <c r="A198" s="1292" t="s">
        <v>54</v>
      </c>
      <c r="B198" s="1293">
        <f t="shared" ref="B198:B209" si="148">+B136-B168</f>
        <v>0</v>
      </c>
      <c r="C198" s="2499">
        <f t="shared" si="146"/>
        <v>0</v>
      </c>
      <c r="D198" s="2552">
        <f t="shared" si="146"/>
        <v>0</v>
      </c>
      <c r="E198" s="1294">
        <f t="shared" si="147"/>
        <v>0</v>
      </c>
      <c r="F198" s="1293">
        <f t="shared" si="147"/>
        <v>0</v>
      </c>
      <c r="G198" s="1293">
        <f t="shared" si="147"/>
        <v>0</v>
      </c>
      <c r="H198" s="1293">
        <f t="shared" si="147"/>
        <v>0</v>
      </c>
      <c r="I198" s="1293">
        <f t="shared" si="147"/>
        <v>0</v>
      </c>
      <c r="J198" s="1312">
        <f>+J136-J168</f>
        <v>0</v>
      </c>
      <c r="K198" s="1313"/>
      <c r="L198" s="1313"/>
    </row>
    <row r="199" spans="1:17" hidden="1">
      <c r="A199" s="1297" t="s">
        <v>13</v>
      </c>
      <c r="B199" s="1295">
        <f t="shared" si="148"/>
        <v>0</v>
      </c>
      <c r="C199" s="2500">
        <f t="shared" si="146"/>
        <v>-162565</v>
      </c>
      <c r="D199" s="2553">
        <f t="shared" si="146"/>
        <v>288426</v>
      </c>
      <c r="E199" s="2515">
        <f t="shared" si="147"/>
        <v>2305686</v>
      </c>
      <c r="F199" s="1295">
        <f t="shared" si="147"/>
        <v>1766196</v>
      </c>
      <c r="G199" s="1295">
        <f t="shared" si="147"/>
        <v>466071</v>
      </c>
      <c r="H199" s="1295">
        <f t="shared" si="147"/>
        <v>68736</v>
      </c>
      <c r="I199" s="1295">
        <f t="shared" si="147"/>
        <v>67693</v>
      </c>
      <c r="J199" s="1314">
        <f t="shared" si="146"/>
        <v>4800243</v>
      </c>
      <c r="K199" s="1313"/>
      <c r="L199" s="1313"/>
    </row>
    <row r="200" spans="1:17" hidden="1">
      <c r="A200" s="1297" t="s">
        <v>15</v>
      </c>
      <c r="B200" s="1295">
        <f t="shared" si="148"/>
        <v>136</v>
      </c>
      <c r="C200" s="2500">
        <f t="shared" si="146"/>
        <v>-879916</v>
      </c>
      <c r="D200" s="2553">
        <f t="shared" si="146"/>
        <v>916990</v>
      </c>
      <c r="E200" s="2515">
        <f t="shared" si="147"/>
        <v>0</v>
      </c>
      <c r="F200" s="1295">
        <f t="shared" si="147"/>
        <v>0</v>
      </c>
      <c r="G200" s="1295">
        <f t="shared" si="147"/>
        <v>0</v>
      </c>
      <c r="H200" s="1295">
        <f t="shared" si="147"/>
        <v>0</v>
      </c>
      <c r="I200" s="1295">
        <f t="shared" si="147"/>
        <v>0</v>
      </c>
      <c r="J200" s="1314">
        <f t="shared" si="146"/>
        <v>37210</v>
      </c>
      <c r="K200" s="1313"/>
      <c r="L200" s="1313"/>
    </row>
    <row r="201" spans="1:17" hidden="1">
      <c r="A201" s="1297" t="s">
        <v>62</v>
      </c>
      <c r="B201" s="1295">
        <f t="shared" si="148"/>
        <v>0</v>
      </c>
      <c r="C201" s="2500">
        <f t="shared" si="146"/>
        <v>-1</v>
      </c>
      <c r="D201" s="2553">
        <f t="shared" si="146"/>
        <v>0</v>
      </c>
      <c r="E201" s="2515">
        <f t="shared" si="147"/>
        <v>1</v>
      </c>
      <c r="F201" s="1295">
        <f t="shared" si="147"/>
        <v>0</v>
      </c>
      <c r="G201" s="1295">
        <f t="shared" si="147"/>
        <v>0</v>
      </c>
      <c r="H201" s="1295">
        <f t="shared" si="147"/>
        <v>0</v>
      </c>
      <c r="I201" s="1295">
        <f t="shared" si="147"/>
        <v>0</v>
      </c>
      <c r="J201" s="1314">
        <f t="shared" si="146"/>
        <v>0</v>
      </c>
      <c r="K201" s="1313"/>
      <c r="L201" s="1313"/>
    </row>
    <row r="202" spans="1:17" hidden="1">
      <c r="A202" s="1292" t="s">
        <v>12</v>
      </c>
      <c r="B202" s="1295">
        <f t="shared" si="148"/>
        <v>119520</v>
      </c>
      <c r="C202" s="2500">
        <f t="shared" si="146"/>
        <v>-18481</v>
      </c>
      <c r="D202" s="2553">
        <f t="shared" si="146"/>
        <v>-1821118</v>
      </c>
      <c r="E202" s="2515">
        <f t="shared" si="147"/>
        <v>9129291</v>
      </c>
      <c r="F202" s="1295">
        <f t="shared" si="147"/>
        <v>7580745</v>
      </c>
      <c r="G202" s="1295">
        <f t="shared" si="147"/>
        <v>3675073</v>
      </c>
      <c r="H202" s="1295">
        <f t="shared" si="147"/>
        <v>0</v>
      </c>
      <c r="I202" s="1295">
        <f t="shared" si="147"/>
        <v>0</v>
      </c>
      <c r="J202" s="1314">
        <f t="shared" si="146"/>
        <v>18665030</v>
      </c>
      <c r="K202" s="1313"/>
      <c r="L202" s="1313"/>
    </row>
    <row r="203" spans="1:17" hidden="1">
      <c r="A203" s="1297" t="s">
        <v>57</v>
      </c>
      <c r="B203" s="1295">
        <f t="shared" si="148"/>
        <v>0</v>
      </c>
      <c r="C203" s="2500">
        <f t="shared" si="146"/>
        <v>-675735</v>
      </c>
      <c r="D203" s="2553">
        <f t="shared" si="146"/>
        <v>675735</v>
      </c>
      <c r="E203" s="2515">
        <f t="shared" si="147"/>
        <v>0</v>
      </c>
      <c r="F203" s="1295">
        <f t="shared" si="147"/>
        <v>0</v>
      </c>
      <c r="G203" s="1295">
        <f t="shared" si="147"/>
        <v>0</v>
      </c>
      <c r="H203" s="1295">
        <f t="shared" si="147"/>
        <v>0</v>
      </c>
      <c r="I203" s="1295">
        <f t="shared" si="147"/>
        <v>0</v>
      </c>
      <c r="J203" s="1314">
        <f t="shared" si="146"/>
        <v>0</v>
      </c>
      <c r="K203" s="1296"/>
      <c r="L203" s="1296"/>
    </row>
    <row r="204" spans="1:17" hidden="1">
      <c r="A204" s="1297" t="s">
        <v>58</v>
      </c>
      <c r="B204" s="1295">
        <f t="shared" si="148"/>
        <v>0</v>
      </c>
      <c r="C204" s="2500">
        <f t="shared" si="146"/>
        <v>0</v>
      </c>
      <c r="D204" s="2553">
        <f t="shared" si="146"/>
        <v>0</v>
      </c>
      <c r="E204" s="2515">
        <f t="shared" si="147"/>
        <v>0</v>
      </c>
      <c r="F204" s="1295">
        <f t="shared" si="147"/>
        <v>0</v>
      </c>
      <c r="G204" s="1295">
        <f t="shared" si="147"/>
        <v>0</v>
      </c>
      <c r="H204" s="1295">
        <f t="shared" si="147"/>
        <v>0</v>
      </c>
      <c r="I204" s="1295">
        <f t="shared" si="147"/>
        <v>0</v>
      </c>
      <c r="J204" s="1314">
        <f t="shared" si="146"/>
        <v>0</v>
      </c>
      <c r="K204" s="1313"/>
      <c r="L204" s="1313"/>
    </row>
    <row r="205" spans="1:17" hidden="1">
      <c r="A205" s="1297" t="s">
        <v>17</v>
      </c>
      <c r="B205" s="1295">
        <f t="shared" si="148"/>
        <v>0</v>
      </c>
      <c r="C205" s="2500">
        <f t="shared" si="146"/>
        <v>0</v>
      </c>
      <c r="D205" s="2553">
        <f t="shared" si="146"/>
        <v>0</v>
      </c>
      <c r="E205" s="2515">
        <f t="shared" si="147"/>
        <v>0</v>
      </c>
      <c r="F205" s="1295">
        <f t="shared" si="147"/>
        <v>0</v>
      </c>
      <c r="G205" s="1295">
        <f t="shared" si="147"/>
        <v>0</v>
      </c>
      <c r="H205" s="1295">
        <f t="shared" si="147"/>
        <v>0</v>
      </c>
      <c r="I205" s="1295">
        <f t="shared" si="147"/>
        <v>0</v>
      </c>
      <c r="J205" s="1314">
        <f t="shared" si="146"/>
        <v>0</v>
      </c>
      <c r="K205" s="1313"/>
      <c r="L205" s="1313"/>
    </row>
    <row r="206" spans="1:17" ht="24" hidden="1">
      <c r="A206" s="1297" t="s">
        <v>26</v>
      </c>
      <c r="B206" s="1315">
        <f t="shared" si="148"/>
        <v>0</v>
      </c>
      <c r="C206" s="2504">
        <f t="shared" si="146"/>
        <v>0</v>
      </c>
      <c r="D206" s="2558">
        <f t="shared" si="146"/>
        <v>0</v>
      </c>
      <c r="E206" s="2517">
        <f t="shared" si="147"/>
        <v>0</v>
      </c>
      <c r="F206" s="1315">
        <f t="shared" si="147"/>
        <v>0</v>
      </c>
      <c r="G206" s="1315">
        <f t="shared" si="147"/>
        <v>0</v>
      </c>
      <c r="H206" s="1315">
        <f t="shared" si="147"/>
        <v>0</v>
      </c>
      <c r="I206" s="1315">
        <f t="shared" si="147"/>
        <v>0</v>
      </c>
      <c r="J206" s="1314">
        <f>+J144-J176</f>
        <v>0</v>
      </c>
      <c r="K206" s="1316"/>
      <c r="L206" s="1316"/>
    </row>
    <row r="207" spans="1:17" ht="13.5" hidden="1" customHeight="1">
      <c r="A207" s="1297" t="s">
        <v>20</v>
      </c>
      <c r="B207" s="1295">
        <f t="shared" si="148"/>
        <v>0</v>
      </c>
      <c r="C207" s="2500">
        <f t="shared" si="146"/>
        <v>-1594</v>
      </c>
      <c r="D207" s="2553">
        <f t="shared" si="146"/>
        <v>-10211743</v>
      </c>
      <c r="E207" s="2515">
        <f t="shared" si="147"/>
        <v>4795603</v>
      </c>
      <c r="F207" s="1295">
        <f t="shared" si="147"/>
        <v>6166786</v>
      </c>
      <c r="G207" s="1295">
        <f t="shared" si="147"/>
        <v>0</v>
      </c>
      <c r="H207" s="1295">
        <f t="shared" si="147"/>
        <v>0</v>
      </c>
      <c r="I207" s="1295">
        <f t="shared" si="147"/>
        <v>0</v>
      </c>
      <c r="J207" s="1314">
        <f>+J145-J177</f>
        <v>749052</v>
      </c>
      <c r="K207" s="1313"/>
      <c r="L207" s="1313"/>
    </row>
    <row r="208" spans="1:17" ht="13.5" hidden="1" customHeight="1">
      <c r="A208" s="1298" t="s">
        <v>19</v>
      </c>
      <c r="B208" s="1295">
        <f t="shared" si="148"/>
        <v>0</v>
      </c>
      <c r="C208" s="2500">
        <f t="shared" si="146"/>
        <v>0</v>
      </c>
      <c r="D208" s="2553">
        <f t="shared" si="146"/>
        <v>0</v>
      </c>
      <c r="E208" s="2515">
        <f t="shared" si="147"/>
        <v>0</v>
      </c>
      <c r="F208" s="1295">
        <f t="shared" si="147"/>
        <v>0</v>
      </c>
      <c r="G208" s="1295">
        <f t="shared" si="147"/>
        <v>0</v>
      </c>
      <c r="H208" s="1295">
        <f t="shared" si="147"/>
        <v>0</v>
      </c>
      <c r="I208" s="1295">
        <f t="shared" si="147"/>
        <v>0</v>
      </c>
      <c r="J208" s="1314">
        <f>+J146-J178</f>
        <v>0</v>
      </c>
      <c r="K208" s="1313"/>
      <c r="L208" s="1313"/>
    </row>
    <row r="209" spans="1:12" ht="13.5" hidden="1" thickBot="1">
      <c r="A209" s="1299" t="s">
        <v>21</v>
      </c>
      <c r="B209" s="1300">
        <f t="shared" si="148"/>
        <v>-5063</v>
      </c>
      <c r="C209" s="2501">
        <f t="shared" si="146"/>
        <v>-3621282</v>
      </c>
      <c r="D209" s="2554">
        <f t="shared" si="146"/>
        <v>5785363</v>
      </c>
      <c r="E209" s="2516">
        <f t="shared" si="147"/>
        <v>28730184</v>
      </c>
      <c r="F209" s="1300">
        <f t="shared" si="147"/>
        <v>12173057</v>
      </c>
      <c r="G209" s="1300">
        <f t="shared" si="147"/>
        <v>3700642</v>
      </c>
      <c r="H209" s="1300">
        <f t="shared" si="147"/>
        <v>1115348</v>
      </c>
      <c r="I209" s="1300">
        <f t="shared" si="147"/>
        <v>866449</v>
      </c>
      <c r="J209" s="1314">
        <f>+J147-J179</f>
        <v>51099585</v>
      </c>
      <c r="K209" s="1313"/>
      <c r="L209" s="1313"/>
    </row>
    <row r="210" spans="1:12" ht="13.5" hidden="1" thickBot="1">
      <c r="A210" s="1317"/>
      <c r="B210" s="1319">
        <f>SUM(B198:B209)</f>
        <v>114593</v>
      </c>
      <c r="C210" s="1318">
        <f t="shared" ref="C210:J210" si="149">SUM(C198:C209)</f>
        <v>-5359574</v>
      </c>
      <c r="D210" s="2559">
        <f t="shared" si="149"/>
        <v>-4366347</v>
      </c>
      <c r="E210" s="1318">
        <f t="shared" si="149"/>
        <v>44960765</v>
      </c>
      <c r="F210" s="1318">
        <f t="shared" si="149"/>
        <v>27686784</v>
      </c>
      <c r="G210" s="1318">
        <f t="shared" si="149"/>
        <v>7841786</v>
      </c>
      <c r="H210" s="1318">
        <f t="shared" si="149"/>
        <v>1184084</v>
      </c>
      <c r="I210" s="1318">
        <f t="shared" si="149"/>
        <v>934142</v>
      </c>
      <c r="J210" s="1318">
        <f t="shared" si="149"/>
        <v>75351120</v>
      </c>
      <c r="K210" s="1320"/>
      <c r="L210" s="1320"/>
    </row>
    <row r="211" spans="1:12" ht="2.25" hidden="1" customHeight="1">
      <c r="A211" s="1082"/>
      <c r="B211" s="1321"/>
      <c r="J211" s="1082"/>
    </row>
    <row r="212" spans="1:12" hidden="1">
      <c r="A212" s="1305" t="s">
        <v>42</v>
      </c>
      <c r="B212" s="1323">
        <f>+B135-B167</f>
        <v>114593</v>
      </c>
      <c r="C212" s="1322">
        <f t="shared" ref="C212:J212" si="150">+C135-C167</f>
        <v>-5359574</v>
      </c>
      <c r="D212" s="1322">
        <f t="shared" si="150"/>
        <v>-4366347</v>
      </c>
      <c r="E212" s="1322">
        <f>+E135-E167</f>
        <v>44960765</v>
      </c>
      <c r="F212" s="1322">
        <f>+F135-F167</f>
        <v>27686784</v>
      </c>
      <c r="G212" s="1322">
        <f>+G135-G167</f>
        <v>7841786</v>
      </c>
      <c r="H212" s="1322">
        <f>+H135-H167</f>
        <v>1184084</v>
      </c>
      <c r="I212" s="1322">
        <f>+I135-I167</f>
        <v>934142</v>
      </c>
      <c r="J212" s="1322">
        <f t="shared" si="150"/>
        <v>75351120</v>
      </c>
    </row>
    <row r="213" spans="1:12" ht="14.25" hidden="1" customHeight="1">
      <c r="A213" s="1082"/>
      <c r="B213" s="1089">
        <f>+B212-B210</f>
        <v>0</v>
      </c>
      <c r="C213" s="1089">
        <f t="shared" ref="C213:J213" si="151">+C212-C210</f>
        <v>0</v>
      </c>
      <c r="D213" s="1089">
        <f t="shared" si="151"/>
        <v>0</v>
      </c>
      <c r="E213" s="1089">
        <f>+E212-E210</f>
        <v>0</v>
      </c>
      <c r="F213" s="1089">
        <f>+F212-F210</f>
        <v>0</v>
      </c>
      <c r="G213" s="1089">
        <f>+G212-G210</f>
        <v>0</v>
      </c>
      <c r="H213" s="1089">
        <f>+H212-H210</f>
        <v>0</v>
      </c>
      <c r="I213" s="1089">
        <f>+I212-I210</f>
        <v>0</v>
      </c>
      <c r="J213" s="1089">
        <f t="shared" si="151"/>
        <v>0</v>
      </c>
    </row>
    <row r="214" spans="1:12" ht="12" hidden="1" customHeight="1">
      <c r="A214" s="1082"/>
      <c r="J214" s="1089"/>
    </row>
    <row r="215" spans="1:12" hidden="1">
      <c r="A215" s="1082"/>
      <c r="J215" s="1082"/>
    </row>
    <row r="216" spans="1:12" hidden="1">
      <c r="A216" s="1082"/>
    </row>
    <row r="217" spans="1:12" hidden="1">
      <c r="A217" s="1082"/>
      <c r="J217" s="1082"/>
    </row>
    <row r="218" spans="1:12" hidden="1">
      <c r="A218" s="1082"/>
      <c r="J218" s="1082"/>
    </row>
    <row r="219" spans="1:12" ht="41.25" hidden="1" customHeight="1">
      <c r="A219" s="1082"/>
    </row>
    <row r="220" spans="1:12" hidden="1">
      <c r="A220" s="1082"/>
      <c r="J220" s="1082"/>
    </row>
    <row r="221" spans="1:12" hidden="1">
      <c r="A221" s="1082"/>
      <c r="J221" s="1082"/>
    </row>
    <row r="222" spans="1:12" hidden="1">
      <c r="A222" s="1082"/>
      <c r="J222" s="1082"/>
    </row>
    <row r="223" spans="1:12" hidden="1">
      <c r="A223" s="1082"/>
      <c r="J223" s="1082"/>
    </row>
    <row r="224" spans="1:12" hidden="1">
      <c r="A224" s="1082"/>
      <c r="J224" s="1082"/>
    </row>
    <row r="225" spans="1:10" hidden="1">
      <c r="A225" s="1082"/>
      <c r="J225" s="1082"/>
    </row>
    <row r="226" spans="1:10" hidden="1">
      <c r="A226" s="1082"/>
      <c r="J226" s="1082"/>
    </row>
    <row r="227" spans="1:10" hidden="1">
      <c r="A227" s="1082"/>
      <c r="J227" s="1082"/>
    </row>
    <row r="228" spans="1:10" hidden="1">
      <c r="A228" s="1082"/>
      <c r="J228" s="1082"/>
    </row>
    <row r="229" spans="1:10" hidden="1">
      <c r="A229" s="1082"/>
      <c r="J229" s="1082"/>
    </row>
    <row r="230" spans="1:10" hidden="1">
      <c r="A230" s="1082"/>
      <c r="J230" s="1082"/>
    </row>
    <row r="231" spans="1:10" hidden="1">
      <c r="A231" s="1082"/>
      <c r="J231" s="1082"/>
    </row>
    <row r="232" spans="1:10" hidden="1">
      <c r="A232" s="1082"/>
      <c r="J232" s="1082"/>
    </row>
    <row r="233" spans="1:10" hidden="1">
      <c r="A233" s="1082"/>
      <c r="J233" s="1082"/>
    </row>
    <row r="234" spans="1:10" hidden="1">
      <c r="A234" s="1082"/>
      <c r="J234" s="1082"/>
    </row>
    <row r="235" spans="1:10" hidden="1">
      <c r="A235" s="1082"/>
      <c r="J235" s="1082"/>
    </row>
    <row r="236" spans="1:10" hidden="1">
      <c r="A236" s="1082"/>
      <c r="J236" s="1082"/>
    </row>
    <row r="237" spans="1:10" hidden="1">
      <c r="A237" s="1082"/>
      <c r="J237" s="1082"/>
    </row>
    <row r="238" spans="1:10" hidden="1">
      <c r="A238" s="1082"/>
      <c r="J238" s="1082"/>
    </row>
    <row r="239" spans="1:10" hidden="1">
      <c r="A239" s="1082"/>
      <c r="J239" s="1082"/>
    </row>
    <row r="240" spans="1:10" hidden="1">
      <c r="A240" s="1082"/>
      <c r="J240" s="1082"/>
    </row>
    <row r="241" spans="1:10" hidden="1">
      <c r="A241" s="1082"/>
      <c r="J241" s="1082"/>
    </row>
    <row r="242" spans="1:10" hidden="1">
      <c r="A242" s="1082"/>
      <c r="J242" s="1082"/>
    </row>
    <row r="243" spans="1:10" hidden="1">
      <c r="A243" s="1082"/>
      <c r="J243" s="1082"/>
    </row>
    <row r="244" spans="1:10" hidden="1">
      <c r="A244" s="1082"/>
      <c r="J244" s="1082"/>
    </row>
    <row r="245" spans="1:10" hidden="1">
      <c r="A245" s="1082"/>
      <c r="J245" s="1082"/>
    </row>
    <row r="246" spans="1:10" hidden="1">
      <c r="A246" s="1082"/>
      <c r="J246" s="1082"/>
    </row>
    <row r="247" spans="1:10" hidden="1">
      <c r="A247" s="1082"/>
      <c r="J247" s="1082"/>
    </row>
    <row r="248" spans="1:10" hidden="1">
      <c r="A248" s="1082"/>
      <c r="J248" s="1082"/>
    </row>
    <row r="249" spans="1:10" hidden="1">
      <c r="A249" s="1082"/>
      <c r="J249" s="1082"/>
    </row>
    <row r="250" spans="1:10" hidden="1">
      <c r="A250" s="1082"/>
      <c r="J250" s="1082"/>
    </row>
    <row r="251" spans="1:10" hidden="1">
      <c r="A251" s="1082"/>
      <c r="J251" s="1082"/>
    </row>
    <row r="252" spans="1:10" hidden="1">
      <c r="A252" s="1082"/>
      <c r="J252" s="1082"/>
    </row>
    <row r="253" spans="1:10" hidden="1">
      <c r="A253" s="1082"/>
      <c r="J253" s="1082"/>
    </row>
    <row r="254" spans="1:10" hidden="1">
      <c r="A254" s="1082"/>
      <c r="J254" s="1082"/>
    </row>
    <row r="255" spans="1:10" hidden="1">
      <c r="A255" s="1082"/>
      <c r="J255" s="1082"/>
    </row>
    <row r="256" spans="1:10" hidden="1">
      <c r="A256" s="1082"/>
      <c r="J256" s="1082"/>
    </row>
    <row r="257" spans="1:10" hidden="1">
      <c r="A257" s="1082"/>
      <c r="J257" s="1082"/>
    </row>
    <row r="258" spans="1:10" hidden="1">
      <c r="A258" s="1082"/>
      <c r="J258" s="1082"/>
    </row>
    <row r="259" spans="1:10" hidden="1">
      <c r="A259" s="1082"/>
      <c r="J259" s="1082"/>
    </row>
    <row r="260" spans="1:10" hidden="1">
      <c r="A260" s="1082"/>
      <c r="J260" s="1082"/>
    </row>
    <row r="261" spans="1:10">
      <c r="A261" s="1082"/>
      <c r="J261" s="1082"/>
    </row>
    <row r="262" spans="1:10">
      <c r="A262" s="1082"/>
      <c r="J262" s="1082"/>
    </row>
    <row r="263" spans="1:10">
      <c r="A263" s="1082"/>
      <c r="J263" s="1082"/>
    </row>
    <row r="264" spans="1:10">
      <c r="A264" s="1082"/>
      <c r="J264" s="1082"/>
    </row>
    <row r="265" spans="1:10">
      <c r="A265" s="1082"/>
      <c r="J265" s="1082"/>
    </row>
    <row r="266" spans="1:10">
      <c r="A266" s="1082"/>
      <c r="J266" s="1082"/>
    </row>
    <row r="267" spans="1:10">
      <c r="A267" s="1082"/>
      <c r="J267" s="1082"/>
    </row>
    <row r="268" spans="1:10">
      <c r="A268" s="1082"/>
      <c r="J268" s="1082"/>
    </row>
    <row r="269" spans="1:10">
      <c r="A269" s="1082"/>
      <c r="J269" s="1082"/>
    </row>
    <row r="270" spans="1:10">
      <c r="A270" s="1082"/>
      <c r="J270" s="1082"/>
    </row>
    <row r="271" spans="1:10">
      <c r="A271" s="1082"/>
      <c r="J271" s="1082"/>
    </row>
    <row r="272" spans="1:10">
      <c r="A272" s="1082"/>
      <c r="J272" s="1082"/>
    </row>
    <row r="273" spans="1:10">
      <c r="A273" s="1082"/>
      <c r="J273" s="1082"/>
    </row>
    <row r="274" spans="1:10">
      <c r="A274" s="1082"/>
      <c r="J274" s="1082"/>
    </row>
    <row r="275" spans="1:10">
      <c r="A275" s="1082"/>
      <c r="J275" s="1082"/>
    </row>
    <row r="276" spans="1:10">
      <c r="A276" s="1082"/>
      <c r="J276" s="1082"/>
    </row>
    <row r="277" spans="1:10">
      <c r="A277" s="1082"/>
      <c r="J277" s="1082"/>
    </row>
    <row r="278" spans="1:10">
      <c r="A278" s="1082"/>
      <c r="J278" s="1082"/>
    </row>
    <row r="279" spans="1:10">
      <c r="A279" s="1082"/>
      <c r="J279" s="1082"/>
    </row>
    <row r="280" spans="1:10">
      <c r="A280" s="1082"/>
      <c r="J280" s="1082"/>
    </row>
    <row r="281" spans="1:10">
      <c r="A281" s="1082"/>
      <c r="J281" s="1082"/>
    </row>
    <row r="282" spans="1:10">
      <c r="A282" s="1082"/>
      <c r="J282" s="1082"/>
    </row>
    <row r="283" spans="1:10">
      <c r="A283" s="1082"/>
      <c r="J283" s="1082"/>
    </row>
    <row r="284" spans="1:10">
      <c r="A284" s="1082"/>
      <c r="J284" s="1082"/>
    </row>
    <row r="285" spans="1:10">
      <c r="A285" s="1082"/>
      <c r="J285" s="1082"/>
    </row>
    <row r="286" spans="1:10">
      <c r="A286" s="1082"/>
      <c r="J286" s="1082"/>
    </row>
    <row r="287" spans="1:10">
      <c r="A287" s="1082"/>
      <c r="J287" s="1082"/>
    </row>
    <row r="288" spans="1:10">
      <c r="A288" s="1082"/>
      <c r="J288" s="1082"/>
    </row>
    <row r="289" spans="1:10">
      <c r="A289" s="1082"/>
      <c r="J289" s="1082"/>
    </row>
    <row r="290" spans="1:10">
      <c r="A290" s="1082"/>
      <c r="J290" s="1082"/>
    </row>
    <row r="291" spans="1:10">
      <c r="A291" s="1082"/>
      <c r="J291" s="1082"/>
    </row>
    <row r="292" spans="1:10">
      <c r="A292" s="1082"/>
      <c r="J292" s="1082"/>
    </row>
    <row r="293" spans="1:10">
      <c r="A293" s="1082"/>
      <c r="J293" s="1082"/>
    </row>
    <row r="294" spans="1:10">
      <c r="A294" s="1082"/>
      <c r="J294" s="1082"/>
    </row>
    <row r="295" spans="1:10">
      <c r="A295" s="1082"/>
      <c r="J295" s="1082"/>
    </row>
    <row r="296" spans="1:10">
      <c r="A296" s="1082"/>
      <c r="J296" s="1082"/>
    </row>
    <row r="297" spans="1:10">
      <c r="A297" s="1082"/>
      <c r="J297" s="1082"/>
    </row>
    <row r="298" spans="1:10">
      <c r="A298" s="1082"/>
      <c r="J298" s="1082"/>
    </row>
    <row r="299" spans="1:10">
      <c r="A299" s="1082"/>
      <c r="J299" s="1082"/>
    </row>
    <row r="300" spans="1:10">
      <c r="A300" s="1082"/>
      <c r="J300" s="1082"/>
    </row>
    <row r="301" spans="1:10">
      <c r="A301" s="1082"/>
      <c r="J301" s="1082"/>
    </row>
    <row r="302" spans="1:10">
      <c r="A302" s="1082"/>
      <c r="J302" s="1082"/>
    </row>
    <row r="303" spans="1:10">
      <c r="A303" s="1082"/>
      <c r="J303" s="1082"/>
    </row>
    <row r="304" spans="1:10">
      <c r="A304" s="1082"/>
      <c r="J304" s="1082"/>
    </row>
    <row r="305" spans="1:10">
      <c r="A305" s="1082"/>
      <c r="J305" s="1082"/>
    </row>
    <row r="306" spans="1:10">
      <c r="A306" s="1082"/>
      <c r="J306" s="1082"/>
    </row>
    <row r="307" spans="1:10">
      <c r="A307" s="1082"/>
      <c r="J307" s="1082"/>
    </row>
    <row r="308" spans="1:10">
      <c r="A308" s="1082"/>
      <c r="J308" s="1082"/>
    </row>
    <row r="309" spans="1:10">
      <c r="A309" s="1082"/>
      <c r="J309" s="1082"/>
    </row>
    <row r="310" spans="1:10">
      <c r="A310" s="1082"/>
      <c r="J310" s="1082"/>
    </row>
    <row r="311" spans="1:10">
      <c r="A311" s="1082"/>
      <c r="J311" s="1082"/>
    </row>
    <row r="312" spans="1:10">
      <c r="A312" s="1082"/>
      <c r="J312" s="1082"/>
    </row>
    <row r="313" spans="1:10">
      <c r="A313" s="1082"/>
      <c r="J313" s="1082"/>
    </row>
    <row r="314" spans="1:10">
      <c r="A314" s="1082"/>
      <c r="J314" s="1082"/>
    </row>
    <row r="315" spans="1:10">
      <c r="A315" s="1082"/>
      <c r="J315" s="1082"/>
    </row>
    <row r="316" spans="1:10">
      <c r="A316" s="1082"/>
      <c r="J316" s="1082"/>
    </row>
    <row r="317" spans="1:10">
      <c r="A317" s="1082"/>
      <c r="J317" s="1082"/>
    </row>
    <row r="318" spans="1:10">
      <c r="A318" s="1082"/>
      <c r="J318" s="1082"/>
    </row>
    <row r="319" spans="1:10">
      <c r="A319" s="1082"/>
      <c r="J319" s="1082"/>
    </row>
    <row r="320" spans="1:10">
      <c r="A320" s="1082"/>
      <c r="J320" s="1082"/>
    </row>
    <row r="321" spans="1:10">
      <c r="A321" s="1082"/>
      <c r="J321" s="1082"/>
    </row>
    <row r="322" spans="1:10">
      <c r="A322" s="1082"/>
      <c r="J322" s="1082"/>
    </row>
    <row r="323" spans="1:10">
      <c r="A323" s="1082"/>
      <c r="J323" s="1082"/>
    </row>
    <row r="324" spans="1:10">
      <c r="A324" s="1082"/>
      <c r="J324" s="1082"/>
    </row>
    <row r="325" spans="1:10">
      <c r="A325" s="1082"/>
      <c r="J325" s="1082"/>
    </row>
    <row r="326" spans="1:10">
      <c r="A326" s="1082"/>
      <c r="J326" s="1082"/>
    </row>
    <row r="327" spans="1:10">
      <c r="A327" s="1082"/>
      <c r="J327" s="1082"/>
    </row>
    <row r="328" spans="1:10">
      <c r="A328" s="1082"/>
      <c r="J328" s="1082"/>
    </row>
    <row r="329" spans="1:10">
      <c r="A329" s="1082"/>
      <c r="J329" s="1082"/>
    </row>
    <row r="330" spans="1:10">
      <c r="A330" s="1082"/>
      <c r="J330" s="1082"/>
    </row>
    <row r="331" spans="1:10">
      <c r="A331" s="1082"/>
      <c r="J331" s="1082"/>
    </row>
    <row r="332" spans="1:10">
      <c r="A332" s="1082"/>
      <c r="J332" s="1082"/>
    </row>
    <row r="333" spans="1:10">
      <c r="A333" s="1082"/>
      <c r="J333" s="1082"/>
    </row>
    <row r="334" spans="1:10">
      <c r="A334" s="1082"/>
      <c r="J334" s="1082"/>
    </row>
    <row r="335" spans="1:10">
      <c r="A335" s="1082"/>
      <c r="J335" s="1082"/>
    </row>
    <row r="336" spans="1:10">
      <c r="A336" s="1082"/>
      <c r="J336" s="1082"/>
    </row>
    <row r="337" spans="1:10">
      <c r="A337" s="1082"/>
      <c r="J337" s="1082"/>
    </row>
    <row r="338" spans="1:10">
      <c r="A338" s="1082"/>
      <c r="J338" s="1082"/>
    </row>
    <row r="339" spans="1:10">
      <c r="A339" s="1082"/>
      <c r="J339" s="1082"/>
    </row>
    <row r="340" spans="1:10">
      <c r="A340" s="1082"/>
      <c r="J340" s="1082"/>
    </row>
    <row r="341" spans="1:10">
      <c r="A341" s="1082"/>
      <c r="J341" s="1082"/>
    </row>
    <row r="342" spans="1:10">
      <c r="A342" s="1082"/>
      <c r="J342" s="1082"/>
    </row>
    <row r="343" spans="1:10">
      <c r="A343" s="1082"/>
      <c r="J343" s="1082"/>
    </row>
    <row r="344" spans="1:10">
      <c r="A344" s="1082"/>
      <c r="J344" s="1082"/>
    </row>
    <row r="345" spans="1:10">
      <c r="A345" s="1082"/>
      <c r="J345" s="1082"/>
    </row>
    <row r="346" spans="1:10">
      <c r="A346" s="1082"/>
      <c r="J346" s="1082"/>
    </row>
    <row r="347" spans="1:10">
      <c r="A347" s="1082"/>
      <c r="J347" s="1082"/>
    </row>
    <row r="348" spans="1:10">
      <c r="A348" s="1082"/>
      <c r="J348" s="1082"/>
    </row>
    <row r="349" spans="1:10">
      <c r="A349" s="1082"/>
      <c r="J349" s="1082"/>
    </row>
    <row r="350" spans="1:10">
      <c r="A350" s="1082"/>
      <c r="J350" s="1082"/>
    </row>
    <row r="351" spans="1:10">
      <c r="A351" s="1082"/>
      <c r="J351" s="1082"/>
    </row>
    <row r="352" spans="1:10">
      <c r="A352" s="1082"/>
      <c r="J352" s="1082"/>
    </row>
    <row r="353" spans="1:10">
      <c r="A353" s="1082"/>
      <c r="J353" s="1082"/>
    </row>
    <row r="354" spans="1:10">
      <c r="A354" s="1082"/>
      <c r="J354" s="1082"/>
    </row>
    <row r="355" spans="1:10">
      <c r="A355" s="1082"/>
      <c r="J355" s="1082"/>
    </row>
    <row r="356" spans="1:10">
      <c r="A356" s="1082"/>
      <c r="J356" s="1082"/>
    </row>
    <row r="357" spans="1:10">
      <c r="A357" s="1082"/>
      <c r="J357" s="1082"/>
    </row>
    <row r="358" spans="1:10">
      <c r="A358" s="1082"/>
      <c r="J358" s="1082"/>
    </row>
    <row r="359" spans="1:10">
      <c r="A359" s="1082"/>
      <c r="J359" s="1082"/>
    </row>
    <row r="360" spans="1:10">
      <c r="A360" s="1082"/>
      <c r="J360" s="1082"/>
    </row>
    <row r="361" spans="1:10">
      <c r="A361" s="1082"/>
      <c r="J361" s="1082"/>
    </row>
    <row r="362" spans="1:10">
      <c r="A362" s="1082"/>
      <c r="J362" s="1082"/>
    </row>
    <row r="363" spans="1:10">
      <c r="A363" s="1082"/>
      <c r="J363" s="1082"/>
    </row>
    <row r="364" spans="1:10">
      <c r="A364" s="1082"/>
      <c r="J364" s="1082"/>
    </row>
    <row r="365" spans="1:10">
      <c r="A365" s="1082"/>
      <c r="J365" s="1082"/>
    </row>
    <row r="366" spans="1:10">
      <c r="A366" s="1082"/>
      <c r="J366" s="1082"/>
    </row>
    <row r="367" spans="1:10">
      <c r="A367" s="1082"/>
      <c r="J367" s="1082"/>
    </row>
    <row r="368" spans="1:10">
      <c r="A368" s="1082"/>
      <c r="J368" s="1082"/>
    </row>
    <row r="369" spans="1:10">
      <c r="A369" s="1082"/>
      <c r="J369" s="1082"/>
    </row>
    <row r="370" spans="1:10">
      <c r="A370" s="1082"/>
      <c r="J370" s="1082"/>
    </row>
    <row r="371" spans="1:10">
      <c r="A371" s="1082"/>
      <c r="J371" s="1082"/>
    </row>
    <row r="372" spans="1:10">
      <c r="A372" s="1082"/>
      <c r="J372" s="1082"/>
    </row>
    <row r="373" spans="1:10">
      <c r="A373" s="1082"/>
      <c r="J373" s="1082"/>
    </row>
    <row r="374" spans="1:10">
      <c r="A374" s="1082"/>
      <c r="J374" s="1082"/>
    </row>
    <row r="375" spans="1:10">
      <c r="A375" s="1082"/>
      <c r="J375" s="1082"/>
    </row>
    <row r="376" spans="1:10">
      <c r="A376" s="1082"/>
      <c r="J376" s="1082"/>
    </row>
    <row r="377" spans="1:10">
      <c r="A377" s="1082"/>
      <c r="J377" s="1082"/>
    </row>
    <row r="378" spans="1:10">
      <c r="A378" s="1082"/>
      <c r="J378" s="1082"/>
    </row>
    <row r="379" spans="1:10">
      <c r="A379" s="1082"/>
      <c r="J379" s="1082"/>
    </row>
    <row r="380" spans="1:10">
      <c r="A380" s="1082"/>
      <c r="J380" s="1082"/>
    </row>
    <row r="381" spans="1:10">
      <c r="A381" s="1082"/>
      <c r="J381" s="1082"/>
    </row>
    <row r="382" spans="1:10">
      <c r="A382" s="1082"/>
      <c r="J382" s="1082"/>
    </row>
    <row r="383" spans="1:10">
      <c r="A383" s="1082"/>
      <c r="J383" s="1082"/>
    </row>
    <row r="384" spans="1:10">
      <c r="A384" s="1082"/>
      <c r="J384" s="1082"/>
    </row>
    <row r="385" spans="1:13">
      <c r="A385" s="1082"/>
      <c r="J385" s="1082"/>
    </row>
    <row r="386" spans="1:13">
      <c r="A386" s="1082"/>
      <c r="J386" s="1082"/>
    </row>
    <row r="387" spans="1:13" ht="13.5" thickBot="1">
      <c r="A387" s="1082"/>
      <c r="J387" s="1082"/>
    </row>
    <row r="388" spans="1:13" ht="45">
      <c r="A388" s="1324" t="s">
        <v>69</v>
      </c>
      <c r="B388" s="1325"/>
      <c r="C388" s="1325"/>
      <c r="D388" s="1325"/>
      <c r="E388" s="1325"/>
      <c r="F388" s="1325"/>
      <c r="G388" s="1325"/>
      <c r="H388" s="1325"/>
      <c r="I388" s="1325"/>
      <c r="J388" s="1325"/>
      <c r="K388" s="1326"/>
      <c r="L388" s="1326"/>
      <c r="M388" s="1326"/>
    </row>
    <row r="389" spans="1:13">
      <c r="A389" s="1082"/>
      <c r="J389" s="1082"/>
      <c r="K389" s="1834"/>
      <c r="L389" s="1834"/>
      <c r="M389" s="1834"/>
    </row>
    <row r="390" spans="1:13">
      <c r="A390" s="1082"/>
      <c r="J390" s="1082"/>
      <c r="K390" s="1834"/>
      <c r="L390" s="1834"/>
      <c r="M390" s="1834"/>
    </row>
    <row r="391" spans="1:13">
      <c r="A391" s="1082"/>
      <c r="J391" s="1082"/>
      <c r="K391" s="1834"/>
      <c r="L391" s="1834"/>
      <c r="M391" s="1834"/>
    </row>
    <row r="392" spans="1:13">
      <c r="A392" s="1082"/>
      <c r="J392" s="1082"/>
      <c r="K392" s="1834"/>
      <c r="L392" s="1834"/>
      <c r="M392" s="1834"/>
    </row>
    <row r="393" spans="1:13">
      <c r="A393" s="1082"/>
      <c r="J393" s="1082"/>
      <c r="K393" s="1834"/>
      <c r="L393" s="1834"/>
      <c r="M393" s="1834"/>
    </row>
    <row r="394" spans="1:13">
      <c r="A394" s="1082"/>
      <c r="J394" s="1082"/>
      <c r="K394" s="1834"/>
      <c r="L394" s="1834"/>
      <c r="M394" s="1834"/>
    </row>
    <row r="395" spans="1:13">
      <c r="A395" s="1082"/>
      <c r="J395" s="1082"/>
      <c r="K395" s="1834"/>
      <c r="L395" s="1834"/>
      <c r="M395" s="1834"/>
    </row>
    <row r="396" spans="1:13">
      <c r="A396" s="1082"/>
      <c r="J396" s="1082"/>
      <c r="K396" s="1834"/>
      <c r="L396" s="1834"/>
      <c r="M396" s="1834"/>
    </row>
    <row r="397" spans="1:13">
      <c r="A397" s="1082"/>
      <c r="J397" s="1082"/>
      <c r="K397" s="1834"/>
      <c r="L397" s="1834"/>
      <c r="M397" s="1834"/>
    </row>
    <row r="398" spans="1:13">
      <c r="A398" s="1082"/>
      <c r="J398" s="1082"/>
      <c r="K398" s="1834"/>
      <c r="L398" s="1834"/>
      <c r="M398" s="1834"/>
    </row>
    <row r="399" spans="1:13" ht="13.5" thickBot="1">
      <c r="A399" s="1327"/>
      <c r="B399" s="1327"/>
      <c r="C399" s="1327"/>
      <c r="D399" s="1327"/>
      <c r="E399" s="1327"/>
      <c r="F399" s="1327"/>
      <c r="G399" s="1327"/>
      <c r="H399" s="1327"/>
      <c r="I399" s="1327"/>
      <c r="J399" s="1327"/>
      <c r="K399" s="639"/>
      <c r="L399" s="639"/>
      <c r="M399" s="639"/>
    </row>
    <row r="400" spans="1:13">
      <c r="A400" s="1082"/>
      <c r="J400" s="1082"/>
    </row>
    <row r="401" spans="1:10">
      <c r="A401" s="1082"/>
      <c r="J401" s="1082"/>
    </row>
    <row r="402" spans="1:10">
      <c r="A402" s="1082"/>
      <c r="J402" s="1082"/>
    </row>
    <row r="403" spans="1:10">
      <c r="A403" s="1082"/>
      <c r="J403" s="1082"/>
    </row>
    <row r="404" spans="1:10">
      <c r="A404" s="1082"/>
      <c r="J404" s="1082"/>
    </row>
    <row r="405" spans="1:10">
      <c r="A405" s="1082"/>
      <c r="J405" s="1082"/>
    </row>
    <row r="406" spans="1:10">
      <c r="A406" s="1082"/>
      <c r="J406" s="1082"/>
    </row>
    <row r="407" spans="1:10">
      <c r="A407" s="1082"/>
      <c r="J407" s="1082"/>
    </row>
    <row r="408" spans="1:10">
      <c r="A408" s="1082"/>
      <c r="J408" s="1082"/>
    </row>
    <row r="409" spans="1:10">
      <c r="A409" s="1082"/>
      <c r="J409" s="1082"/>
    </row>
    <row r="410" spans="1:10">
      <c r="A410" s="1082"/>
      <c r="J410" s="1082"/>
    </row>
    <row r="411" spans="1:10">
      <c r="A411" s="1082"/>
      <c r="J411" s="1082"/>
    </row>
    <row r="412" spans="1:10">
      <c r="A412" s="1082"/>
      <c r="J412" s="1082"/>
    </row>
    <row r="413" spans="1:10">
      <c r="A413" s="1082"/>
      <c r="J413" s="1082"/>
    </row>
    <row r="414" spans="1:10">
      <c r="A414" s="1082"/>
      <c r="J414" s="1082"/>
    </row>
    <row r="415" spans="1:10">
      <c r="A415" s="1082"/>
      <c r="J415" s="1082"/>
    </row>
    <row r="416" spans="1:10">
      <c r="A416" s="1082"/>
      <c r="J416" s="1082"/>
    </row>
    <row r="417" spans="1:10">
      <c r="A417" s="1082"/>
      <c r="J417" s="1082"/>
    </row>
    <row r="418" spans="1:10">
      <c r="A418" s="1082"/>
      <c r="J418" s="1082"/>
    </row>
    <row r="419" spans="1:10">
      <c r="A419" s="1082"/>
      <c r="J419" s="1082"/>
    </row>
    <row r="420" spans="1:10">
      <c r="A420" s="1082"/>
      <c r="J420" s="1082"/>
    </row>
    <row r="421" spans="1:10">
      <c r="A421" s="1082"/>
      <c r="J421" s="1082"/>
    </row>
    <row r="422" spans="1:10">
      <c r="A422" s="1082"/>
      <c r="J422" s="1082"/>
    </row>
    <row r="423" spans="1:10">
      <c r="A423" s="1082"/>
      <c r="J423" s="1082"/>
    </row>
    <row r="424" spans="1:10">
      <c r="A424" s="1082"/>
      <c r="J424" s="1082"/>
    </row>
    <row r="425" spans="1:10">
      <c r="A425" s="1082"/>
      <c r="J425" s="1082"/>
    </row>
    <row r="426" spans="1:10">
      <c r="A426" s="1082"/>
      <c r="J426" s="1082"/>
    </row>
    <row r="427" spans="1:10">
      <c r="A427" s="1082"/>
      <c r="J427" s="1082"/>
    </row>
    <row r="428" spans="1:10">
      <c r="A428" s="1082"/>
      <c r="J428" s="1082"/>
    </row>
    <row r="429" spans="1:10">
      <c r="A429" s="1082"/>
      <c r="J429" s="1082"/>
    </row>
    <row r="430" spans="1:10">
      <c r="A430" s="1082"/>
      <c r="J430" s="1082"/>
    </row>
    <row r="431" spans="1:10">
      <c r="A431" s="1082"/>
      <c r="J431" s="1082"/>
    </row>
    <row r="432" spans="1:10">
      <c r="A432" s="1082"/>
      <c r="J432" s="1082"/>
    </row>
    <row r="433" spans="1:10">
      <c r="A433" s="1082"/>
      <c r="J433" s="1082"/>
    </row>
    <row r="434" spans="1:10">
      <c r="A434" s="1082"/>
      <c r="J434" s="1082"/>
    </row>
    <row r="435" spans="1:10">
      <c r="A435" s="1082"/>
      <c r="J435" s="1082"/>
    </row>
    <row r="436" spans="1:10">
      <c r="A436" s="1082"/>
      <c r="J436" s="1082"/>
    </row>
    <row r="437" spans="1:10">
      <c r="A437" s="1082"/>
      <c r="J437" s="1082"/>
    </row>
    <row r="438" spans="1:10">
      <c r="A438" s="1082"/>
      <c r="J438" s="1082"/>
    </row>
    <row r="439" spans="1:10">
      <c r="A439" s="1082"/>
      <c r="J439" s="1082"/>
    </row>
    <row r="440" spans="1:10">
      <c r="A440" s="1082"/>
      <c r="J440" s="1082"/>
    </row>
    <row r="441" spans="1:10">
      <c r="A441" s="1082"/>
      <c r="J441" s="1082"/>
    </row>
    <row r="442" spans="1:10">
      <c r="A442" s="1082"/>
      <c r="J442" s="1082"/>
    </row>
    <row r="443" spans="1:10">
      <c r="A443" s="1082"/>
      <c r="J443" s="1082"/>
    </row>
    <row r="444" spans="1:10">
      <c r="A444" s="1082"/>
      <c r="J444" s="1082"/>
    </row>
    <row r="445" spans="1:10">
      <c r="A445" s="1082"/>
      <c r="J445" s="1082"/>
    </row>
    <row r="446" spans="1:10">
      <c r="A446" s="1082"/>
      <c r="J446" s="1082"/>
    </row>
    <row r="447" spans="1:10">
      <c r="A447" s="1082"/>
      <c r="J447" s="1082"/>
    </row>
    <row r="448" spans="1:10">
      <c r="A448" s="1082"/>
      <c r="J448" s="1082"/>
    </row>
    <row r="449" spans="1:10">
      <c r="A449" s="1082"/>
      <c r="J449" s="1082"/>
    </row>
    <row r="450" spans="1:10">
      <c r="A450" s="1082"/>
      <c r="J450" s="1082"/>
    </row>
    <row r="451" spans="1:10">
      <c r="A451" s="1082"/>
      <c r="J451" s="1082"/>
    </row>
    <row r="452" spans="1:10">
      <c r="A452" s="1082"/>
      <c r="J452" s="1082"/>
    </row>
    <row r="453" spans="1:10">
      <c r="A453" s="1082"/>
      <c r="J453" s="1082"/>
    </row>
    <row r="454" spans="1:10">
      <c r="A454" s="1082"/>
      <c r="J454" s="1082"/>
    </row>
    <row r="455" spans="1:10">
      <c r="A455" s="1082"/>
      <c r="J455" s="1082"/>
    </row>
    <row r="456" spans="1:10">
      <c r="A456" s="1082"/>
      <c r="J456" s="1082"/>
    </row>
    <row r="457" spans="1:10">
      <c r="A457" s="1082"/>
      <c r="J457" s="1082"/>
    </row>
    <row r="458" spans="1:10">
      <c r="A458" s="1082"/>
      <c r="J458" s="1082"/>
    </row>
    <row r="459" spans="1:10">
      <c r="A459" s="1082"/>
      <c r="J459" s="1082"/>
    </row>
    <row r="460" spans="1:10">
      <c r="A460" s="1082"/>
      <c r="J460" s="1082"/>
    </row>
    <row r="461" spans="1:10">
      <c r="A461" s="1082"/>
      <c r="J461" s="1082"/>
    </row>
    <row r="462" spans="1:10">
      <c r="A462" s="1082"/>
      <c r="J462" s="1082"/>
    </row>
    <row r="463" spans="1:10">
      <c r="A463" s="1082"/>
      <c r="J463" s="1082"/>
    </row>
    <row r="464" spans="1:10">
      <c r="A464" s="1082"/>
      <c r="J464" s="1082"/>
    </row>
    <row r="465" spans="1:10">
      <c r="A465" s="1082"/>
      <c r="J465" s="1082"/>
    </row>
    <row r="466" spans="1:10">
      <c r="A466" s="1082"/>
      <c r="J466" s="1082"/>
    </row>
    <row r="467" spans="1:10">
      <c r="A467" s="1082"/>
      <c r="J467" s="1082"/>
    </row>
    <row r="468" spans="1:10">
      <c r="A468" s="1082"/>
      <c r="J468" s="1082"/>
    </row>
    <row r="469" spans="1:10">
      <c r="A469" s="1082"/>
      <c r="J469" s="1082"/>
    </row>
    <row r="470" spans="1:10">
      <c r="A470" s="1082"/>
      <c r="J470" s="1082"/>
    </row>
    <row r="471" spans="1:10">
      <c r="A471" s="1082"/>
      <c r="J471" s="1082"/>
    </row>
    <row r="472" spans="1:10">
      <c r="A472" s="1082"/>
      <c r="J472" s="1082"/>
    </row>
    <row r="473" spans="1:10">
      <c r="A473" s="1082"/>
      <c r="J473" s="1082"/>
    </row>
    <row r="474" spans="1:10">
      <c r="A474" s="1082"/>
      <c r="J474" s="1082"/>
    </row>
    <row r="475" spans="1:10">
      <c r="A475" s="1082"/>
      <c r="J475" s="1082"/>
    </row>
    <row r="476" spans="1:10">
      <c r="A476" s="1082"/>
      <c r="J476" s="1082"/>
    </row>
    <row r="477" spans="1:10">
      <c r="A477" s="1082"/>
      <c r="J477" s="1082"/>
    </row>
    <row r="478" spans="1:10">
      <c r="A478" s="1082"/>
      <c r="J478" s="1082"/>
    </row>
    <row r="479" spans="1:10">
      <c r="A479" s="1082"/>
      <c r="J479" s="1082"/>
    </row>
    <row r="480" spans="1:10">
      <c r="A480" s="1082"/>
      <c r="J480" s="1082"/>
    </row>
    <row r="481" spans="1:10">
      <c r="A481" s="1082"/>
      <c r="J481" s="1082"/>
    </row>
    <row r="482" spans="1:10">
      <c r="A482" s="1082"/>
      <c r="J482" s="1082"/>
    </row>
    <row r="483" spans="1:10">
      <c r="A483" s="1082"/>
      <c r="J483" s="1082"/>
    </row>
    <row r="484" spans="1:10">
      <c r="A484" s="1082"/>
      <c r="J484" s="1082"/>
    </row>
    <row r="485" spans="1:10">
      <c r="A485" s="1082"/>
      <c r="J485" s="1082"/>
    </row>
    <row r="486" spans="1:10">
      <c r="A486" s="1082"/>
      <c r="J486" s="1082"/>
    </row>
    <row r="487" spans="1:10">
      <c r="A487" s="1082"/>
      <c r="J487" s="1082"/>
    </row>
    <row r="488" spans="1:10">
      <c r="A488" s="1082"/>
      <c r="J488" s="1082"/>
    </row>
    <row r="489" spans="1:10">
      <c r="A489" s="1082"/>
      <c r="J489" s="1082"/>
    </row>
    <row r="490" spans="1:10">
      <c r="A490" s="1082"/>
      <c r="J490" s="1082"/>
    </row>
    <row r="491" spans="1:10">
      <c r="A491" s="1082"/>
      <c r="J491" s="1082"/>
    </row>
    <row r="492" spans="1:10">
      <c r="A492" s="1082"/>
      <c r="J492" s="1082"/>
    </row>
    <row r="493" spans="1:10">
      <c r="A493" s="1082"/>
      <c r="J493" s="1082"/>
    </row>
    <row r="494" spans="1:10">
      <c r="A494" s="1082"/>
      <c r="J494" s="1082"/>
    </row>
    <row r="495" spans="1:10">
      <c r="A495" s="1082"/>
      <c r="J495" s="1082"/>
    </row>
    <row r="496" spans="1:10">
      <c r="A496" s="1082"/>
      <c r="J496" s="1082"/>
    </row>
    <row r="497" spans="1:10">
      <c r="A497" s="1082"/>
      <c r="J497" s="1082"/>
    </row>
    <row r="498" spans="1:10">
      <c r="A498" s="1082"/>
      <c r="J498" s="1082"/>
    </row>
    <row r="499" spans="1:10">
      <c r="A499" s="1082"/>
      <c r="J499" s="1082"/>
    </row>
    <row r="500" spans="1:10">
      <c r="A500" s="1082"/>
      <c r="J500" s="1082"/>
    </row>
    <row r="501" spans="1:10">
      <c r="A501" s="1082"/>
      <c r="J501" s="1082"/>
    </row>
    <row r="502" spans="1:10">
      <c r="A502" s="1082"/>
      <c r="J502" s="1082"/>
    </row>
    <row r="503" spans="1:10">
      <c r="A503" s="1082"/>
      <c r="J503" s="1082"/>
    </row>
    <row r="504" spans="1:10">
      <c r="A504" s="1082"/>
      <c r="J504" s="1082"/>
    </row>
    <row r="505" spans="1:10">
      <c r="A505" s="1082"/>
      <c r="J505" s="1082"/>
    </row>
    <row r="506" spans="1:10">
      <c r="A506" s="1082"/>
      <c r="J506" s="1082"/>
    </row>
    <row r="507" spans="1:10">
      <c r="A507" s="1082"/>
      <c r="J507" s="1082"/>
    </row>
    <row r="508" spans="1:10">
      <c r="A508" s="1082"/>
      <c r="J508" s="1082"/>
    </row>
    <row r="509" spans="1:10">
      <c r="A509" s="1082"/>
      <c r="J509" s="1082"/>
    </row>
    <row r="510" spans="1:10">
      <c r="A510" s="1082"/>
      <c r="J510" s="1082"/>
    </row>
    <row r="511" spans="1:10">
      <c r="A511" s="1082"/>
      <c r="J511" s="1082"/>
    </row>
    <row r="512" spans="1:10">
      <c r="A512" s="1082"/>
      <c r="J512" s="1082"/>
    </row>
    <row r="513" spans="1:10">
      <c r="A513" s="1082"/>
      <c r="J513" s="1082"/>
    </row>
    <row r="514" spans="1:10">
      <c r="A514" s="1082"/>
      <c r="J514" s="1082"/>
    </row>
    <row r="515" spans="1:10">
      <c r="A515" s="1082"/>
      <c r="J515" s="1082"/>
    </row>
    <row r="516" spans="1:10">
      <c r="A516" s="1082"/>
      <c r="J516" s="1082"/>
    </row>
    <row r="517" spans="1:10">
      <c r="A517" s="1082"/>
      <c r="J517" s="1082"/>
    </row>
    <row r="518" spans="1:10">
      <c r="A518" s="1082"/>
      <c r="J518" s="1082"/>
    </row>
    <row r="519" spans="1:10">
      <c r="A519" s="1082"/>
      <c r="J519" s="1082"/>
    </row>
    <row r="520" spans="1:10">
      <c r="A520" s="1082"/>
      <c r="J520" s="1082"/>
    </row>
    <row r="521" spans="1:10">
      <c r="A521" s="1082"/>
      <c r="J521" s="1082"/>
    </row>
    <row r="522" spans="1:10">
      <c r="A522" s="1082"/>
      <c r="J522" s="1082"/>
    </row>
    <row r="523" spans="1:10">
      <c r="A523" s="1082"/>
      <c r="J523" s="1082"/>
    </row>
    <row r="524" spans="1:10">
      <c r="A524" s="1082"/>
      <c r="J524" s="1082"/>
    </row>
    <row r="525" spans="1:10">
      <c r="A525" s="1082"/>
      <c r="J525" s="1082"/>
    </row>
    <row r="526" spans="1:10">
      <c r="A526" s="1082"/>
      <c r="J526" s="1082"/>
    </row>
    <row r="527" spans="1:10">
      <c r="A527" s="1082"/>
      <c r="J527" s="1082"/>
    </row>
    <row r="528" spans="1:10">
      <c r="A528" s="1082"/>
      <c r="J528" s="1082"/>
    </row>
    <row r="529" spans="1:10">
      <c r="A529" s="1082"/>
      <c r="J529" s="1082"/>
    </row>
    <row r="530" spans="1:10">
      <c r="A530" s="1082"/>
      <c r="J530" s="1082"/>
    </row>
    <row r="531" spans="1:10">
      <c r="A531" s="1082"/>
      <c r="J531" s="1082"/>
    </row>
    <row r="532" spans="1:10">
      <c r="A532" s="1082"/>
      <c r="J532" s="1082"/>
    </row>
    <row r="533" spans="1:10">
      <c r="A533" s="1082"/>
      <c r="J533" s="1082"/>
    </row>
    <row r="534" spans="1:10">
      <c r="A534" s="1082"/>
      <c r="J534" s="1082"/>
    </row>
    <row r="535" spans="1:10">
      <c r="A535" s="1082"/>
      <c r="J535" s="1082"/>
    </row>
    <row r="536" spans="1:10">
      <c r="A536" s="1082"/>
      <c r="J536" s="1082"/>
    </row>
    <row r="537" spans="1:10">
      <c r="A537" s="1082"/>
      <c r="J537" s="1082"/>
    </row>
    <row r="538" spans="1:10">
      <c r="A538" s="1082"/>
      <c r="J538" s="1082"/>
    </row>
    <row r="539" spans="1:10">
      <c r="A539" s="1082"/>
      <c r="J539" s="1082"/>
    </row>
    <row r="540" spans="1:10">
      <c r="A540" s="1082"/>
      <c r="J540" s="1082"/>
    </row>
    <row r="541" spans="1:10">
      <c r="A541" s="1082"/>
      <c r="J541" s="1082"/>
    </row>
    <row r="542" spans="1:10">
      <c r="A542" s="1082"/>
      <c r="J542" s="1082"/>
    </row>
    <row r="543" spans="1:10">
      <c r="A543" s="1082"/>
      <c r="J543" s="1082"/>
    </row>
    <row r="544" spans="1:10">
      <c r="A544" s="1082"/>
      <c r="J544" s="1082"/>
    </row>
    <row r="545" spans="1:10">
      <c r="A545" s="1082"/>
      <c r="J545" s="1082"/>
    </row>
    <row r="546" spans="1:10">
      <c r="A546" s="1082"/>
      <c r="J546" s="1082"/>
    </row>
    <row r="547" spans="1:10">
      <c r="A547" s="1082"/>
      <c r="J547" s="1082"/>
    </row>
    <row r="548" spans="1:10">
      <c r="A548" s="1082"/>
      <c r="J548" s="1082"/>
    </row>
    <row r="549" spans="1:10">
      <c r="A549" s="1082"/>
      <c r="J549" s="1082"/>
    </row>
    <row r="550" spans="1:10">
      <c r="A550" s="1082"/>
      <c r="J550" s="1082"/>
    </row>
    <row r="551" spans="1:10">
      <c r="A551" s="1082"/>
      <c r="J551" s="1082"/>
    </row>
    <row r="552" spans="1:10">
      <c r="A552" s="1082"/>
      <c r="J552" s="1082"/>
    </row>
    <row r="553" spans="1:10">
      <c r="A553" s="1082"/>
      <c r="J553" s="1082"/>
    </row>
    <row r="554" spans="1:10">
      <c r="A554" s="1082"/>
      <c r="J554" s="1082"/>
    </row>
    <row r="555" spans="1:10">
      <c r="A555" s="1082"/>
      <c r="J555" s="1082"/>
    </row>
    <row r="556" spans="1:10">
      <c r="A556" s="1082"/>
      <c r="J556" s="1082"/>
    </row>
    <row r="557" spans="1:10">
      <c r="A557" s="1082"/>
      <c r="J557" s="1082"/>
    </row>
    <row r="558" spans="1:10">
      <c r="A558" s="1082"/>
      <c r="J558" s="1082"/>
    </row>
    <row r="559" spans="1:10">
      <c r="A559" s="1082"/>
      <c r="J559" s="1082"/>
    </row>
    <row r="560" spans="1:10">
      <c r="A560" s="1082"/>
      <c r="J560" s="1082"/>
    </row>
    <row r="561" spans="1:10">
      <c r="A561" s="1082"/>
      <c r="J561" s="1082"/>
    </row>
    <row r="562" spans="1:10">
      <c r="A562" s="1082"/>
      <c r="J562" s="1082"/>
    </row>
    <row r="563" spans="1:10">
      <c r="A563" s="1082"/>
      <c r="J563" s="1082"/>
    </row>
    <row r="564" spans="1:10">
      <c r="A564" s="1082"/>
      <c r="J564" s="1082"/>
    </row>
    <row r="565" spans="1:10">
      <c r="A565" s="1082"/>
      <c r="J565" s="1082"/>
    </row>
    <row r="566" spans="1:10">
      <c r="A566" s="1082"/>
      <c r="J566" s="1082"/>
    </row>
    <row r="567" spans="1:10">
      <c r="A567" s="1082"/>
      <c r="J567" s="1082"/>
    </row>
    <row r="568" spans="1:10">
      <c r="A568" s="1082"/>
      <c r="J568" s="1082"/>
    </row>
    <row r="569" spans="1:10">
      <c r="A569" s="1082"/>
      <c r="J569" s="1082"/>
    </row>
    <row r="570" spans="1:10">
      <c r="A570" s="1082"/>
      <c r="J570" s="1082"/>
    </row>
    <row r="571" spans="1:10">
      <c r="A571" s="1082"/>
      <c r="J571" s="1082"/>
    </row>
    <row r="572" spans="1:10">
      <c r="A572" s="1082"/>
      <c r="J572" s="1082"/>
    </row>
    <row r="573" spans="1:10">
      <c r="A573" s="1082"/>
      <c r="J573" s="1082"/>
    </row>
    <row r="574" spans="1:10">
      <c r="A574" s="1082"/>
      <c r="J574" s="1082"/>
    </row>
    <row r="575" spans="1:10">
      <c r="A575" s="1082"/>
      <c r="J575" s="1082"/>
    </row>
    <row r="576" spans="1:10">
      <c r="A576" s="1082"/>
      <c r="J576" s="1082"/>
    </row>
    <row r="577" spans="1:10">
      <c r="A577" s="1082"/>
      <c r="J577" s="1082"/>
    </row>
    <row r="578" spans="1:10">
      <c r="A578" s="1082"/>
      <c r="J578" s="1082"/>
    </row>
    <row r="579" spans="1:10">
      <c r="A579" s="1082"/>
      <c r="J579" s="1082"/>
    </row>
    <row r="580" spans="1:10">
      <c r="A580" s="1082"/>
      <c r="J580" s="1082"/>
    </row>
    <row r="581" spans="1:10">
      <c r="A581" s="1082"/>
      <c r="J581" s="1082"/>
    </row>
    <row r="582" spans="1:10">
      <c r="A582" s="1082"/>
      <c r="J582" s="1082"/>
    </row>
    <row r="583" spans="1:10">
      <c r="A583" s="1082"/>
      <c r="J583" s="1082"/>
    </row>
    <row r="584" spans="1:10">
      <c r="A584" s="1082"/>
      <c r="J584" s="1082"/>
    </row>
    <row r="585" spans="1:10">
      <c r="A585" s="1082"/>
      <c r="J585" s="1082"/>
    </row>
    <row r="586" spans="1:10">
      <c r="A586" s="1082"/>
      <c r="J586" s="1082"/>
    </row>
    <row r="587" spans="1:10">
      <c r="A587" s="1082"/>
      <c r="J587" s="1082"/>
    </row>
    <row r="588" spans="1:10">
      <c r="A588" s="1082"/>
      <c r="J588" s="1082"/>
    </row>
    <row r="589" spans="1:10">
      <c r="A589" s="1082"/>
      <c r="J589" s="1082"/>
    </row>
    <row r="590" spans="1:10">
      <c r="A590" s="1082"/>
      <c r="J590" s="1082"/>
    </row>
    <row r="591" spans="1:10">
      <c r="A591" s="1082"/>
      <c r="J591" s="1082"/>
    </row>
    <row r="592" spans="1:10">
      <c r="A592" s="1082"/>
      <c r="J592" s="1082"/>
    </row>
    <row r="593" spans="1:10">
      <c r="A593" s="1082"/>
      <c r="J593" s="1082"/>
    </row>
    <row r="594" spans="1:10">
      <c r="A594" s="1082"/>
      <c r="J594" s="1082"/>
    </row>
    <row r="595" spans="1:10">
      <c r="A595" s="1082"/>
      <c r="J595" s="1082"/>
    </row>
    <row r="596" spans="1:10">
      <c r="A596" s="1082"/>
      <c r="J596" s="1082"/>
    </row>
    <row r="597" spans="1:10">
      <c r="A597" s="1082"/>
      <c r="J597" s="1082"/>
    </row>
    <row r="598" spans="1:10">
      <c r="A598" s="1082"/>
      <c r="J598" s="1082"/>
    </row>
    <row r="599" spans="1:10">
      <c r="A599" s="1082"/>
      <c r="J599" s="1082"/>
    </row>
    <row r="600" spans="1:10">
      <c r="A600" s="1082"/>
      <c r="J600" s="1082"/>
    </row>
    <row r="601" spans="1:10">
      <c r="A601" s="1082"/>
      <c r="J601" s="1082"/>
    </row>
    <row r="602" spans="1:10">
      <c r="A602" s="1082"/>
      <c r="J602" s="1082"/>
    </row>
    <row r="603" spans="1:10">
      <c r="A603" s="1082"/>
      <c r="J603" s="1082"/>
    </row>
    <row r="604" spans="1:10">
      <c r="A604" s="1082"/>
      <c r="J604" s="1082"/>
    </row>
    <row r="605" spans="1:10">
      <c r="A605" s="1082"/>
      <c r="J605" s="1082"/>
    </row>
    <row r="606" spans="1:10">
      <c r="A606" s="1082"/>
      <c r="J606" s="1082"/>
    </row>
    <row r="607" spans="1:10">
      <c r="A607" s="1082"/>
      <c r="J607" s="1082"/>
    </row>
    <row r="608" spans="1:10">
      <c r="A608" s="1082"/>
      <c r="J608" s="1082"/>
    </row>
    <row r="609" spans="1:10">
      <c r="A609" s="1082"/>
      <c r="J609" s="1082"/>
    </row>
    <row r="610" spans="1:10">
      <c r="A610" s="1082"/>
      <c r="J610" s="1082"/>
    </row>
    <row r="611" spans="1:10">
      <c r="A611" s="1082"/>
      <c r="J611" s="1082"/>
    </row>
    <row r="612" spans="1:10">
      <c r="A612" s="1082"/>
      <c r="J612" s="1082"/>
    </row>
    <row r="613" spans="1:10">
      <c r="A613" s="1082"/>
      <c r="J613" s="1082"/>
    </row>
    <row r="614" spans="1:10">
      <c r="A614" s="1082"/>
      <c r="J614" s="1082"/>
    </row>
    <row r="615" spans="1:10">
      <c r="A615" s="1082"/>
      <c r="J615" s="1082"/>
    </row>
    <row r="616" spans="1:10">
      <c r="A616" s="1082"/>
      <c r="J616" s="1082"/>
    </row>
    <row r="617" spans="1:10">
      <c r="A617" s="1082"/>
      <c r="J617" s="1082"/>
    </row>
    <row r="618" spans="1:10">
      <c r="A618" s="1082"/>
      <c r="J618" s="1082"/>
    </row>
    <row r="619" spans="1:10">
      <c r="A619" s="1082"/>
      <c r="J619" s="1082"/>
    </row>
    <row r="620" spans="1:10">
      <c r="A620" s="1082"/>
      <c r="J620" s="1082"/>
    </row>
    <row r="621" spans="1:10">
      <c r="A621" s="1082"/>
      <c r="J621" s="1082"/>
    </row>
    <row r="622" spans="1:10">
      <c r="A622" s="1082"/>
      <c r="J622" s="1082"/>
    </row>
    <row r="623" spans="1:10">
      <c r="A623" s="1082"/>
      <c r="J623" s="1082"/>
    </row>
    <row r="624" spans="1:10">
      <c r="A624" s="1082"/>
      <c r="J624" s="1082"/>
    </row>
    <row r="625" spans="1:10">
      <c r="A625" s="1082"/>
      <c r="J625" s="1082"/>
    </row>
    <row r="626" spans="1:10">
      <c r="A626" s="1082"/>
      <c r="J626" s="1082"/>
    </row>
    <row r="627" spans="1:10">
      <c r="A627" s="1082"/>
      <c r="J627" s="1082"/>
    </row>
    <row r="628" spans="1:10">
      <c r="A628" s="1082"/>
      <c r="J628" s="1082"/>
    </row>
    <row r="629" spans="1:10">
      <c r="A629" s="1082"/>
      <c r="J629" s="1082"/>
    </row>
    <row r="630" spans="1:10">
      <c r="A630" s="1082"/>
      <c r="J630" s="1082"/>
    </row>
    <row r="631" spans="1:10">
      <c r="A631" s="1082"/>
      <c r="J631" s="1082"/>
    </row>
    <row r="632" spans="1:10">
      <c r="A632" s="1082"/>
      <c r="J632" s="1082"/>
    </row>
    <row r="633" spans="1:10">
      <c r="A633" s="1082"/>
      <c r="J633" s="1082"/>
    </row>
    <row r="634" spans="1:10">
      <c r="A634" s="1082"/>
      <c r="J634" s="1082"/>
    </row>
    <row r="635" spans="1:10">
      <c r="A635" s="1082"/>
      <c r="J635" s="1082"/>
    </row>
    <row r="636" spans="1:10">
      <c r="A636" s="1082"/>
      <c r="J636" s="1082"/>
    </row>
    <row r="637" spans="1:10">
      <c r="A637" s="1082"/>
      <c r="J637" s="1082"/>
    </row>
    <row r="638" spans="1:10">
      <c r="A638" s="1082"/>
      <c r="J638" s="1082"/>
    </row>
    <row r="639" spans="1:10">
      <c r="A639" s="1082"/>
      <c r="J639" s="1082"/>
    </row>
    <row r="640" spans="1:10">
      <c r="A640" s="1082"/>
      <c r="J640" s="1082"/>
    </row>
    <row r="641" spans="1:10">
      <c r="A641" s="1082"/>
      <c r="J641" s="1082"/>
    </row>
    <row r="642" spans="1:10">
      <c r="A642" s="1082"/>
      <c r="J642" s="1082"/>
    </row>
    <row r="643" spans="1:10">
      <c r="A643" s="1082"/>
      <c r="J643" s="1082"/>
    </row>
    <row r="644" spans="1:10">
      <c r="A644" s="1082"/>
      <c r="J644" s="1082"/>
    </row>
    <row r="645" spans="1:10">
      <c r="A645" s="1082"/>
      <c r="J645" s="1082"/>
    </row>
    <row r="646" spans="1:10">
      <c r="A646" s="1082"/>
      <c r="J646" s="1082"/>
    </row>
    <row r="647" spans="1:10">
      <c r="A647" s="1082"/>
      <c r="J647" s="1082"/>
    </row>
    <row r="648" spans="1:10">
      <c r="A648" s="1082"/>
      <c r="J648" s="1082"/>
    </row>
    <row r="649" spans="1:10">
      <c r="A649" s="1082"/>
      <c r="J649" s="1082"/>
    </row>
    <row r="650" spans="1:10">
      <c r="A650" s="1082"/>
      <c r="J650" s="1082"/>
    </row>
    <row r="651" spans="1:10">
      <c r="A651" s="1082"/>
      <c r="J651" s="1082"/>
    </row>
    <row r="652" spans="1:10">
      <c r="A652" s="1082"/>
      <c r="J652" s="1082"/>
    </row>
    <row r="653" spans="1:10">
      <c r="A653" s="1082"/>
      <c r="J653" s="1082"/>
    </row>
    <row r="654" spans="1:10">
      <c r="A654" s="1082"/>
      <c r="J654" s="1082"/>
    </row>
    <row r="655" spans="1:10">
      <c r="A655" s="1082"/>
      <c r="J655" s="1082"/>
    </row>
    <row r="656" spans="1:10">
      <c r="A656" s="1082"/>
      <c r="J656" s="1082"/>
    </row>
    <row r="657" spans="1:10">
      <c r="A657" s="1082"/>
      <c r="J657" s="1082"/>
    </row>
    <row r="658" spans="1:10">
      <c r="A658" s="1082"/>
      <c r="J658" s="1082"/>
    </row>
    <row r="659" spans="1:10">
      <c r="A659" s="1082"/>
      <c r="J659" s="1082"/>
    </row>
    <row r="660" spans="1:10">
      <c r="A660" s="1082"/>
      <c r="J660" s="1082"/>
    </row>
    <row r="661" spans="1:10">
      <c r="A661" s="1082"/>
      <c r="J661" s="1082"/>
    </row>
    <row r="662" spans="1:10">
      <c r="A662" s="1082"/>
      <c r="J662" s="1082"/>
    </row>
    <row r="663" spans="1:10">
      <c r="A663" s="1082"/>
      <c r="J663" s="1082"/>
    </row>
    <row r="664" spans="1:10">
      <c r="A664" s="1082"/>
      <c r="J664" s="1082"/>
    </row>
    <row r="665" spans="1:10">
      <c r="A665" s="1082"/>
      <c r="J665" s="1082"/>
    </row>
    <row r="666" spans="1:10">
      <c r="A666" s="1082"/>
      <c r="J666" s="1082"/>
    </row>
    <row r="667" spans="1:10">
      <c r="A667" s="1082"/>
      <c r="J667" s="1082"/>
    </row>
    <row r="668" spans="1:10">
      <c r="A668" s="1082"/>
      <c r="J668" s="1082"/>
    </row>
    <row r="669" spans="1:10">
      <c r="A669" s="1082"/>
      <c r="J669" s="1082"/>
    </row>
    <row r="670" spans="1:10">
      <c r="A670" s="1082"/>
      <c r="J670" s="1082"/>
    </row>
    <row r="671" spans="1:10">
      <c r="A671" s="1082"/>
      <c r="J671" s="1082"/>
    </row>
    <row r="672" spans="1:10">
      <c r="A672" s="1082"/>
      <c r="J672" s="1082"/>
    </row>
    <row r="673" spans="1:10">
      <c r="A673" s="1082"/>
      <c r="J673" s="1082"/>
    </row>
    <row r="674" spans="1:10">
      <c r="A674" s="1082"/>
      <c r="J674" s="1082"/>
    </row>
    <row r="675" spans="1:10">
      <c r="A675" s="1082"/>
      <c r="J675" s="1082"/>
    </row>
    <row r="676" spans="1:10">
      <c r="A676" s="1082"/>
      <c r="J676" s="1082"/>
    </row>
    <row r="677" spans="1:10">
      <c r="A677" s="1082"/>
      <c r="J677" s="1082"/>
    </row>
    <row r="678" spans="1:10">
      <c r="A678" s="1082"/>
      <c r="J678" s="1082"/>
    </row>
    <row r="679" spans="1:10">
      <c r="A679" s="1082"/>
      <c r="J679" s="1082"/>
    </row>
    <row r="680" spans="1:10">
      <c r="A680" s="1082"/>
      <c r="J680" s="1082"/>
    </row>
    <row r="681" spans="1:10">
      <c r="A681" s="1082"/>
      <c r="J681" s="1082"/>
    </row>
    <row r="682" spans="1:10">
      <c r="A682" s="1082"/>
      <c r="J682" s="1082"/>
    </row>
    <row r="683" spans="1:10">
      <c r="A683" s="1082"/>
      <c r="J683" s="1082"/>
    </row>
    <row r="684" spans="1:10">
      <c r="A684" s="1082"/>
      <c r="J684" s="1082"/>
    </row>
    <row r="685" spans="1:10">
      <c r="A685" s="1082"/>
      <c r="J685" s="1082"/>
    </row>
    <row r="686" spans="1:10">
      <c r="A686" s="1082"/>
      <c r="J686" s="1082"/>
    </row>
    <row r="687" spans="1:10">
      <c r="A687" s="1082"/>
      <c r="J687" s="1082"/>
    </row>
    <row r="688" spans="1:10">
      <c r="A688" s="1082"/>
      <c r="J688" s="1082"/>
    </row>
    <row r="689" spans="1:10">
      <c r="A689" s="1082"/>
      <c r="J689" s="1082"/>
    </row>
    <row r="690" spans="1:10">
      <c r="A690" s="1082"/>
      <c r="J690" s="1082"/>
    </row>
    <row r="691" spans="1:10">
      <c r="A691" s="1082"/>
      <c r="J691" s="1082"/>
    </row>
    <row r="692" spans="1:10">
      <c r="A692" s="1082"/>
      <c r="J692" s="1082"/>
    </row>
    <row r="693" spans="1:10">
      <c r="A693" s="1082"/>
      <c r="J693" s="1082"/>
    </row>
    <row r="694" spans="1:10">
      <c r="A694" s="1082"/>
      <c r="J694" s="1082"/>
    </row>
    <row r="695" spans="1:10">
      <c r="A695" s="1082"/>
      <c r="J695" s="1082"/>
    </row>
    <row r="696" spans="1:10">
      <c r="A696" s="1082"/>
      <c r="J696" s="1082"/>
    </row>
    <row r="697" spans="1:10">
      <c r="A697" s="1082"/>
      <c r="J697" s="1082"/>
    </row>
    <row r="698" spans="1:10">
      <c r="A698" s="1082"/>
      <c r="J698" s="1082"/>
    </row>
    <row r="699" spans="1:10">
      <c r="A699" s="1082"/>
      <c r="J699" s="1082"/>
    </row>
    <row r="700" spans="1:10">
      <c r="A700" s="1082"/>
      <c r="J700" s="1082"/>
    </row>
    <row r="701" spans="1:10">
      <c r="A701" s="1082"/>
      <c r="J701" s="1082"/>
    </row>
    <row r="702" spans="1:10">
      <c r="A702" s="1082"/>
      <c r="J702" s="1082"/>
    </row>
    <row r="703" spans="1:10">
      <c r="A703" s="1082"/>
      <c r="J703" s="1082"/>
    </row>
    <row r="704" spans="1:10">
      <c r="A704" s="1082"/>
      <c r="J704" s="1082"/>
    </row>
    <row r="705" spans="1:10">
      <c r="A705" s="1082"/>
      <c r="J705" s="1082"/>
    </row>
    <row r="706" spans="1:10">
      <c r="A706" s="1082"/>
      <c r="J706" s="1082"/>
    </row>
    <row r="707" spans="1:10">
      <c r="A707" s="1082"/>
      <c r="J707" s="1082"/>
    </row>
    <row r="708" spans="1:10">
      <c r="A708" s="1082"/>
      <c r="J708" s="1082"/>
    </row>
    <row r="709" spans="1:10">
      <c r="A709" s="1082"/>
      <c r="J709" s="1082"/>
    </row>
    <row r="710" spans="1:10">
      <c r="A710" s="1082"/>
      <c r="J710" s="1082"/>
    </row>
    <row r="711" spans="1:10">
      <c r="A711" s="1082"/>
      <c r="J711" s="1082"/>
    </row>
    <row r="712" spans="1:10">
      <c r="A712" s="1082"/>
      <c r="J712" s="1082"/>
    </row>
    <row r="713" spans="1:10">
      <c r="A713" s="1082"/>
      <c r="J713" s="1082"/>
    </row>
    <row r="714" spans="1:10">
      <c r="A714" s="1082"/>
      <c r="J714" s="1082"/>
    </row>
    <row r="715" spans="1:10">
      <c r="A715" s="1082"/>
      <c r="J715" s="1082"/>
    </row>
    <row r="716" spans="1:10">
      <c r="A716" s="1082"/>
      <c r="J716" s="1082"/>
    </row>
    <row r="717" spans="1:10">
      <c r="A717" s="1082"/>
      <c r="J717" s="1082"/>
    </row>
    <row r="718" spans="1:10">
      <c r="A718" s="1082"/>
      <c r="J718" s="1082"/>
    </row>
    <row r="719" spans="1:10">
      <c r="A719" s="1082"/>
      <c r="J719" s="1082"/>
    </row>
    <row r="720" spans="1:10">
      <c r="A720" s="1082"/>
      <c r="J720" s="1082"/>
    </row>
    <row r="721" spans="1:10">
      <c r="A721" s="1082"/>
      <c r="J721" s="1082"/>
    </row>
    <row r="722" spans="1:10">
      <c r="A722" s="1082"/>
      <c r="J722" s="1082"/>
    </row>
    <row r="723" spans="1:10">
      <c r="A723" s="1082"/>
      <c r="J723" s="1082"/>
    </row>
    <row r="724" spans="1:10">
      <c r="A724" s="1082"/>
      <c r="J724" s="1082"/>
    </row>
    <row r="725" spans="1:10">
      <c r="A725" s="1082"/>
      <c r="J725" s="1082"/>
    </row>
    <row r="726" spans="1:10">
      <c r="A726" s="1082"/>
      <c r="J726" s="1082"/>
    </row>
    <row r="727" spans="1:10">
      <c r="A727" s="1082"/>
      <c r="J727" s="1082"/>
    </row>
    <row r="728" spans="1:10">
      <c r="A728" s="1082"/>
      <c r="J728" s="1082"/>
    </row>
    <row r="729" spans="1:10">
      <c r="A729" s="1082"/>
      <c r="J729" s="1082"/>
    </row>
    <row r="730" spans="1:10">
      <c r="A730" s="1082"/>
      <c r="J730" s="1082"/>
    </row>
    <row r="731" spans="1:10">
      <c r="A731" s="1082"/>
      <c r="J731" s="1082"/>
    </row>
    <row r="732" spans="1:10">
      <c r="A732" s="1082"/>
      <c r="J732" s="1082"/>
    </row>
    <row r="733" spans="1:10">
      <c r="A733" s="1082"/>
      <c r="J733" s="1082"/>
    </row>
    <row r="734" spans="1:10">
      <c r="A734" s="1082"/>
      <c r="J734" s="1082"/>
    </row>
    <row r="735" spans="1:10">
      <c r="A735" s="1082"/>
      <c r="J735" s="1082"/>
    </row>
    <row r="736" spans="1:10">
      <c r="A736" s="1082"/>
      <c r="J736" s="1082"/>
    </row>
    <row r="737" spans="1:10">
      <c r="A737" s="1082"/>
      <c r="J737" s="1082"/>
    </row>
    <row r="738" spans="1:10">
      <c r="A738" s="1082"/>
      <c r="J738" s="1082"/>
    </row>
    <row r="739" spans="1:10">
      <c r="A739" s="1082"/>
      <c r="J739" s="1082"/>
    </row>
    <row r="740" spans="1:10">
      <c r="A740" s="1082"/>
      <c r="J740" s="1082"/>
    </row>
    <row r="741" spans="1:10">
      <c r="A741" s="1082"/>
      <c r="J741" s="1082"/>
    </row>
    <row r="742" spans="1:10">
      <c r="A742" s="1082"/>
      <c r="J742" s="1082"/>
    </row>
    <row r="743" spans="1:10">
      <c r="A743" s="1082"/>
      <c r="J743" s="1082"/>
    </row>
    <row r="744" spans="1:10">
      <c r="A744" s="1082"/>
      <c r="J744" s="1082"/>
    </row>
    <row r="745" spans="1:10">
      <c r="A745" s="1082"/>
      <c r="J745" s="1082"/>
    </row>
    <row r="746" spans="1:10">
      <c r="A746" s="1082"/>
      <c r="J746" s="1082"/>
    </row>
    <row r="747" spans="1:10">
      <c r="A747" s="1082"/>
      <c r="J747" s="1082"/>
    </row>
    <row r="748" spans="1:10">
      <c r="A748" s="1082"/>
      <c r="J748" s="1082"/>
    </row>
    <row r="749" spans="1:10">
      <c r="A749" s="1082"/>
      <c r="J749" s="1082"/>
    </row>
    <row r="750" spans="1:10">
      <c r="A750" s="1082"/>
      <c r="J750" s="1082"/>
    </row>
    <row r="751" spans="1:10">
      <c r="A751" s="1082"/>
      <c r="J751" s="1082"/>
    </row>
    <row r="752" spans="1:10">
      <c r="A752" s="1082"/>
      <c r="J752" s="1082"/>
    </row>
    <row r="753" spans="1:10">
      <c r="A753" s="1082"/>
      <c r="J753" s="1082"/>
    </row>
    <row r="754" spans="1:10">
      <c r="A754" s="1082"/>
      <c r="J754" s="1082"/>
    </row>
    <row r="755" spans="1:10">
      <c r="A755" s="1082"/>
      <c r="J755" s="1082"/>
    </row>
    <row r="756" spans="1:10">
      <c r="A756" s="1082"/>
      <c r="J756" s="1082"/>
    </row>
    <row r="757" spans="1:10">
      <c r="A757" s="1082"/>
      <c r="J757" s="1082"/>
    </row>
    <row r="758" spans="1:10">
      <c r="A758" s="1082"/>
      <c r="J758" s="1082"/>
    </row>
    <row r="759" spans="1:10">
      <c r="A759" s="1082"/>
      <c r="J759" s="1082"/>
    </row>
    <row r="760" spans="1:10">
      <c r="A760" s="1082"/>
      <c r="J760" s="1082"/>
    </row>
    <row r="761" spans="1:10">
      <c r="A761" s="1082"/>
      <c r="J761" s="1082"/>
    </row>
    <row r="762" spans="1:10">
      <c r="A762" s="1082"/>
      <c r="J762" s="1082"/>
    </row>
    <row r="763" spans="1:10">
      <c r="A763" s="1082"/>
      <c r="J763" s="1082"/>
    </row>
    <row r="764" spans="1:10">
      <c r="A764" s="1082"/>
      <c r="J764" s="1082"/>
    </row>
    <row r="765" spans="1:10">
      <c r="A765" s="1082"/>
      <c r="J765" s="1082"/>
    </row>
    <row r="766" spans="1:10">
      <c r="A766" s="1082"/>
      <c r="J766" s="1082"/>
    </row>
    <row r="767" spans="1:10">
      <c r="A767" s="1082"/>
      <c r="J767" s="1082"/>
    </row>
    <row r="768" spans="1:10">
      <c r="A768" s="1082"/>
      <c r="J768" s="1082"/>
    </row>
    <row r="769" spans="1:10">
      <c r="A769" s="1082"/>
      <c r="J769" s="1082"/>
    </row>
    <row r="770" spans="1:10">
      <c r="A770" s="1082"/>
      <c r="J770" s="1082"/>
    </row>
    <row r="771" spans="1:10">
      <c r="A771" s="1082"/>
      <c r="J771" s="1082"/>
    </row>
    <row r="772" spans="1:10">
      <c r="A772" s="1082"/>
      <c r="J772" s="1082"/>
    </row>
    <row r="773" spans="1:10">
      <c r="A773" s="1082"/>
      <c r="J773" s="1082"/>
    </row>
    <row r="774" spans="1:10">
      <c r="A774" s="1082"/>
      <c r="J774" s="1082"/>
    </row>
    <row r="775" spans="1:10">
      <c r="A775" s="1082"/>
      <c r="J775" s="1082"/>
    </row>
    <row r="776" spans="1:10">
      <c r="A776" s="1082"/>
      <c r="J776" s="1082"/>
    </row>
    <row r="777" spans="1:10">
      <c r="A777" s="1082"/>
      <c r="J777" s="1082"/>
    </row>
    <row r="778" spans="1:10">
      <c r="A778" s="1082"/>
      <c r="J778" s="1082"/>
    </row>
    <row r="779" spans="1:10">
      <c r="A779" s="1082"/>
      <c r="J779" s="1082"/>
    </row>
    <row r="780" spans="1:10">
      <c r="A780" s="1082"/>
      <c r="J780" s="1082"/>
    </row>
    <row r="781" spans="1:10">
      <c r="A781" s="1082"/>
      <c r="J781" s="1082"/>
    </row>
    <row r="782" spans="1:10">
      <c r="A782" s="1082"/>
      <c r="J782" s="1082"/>
    </row>
    <row r="783" spans="1:10">
      <c r="A783" s="1082"/>
      <c r="J783" s="1082"/>
    </row>
    <row r="784" spans="1:10">
      <c r="A784" s="1082"/>
      <c r="J784" s="1082"/>
    </row>
    <row r="785" spans="1:10">
      <c r="A785" s="1082"/>
      <c r="J785" s="1082"/>
    </row>
    <row r="786" spans="1:10">
      <c r="A786" s="1082"/>
      <c r="J786" s="1082"/>
    </row>
    <row r="787" spans="1:10">
      <c r="A787" s="1082"/>
      <c r="J787" s="1082"/>
    </row>
    <row r="788" spans="1:10">
      <c r="A788" s="1082"/>
      <c r="J788" s="1082"/>
    </row>
    <row r="789" spans="1:10">
      <c r="A789" s="1082"/>
      <c r="J789" s="1082"/>
    </row>
    <row r="790" spans="1:10">
      <c r="A790" s="1082"/>
      <c r="J790" s="1082"/>
    </row>
    <row r="791" spans="1:10">
      <c r="A791" s="1082"/>
      <c r="J791" s="1082"/>
    </row>
    <row r="792" spans="1:10">
      <c r="A792" s="1082"/>
      <c r="J792" s="1082"/>
    </row>
    <row r="793" spans="1:10">
      <c r="A793" s="1082"/>
      <c r="J793" s="1082"/>
    </row>
    <row r="794" spans="1:10">
      <c r="A794" s="1082"/>
      <c r="J794" s="1082"/>
    </row>
    <row r="795" spans="1:10">
      <c r="A795" s="1082"/>
      <c r="J795" s="1082"/>
    </row>
    <row r="796" spans="1:10">
      <c r="A796" s="1082"/>
      <c r="J796" s="1082"/>
    </row>
    <row r="797" spans="1:10">
      <c r="A797" s="1082"/>
      <c r="J797" s="1082"/>
    </row>
    <row r="798" spans="1:10">
      <c r="A798" s="1082"/>
      <c r="J798" s="1082"/>
    </row>
    <row r="799" spans="1:10">
      <c r="A799" s="1082"/>
      <c r="J799" s="1082"/>
    </row>
    <row r="800" spans="1:10">
      <c r="A800" s="1082"/>
      <c r="J800" s="1082"/>
    </row>
    <row r="801" spans="1:10">
      <c r="A801" s="1082"/>
      <c r="J801" s="1082"/>
    </row>
    <row r="802" spans="1:10">
      <c r="A802" s="1082"/>
      <c r="J802" s="1082"/>
    </row>
    <row r="803" spans="1:10">
      <c r="A803" s="1082"/>
      <c r="J803" s="1082"/>
    </row>
    <row r="804" spans="1:10">
      <c r="A804" s="1082"/>
      <c r="J804" s="1082"/>
    </row>
    <row r="805" spans="1:10">
      <c r="A805" s="1082"/>
      <c r="J805" s="1082"/>
    </row>
    <row r="806" spans="1:10">
      <c r="A806" s="1082"/>
      <c r="J806" s="1082"/>
    </row>
    <row r="807" spans="1:10">
      <c r="A807" s="1082"/>
      <c r="J807" s="1082"/>
    </row>
    <row r="808" spans="1:10">
      <c r="A808" s="1082"/>
      <c r="J808" s="1082"/>
    </row>
    <row r="809" spans="1:10">
      <c r="A809" s="1082"/>
      <c r="J809" s="1082"/>
    </row>
    <row r="810" spans="1:10">
      <c r="A810" s="1082"/>
      <c r="J810" s="1082"/>
    </row>
    <row r="811" spans="1:10">
      <c r="A811" s="1082"/>
      <c r="J811" s="1082"/>
    </row>
    <row r="812" spans="1:10">
      <c r="A812" s="1082"/>
      <c r="J812" s="1082"/>
    </row>
    <row r="813" spans="1:10">
      <c r="A813" s="1082"/>
      <c r="J813" s="1082"/>
    </row>
    <row r="814" spans="1:10">
      <c r="A814" s="1082"/>
      <c r="J814" s="1082"/>
    </row>
    <row r="815" spans="1:10">
      <c r="A815" s="1082"/>
      <c r="J815" s="1082"/>
    </row>
    <row r="816" spans="1:10">
      <c r="A816" s="1082"/>
      <c r="J816" s="1082"/>
    </row>
    <row r="817" spans="1:10">
      <c r="A817" s="1082"/>
      <c r="J817" s="1082"/>
    </row>
    <row r="818" spans="1:10">
      <c r="A818" s="1082"/>
      <c r="J818" s="1082"/>
    </row>
    <row r="819" spans="1:10">
      <c r="A819" s="1082"/>
      <c r="J819" s="1082"/>
    </row>
    <row r="820" spans="1:10">
      <c r="A820" s="1082"/>
      <c r="J820" s="1082"/>
    </row>
    <row r="821" spans="1:10">
      <c r="A821" s="1082"/>
      <c r="J821" s="1082"/>
    </row>
    <row r="822" spans="1:10">
      <c r="A822" s="1082"/>
      <c r="J822" s="1082"/>
    </row>
    <row r="823" spans="1:10">
      <c r="A823" s="1082"/>
      <c r="J823" s="1082"/>
    </row>
    <row r="824" spans="1:10">
      <c r="A824" s="1082"/>
      <c r="J824" s="1082"/>
    </row>
    <row r="825" spans="1:10">
      <c r="A825" s="1082"/>
      <c r="J825" s="1082"/>
    </row>
    <row r="826" spans="1:10">
      <c r="A826" s="1082"/>
      <c r="J826" s="1082"/>
    </row>
    <row r="827" spans="1:10">
      <c r="A827" s="1082"/>
      <c r="J827" s="1082"/>
    </row>
    <row r="828" spans="1:10">
      <c r="A828" s="1082"/>
      <c r="J828" s="1082"/>
    </row>
    <row r="829" spans="1:10">
      <c r="A829" s="1082"/>
      <c r="J829" s="1082"/>
    </row>
    <row r="830" spans="1:10">
      <c r="A830" s="1082"/>
      <c r="J830" s="1082"/>
    </row>
    <row r="831" spans="1:10">
      <c r="A831" s="1082"/>
      <c r="J831" s="1082"/>
    </row>
    <row r="832" spans="1:10">
      <c r="A832" s="1082"/>
      <c r="J832" s="1082"/>
    </row>
    <row r="833" spans="1:10">
      <c r="A833" s="1082"/>
      <c r="J833" s="1082"/>
    </row>
    <row r="834" spans="1:10">
      <c r="A834" s="1082"/>
      <c r="J834" s="1082"/>
    </row>
    <row r="835" spans="1:10">
      <c r="A835" s="1082"/>
      <c r="J835" s="1082"/>
    </row>
    <row r="836" spans="1:10">
      <c r="A836" s="1082"/>
      <c r="J836" s="1082"/>
    </row>
    <row r="837" spans="1:10">
      <c r="A837" s="1082"/>
      <c r="J837" s="1082"/>
    </row>
    <row r="838" spans="1:10">
      <c r="A838" s="1082"/>
      <c r="J838" s="1082"/>
    </row>
    <row r="839" spans="1:10">
      <c r="A839" s="1082"/>
      <c r="J839" s="1082"/>
    </row>
    <row r="840" spans="1:10">
      <c r="A840" s="1082"/>
      <c r="J840" s="1082"/>
    </row>
    <row r="841" spans="1:10">
      <c r="A841" s="1082"/>
      <c r="J841" s="1082"/>
    </row>
    <row r="842" spans="1:10">
      <c r="A842" s="1082"/>
      <c r="J842" s="1082"/>
    </row>
    <row r="843" spans="1:10">
      <c r="A843" s="1082"/>
      <c r="J843" s="1082"/>
    </row>
    <row r="844" spans="1:10">
      <c r="A844" s="1082"/>
      <c r="J844" s="1082"/>
    </row>
    <row r="845" spans="1:10">
      <c r="A845" s="1082"/>
      <c r="J845" s="1082"/>
    </row>
    <row r="846" spans="1:10">
      <c r="A846" s="1082"/>
      <c r="J846" s="1082"/>
    </row>
    <row r="847" spans="1:10">
      <c r="A847" s="1082"/>
      <c r="J847" s="1082"/>
    </row>
    <row r="848" spans="1:10">
      <c r="A848" s="1082"/>
      <c r="J848" s="1082"/>
    </row>
    <row r="849" spans="1:10">
      <c r="A849" s="1082"/>
      <c r="J849" s="1082"/>
    </row>
    <row r="850" spans="1:10">
      <c r="A850" s="1082"/>
      <c r="J850" s="1082"/>
    </row>
    <row r="851" spans="1:10">
      <c r="A851" s="1082"/>
      <c r="J851" s="1082"/>
    </row>
    <row r="852" spans="1:10">
      <c r="A852" s="1082"/>
      <c r="J852" s="1082"/>
    </row>
    <row r="853" spans="1:10">
      <c r="A853" s="1082"/>
      <c r="J853" s="1082"/>
    </row>
    <row r="854" spans="1:10">
      <c r="A854" s="1082"/>
      <c r="J854" s="1082"/>
    </row>
    <row r="855" spans="1:10">
      <c r="A855" s="1082"/>
      <c r="J855" s="1082"/>
    </row>
    <row r="856" spans="1:10">
      <c r="A856" s="1082"/>
      <c r="J856" s="1082"/>
    </row>
    <row r="857" spans="1:10">
      <c r="A857" s="1082"/>
      <c r="J857" s="1082"/>
    </row>
    <row r="858" spans="1:10">
      <c r="A858" s="1082"/>
      <c r="J858" s="1082"/>
    </row>
    <row r="859" spans="1:10">
      <c r="A859" s="1082"/>
      <c r="J859" s="1082"/>
    </row>
    <row r="860" spans="1:10">
      <c r="A860" s="1082"/>
      <c r="J860" s="1082"/>
    </row>
    <row r="861" spans="1:10">
      <c r="A861" s="1082"/>
      <c r="J861" s="1082"/>
    </row>
    <row r="862" spans="1:10">
      <c r="A862" s="1082"/>
      <c r="J862" s="1082"/>
    </row>
    <row r="863" spans="1:10">
      <c r="A863" s="1082"/>
      <c r="J863" s="1082"/>
    </row>
    <row r="864" spans="1:10">
      <c r="A864" s="1082"/>
      <c r="J864" s="1082"/>
    </row>
    <row r="865" spans="1:10">
      <c r="A865" s="1082"/>
      <c r="J865" s="1082"/>
    </row>
    <row r="866" spans="1:10">
      <c r="A866" s="1082"/>
      <c r="J866" s="1082"/>
    </row>
    <row r="867" spans="1:10">
      <c r="A867" s="1082"/>
      <c r="J867" s="1082"/>
    </row>
    <row r="868" spans="1:10">
      <c r="A868" s="1082"/>
      <c r="J868" s="1082"/>
    </row>
    <row r="869" spans="1:10">
      <c r="A869" s="1082"/>
      <c r="J869" s="1082"/>
    </row>
    <row r="870" spans="1:10">
      <c r="A870" s="1082"/>
      <c r="J870" s="1082"/>
    </row>
    <row r="871" spans="1:10">
      <c r="A871" s="1082"/>
      <c r="J871" s="1082"/>
    </row>
    <row r="872" spans="1:10">
      <c r="A872" s="1082"/>
      <c r="J872" s="1082"/>
    </row>
    <row r="873" spans="1:10">
      <c r="A873" s="1082"/>
      <c r="J873" s="1082"/>
    </row>
    <row r="874" spans="1:10">
      <c r="A874" s="1082"/>
      <c r="J874" s="1082"/>
    </row>
    <row r="875" spans="1:10">
      <c r="A875" s="1082"/>
      <c r="J875" s="1082"/>
    </row>
    <row r="876" spans="1:10">
      <c r="A876" s="1082"/>
      <c r="J876" s="1082"/>
    </row>
    <row r="877" spans="1:10">
      <c r="A877" s="1082"/>
      <c r="J877" s="1082"/>
    </row>
    <row r="878" spans="1:10">
      <c r="A878" s="1082"/>
      <c r="J878" s="1082"/>
    </row>
    <row r="879" spans="1:10">
      <c r="A879" s="1082"/>
      <c r="J879" s="1082"/>
    </row>
    <row r="880" spans="1:10">
      <c r="A880" s="1082"/>
      <c r="J880" s="1082"/>
    </row>
    <row r="881" spans="1:10">
      <c r="A881" s="1082"/>
      <c r="J881" s="1082"/>
    </row>
    <row r="882" spans="1:10">
      <c r="A882" s="1082"/>
      <c r="J882" s="1082"/>
    </row>
    <row r="883" spans="1:10">
      <c r="A883" s="1082"/>
      <c r="J883" s="1082"/>
    </row>
    <row r="884" spans="1:10">
      <c r="A884" s="1082"/>
      <c r="J884" s="1082"/>
    </row>
    <row r="885" spans="1:10">
      <c r="A885" s="1082"/>
      <c r="J885" s="1082"/>
    </row>
    <row r="886" spans="1:10">
      <c r="A886" s="1082"/>
      <c r="J886" s="1082"/>
    </row>
    <row r="887" spans="1:10">
      <c r="A887" s="1082"/>
      <c r="J887" s="1082"/>
    </row>
    <row r="888" spans="1:10">
      <c r="A888" s="1082"/>
      <c r="J888" s="1082"/>
    </row>
    <row r="889" spans="1:10">
      <c r="A889" s="1082"/>
      <c r="J889" s="1082"/>
    </row>
    <row r="890" spans="1:10">
      <c r="A890" s="1082"/>
      <c r="J890" s="1082"/>
    </row>
    <row r="891" spans="1:10">
      <c r="A891" s="1082"/>
      <c r="J891" s="1082"/>
    </row>
    <row r="892" spans="1:10">
      <c r="A892" s="1082"/>
      <c r="J892" s="1082"/>
    </row>
    <row r="893" spans="1:10">
      <c r="A893" s="1082"/>
      <c r="J893" s="1082"/>
    </row>
    <row r="894" spans="1:10">
      <c r="A894" s="1082"/>
      <c r="J894" s="1082"/>
    </row>
    <row r="895" spans="1:10">
      <c r="A895" s="1082"/>
      <c r="J895" s="1082"/>
    </row>
    <row r="896" spans="1:10">
      <c r="A896" s="1082"/>
      <c r="J896" s="1082"/>
    </row>
    <row r="897" spans="1:10">
      <c r="A897" s="1082"/>
      <c r="J897" s="1082"/>
    </row>
    <row r="898" spans="1:10">
      <c r="A898" s="1082"/>
      <c r="J898" s="1082"/>
    </row>
    <row r="899" spans="1:10">
      <c r="A899" s="1082"/>
      <c r="J899" s="1082"/>
    </row>
    <row r="900" spans="1:10">
      <c r="A900" s="1082"/>
      <c r="J900" s="1082"/>
    </row>
    <row r="901" spans="1:10">
      <c r="A901" s="1082"/>
      <c r="J901" s="1082"/>
    </row>
    <row r="902" spans="1:10">
      <c r="A902" s="1082"/>
      <c r="J902" s="1082"/>
    </row>
    <row r="903" spans="1:10">
      <c r="A903" s="1082"/>
      <c r="J903" s="1082"/>
    </row>
    <row r="904" spans="1:10">
      <c r="A904" s="1082"/>
      <c r="J904" s="1082"/>
    </row>
    <row r="905" spans="1:10">
      <c r="A905" s="1082"/>
      <c r="J905" s="1082"/>
    </row>
    <row r="906" spans="1:10">
      <c r="A906" s="1082"/>
      <c r="J906" s="1082"/>
    </row>
    <row r="907" spans="1:10">
      <c r="A907" s="1082"/>
      <c r="J907" s="1082"/>
    </row>
    <row r="908" spans="1:10">
      <c r="A908" s="1082"/>
      <c r="J908" s="1082"/>
    </row>
    <row r="909" spans="1:10">
      <c r="A909" s="1082"/>
      <c r="J909" s="1082"/>
    </row>
    <row r="910" spans="1:10">
      <c r="A910" s="1082"/>
      <c r="J910" s="1082"/>
    </row>
    <row r="911" spans="1:10">
      <c r="A911" s="1082"/>
      <c r="J911" s="1082"/>
    </row>
    <row r="912" spans="1:10">
      <c r="A912" s="1082"/>
      <c r="J912" s="1082"/>
    </row>
    <row r="913" spans="1:10">
      <c r="A913" s="1082"/>
      <c r="J913" s="1082"/>
    </row>
    <row r="914" spans="1:10">
      <c r="A914" s="1082"/>
      <c r="J914" s="1082"/>
    </row>
    <row r="915" spans="1:10">
      <c r="A915" s="1082"/>
      <c r="J915" s="1082"/>
    </row>
    <row r="916" spans="1:10">
      <c r="A916" s="1082"/>
      <c r="J916" s="1082"/>
    </row>
    <row r="917" spans="1:10">
      <c r="A917" s="1082"/>
      <c r="J917" s="1082"/>
    </row>
    <row r="918" spans="1:10">
      <c r="A918" s="1082"/>
      <c r="J918" s="1082"/>
    </row>
    <row r="919" spans="1:10">
      <c r="A919" s="1082"/>
      <c r="J919" s="1082"/>
    </row>
    <row r="920" spans="1:10">
      <c r="A920" s="1082"/>
      <c r="J920" s="1082"/>
    </row>
    <row r="921" spans="1:10">
      <c r="A921" s="1082"/>
      <c r="J921" s="1082"/>
    </row>
    <row r="922" spans="1:10">
      <c r="A922" s="1082"/>
      <c r="J922" s="1082"/>
    </row>
    <row r="923" spans="1:10">
      <c r="A923" s="1082"/>
      <c r="J923" s="1082"/>
    </row>
    <row r="924" spans="1:10">
      <c r="A924" s="1082"/>
      <c r="J924" s="1082"/>
    </row>
    <row r="925" spans="1:10">
      <c r="A925" s="1082"/>
      <c r="J925" s="1082"/>
    </row>
    <row r="926" spans="1:10">
      <c r="A926" s="1082"/>
      <c r="J926" s="1082"/>
    </row>
    <row r="927" spans="1:10">
      <c r="A927" s="1082"/>
      <c r="J927" s="1082"/>
    </row>
    <row r="928" spans="1:10">
      <c r="A928" s="1082"/>
      <c r="J928" s="1082"/>
    </row>
    <row r="929" spans="1:10">
      <c r="A929" s="1082"/>
      <c r="J929" s="1082"/>
    </row>
    <row r="930" spans="1:10">
      <c r="A930" s="1082"/>
      <c r="J930" s="1082"/>
    </row>
    <row r="931" spans="1:10">
      <c r="A931" s="1082"/>
      <c r="J931" s="1082"/>
    </row>
    <row r="932" spans="1:10">
      <c r="A932" s="1082"/>
      <c r="J932" s="1082"/>
    </row>
    <row r="933" spans="1:10">
      <c r="A933" s="1082"/>
      <c r="J933" s="1082"/>
    </row>
    <row r="934" spans="1:10">
      <c r="A934" s="1082"/>
      <c r="J934" s="1082"/>
    </row>
    <row r="935" spans="1:10">
      <c r="A935" s="1082"/>
      <c r="J935" s="1082"/>
    </row>
    <row r="936" spans="1:10">
      <c r="A936" s="1082"/>
      <c r="J936" s="1082"/>
    </row>
    <row r="937" spans="1:10">
      <c r="A937" s="1082"/>
      <c r="J937" s="1082"/>
    </row>
    <row r="938" spans="1:10">
      <c r="A938" s="1082"/>
      <c r="J938" s="1082"/>
    </row>
    <row r="939" spans="1:10">
      <c r="A939" s="1082"/>
      <c r="J939" s="1082"/>
    </row>
    <row r="940" spans="1:10">
      <c r="A940" s="1082"/>
      <c r="J940" s="1082"/>
    </row>
    <row r="941" spans="1:10">
      <c r="A941" s="1082"/>
      <c r="J941" s="1082"/>
    </row>
    <row r="942" spans="1:10">
      <c r="A942" s="1082"/>
      <c r="J942" s="1082"/>
    </row>
    <row r="943" spans="1:10">
      <c r="A943" s="1082"/>
      <c r="J943" s="1082"/>
    </row>
    <row r="944" spans="1:10">
      <c r="A944" s="1082"/>
      <c r="J944" s="1082"/>
    </row>
    <row r="945" spans="1:10">
      <c r="A945" s="1082"/>
      <c r="J945" s="1082"/>
    </row>
    <row r="946" spans="1:10">
      <c r="A946" s="1082"/>
      <c r="J946" s="1082"/>
    </row>
    <row r="947" spans="1:10">
      <c r="A947" s="1082"/>
      <c r="J947" s="1082"/>
    </row>
    <row r="948" spans="1:10">
      <c r="A948" s="1082"/>
      <c r="J948" s="1082"/>
    </row>
    <row r="949" spans="1:10">
      <c r="A949" s="1082"/>
      <c r="J949" s="1082"/>
    </row>
    <row r="950" spans="1:10">
      <c r="A950" s="1082"/>
      <c r="J950" s="1082"/>
    </row>
    <row r="951" spans="1:10">
      <c r="A951" s="1082"/>
      <c r="J951" s="1082"/>
    </row>
    <row r="952" spans="1:10">
      <c r="A952" s="1082"/>
      <c r="J952" s="1082"/>
    </row>
    <row r="953" spans="1:10">
      <c r="A953" s="1082"/>
      <c r="J953" s="1082"/>
    </row>
    <row r="954" spans="1:10">
      <c r="A954" s="1082"/>
      <c r="J954" s="1082"/>
    </row>
    <row r="955" spans="1:10">
      <c r="A955" s="1082"/>
      <c r="J955" s="1082"/>
    </row>
    <row r="956" spans="1:10">
      <c r="A956" s="1082"/>
      <c r="J956" s="1082"/>
    </row>
    <row r="957" spans="1:10">
      <c r="A957" s="1082"/>
      <c r="J957" s="1082"/>
    </row>
    <row r="958" spans="1:10">
      <c r="A958" s="1082"/>
      <c r="J958" s="1082"/>
    </row>
    <row r="959" spans="1:10">
      <c r="A959" s="1082"/>
      <c r="J959" s="1082"/>
    </row>
    <row r="960" spans="1:10">
      <c r="A960" s="1082"/>
      <c r="J960" s="1082"/>
    </row>
    <row r="961" spans="1:10">
      <c r="A961" s="1082"/>
      <c r="J961" s="1082"/>
    </row>
    <row r="962" spans="1:10">
      <c r="A962" s="1082"/>
      <c r="J962" s="1082"/>
    </row>
    <row r="963" spans="1:10">
      <c r="A963" s="1082"/>
      <c r="J963" s="1082"/>
    </row>
    <row r="964" spans="1:10">
      <c r="A964" s="1082"/>
      <c r="J964" s="1082"/>
    </row>
    <row r="965" spans="1:10">
      <c r="A965" s="1082"/>
      <c r="J965" s="1082"/>
    </row>
    <row r="966" spans="1:10">
      <c r="A966" s="1082"/>
      <c r="J966" s="1082"/>
    </row>
    <row r="967" spans="1:10">
      <c r="A967" s="1082"/>
      <c r="J967" s="1082"/>
    </row>
    <row r="968" spans="1:10">
      <c r="A968" s="1082"/>
      <c r="J968" s="1082"/>
    </row>
    <row r="969" spans="1:10">
      <c r="A969" s="1082"/>
      <c r="J969" s="1082"/>
    </row>
    <row r="970" spans="1:10">
      <c r="A970" s="1082"/>
      <c r="J970" s="1082"/>
    </row>
    <row r="971" spans="1:10">
      <c r="A971" s="1082"/>
      <c r="J971" s="1082"/>
    </row>
    <row r="972" spans="1:10">
      <c r="A972" s="1082"/>
      <c r="J972" s="1082"/>
    </row>
    <row r="973" spans="1:10">
      <c r="A973" s="1082"/>
      <c r="J973" s="1082"/>
    </row>
    <row r="974" spans="1:10">
      <c r="A974" s="1082"/>
      <c r="J974" s="1082"/>
    </row>
    <row r="975" spans="1:10">
      <c r="A975" s="1082"/>
      <c r="J975" s="1082"/>
    </row>
    <row r="976" spans="1:10">
      <c r="A976" s="1082"/>
      <c r="J976" s="1082"/>
    </row>
    <row r="977" spans="1:10">
      <c r="A977" s="1082"/>
      <c r="J977" s="1082"/>
    </row>
    <row r="978" spans="1:10">
      <c r="A978" s="1082"/>
      <c r="J978" s="1082"/>
    </row>
    <row r="979" spans="1:10">
      <c r="A979" s="1082"/>
      <c r="J979" s="1082"/>
    </row>
    <row r="980" spans="1:10">
      <c r="A980" s="1082"/>
      <c r="J980" s="1082"/>
    </row>
    <row r="981" spans="1:10">
      <c r="A981" s="1082"/>
      <c r="J981" s="1082"/>
    </row>
    <row r="982" spans="1:10">
      <c r="A982" s="1082"/>
      <c r="J982" s="1082"/>
    </row>
    <row r="983" spans="1:10">
      <c r="A983" s="1082"/>
      <c r="J983" s="1082"/>
    </row>
    <row r="984" spans="1:10">
      <c r="A984" s="1082"/>
      <c r="J984" s="1082"/>
    </row>
    <row r="985" spans="1:10">
      <c r="A985" s="1082"/>
      <c r="J985" s="1082"/>
    </row>
    <row r="986" spans="1:10">
      <c r="A986" s="1082"/>
      <c r="J986" s="1082"/>
    </row>
    <row r="987" spans="1:10">
      <c r="A987" s="1082"/>
      <c r="J987" s="1082"/>
    </row>
    <row r="988" spans="1:10">
      <c r="A988" s="1082"/>
      <c r="J988" s="1082"/>
    </row>
    <row r="989" spans="1:10">
      <c r="A989" s="1082"/>
      <c r="J989" s="1082"/>
    </row>
    <row r="990" spans="1:10">
      <c r="A990" s="1082"/>
      <c r="J990" s="1082"/>
    </row>
    <row r="991" spans="1:10">
      <c r="A991" s="1082"/>
      <c r="J991" s="1082"/>
    </row>
    <row r="992" spans="1:10">
      <c r="A992" s="1082"/>
      <c r="J992" s="1082"/>
    </row>
    <row r="993" spans="1:10">
      <c r="A993" s="1082"/>
      <c r="J993" s="1082"/>
    </row>
    <row r="994" spans="1:10">
      <c r="A994" s="1082"/>
      <c r="J994" s="1082"/>
    </row>
    <row r="995" spans="1:10">
      <c r="A995" s="1082"/>
      <c r="J995" s="1082"/>
    </row>
    <row r="996" spans="1:10">
      <c r="A996" s="1082"/>
      <c r="J996" s="1082"/>
    </row>
    <row r="997" spans="1:10">
      <c r="A997" s="1082"/>
      <c r="J997" s="1082"/>
    </row>
    <row r="998" spans="1:10">
      <c r="A998" s="1082"/>
      <c r="J998" s="1082"/>
    </row>
    <row r="999" spans="1:10">
      <c r="A999" s="1082"/>
      <c r="J999" s="1082"/>
    </row>
    <row r="1000" spans="1:10">
      <c r="A1000" s="1082"/>
      <c r="J1000" s="1082"/>
    </row>
    <row r="1001" spans="1:10">
      <c r="A1001" s="1082"/>
      <c r="J1001" s="1082"/>
    </row>
    <row r="1002" spans="1:10">
      <c r="A1002" s="1082"/>
      <c r="J1002" s="1082"/>
    </row>
    <row r="1003" spans="1:10">
      <c r="A1003" s="1082"/>
      <c r="J1003" s="1082"/>
    </row>
    <row r="1004" spans="1:10">
      <c r="A1004" s="1082"/>
      <c r="J1004" s="1082"/>
    </row>
    <row r="1005" spans="1:10">
      <c r="A1005" s="1082"/>
      <c r="J1005" s="1082"/>
    </row>
    <row r="1006" spans="1:10">
      <c r="A1006" s="1082"/>
      <c r="J1006" s="1082"/>
    </row>
    <row r="1007" spans="1:10">
      <c r="A1007" s="1082"/>
      <c r="J1007" s="1082"/>
    </row>
    <row r="1008" spans="1:10">
      <c r="A1008" s="1082"/>
      <c r="J1008" s="1082"/>
    </row>
    <row r="1009" spans="1:10">
      <c r="A1009" s="1082"/>
      <c r="J1009" s="1082"/>
    </row>
    <row r="1010" spans="1:10">
      <c r="A1010" s="1082"/>
      <c r="J1010" s="1082"/>
    </row>
    <row r="1011" spans="1:10">
      <c r="A1011" s="1082"/>
      <c r="J1011" s="1082"/>
    </row>
    <row r="1012" spans="1:10">
      <c r="A1012" s="1082"/>
      <c r="J1012" s="1082"/>
    </row>
    <row r="1013" spans="1:10">
      <c r="A1013" s="1082"/>
      <c r="J1013" s="1082"/>
    </row>
    <row r="1014" spans="1:10">
      <c r="A1014" s="1082"/>
      <c r="J1014" s="1082"/>
    </row>
    <row r="1015" spans="1:10">
      <c r="A1015" s="1082"/>
      <c r="J1015" s="1082"/>
    </row>
    <row r="1016" spans="1:10">
      <c r="A1016" s="1082"/>
      <c r="J1016" s="1082"/>
    </row>
    <row r="1017" spans="1:10">
      <c r="A1017" s="1082"/>
      <c r="J1017" s="1082"/>
    </row>
    <row r="1018" spans="1:10">
      <c r="A1018" s="1082"/>
      <c r="J1018" s="1082"/>
    </row>
    <row r="1019" spans="1:10">
      <c r="A1019" s="1082"/>
      <c r="J1019" s="1082"/>
    </row>
    <row r="1020" spans="1:10">
      <c r="A1020" s="1082"/>
      <c r="J1020" s="1082"/>
    </row>
    <row r="1021" spans="1:10">
      <c r="A1021" s="1082"/>
      <c r="J1021" s="1082"/>
    </row>
    <row r="1022" spans="1:10">
      <c r="A1022" s="1082"/>
      <c r="J1022" s="1082"/>
    </row>
    <row r="1023" spans="1:10">
      <c r="A1023" s="1082"/>
      <c r="J1023" s="1082"/>
    </row>
    <row r="1024" spans="1:10">
      <c r="A1024" s="1082"/>
      <c r="J1024" s="1082"/>
    </row>
    <row r="1025" spans="1:10">
      <c r="A1025" s="1082"/>
      <c r="J1025" s="1082"/>
    </row>
    <row r="1026" spans="1:10">
      <c r="A1026" s="1082"/>
      <c r="J1026" s="1082"/>
    </row>
    <row r="1027" spans="1:10">
      <c r="A1027" s="1082"/>
      <c r="J1027" s="1082"/>
    </row>
    <row r="1028" spans="1:10">
      <c r="A1028" s="1082"/>
      <c r="J1028" s="1082"/>
    </row>
    <row r="1029" spans="1:10">
      <c r="A1029" s="1082"/>
      <c r="J1029" s="1082"/>
    </row>
    <row r="1030" spans="1:10">
      <c r="A1030" s="1082"/>
      <c r="J1030" s="1082"/>
    </row>
    <row r="1031" spans="1:10">
      <c r="A1031" s="1082"/>
      <c r="J1031" s="1082"/>
    </row>
    <row r="1032" spans="1:10">
      <c r="A1032" s="1082"/>
      <c r="J1032" s="1082"/>
    </row>
    <row r="1033" spans="1:10">
      <c r="A1033" s="1082"/>
      <c r="J1033" s="1082"/>
    </row>
    <row r="1034" spans="1:10">
      <c r="A1034" s="1082"/>
      <c r="J1034" s="1082"/>
    </row>
    <row r="1035" spans="1:10">
      <c r="A1035" s="1082"/>
      <c r="J1035" s="1082"/>
    </row>
    <row r="1036" spans="1:10">
      <c r="A1036" s="1082"/>
      <c r="J1036" s="1082"/>
    </row>
    <row r="1037" spans="1:10">
      <c r="A1037" s="1082"/>
      <c r="J1037" s="1082"/>
    </row>
    <row r="1038" spans="1:10">
      <c r="A1038" s="1082"/>
      <c r="J1038" s="1082"/>
    </row>
    <row r="1039" spans="1:10">
      <c r="A1039" s="1082"/>
      <c r="J1039" s="1082"/>
    </row>
    <row r="1040" spans="1:10">
      <c r="A1040" s="1082"/>
      <c r="J1040" s="1082"/>
    </row>
    <row r="1041" spans="1:10">
      <c r="A1041" s="1082"/>
      <c r="J1041" s="1082"/>
    </row>
    <row r="1042" spans="1:10">
      <c r="A1042" s="1082"/>
      <c r="J1042" s="1082"/>
    </row>
    <row r="1043" spans="1:10">
      <c r="A1043" s="1082"/>
      <c r="J1043" s="1082"/>
    </row>
  </sheetData>
  <mergeCells count="22"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S108"/>
  <sheetViews>
    <sheetView showGridLines="0" view="pageBreakPreview" topLeftCell="A4" zoomScaleSheetLayoutView="100" workbookViewId="0">
      <pane xSplit="2" ySplit="4" topLeftCell="C8" activePane="bottomRight" state="frozen"/>
      <selection activeCell="L250" sqref="L250"/>
      <selection pane="topRight" activeCell="L250" sqref="L250"/>
      <selection pane="bottomLeft" activeCell="L250" sqref="L250"/>
      <selection pane="bottomRight" activeCell="G103" sqref="G103:H108"/>
    </sheetView>
  </sheetViews>
  <sheetFormatPr defaultRowHeight="11.25"/>
  <cols>
    <col min="1" max="1" width="2.85546875" style="784" customWidth="1"/>
    <col min="2" max="2" width="60.42578125" style="606" customWidth="1"/>
    <col min="3" max="3" width="10.5703125" style="606" customWidth="1"/>
    <col min="4" max="5" width="13.28515625" style="606" customWidth="1"/>
    <col min="6" max="6" width="10.28515625" style="606" customWidth="1"/>
    <col min="7" max="10" width="9.7109375" style="606" customWidth="1"/>
    <col min="11" max="12" width="9.28515625" style="606" customWidth="1"/>
    <col min="13" max="13" width="11.85546875" style="606" hidden="1" customWidth="1"/>
    <col min="14" max="14" width="11.42578125" style="606" customWidth="1"/>
    <col min="15" max="15" width="15.28515625" style="831" customWidth="1"/>
    <col min="16" max="16" width="11.85546875" style="606" hidden="1" customWidth="1"/>
    <col min="17" max="18" width="0" style="606" hidden="1" customWidth="1"/>
    <col min="19" max="251" width="9.140625" style="606"/>
    <col min="252" max="252" width="2.85546875" style="606" customWidth="1"/>
    <col min="253" max="253" width="50.7109375" style="606" customWidth="1"/>
    <col min="254" max="254" width="9.42578125" style="606" customWidth="1"/>
    <col min="255" max="255" width="11.85546875" style="606" customWidth="1"/>
    <col min="256" max="256" width="8.42578125" style="606" bestFit="1" customWidth="1"/>
    <col min="257" max="259" width="0" style="606" hidden="1" customWidth="1"/>
    <col min="260" max="260" width="6" style="606" bestFit="1" customWidth="1"/>
    <col min="261" max="261" width="9.5703125" style="606" customWidth="1"/>
    <col min="262" max="262" width="9.85546875" style="606" customWidth="1"/>
    <col min="263" max="263" width="9.7109375" style="606" customWidth="1"/>
    <col min="264" max="264" width="9.5703125" style="606" customWidth="1"/>
    <col min="265" max="265" width="9.85546875" style="606" customWidth="1"/>
    <col min="266" max="266" width="6.5703125" style="606" customWidth="1"/>
    <col min="267" max="267" width="6" style="606" bestFit="1" customWidth="1"/>
    <col min="268" max="268" width="6.28515625" style="606" customWidth="1"/>
    <col min="269" max="269" width="11.7109375" style="606" customWidth="1"/>
    <col min="270" max="270" width="0" style="606" hidden="1" customWidth="1"/>
    <col min="271" max="271" width="14.5703125" style="606" customWidth="1"/>
    <col min="272" max="272" width="11.85546875" style="606" customWidth="1"/>
    <col min="273" max="507" width="9.140625" style="606"/>
    <col min="508" max="508" width="2.85546875" style="606" customWidth="1"/>
    <col min="509" max="509" width="50.7109375" style="606" customWidth="1"/>
    <col min="510" max="510" width="9.42578125" style="606" customWidth="1"/>
    <col min="511" max="511" width="11.85546875" style="606" customWidth="1"/>
    <col min="512" max="512" width="8.42578125" style="606" bestFit="1" customWidth="1"/>
    <col min="513" max="515" width="0" style="606" hidden="1" customWidth="1"/>
    <col min="516" max="516" width="6" style="606" bestFit="1" customWidth="1"/>
    <col min="517" max="517" width="9.5703125" style="606" customWidth="1"/>
    <col min="518" max="518" width="9.85546875" style="606" customWidth="1"/>
    <col min="519" max="519" width="9.7109375" style="606" customWidth="1"/>
    <col min="520" max="520" width="9.5703125" style="606" customWidth="1"/>
    <col min="521" max="521" width="9.85546875" style="606" customWidth="1"/>
    <col min="522" max="522" width="6.5703125" style="606" customWidth="1"/>
    <col min="523" max="523" width="6" style="606" bestFit="1" customWidth="1"/>
    <col min="524" max="524" width="6.28515625" style="606" customWidth="1"/>
    <col min="525" max="525" width="11.7109375" style="606" customWidth="1"/>
    <col min="526" max="526" width="0" style="606" hidden="1" customWidth="1"/>
    <col min="527" max="527" width="14.5703125" style="606" customWidth="1"/>
    <col min="528" max="528" width="11.85546875" style="606" customWidth="1"/>
    <col min="529" max="763" width="9.140625" style="606"/>
    <col min="764" max="764" width="2.85546875" style="606" customWidth="1"/>
    <col min="765" max="765" width="50.7109375" style="606" customWidth="1"/>
    <col min="766" max="766" width="9.42578125" style="606" customWidth="1"/>
    <col min="767" max="767" width="11.85546875" style="606" customWidth="1"/>
    <col min="768" max="768" width="8.42578125" style="606" bestFit="1" customWidth="1"/>
    <col min="769" max="771" width="0" style="606" hidden="1" customWidth="1"/>
    <col min="772" max="772" width="6" style="606" bestFit="1" customWidth="1"/>
    <col min="773" max="773" width="9.5703125" style="606" customWidth="1"/>
    <col min="774" max="774" width="9.85546875" style="606" customWidth="1"/>
    <col min="775" max="775" width="9.7109375" style="606" customWidth="1"/>
    <col min="776" max="776" width="9.5703125" style="606" customWidth="1"/>
    <col min="777" max="777" width="9.85546875" style="606" customWidth="1"/>
    <col min="778" max="778" width="6.5703125" style="606" customWidth="1"/>
    <col min="779" max="779" width="6" style="606" bestFit="1" customWidth="1"/>
    <col min="780" max="780" width="6.28515625" style="606" customWidth="1"/>
    <col min="781" max="781" width="11.7109375" style="606" customWidth="1"/>
    <col min="782" max="782" width="0" style="606" hidden="1" customWidth="1"/>
    <col min="783" max="783" width="14.5703125" style="606" customWidth="1"/>
    <col min="784" max="784" width="11.85546875" style="606" customWidth="1"/>
    <col min="785" max="1019" width="9.140625" style="606"/>
    <col min="1020" max="1020" width="2.85546875" style="606" customWidth="1"/>
    <col min="1021" max="1021" width="50.7109375" style="606" customWidth="1"/>
    <col min="1022" max="1022" width="9.42578125" style="606" customWidth="1"/>
    <col min="1023" max="1023" width="11.85546875" style="606" customWidth="1"/>
    <col min="1024" max="1024" width="8.42578125" style="606" bestFit="1" customWidth="1"/>
    <col min="1025" max="1027" width="0" style="606" hidden="1" customWidth="1"/>
    <col min="1028" max="1028" width="6" style="606" bestFit="1" customWidth="1"/>
    <col min="1029" max="1029" width="9.5703125" style="606" customWidth="1"/>
    <col min="1030" max="1030" width="9.85546875" style="606" customWidth="1"/>
    <col min="1031" max="1031" width="9.7109375" style="606" customWidth="1"/>
    <col min="1032" max="1032" width="9.5703125" style="606" customWidth="1"/>
    <col min="1033" max="1033" width="9.85546875" style="606" customWidth="1"/>
    <col min="1034" max="1034" width="6.5703125" style="606" customWidth="1"/>
    <col min="1035" max="1035" width="6" style="606" bestFit="1" customWidth="1"/>
    <col min="1036" max="1036" width="6.28515625" style="606" customWidth="1"/>
    <col min="1037" max="1037" width="11.7109375" style="606" customWidth="1"/>
    <col min="1038" max="1038" width="0" style="606" hidden="1" customWidth="1"/>
    <col min="1039" max="1039" width="14.5703125" style="606" customWidth="1"/>
    <col min="1040" max="1040" width="11.85546875" style="606" customWidth="1"/>
    <col min="1041" max="1275" width="9.140625" style="606"/>
    <col min="1276" max="1276" width="2.85546875" style="606" customWidth="1"/>
    <col min="1277" max="1277" width="50.7109375" style="606" customWidth="1"/>
    <col min="1278" max="1278" width="9.42578125" style="606" customWidth="1"/>
    <col min="1279" max="1279" width="11.85546875" style="606" customWidth="1"/>
    <col min="1280" max="1280" width="8.42578125" style="606" bestFit="1" customWidth="1"/>
    <col min="1281" max="1283" width="0" style="606" hidden="1" customWidth="1"/>
    <col min="1284" max="1284" width="6" style="606" bestFit="1" customWidth="1"/>
    <col min="1285" max="1285" width="9.5703125" style="606" customWidth="1"/>
    <col min="1286" max="1286" width="9.85546875" style="606" customWidth="1"/>
    <col min="1287" max="1287" width="9.7109375" style="606" customWidth="1"/>
    <col min="1288" max="1288" width="9.5703125" style="606" customWidth="1"/>
    <col min="1289" max="1289" width="9.85546875" style="606" customWidth="1"/>
    <col min="1290" max="1290" width="6.5703125" style="606" customWidth="1"/>
    <col min="1291" max="1291" width="6" style="606" bestFit="1" customWidth="1"/>
    <col min="1292" max="1292" width="6.28515625" style="606" customWidth="1"/>
    <col min="1293" max="1293" width="11.7109375" style="606" customWidth="1"/>
    <col min="1294" max="1294" width="0" style="606" hidden="1" customWidth="1"/>
    <col min="1295" max="1295" width="14.5703125" style="606" customWidth="1"/>
    <col min="1296" max="1296" width="11.85546875" style="606" customWidth="1"/>
    <col min="1297" max="1531" width="9.140625" style="606"/>
    <col min="1532" max="1532" width="2.85546875" style="606" customWidth="1"/>
    <col min="1533" max="1533" width="50.7109375" style="606" customWidth="1"/>
    <col min="1534" max="1534" width="9.42578125" style="606" customWidth="1"/>
    <col min="1535" max="1535" width="11.85546875" style="606" customWidth="1"/>
    <col min="1536" max="1536" width="8.42578125" style="606" bestFit="1" customWidth="1"/>
    <col min="1537" max="1539" width="0" style="606" hidden="1" customWidth="1"/>
    <col min="1540" max="1540" width="6" style="606" bestFit="1" customWidth="1"/>
    <col min="1541" max="1541" width="9.5703125" style="606" customWidth="1"/>
    <col min="1542" max="1542" width="9.85546875" style="606" customWidth="1"/>
    <col min="1543" max="1543" width="9.7109375" style="606" customWidth="1"/>
    <col min="1544" max="1544" width="9.5703125" style="606" customWidth="1"/>
    <col min="1545" max="1545" width="9.85546875" style="606" customWidth="1"/>
    <col min="1546" max="1546" width="6.5703125" style="606" customWidth="1"/>
    <col min="1547" max="1547" width="6" style="606" bestFit="1" customWidth="1"/>
    <col min="1548" max="1548" width="6.28515625" style="606" customWidth="1"/>
    <col min="1549" max="1549" width="11.7109375" style="606" customWidth="1"/>
    <col min="1550" max="1550" width="0" style="606" hidden="1" customWidth="1"/>
    <col min="1551" max="1551" width="14.5703125" style="606" customWidth="1"/>
    <col min="1552" max="1552" width="11.85546875" style="606" customWidth="1"/>
    <col min="1553" max="1787" width="9.140625" style="606"/>
    <col min="1788" max="1788" width="2.85546875" style="606" customWidth="1"/>
    <col min="1789" max="1789" width="50.7109375" style="606" customWidth="1"/>
    <col min="1790" max="1790" width="9.42578125" style="606" customWidth="1"/>
    <col min="1791" max="1791" width="11.85546875" style="606" customWidth="1"/>
    <col min="1792" max="1792" width="8.42578125" style="606" bestFit="1" customWidth="1"/>
    <col min="1793" max="1795" width="0" style="606" hidden="1" customWidth="1"/>
    <col min="1796" max="1796" width="6" style="606" bestFit="1" customWidth="1"/>
    <col min="1797" max="1797" width="9.5703125" style="606" customWidth="1"/>
    <col min="1798" max="1798" width="9.85546875" style="606" customWidth="1"/>
    <col min="1799" max="1799" width="9.7109375" style="606" customWidth="1"/>
    <col min="1800" max="1800" width="9.5703125" style="606" customWidth="1"/>
    <col min="1801" max="1801" width="9.85546875" style="606" customWidth="1"/>
    <col min="1802" max="1802" width="6.5703125" style="606" customWidth="1"/>
    <col min="1803" max="1803" width="6" style="606" bestFit="1" customWidth="1"/>
    <col min="1804" max="1804" width="6.28515625" style="606" customWidth="1"/>
    <col min="1805" max="1805" width="11.7109375" style="606" customWidth="1"/>
    <col min="1806" max="1806" width="0" style="606" hidden="1" customWidth="1"/>
    <col min="1807" max="1807" width="14.5703125" style="606" customWidth="1"/>
    <col min="1808" max="1808" width="11.85546875" style="606" customWidth="1"/>
    <col min="1809" max="2043" width="9.140625" style="606"/>
    <col min="2044" max="2044" width="2.85546875" style="606" customWidth="1"/>
    <col min="2045" max="2045" width="50.7109375" style="606" customWidth="1"/>
    <col min="2046" max="2046" width="9.42578125" style="606" customWidth="1"/>
    <col min="2047" max="2047" width="11.85546875" style="606" customWidth="1"/>
    <col min="2048" max="2048" width="8.42578125" style="606" bestFit="1" customWidth="1"/>
    <col min="2049" max="2051" width="0" style="606" hidden="1" customWidth="1"/>
    <col min="2052" max="2052" width="6" style="606" bestFit="1" customWidth="1"/>
    <col min="2053" max="2053" width="9.5703125" style="606" customWidth="1"/>
    <col min="2054" max="2054" width="9.85546875" style="606" customWidth="1"/>
    <col min="2055" max="2055" width="9.7109375" style="606" customWidth="1"/>
    <col min="2056" max="2056" width="9.5703125" style="606" customWidth="1"/>
    <col min="2057" max="2057" width="9.85546875" style="606" customWidth="1"/>
    <col min="2058" max="2058" width="6.5703125" style="606" customWidth="1"/>
    <col min="2059" max="2059" width="6" style="606" bestFit="1" customWidth="1"/>
    <col min="2060" max="2060" width="6.28515625" style="606" customWidth="1"/>
    <col min="2061" max="2061" width="11.7109375" style="606" customWidth="1"/>
    <col min="2062" max="2062" width="0" style="606" hidden="1" customWidth="1"/>
    <col min="2063" max="2063" width="14.5703125" style="606" customWidth="1"/>
    <col min="2064" max="2064" width="11.85546875" style="606" customWidth="1"/>
    <col min="2065" max="2299" width="9.140625" style="606"/>
    <col min="2300" max="2300" width="2.85546875" style="606" customWidth="1"/>
    <col min="2301" max="2301" width="50.7109375" style="606" customWidth="1"/>
    <col min="2302" max="2302" width="9.42578125" style="606" customWidth="1"/>
    <col min="2303" max="2303" width="11.85546875" style="606" customWidth="1"/>
    <col min="2304" max="2304" width="8.42578125" style="606" bestFit="1" customWidth="1"/>
    <col min="2305" max="2307" width="0" style="606" hidden="1" customWidth="1"/>
    <col min="2308" max="2308" width="6" style="606" bestFit="1" customWidth="1"/>
    <col min="2309" max="2309" width="9.5703125" style="606" customWidth="1"/>
    <col min="2310" max="2310" width="9.85546875" style="606" customWidth="1"/>
    <col min="2311" max="2311" width="9.7109375" style="606" customWidth="1"/>
    <col min="2312" max="2312" width="9.5703125" style="606" customWidth="1"/>
    <col min="2313" max="2313" width="9.85546875" style="606" customWidth="1"/>
    <col min="2314" max="2314" width="6.5703125" style="606" customWidth="1"/>
    <col min="2315" max="2315" width="6" style="606" bestFit="1" customWidth="1"/>
    <col min="2316" max="2316" width="6.28515625" style="606" customWidth="1"/>
    <col min="2317" max="2317" width="11.7109375" style="606" customWidth="1"/>
    <col min="2318" max="2318" width="0" style="606" hidden="1" customWidth="1"/>
    <col min="2319" max="2319" width="14.5703125" style="606" customWidth="1"/>
    <col min="2320" max="2320" width="11.85546875" style="606" customWidth="1"/>
    <col min="2321" max="2555" width="9.140625" style="606"/>
    <col min="2556" max="2556" width="2.85546875" style="606" customWidth="1"/>
    <col min="2557" max="2557" width="50.7109375" style="606" customWidth="1"/>
    <col min="2558" max="2558" width="9.42578125" style="606" customWidth="1"/>
    <col min="2559" max="2559" width="11.85546875" style="606" customWidth="1"/>
    <col min="2560" max="2560" width="8.42578125" style="606" bestFit="1" customWidth="1"/>
    <col min="2561" max="2563" width="0" style="606" hidden="1" customWidth="1"/>
    <col min="2564" max="2564" width="6" style="606" bestFit="1" customWidth="1"/>
    <col min="2565" max="2565" width="9.5703125" style="606" customWidth="1"/>
    <col min="2566" max="2566" width="9.85546875" style="606" customWidth="1"/>
    <col min="2567" max="2567" width="9.7109375" style="606" customWidth="1"/>
    <col min="2568" max="2568" width="9.5703125" style="606" customWidth="1"/>
    <col min="2569" max="2569" width="9.85546875" style="606" customWidth="1"/>
    <col min="2570" max="2570" width="6.5703125" style="606" customWidth="1"/>
    <col min="2571" max="2571" width="6" style="606" bestFit="1" customWidth="1"/>
    <col min="2572" max="2572" width="6.28515625" style="606" customWidth="1"/>
    <col min="2573" max="2573" width="11.7109375" style="606" customWidth="1"/>
    <col min="2574" max="2574" width="0" style="606" hidden="1" customWidth="1"/>
    <col min="2575" max="2575" width="14.5703125" style="606" customWidth="1"/>
    <col min="2576" max="2576" width="11.85546875" style="606" customWidth="1"/>
    <col min="2577" max="2811" width="9.140625" style="606"/>
    <col min="2812" max="2812" width="2.85546875" style="606" customWidth="1"/>
    <col min="2813" max="2813" width="50.7109375" style="606" customWidth="1"/>
    <col min="2814" max="2814" width="9.42578125" style="606" customWidth="1"/>
    <col min="2815" max="2815" width="11.85546875" style="606" customWidth="1"/>
    <col min="2816" max="2816" width="8.42578125" style="606" bestFit="1" customWidth="1"/>
    <col min="2817" max="2819" width="0" style="606" hidden="1" customWidth="1"/>
    <col min="2820" max="2820" width="6" style="606" bestFit="1" customWidth="1"/>
    <col min="2821" max="2821" width="9.5703125" style="606" customWidth="1"/>
    <col min="2822" max="2822" width="9.85546875" style="606" customWidth="1"/>
    <col min="2823" max="2823" width="9.7109375" style="606" customWidth="1"/>
    <col min="2824" max="2824" width="9.5703125" style="606" customWidth="1"/>
    <col min="2825" max="2825" width="9.85546875" style="606" customWidth="1"/>
    <col min="2826" max="2826" width="6.5703125" style="606" customWidth="1"/>
    <col min="2827" max="2827" width="6" style="606" bestFit="1" customWidth="1"/>
    <col min="2828" max="2828" width="6.28515625" style="606" customWidth="1"/>
    <col min="2829" max="2829" width="11.7109375" style="606" customWidth="1"/>
    <col min="2830" max="2830" width="0" style="606" hidden="1" customWidth="1"/>
    <col min="2831" max="2831" width="14.5703125" style="606" customWidth="1"/>
    <col min="2832" max="2832" width="11.85546875" style="606" customWidth="1"/>
    <col min="2833" max="3067" width="9.140625" style="606"/>
    <col min="3068" max="3068" width="2.85546875" style="606" customWidth="1"/>
    <col min="3069" max="3069" width="50.7109375" style="606" customWidth="1"/>
    <col min="3070" max="3070" width="9.42578125" style="606" customWidth="1"/>
    <col min="3071" max="3071" width="11.85546875" style="606" customWidth="1"/>
    <col min="3072" max="3072" width="8.42578125" style="606" bestFit="1" customWidth="1"/>
    <col min="3073" max="3075" width="0" style="606" hidden="1" customWidth="1"/>
    <col min="3076" max="3076" width="6" style="606" bestFit="1" customWidth="1"/>
    <col min="3077" max="3077" width="9.5703125" style="606" customWidth="1"/>
    <col min="3078" max="3078" width="9.85546875" style="606" customWidth="1"/>
    <col min="3079" max="3079" width="9.7109375" style="606" customWidth="1"/>
    <col min="3080" max="3080" width="9.5703125" style="606" customWidth="1"/>
    <col min="3081" max="3081" width="9.85546875" style="606" customWidth="1"/>
    <col min="3082" max="3082" width="6.5703125" style="606" customWidth="1"/>
    <col min="3083" max="3083" width="6" style="606" bestFit="1" customWidth="1"/>
    <col min="3084" max="3084" width="6.28515625" style="606" customWidth="1"/>
    <col min="3085" max="3085" width="11.7109375" style="606" customWidth="1"/>
    <col min="3086" max="3086" width="0" style="606" hidden="1" customWidth="1"/>
    <col min="3087" max="3087" width="14.5703125" style="606" customWidth="1"/>
    <col min="3088" max="3088" width="11.85546875" style="606" customWidth="1"/>
    <col min="3089" max="3323" width="9.140625" style="606"/>
    <col min="3324" max="3324" width="2.85546875" style="606" customWidth="1"/>
    <col min="3325" max="3325" width="50.7109375" style="606" customWidth="1"/>
    <col min="3326" max="3326" width="9.42578125" style="606" customWidth="1"/>
    <col min="3327" max="3327" width="11.85546875" style="606" customWidth="1"/>
    <col min="3328" max="3328" width="8.42578125" style="606" bestFit="1" customWidth="1"/>
    <col min="3329" max="3331" width="0" style="606" hidden="1" customWidth="1"/>
    <col min="3332" max="3332" width="6" style="606" bestFit="1" customWidth="1"/>
    <col min="3333" max="3333" width="9.5703125" style="606" customWidth="1"/>
    <col min="3334" max="3334" width="9.85546875" style="606" customWidth="1"/>
    <col min="3335" max="3335" width="9.7109375" style="606" customWidth="1"/>
    <col min="3336" max="3336" width="9.5703125" style="606" customWidth="1"/>
    <col min="3337" max="3337" width="9.85546875" style="606" customWidth="1"/>
    <col min="3338" max="3338" width="6.5703125" style="606" customWidth="1"/>
    <col min="3339" max="3339" width="6" style="606" bestFit="1" customWidth="1"/>
    <col min="3340" max="3340" width="6.28515625" style="606" customWidth="1"/>
    <col min="3341" max="3341" width="11.7109375" style="606" customWidth="1"/>
    <col min="3342" max="3342" width="0" style="606" hidden="1" customWidth="1"/>
    <col min="3343" max="3343" width="14.5703125" style="606" customWidth="1"/>
    <col min="3344" max="3344" width="11.85546875" style="606" customWidth="1"/>
    <col min="3345" max="3579" width="9.140625" style="606"/>
    <col min="3580" max="3580" width="2.85546875" style="606" customWidth="1"/>
    <col min="3581" max="3581" width="50.7109375" style="606" customWidth="1"/>
    <col min="3582" max="3582" width="9.42578125" style="606" customWidth="1"/>
    <col min="3583" max="3583" width="11.85546875" style="606" customWidth="1"/>
    <col min="3584" max="3584" width="8.42578125" style="606" bestFit="1" customWidth="1"/>
    <col min="3585" max="3587" width="0" style="606" hidden="1" customWidth="1"/>
    <col min="3588" max="3588" width="6" style="606" bestFit="1" customWidth="1"/>
    <col min="3589" max="3589" width="9.5703125" style="606" customWidth="1"/>
    <col min="3590" max="3590" width="9.85546875" style="606" customWidth="1"/>
    <col min="3591" max="3591" width="9.7109375" style="606" customWidth="1"/>
    <col min="3592" max="3592" width="9.5703125" style="606" customWidth="1"/>
    <col min="3593" max="3593" width="9.85546875" style="606" customWidth="1"/>
    <col min="3594" max="3594" width="6.5703125" style="606" customWidth="1"/>
    <col min="3595" max="3595" width="6" style="606" bestFit="1" customWidth="1"/>
    <col min="3596" max="3596" width="6.28515625" style="606" customWidth="1"/>
    <col min="3597" max="3597" width="11.7109375" style="606" customWidth="1"/>
    <col min="3598" max="3598" width="0" style="606" hidden="1" customWidth="1"/>
    <col min="3599" max="3599" width="14.5703125" style="606" customWidth="1"/>
    <col min="3600" max="3600" width="11.85546875" style="606" customWidth="1"/>
    <col min="3601" max="3835" width="9.140625" style="606"/>
    <col min="3836" max="3836" width="2.85546875" style="606" customWidth="1"/>
    <col min="3837" max="3837" width="50.7109375" style="606" customWidth="1"/>
    <col min="3838" max="3838" width="9.42578125" style="606" customWidth="1"/>
    <col min="3839" max="3839" width="11.85546875" style="606" customWidth="1"/>
    <col min="3840" max="3840" width="8.42578125" style="606" bestFit="1" customWidth="1"/>
    <col min="3841" max="3843" width="0" style="606" hidden="1" customWidth="1"/>
    <col min="3844" max="3844" width="6" style="606" bestFit="1" customWidth="1"/>
    <col min="3845" max="3845" width="9.5703125" style="606" customWidth="1"/>
    <col min="3846" max="3846" width="9.85546875" style="606" customWidth="1"/>
    <col min="3847" max="3847" width="9.7109375" style="606" customWidth="1"/>
    <col min="3848" max="3848" width="9.5703125" style="606" customWidth="1"/>
    <col min="3849" max="3849" width="9.85546875" style="606" customWidth="1"/>
    <col min="3850" max="3850" width="6.5703125" style="606" customWidth="1"/>
    <col min="3851" max="3851" width="6" style="606" bestFit="1" customWidth="1"/>
    <col min="3852" max="3852" width="6.28515625" style="606" customWidth="1"/>
    <col min="3853" max="3853" width="11.7109375" style="606" customWidth="1"/>
    <col min="3854" max="3854" width="0" style="606" hidden="1" customWidth="1"/>
    <col min="3855" max="3855" width="14.5703125" style="606" customWidth="1"/>
    <col min="3856" max="3856" width="11.85546875" style="606" customWidth="1"/>
    <col min="3857" max="4091" width="9.140625" style="606"/>
    <col min="4092" max="4092" width="2.85546875" style="606" customWidth="1"/>
    <col min="4093" max="4093" width="50.7109375" style="606" customWidth="1"/>
    <col min="4094" max="4094" width="9.42578125" style="606" customWidth="1"/>
    <col min="4095" max="4095" width="11.85546875" style="606" customWidth="1"/>
    <col min="4096" max="4096" width="8.42578125" style="606" bestFit="1" customWidth="1"/>
    <col min="4097" max="4099" width="0" style="606" hidden="1" customWidth="1"/>
    <col min="4100" max="4100" width="6" style="606" bestFit="1" customWidth="1"/>
    <col min="4101" max="4101" width="9.5703125" style="606" customWidth="1"/>
    <col min="4102" max="4102" width="9.85546875" style="606" customWidth="1"/>
    <col min="4103" max="4103" width="9.7109375" style="606" customWidth="1"/>
    <col min="4104" max="4104" width="9.5703125" style="606" customWidth="1"/>
    <col min="4105" max="4105" width="9.85546875" style="606" customWidth="1"/>
    <col min="4106" max="4106" width="6.5703125" style="606" customWidth="1"/>
    <col min="4107" max="4107" width="6" style="606" bestFit="1" customWidth="1"/>
    <col min="4108" max="4108" width="6.28515625" style="606" customWidth="1"/>
    <col min="4109" max="4109" width="11.7109375" style="606" customWidth="1"/>
    <col min="4110" max="4110" width="0" style="606" hidden="1" customWidth="1"/>
    <col min="4111" max="4111" width="14.5703125" style="606" customWidth="1"/>
    <col min="4112" max="4112" width="11.85546875" style="606" customWidth="1"/>
    <col min="4113" max="4347" width="9.140625" style="606"/>
    <col min="4348" max="4348" width="2.85546875" style="606" customWidth="1"/>
    <col min="4349" max="4349" width="50.7109375" style="606" customWidth="1"/>
    <col min="4350" max="4350" width="9.42578125" style="606" customWidth="1"/>
    <col min="4351" max="4351" width="11.85546875" style="606" customWidth="1"/>
    <col min="4352" max="4352" width="8.42578125" style="606" bestFit="1" customWidth="1"/>
    <col min="4353" max="4355" width="0" style="606" hidden="1" customWidth="1"/>
    <col min="4356" max="4356" width="6" style="606" bestFit="1" customWidth="1"/>
    <col min="4357" max="4357" width="9.5703125" style="606" customWidth="1"/>
    <col min="4358" max="4358" width="9.85546875" style="606" customWidth="1"/>
    <col min="4359" max="4359" width="9.7109375" style="606" customWidth="1"/>
    <col min="4360" max="4360" width="9.5703125" style="606" customWidth="1"/>
    <col min="4361" max="4361" width="9.85546875" style="606" customWidth="1"/>
    <col min="4362" max="4362" width="6.5703125" style="606" customWidth="1"/>
    <col min="4363" max="4363" width="6" style="606" bestFit="1" customWidth="1"/>
    <col min="4364" max="4364" width="6.28515625" style="606" customWidth="1"/>
    <col min="4365" max="4365" width="11.7109375" style="606" customWidth="1"/>
    <col min="4366" max="4366" width="0" style="606" hidden="1" customWidth="1"/>
    <col min="4367" max="4367" width="14.5703125" style="606" customWidth="1"/>
    <col min="4368" max="4368" width="11.85546875" style="606" customWidth="1"/>
    <col min="4369" max="4603" width="9.140625" style="606"/>
    <col min="4604" max="4604" width="2.85546875" style="606" customWidth="1"/>
    <col min="4605" max="4605" width="50.7109375" style="606" customWidth="1"/>
    <col min="4606" max="4606" width="9.42578125" style="606" customWidth="1"/>
    <col min="4607" max="4607" width="11.85546875" style="606" customWidth="1"/>
    <col min="4608" max="4608" width="8.42578125" style="606" bestFit="1" customWidth="1"/>
    <col min="4609" max="4611" width="0" style="606" hidden="1" customWidth="1"/>
    <col min="4612" max="4612" width="6" style="606" bestFit="1" customWidth="1"/>
    <col min="4613" max="4613" width="9.5703125" style="606" customWidth="1"/>
    <col min="4614" max="4614" width="9.85546875" style="606" customWidth="1"/>
    <col min="4615" max="4615" width="9.7109375" style="606" customWidth="1"/>
    <col min="4616" max="4616" width="9.5703125" style="606" customWidth="1"/>
    <col min="4617" max="4617" width="9.85546875" style="606" customWidth="1"/>
    <col min="4618" max="4618" width="6.5703125" style="606" customWidth="1"/>
    <col min="4619" max="4619" width="6" style="606" bestFit="1" customWidth="1"/>
    <col min="4620" max="4620" width="6.28515625" style="606" customWidth="1"/>
    <col min="4621" max="4621" width="11.7109375" style="606" customWidth="1"/>
    <col min="4622" max="4622" width="0" style="606" hidden="1" customWidth="1"/>
    <col min="4623" max="4623" width="14.5703125" style="606" customWidth="1"/>
    <col min="4624" max="4624" width="11.85546875" style="606" customWidth="1"/>
    <col min="4625" max="4859" width="9.140625" style="606"/>
    <col min="4860" max="4860" width="2.85546875" style="606" customWidth="1"/>
    <col min="4861" max="4861" width="50.7109375" style="606" customWidth="1"/>
    <col min="4862" max="4862" width="9.42578125" style="606" customWidth="1"/>
    <col min="4863" max="4863" width="11.85546875" style="606" customWidth="1"/>
    <col min="4864" max="4864" width="8.42578125" style="606" bestFit="1" customWidth="1"/>
    <col min="4865" max="4867" width="0" style="606" hidden="1" customWidth="1"/>
    <col min="4868" max="4868" width="6" style="606" bestFit="1" customWidth="1"/>
    <col min="4869" max="4869" width="9.5703125" style="606" customWidth="1"/>
    <col min="4870" max="4870" width="9.85546875" style="606" customWidth="1"/>
    <col min="4871" max="4871" width="9.7109375" style="606" customWidth="1"/>
    <col min="4872" max="4872" width="9.5703125" style="606" customWidth="1"/>
    <col min="4873" max="4873" width="9.85546875" style="606" customWidth="1"/>
    <col min="4874" max="4874" width="6.5703125" style="606" customWidth="1"/>
    <col min="4875" max="4875" width="6" style="606" bestFit="1" customWidth="1"/>
    <col min="4876" max="4876" width="6.28515625" style="606" customWidth="1"/>
    <col min="4877" max="4877" width="11.7109375" style="606" customWidth="1"/>
    <col min="4878" max="4878" width="0" style="606" hidden="1" customWidth="1"/>
    <col min="4879" max="4879" width="14.5703125" style="606" customWidth="1"/>
    <col min="4880" max="4880" width="11.85546875" style="606" customWidth="1"/>
    <col min="4881" max="5115" width="9.140625" style="606"/>
    <col min="5116" max="5116" width="2.85546875" style="606" customWidth="1"/>
    <col min="5117" max="5117" width="50.7109375" style="606" customWidth="1"/>
    <col min="5118" max="5118" width="9.42578125" style="606" customWidth="1"/>
    <col min="5119" max="5119" width="11.85546875" style="606" customWidth="1"/>
    <col min="5120" max="5120" width="8.42578125" style="606" bestFit="1" customWidth="1"/>
    <col min="5121" max="5123" width="0" style="606" hidden="1" customWidth="1"/>
    <col min="5124" max="5124" width="6" style="606" bestFit="1" customWidth="1"/>
    <col min="5125" max="5125" width="9.5703125" style="606" customWidth="1"/>
    <col min="5126" max="5126" width="9.85546875" style="606" customWidth="1"/>
    <col min="5127" max="5127" width="9.7109375" style="606" customWidth="1"/>
    <col min="5128" max="5128" width="9.5703125" style="606" customWidth="1"/>
    <col min="5129" max="5129" width="9.85546875" style="606" customWidth="1"/>
    <col min="5130" max="5130" width="6.5703125" style="606" customWidth="1"/>
    <col min="5131" max="5131" width="6" style="606" bestFit="1" customWidth="1"/>
    <col min="5132" max="5132" width="6.28515625" style="606" customWidth="1"/>
    <col min="5133" max="5133" width="11.7109375" style="606" customWidth="1"/>
    <col min="5134" max="5134" width="0" style="606" hidden="1" customWidth="1"/>
    <col min="5135" max="5135" width="14.5703125" style="606" customWidth="1"/>
    <col min="5136" max="5136" width="11.85546875" style="606" customWidth="1"/>
    <col min="5137" max="5371" width="9.140625" style="606"/>
    <col min="5372" max="5372" width="2.85546875" style="606" customWidth="1"/>
    <col min="5373" max="5373" width="50.7109375" style="606" customWidth="1"/>
    <col min="5374" max="5374" width="9.42578125" style="606" customWidth="1"/>
    <col min="5375" max="5375" width="11.85546875" style="606" customWidth="1"/>
    <col min="5376" max="5376" width="8.42578125" style="606" bestFit="1" customWidth="1"/>
    <col min="5377" max="5379" width="0" style="606" hidden="1" customWidth="1"/>
    <col min="5380" max="5380" width="6" style="606" bestFit="1" customWidth="1"/>
    <col min="5381" max="5381" width="9.5703125" style="606" customWidth="1"/>
    <col min="5382" max="5382" width="9.85546875" style="606" customWidth="1"/>
    <col min="5383" max="5383" width="9.7109375" style="606" customWidth="1"/>
    <col min="5384" max="5384" width="9.5703125" style="606" customWidth="1"/>
    <col min="5385" max="5385" width="9.85546875" style="606" customWidth="1"/>
    <col min="5386" max="5386" width="6.5703125" style="606" customWidth="1"/>
    <col min="5387" max="5387" width="6" style="606" bestFit="1" customWidth="1"/>
    <col min="5388" max="5388" width="6.28515625" style="606" customWidth="1"/>
    <col min="5389" max="5389" width="11.7109375" style="606" customWidth="1"/>
    <col min="5390" max="5390" width="0" style="606" hidden="1" customWidth="1"/>
    <col min="5391" max="5391" width="14.5703125" style="606" customWidth="1"/>
    <col min="5392" max="5392" width="11.85546875" style="606" customWidth="1"/>
    <col min="5393" max="5627" width="9.140625" style="606"/>
    <col min="5628" max="5628" width="2.85546875" style="606" customWidth="1"/>
    <col min="5629" max="5629" width="50.7109375" style="606" customWidth="1"/>
    <col min="5630" max="5630" width="9.42578125" style="606" customWidth="1"/>
    <col min="5631" max="5631" width="11.85546875" style="606" customWidth="1"/>
    <col min="5632" max="5632" width="8.42578125" style="606" bestFit="1" customWidth="1"/>
    <col min="5633" max="5635" width="0" style="606" hidden="1" customWidth="1"/>
    <col min="5636" max="5636" width="6" style="606" bestFit="1" customWidth="1"/>
    <col min="5637" max="5637" width="9.5703125" style="606" customWidth="1"/>
    <col min="5638" max="5638" width="9.85546875" style="606" customWidth="1"/>
    <col min="5639" max="5639" width="9.7109375" style="606" customWidth="1"/>
    <col min="5640" max="5640" width="9.5703125" style="606" customWidth="1"/>
    <col min="5641" max="5641" width="9.85546875" style="606" customWidth="1"/>
    <col min="5642" max="5642" width="6.5703125" style="606" customWidth="1"/>
    <col min="5643" max="5643" width="6" style="606" bestFit="1" customWidth="1"/>
    <col min="5644" max="5644" width="6.28515625" style="606" customWidth="1"/>
    <col min="5645" max="5645" width="11.7109375" style="606" customWidth="1"/>
    <col min="5646" max="5646" width="0" style="606" hidden="1" customWidth="1"/>
    <col min="5647" max="5647" width="14.5703125" style="606" customWidth="1"/>
    <col min="5648" max="5648" width="11.85546875" style="606" customWidth="1"/>
    <col min="5649" max="5883" width="9.140625" style="606"/>
    <col min="5884" max="5884" width="2.85546875" style="606" customWidth="1"/>
    <col min="5885" max="5885" width="50.7109375" style="606" customWidth="1"/>
    <col min="5886" max="5886" width="9.42578125" style="606" customWidth="1"/>
    <col min="5887" max="5887" width="11.85546875" style="606" customWidth="1"/>
    <col min="5888" max="5888" width="8.42578125" style="606" bestFit="1" customWidth="1"/>
    <col min="5889" max="5891" width="0" style="606" hidden="1" customWidth="1"/>
    <col min="5892" max="5892" width="6" style="606" bestFit="1" customWidth="1"/>
    <col min="5893" max="5893" width="9.5703125" style="606" customWidth="1"/>
    <col min="5894" max="5894" width="9.85546875" style="606" customWidth="1"/>
    <col min="5895" max="5895" width="9.7109375" style="606" customWidth="1"/>
    <col min="5896" max="5896" width="9.5703125" style="606" customWidth="1"/>
    <col min="5897" max="5897" width="9.85546875" style="606" customWidth="1"/>
    <col min="5898" max="5898" width="6.5703125" style="606" customWidth="1"/>
    <col min="5899" max="5899" width="6" style="606" bestFit="1" customWidth="1"/>
    <col min="5900" max="5900" width="6.28515625" style="606" customWidth="1"/>
    <col min="5901" max="5901" width="11.7109375" style="606" customWidth="1"/>
    <col min="5902" max="5902" width="0" style="606" hidden="1" customWidth="1"/>
    <col min="5903" max="5903" width="14.5703125" style="606" customWidth="1"/>
    <col min="5904" max="5904" width="11.85546875" style="606" customWidth="1"/>
    <col min="5905" max="6139" width="9.140625" style="606"/>
    <col min="6140" max="6140" width="2.85546875" style="606" customWidth="1"/>
    <col min="6141" max="6141" width="50.7109375" style="606" customWidth="1"/>
    <col min="6142" max="6142" width="9.42578125" style="606" customWidth="1"/>
    <col min="6143" max="6143" width="11.85546875" style="606" customWidth="1"/>
    <col min="6144" max="6144" width="8.42578125" style="606" bestFit="1" customWidth="1"/>
    <col min="6145" max="6147" width="0" style="606" hidden="1" customWidth="1"/>
    <col min="6148" max="6148" width="6" style="606" bestFit="1" customWidth="1"/>
    <col min="6149" max="6149" width="9.5703125" style="606" customWidth="1"/>
    <col min="6150" max="6150" width="9.85546875" style="606" customWidth="1"/>
    <col min="6151" max="6151" width="9.7109375" style="606" customWidth="1"/>
    <col min="6152" max="6152" width="9.5703125" style="606" customWidth="1"/>
    <col min="6153" max="6153" width="9.85546875" style="606" customWidth="1"/>
    <col min="6154" max="6154" width="6.5703125" style="606" customWidth="1"/>
    <col min="6155" max="6155" width="6" style="606" bestFit="1" customWidth="1"/>
    <col min="6156" max="6156" width="6.28515625" style="606" customWidth="1"/>
    <col min="6157" max="6157" width="11.7109375" style="606" customWidth="1"/>
    <col min="6158" max="6158" width="0" style="606" hidden="1" customWidth="1"/>
    <col min="6159" max="6159" width="14.5703125" style="606" customWidth="1"/>
    <col min="6160" max="6160" width="11.85546875" style="606" customWidth="1"/>
    <col min="6161" max="6395" width="9.140625" style="606"/>
    <col min="6396" max="6396" width="2.85546875" style="606" customWidth="1"/>
    <col min="6397" max="6397" width="50.7109375" style="606" customWidth="1"/>
    <col min="6398" max="6398" width="9.42578125" style="606" customWidth="1"/>
    <col min="6399" max="6399" width="11.85546875" style="606" customWidth="1"/>
    <col min="6400" max="6400" width="8.42578125" style="606" bestFit="1" customWidth="1"/>
    <col min="6401" max="6403" width="0" style="606" hidden="1" customWidth="1"/>
    <col min="6404" max="6404" width="6" style="606" bestFit="1" customWidth="1"/>
    <col min="6405" max="6405" width="9.5703125" style="606" customWidth="1"/>
    <col min="6406" max="6406" width="9.85546875" style="606" customWidth="1"/>
    <col min="6407" max="6407" width="9.7109375" style="606" customWidth="1"/>
    <col min="6408" max="6408" width="9.5703125" style="606" customWidth="1"/>
    <col min="6409" max="6409" width="9.85546875" style="606" customWidth="1"/>
    <col min="6410" max="6410" width="6.5703125" style="606" customWidth="1"/>
    <col min="6411" max="6411" width="6" style="606" bestFit="1" customWidth="1"/>
    <col min="6412" max="6412" width="6.28515625" style="606" customWidth="1"/>
    <col min="6413" max="6413" width="11.7109375" style="606" customWidth="1"/>
    <col min="6414" max="6414" width="0" style="606" hidden="1" customWidth="1"/>
    <col min="6415" max="6415" width="14.5703125" style="606" customWidth="1"/>
    <col min="6416" max="6416" width="11.85546875" style="606" customWidth="1"/>
    <col min="6417" max="6651" width="9.140625" style="606"/>
    <col min="6652" max="6652" width="2.85546875" style="606" customWidth="1"/>
    <col min="6653" max="6653" width="50.7109375" style="606" customWidth="1"/>
    <col min="6654" max="6654" width="9.42578125" style="606" customWidth="1"/>
    <col min="6655" max="6655" width="11.85546875" style="606" customWidth="1"/>
    <col min="6656" max="6656" width="8.42578125" style="606" bestFit="1" customWidth="1"/>
    <col min="6657" max="6659" width="0" style="606" hidden="1" customWidth="1"/>
    <col min="6660" max="6660" width="6" style="606" bestFit="1" customWidth="1"/>
    <col min="6661" max="6661" width="9.5703125" style="606" customWidth="1"/>
    <col min="6662" max="6662" width="9.85546875" style="606" customWidth="1"/>
    <col min="6663" max="6663" width="9.7109375" style="606" customWidth="1"/>
    <col min="6664" max="6664" width="9.5703125" style="606" customWidth="1"/>
    <col min="6665" max="6665" width="9.85546875" style="606" customWidth="1"/>
    <col min="6666" max="6666" width="6.5703125" style="606" customWidth="1"/>
    <col min="6667" max="6667" width="6" style="606" bestFit="1" customWidth="1"/>
    <col min="6668" max="6668" width="6.28515625" style="606" customWidth="1"/>
    <col min="6669" max="6669" width="11.7109375" style="606" customWidth="1"/>
    <col min="6670" max="6670" width="0" style="606" hidden="1" customWidth="1"/>
    <col min="6671" max="6671" width="14.5703125" style="606" customWidth="1"/>
    <col min="6672" max="6672" width="11.85546875" style="606" customWidth="1"/>
    <col min="6673" max="6907" width="9.140625" style="606"/>
    <col min="6908" max="6908" width="2.85546875" style="606" customWidth="1"/>
    <col min="6909" max="6909" width="50.7109375" style="606" customWidth="1"/>
    <col min="6910" max="6910" width="9.42578125" style="606" customWidth="1"/>
    <col min="6911" max="6911" width="11.85546875" style="606" customWidth="1"/>
    <col min="6912" max="6912" width="8.42578125" style="606" bestFit="1" customWidth="1"/>
    <col min="6913" max="6915" width="0" style="606" hidden="1" customWidth="1"/>
    <col min="6916" max="6916" width="6" style="606" bestFit="1" customWidth="1"/>
    <col min="6917" max="6917" width="9.5703125" style="606" customWidth="1"/>
    <col min="6918" max="6918" width="9.85546875" style="606" customWidth="1"/>
    <col min="6919" max="6919" width="9.7109375" style="606" customWidth="1"/>
    <col min="6920" max="6920" width="9.5703125" style="606" customWidth="1"/>
    <col min="6921" max="6921" width="9.85546875" style="606" customWidth="1"/>
    <col min="6922" max="6922" width="6.5703125" style="606" customWidth="1"/>
    <col min="6923" max="6923" width="6" style="606" bestFit="1" customWidth="1"/>
    <col min="6924" max="6924" width="6.28515625" style="606" customWidth="1"/>
    <col min="6925" max="6925" width="11.7109375" style="606" customWidth="1"/>
    <col min="6926" max="6926" width="0" style="606" hidden="1" customWidth="1"/>
    <col min="6927" max="6927" width="14.5703125" style="606" customWidth="1"/>
    <col min="6928" max="6928" width="11.85546875" style="606" customWidth="1"/>
    <col min="6929" max="7163" width="9.140625" style="606"/>
    <col min="7164" max="7164" width="2.85546875" style="606" customWidth="1"/>
    <col min="7165" max="7165" width="50.7109375" style="606" customWidth="1"/>
    <col min="7166" max="7166" width="9.42578125" style="606" customWidth="1"/>
    <col min="7167" max="7167" width="11.85546875" style="606" customWidth="1"/>
    <col min="7168" max="7168" width="8.42578125" style="606" bestFit="1" customWidth="1"/>
    <col min="7169" max="7171" width="0" style="606" hidden="1" customWidth="1"/>
    <col min="7172" max="7172" width="6" style="606" bestFit="1" customWidth="1"/>
    <col min="7173" max="7173" width="9.5703125" style="606" customWidth="1"/>
    <col min="7174" max="7174" width="9.85546875" style="606" customWidth="1"/>
    <col min="7175" max="7175" width="9.7109375" style="606" customWidth="1"/>
    <col min="7176" max="7176" width="9.5703125" style="606" customWidth="1"/>
    <col min="7177" max="7177" width="9.85546875" style="606" customWidth="1"/>
    <col min="7178" max="7178" width="6.5703125" style="606" customWidth="1"/>
    <col min="7179" max="7179" width="6" style="606" bestFit="1" customWidth="1"/>
    <col min="7180" max="7180" width="6.28515625" style="606" customWidth="1"/>
    <col min="7181" max="7181" width="11.7109375" style="606" customWidth="1"/>
    <col min="7182" max="7182" width="0" style="606" hidden="1" customWidth="1"/>
    <col min="7183" max="7183" width="14.5703125" style="606" customWidth="1"/>
    <col min="7184" max="7184" width="11.85546875" style="606" customWidth="1"/>
    <col min="7185" max="7419" width="9.140625" style="606"/>
    <col min="7420" max="7420" width="2.85546875" style="606" customWidth="1"/>
    <col min="7421" max="7421" width="50.7109375" style="606" customWidth="1"/>
    <col min="7422" max="7422" width="9.42578125" style="606" customWidth="1"/>
    <col min="7423" max="7423" width="11.85546875" style="606" customWidth="1"/>
    <col min="7424" max="7424" width="8.42578125" style="606" bestFit="1" customWidth="1"/>
    <col min="7425" max="7427" width="0" style="606" hidden="1" customWidth="1"/>
    <col min="7428" max="7428" width="6" style="606" bestFit="1" customWidth="1"/>
    <col min="7429" max="7429" width="9.5703125" style="606" customWidth="1"/>
    <col min="7430" max="7430" width="9.85546875" style="606" customWidth="1"/>
    <col min="7431" max="7431" width="9.7109375" style="606" customWidth="1"/>
    <col min="7432" max="7432" width="9.5703125" style="606" customWidth="1"/>
    <col min="7433" max="7433" width="9.85546875" style="606" customWidth="1"/>
    <col min="7434" max="7434" width="6.5703125" style="606" customWidth="1"/>
    <col min="7435" max="7435" width="6" style="606" bestFit="1" customWidth="1"/>
    <col min="7436" max="7436" width="6.28515625" style="606" customWidth="1"/>
    <col min="7437" max="7437" width="11.7109375" style="606" customWidth="1"/>
    <col min="7438" max="7438" width="0" style="606" hidden="1" customWidth="1"/>
    <col min="7439" max="7439" width="14.5703125" style="606" customWidth="1"/>
    <col min="7440" max="7440" width="11.85546875" style="606" customWidth="1"/>
    <col min="7441" max="7675" width="9.140625" style="606"/>
    <col min="7676" max="7676" width="2.85546875" style="606" customWidth="1"/>
    <col min="7677" max="7677" width="50.7109375" style="606" customWidth="1"/>
    <col min="7678" max="7678" width="9.42578125" style="606" customWidth="1"/>
    <col min="7679" max="7679" width="11.85546875" style="606" customWidth="1"/>
    <col min="7680" max="7680" width="8.42578125" style="606" bestFit="1" customWidth="1"/>
    <col min="7681" max="7683" width="0" style="606" hidden="1" customWidth="1"/>
    <col min="7684" max="7684" width="6" style="606" bestFit="1" customWidth="1"/>
    <col min="7685" max="7685" width="9.5703125" style="606" customWidth="1"/>
    <col min="7686" max="7686" width="9.85546875" style="606" customWidth="1"/>
    <col min="7687" max="7687" width="9.7109375" style="606" customWidth="1"/>
    <col min="7688" max="7688" width="9.5703125" style="606" customWidth="1"/>
    <col min="7689" max="7689" width="9.85546875" style="606" customWidth="1"/>
    <col min="7690" max="7690" width="6.5703125" style="606" customWidth="1"/>
    <col min="7691" max="7691" width="6" style="606" bestFit="1" customWidth="1"/>
    <col min="7692" max="7692" width="6.28515625" style="606" customWidth="1"/>
    <col min="7693" max="7693" width="11.7109375" style="606" customWidth="1"/>
    <col min="7694" max="7694" width="0" style="606" hidden="1" customWidth="1"/>
    <col min="7695" max="7695" width="14.5703125" style="606" customWidth="1"/>
    <col min="7696" max="7696" width="11.85546875" style="606" customWidth="1"/>
    <col min="7697" max="7931" width="9.140625" style="606"/>
    <col min="7932" max="7932" width="2.85546875" style="606" customWidth="1"/>
    <col min="7933" max="7933" width="50.7109375" style="606" customWidth="1"/>
    <col min="7934" max="7934" width="9.42578125" style="606" customWidth="1"/>
    <col min="7935" max="7935" width="11.85546875" style="606" customWidth="1"/>
    <col min="7936" max="7936" width="8.42578125" style="606" bestFit="1" customWidth="1"/>
    <col min="7937" max="7939" width="0" style="606" hidden="1" customWidth="1"/>
    <col min="7940" max="7940" width="6" style="606" bestFit="1" customWidth="1"/>
    <col min="7941" max="7941" width="9.5703125" style="606" customWidth="1"/>
    <col min="7942" max="7942" width="9.85546875" style="606" customWidth="1"/>
    <col min="7943" max="7943" width="9.7109375" style="606" customWidth="1"/>
    <col min="7944" max="7944" width="9.5703125" style="606" customWidth="1"/>
    <col min="7945" max="7945" width="9.85546875" style="606" customWidth="1"/>
    <col min="7946" max="7946" width="6.5703125" style="606" customWidth="1"/>
    <col min="7947" max="7947" width="6" style="606" bestFit="1" customWidth="1"/>
    <col min="7948" max="7948" width="6.28515625" style="606" customWidth="1"/>
    <col min="7949" max="7949" width="11.7109375" style="606" customWidth="1"/>
    <col min="7950" max="7950" width="0" style="606" hidden="1" customWidth="1"/>
    <col min="7951" max="7951" width="14.5703125" style="606" customWidth="1"/>
    <col min="7952" max="7952" width="11.85546875" style="606" customWidth="1"/>
    <col min="7953" max="8187" width="9.140625" style="606"/>
    <col min="8188" max="8188" width="2.85546875" style="606" customWidth="1"/>
    <col min="8189" max="8189" width="50.7109375" style="606" customWidth="1"/>
    <col min="8190" max="8190" width="9.42578125" style="606" customWidth="1"/>
    <col min="8191" max="8191" width="11.85546875" style="606" customWidth="1"/>
    <col min="8192" max="8192" width="8.42578125" style="606" bestFit="1" customWidth="1"/>
    <col min="8193" max="8195" width="0" style="606" hidden="1" customWidth="1"/>
    <col min="8196" max="8196" width="6" style="606" bestFit="1" customWidth="1"/>
    <col min="8197" max="8197" width="9.5703125" style="606" customWidth="1"/>
    <col min="8198" max="8198" width="9.85546875" style="606" customWidth="1"/>
    <col min="8199" max="8199" width="9.7109375" style="606" customWidth="1"/>
    <col min="8200" max="8200" width="9.5703125" style="606" customWidth="1"/>
    <col min="8201" max="8201" width="9.85546875" style="606" customWidth="1"/>
    <col min="8202" max="8202" width="6.5703125" style="606" customWidth="1"/>
    <col min="8203" max="8203" width="6" style="606" bestFit="1" customWidth="1"/>
    <col min="8204" max="8204" width="6.28515625" style="606" customWidth="1"/>
    <col min="8205" max="8205" width="11.7109375" style="606" customWidth="1"/>
    <col min="8206" max="8206" width="0" style="606" hidden="1" customWidth="1"/>
    <col min="8207" max="8207" width="14.5703125" style="606" customWidth="1"/>
    <col min="8208" max="8208" width="11.85546875" style="606" customWidth="1"/>
    <col min="8209" max="8443" width="9.140625" style="606"/>
    <col min="8444" max="8444" width="2.85546875" style="606" customWidth="1"/>
    <col min="8445" max="8445" width="50.7109375" style="606" customWidth="1"/>
    <col min="8446" max="8446" width="9.42578125" style="606" customWidth="1"/>
    <col min="8447" max="8447" width="11.85546875" style="606" customWidth="1"/>
    <col min="8448" max="8448" width="8.42578125" style="606" bestFit="1" customWidth="1"/>
    <col min="8449" max="8451" width="0" style="606" hidden="1" customWidth="1"/>
    <col min="8452" max="8452" width="6" style="606" bestFit="1" customWidth="1"/>
    <col min="8453" max="8453" width="9.5703125" style="606" customWidth="1"/>
    <col min="8454" max="8454" width="9.85546875" style="606" customWidth="1"/>
    <col min="8455" max="8455" width="9.7109375" style="606" customWidth="1"/>
    <col min="8456" max="8456" width="9.5703125" style="606" customWidth="1"/>
    <col min="8457" max="8457" width="9.85546875" style="606" customWidth="1"/>
    <col min="8458" max="8458" width="6.5703125" style="606" customWidth="1"/>
    <col min="8459" max="8459" width="6" style="606" bestFit="1" customWidth="1"/>
    <col min="8460" max="8460" width="6.28515625" style="606" customWidth="1"/>
    <col min="8461" max="8461" width="11.7109375" style="606" customWidth="1"/>
    <col min="8462" max="8462" width="0" style="606" hidden="1" customWidth="1"/>
    <col min="8463" max="8463" width="14.5703125" style="606" customWidth="1"/>
    <col min="8464" max="8464" width="11.85546875" style="606" customWidth="1"/>
    <col min="8465" max="8699" width="9.140625" style="606"/>
    <col min="8700" max="8700" width="2.85546875" style="606" customWidth="1"/>
    <col min="8701" max="8701" width="50.7109375" style="606" customWidth="1"/>
    <col min="8702" max="8702" width="9.42578125" style="606" customWidth="1"/>
    <col min="8703" max="8703" width="11.85546875" style="606" customWidth="1"/>
    <col min="8704" max="8704" width="8.42578125" style="606" bestFit="1" customWidth="1"/>
    <col min="8705" max="8707" width="0" style="606" hidden="1" customWidth="1"/>
    <col min="8708" max="8708" width="6" style="606" bestFit="1" customWidth="1"/>
    <col min="8709" max="8709" width="9.5703125" style="606" customWidth="1"/>
    <col min="8710" max="8710" width="9.85546875" style="606" customWidth="1"/>
    <col min="8711" max="8711" width="9.7109375" style="606" customWidth="1"/>
    <col min="8712" max="8712" width="9.5703125" style="606" customWidth="1"/>
    <col min="8713" max="8713" width="9.85546875" style="606" customWidth="1"/>
    <col min="8714" max="8714" width="6.5703125" style="606" customWidth="1"/>
    <col min="8715" max="8715" width="6" style="606" bestFit="1" customWidth="1"/>
    <col min="8716" max="8716" width="6.28515625" style="606" customWidth="1"/>
    <col min="8717" max="8717" width="11.7109375" style="606" customWidth="1"/>
    <col min="8718" max="8718" width="0" style="606" hidden="1" customWidth="1"/>
    <col min="8719" max="8719" width="14.5703125" style="606" customWidth="1"/>
    <col min="8720" max="8720" width="11.85546875" style="606" customWidth="1"/>
    <col min="8721" max="8955" width="9.140625" style="606"/>
    <col min="8956" max="8956" width="2.85546875" style="606" customWidth="1"/>
    <col min="8957" max="8957" width="50.7109375" style="606" customWidth="1"/>
    <col min="8958" max="8958" width="9.42578125" style="606" customWidth="1"/>
    <col min="8959" max="8959" width="11.85546875" style="606" customWidth="1"/>
    <col min="8960" max="8960" width="8.42578125" style="606" bestFit="1" customWidth="1"/>
    <col min="8961" max="8963" width="0" style="606" hidden="1" customWidth="1"/>
    <col min="8964" max="8964" width="6" style="606" bestFit="1" customWidth="1"/>
    <col min="8965" max="8965" width="9.5703125" style="606" customWidth="1"/>
    <col min="8966" max="8966" width="9.85546875" style="606" customWidth="1"/>
    <col min="8967" max="8967" width="9.7109375" style="606" customWidth="1"/>
    <col min="8968" max="8968" width="9.5703125" style="606" customWidth="1"/>
    <col min="8969" max="8969" width="9.85546875" style="606" customWidth="1"/>
    <col min="8970" max="8970" width="6.5703125" style="606" customWidth="1"/>
    <col min="8971" max="8971" width="6" style="606" bestFit="1" customWidth="1"/>
    <col min="8972" max="8972" width="6.28515625" style="606" customWidth="1"/>
    <col min="8973" max="8973" width="11.7109375" style="606" customWidth="1"/>
    <col min="8974" max="8974" width="0" style="606" hidden="1" customWidth="1"/>
    <col min="8975" max="8975" width="14.5703125" style="606" customWidth="1"/>
    <col min="8976" max="8976" width="11.85546875" style="606" customWidth="1"/>
    <col min="8977" max="9211" width="9.140625" style="606"/>
    <col min="9212" max="9212" width="2.85546875" style="606" customWidth="1"/>
    <col min="9213" max="9213" width="50.7109375" style="606" customWidth="1"/>
    <col min="9214" max="9214" width="9.42578125" style="606" customWidth="1"/>
    <col min="9215" max="9215" width="11.85546875" style="606" customWidth="1"/>
    <col min="9216" max="9216" width="8.42578125" style="606" bestFit="1" customWidth="1"/>
    <col min="9217" max="9219" width="0" style="606" hidden="1" customWidth="1"/>
    <col min="9220" max="9220" width="6" style="606" bestFit="1" customWidth="1"/>
    <col min="9221" max="9221" width="9.5703125" style="606" customWidth="1"/>
    <col min="9222" max="9222" width="9.85546875" style="606" customWidth="1"/>
    <col min="9223" max="9223" width="9.7109375" style="606" customWidth="1"/>
    <col min="9224" max="9224" width="9.5703125" style="606" customWidth="1"/>
    <col min="9225" max="9225" width="9.85546875" style="606" customWidth="1"/>
    <col min="9226" max="9226" width="6.5703125" style="606" customWidth="1"/>
    <col min="9227" max="9227" width="6" style="606" bestFit="1" customWidth="1"/>
    <col min="9228" max="9228" width="6.28515625" style="606" customWidth="1"/>
    <col min="9229" max="9229" width="11.7109375" style="606" customWidth="1"/>
    <col min="9230" max="9230" width="0" style="606" hidden="1" customWidth="1"/>
    <col min="9231" max="9231" width="14.5703125" style="606" customWidth="1"/>
    <col min="9232" max="9232" width="11.85546875" style="606" customWidth="1"/>
    <col min="9233" max="9467" width="9.140625" style="606"/>
    <col min="9468" max="9468" width="2.85546875" style="606" customWidth="1"/>
    <col min="9469" max="9469" width="50.7109375" style="606" customWidth="1"/>
    <col min="9470" max="9470" width="9.42578125" style="606" customWidth="1"/>
    <col min="9471" max="9471" width="11.85546875" style="606" customWidth="1"/>
    <col min="9472" max="9472" width="8.42578125" style="606" bestFit="1" customWidth="1"/>
    <col min="9473" max="9475" width="0" style="606" hidden="1" customWidth="1"/>
    <col min="9476" max="9476" width="6" style="606" bestFit="1" customWidth="1"/>
    <col min="9477" max="9477" width="9.5703125" style="606" customWidth="1"/>
    <col min="9478" max="9478" width="9.85546875" style="606" customWidth="1"/>
    <col min="9479" max="9479" width="9.7109375" style="606" customWidth="1"/>
    <col min="9480" max="9480" width="9.5703125" style="606" customWidth="1"/>
    <col min="9481" max="9481" width="9.85546875" style="606" customWidth="1"/>
    <col min="9482" max="9482" width="6.5703125" style="606" customWidth="1"/>
    <col min="9483" max="9483" width="6" style="606" bestFit="1" customWidth="1"/>
    <col min="9484" max="9484" width="6.28515625" style="606" customWidth="1"/>
    <col min="9485" max="9485" width="11.7109375" style="606" customWidth="1"/>
    <col min="9486" max="9486" width="0" style="606" hidden="1" customWidth="1"/>
    <col min="9487" max="9487" width="14.5703125" style="606" customWidth="1"/>
    <col min="9488" max="9488" width="11.85546875" style="606" customWidth="1"/>
    <col min="9489" max="9723" width="9.140625" style="606"/>
    <col min="9724" max="9724" width="2.85546875" style="606" customWidth="1"/>
    <col min="9725" max="9725" width="50.7109375" style="606" customWidth="1"/>
    <col min="9726" max="9726" width="9.42578125" style="606" customWidth="1"/>
    <col min="9727" max="9727" width="11.85546875" style="606" customWidth="1"/>
    <col min="9728" max="9728" width="8.42578125" style="606" bestFit="1" customWidth="1"/>
    <col min="9729" max="9731" width="0" style="606" hidden="1" customWidth="1"/>
    <col min="9732" max="9732" width="6" style="606" bestFit="1" customWidth="1"/>
    <col min="9733" max="9733" width="9.5703125" style="606" customWidth="1"/>
    <col min="9734" max="9734" width="9.85546875" style="606" customWidth="1"/>
    <col min="9735" max="9735" width="9.7109375" style="606" customWidth="1"/>
    <col min="9736" max="9736" width="9.5703125" style="606" customWidth="1"/>
    <col min="9737" max="9737" width="9.85546875" style="606" customWidth="1"/>
    <col min="9738" max="9738" width="6.5703125" style="606" customWidth="1"/>
    <col min="9739" max="9739" width="6" style="606" bestFit="1" customWidth="1"/>
    <col min="9740" max="9740" width="6.28515625" style="606" customWidth="1"/>
    <col min="9741" max="9741" width="11.7109375" style="606" customWidth="1"/>
    <col min="9742" max="9742" width="0" style="606" hidden="1" customWidth="1"/>
    <col min="9743" max="9743" width="14.5703125" style="606" customWidth="1"/>
    <col min="9744" max="9744" width="11.85546875" style="606" customWidth="1"/>
    <col min="9745" max="9979" width="9.140625" style="606"/>
    <col min="9980" max="9980" width="2.85546875" style="606" customWidth="1"/>
    <col min="9981" max="9981" width="50.7109375" style="606" customWidth="1"/>
    <col min="9982" max="9982" width="9.42578125" style="606" customWidth="1"/>
    <col min="9983" max="9983" width="11.85546875" style="606" customWidth="1"/>
    <col min="9984" max="9984" width="8.42578125" style="606" bestFit="1" customWidth="1"/>
    <col min="9985" max="9987" width="0" style="606" hidden="1" customWidth="1"/>
    <col min="9988" max="9988" width="6" style="606" bestFit="1" customWidth="1"/>
    <col min="9989" max="9989" width="9.5703125" style="606" customWidth="1"/>
    <col min="9990" max="9990" width="9.85546875" style="606" customWidth="1"/>
    <col min="9991" max="9991" width="9.7109375" style="606" customWidth="1"/>
    <col min="9992" max="9992" width="9.5703125" style="606" customWidth="1"/>
    <col min="9993" max="9993" width="9.85546875" style="606" customWidth="1"/>
    <col min="9994" max="9994" width="6.5703125" style="606" customWidth="1"/>
    <col min="9995" max="9995" width="6" style="606" bestFit="1" customWidth="1"/>
    <col min="9996" max="9996" width="6.28515625" style="606" customWidth="1"/>
    <col min="9997" max="9997" width="11.7109375" style="606" customWidth="1"/>
    <col min="9998" max="9998" width="0" style="606" hidden="1" customWidth="1"/>
    <col min="9999" max="9999" width="14.5703125" style="606" customWidth="1"/>
    <col min="10000" max="10000" width="11.85546875" style="606" customWidth="1"/>
    <col min="10001" max="10235" width="9.140625" style="606"/>
    <col min="10236" max="10236" width="2.85546875" style="606" customWidth="1"/>
    <col min="10237" max="10237" width="50.7109375" style="606" customWidth="1"/>
    <col min="10238" max="10238" width="9.42578125" style="606" customWidth="1"/>
    <col min="10239" max="10239" width="11.85546875" style="606" customWidth="1"/>
    <col min="10240" max="10240" width="8.42578125" style="606" bestFit="1" customWidth="1"/>
    <col min="10241" max="10243" width="0" style="606" hidden="1" customWidth="1"/>
    <col min="10244" max="10244" width="6" style="606" bestFit="1" customWidth="1"/>
    <col min="10245" max="10245" width="9.5703125" style="606" customWidth="1"/>
    <col min="10246" max="10246" width="9.85546875" style="606" customWidth="1"/>
    <col min="10247" max="10247" width="9.7109375" style="606" customWidth="1"/>
    <col min="10248" max="10248" width="9.5703125" style="606" customWidth="1"/>
    <col min="10249" max="10249" width="9.85546875" style="606" customWidth="1"/>
    <col min="10250" max="10250" width="6.5703125" style="606" customWidth="1"/>
    <col min="10251" max="10251" width="6" style="606" bestFit="1" customWidth="1"/>
    <col min="10252" max="10252" width="6.28515625" style="606" customWidth="1"/>
    <col min="10253" max="10253" width="11.7109375" style="606" customWidth="1"/>
    <col min="10254" max="10254" width="0" style="606" hidden="1" customWidth="1"/>
    <col min="10255" max="10255" width="14.5703125" style="606" customWidth="1"/>
    <col min="10256" max="10256" width="11.85546875" style="606" customWidth="1"/>
    <col min="10257" max="10491" width="9.140625" style="606"/>
    <col min="10492" max="10492" width="2.85546875" style="606" customWidth="1"/>
    <col min="10493" max="10493" width="50.7109375" style="606" customWidth="1"/>
    <col min="10494" max="10494" width="9.42578125" style="606" customWidth="1"/>
    <col min="10495" max="10495" width="11.85546875" style="606" customWidth="1"/>
    <col min="10496" max="10496" width="8.42578125" style="606" bestFit="1" customWidth="1"/>
    <col min="10497" max="10499" width="0" style="606" hidden="1" customWidth="1"/>
    <col min="10500" max="10500" width="6" style="606" bestFit="1" customWidth="1"/>
    <col min="10501" max="10501" width="9.5703125" style="606" customWidth="1"/>
    <col min="10502" max="10502" width="9.85546875" style="606" customWidth="1"/>
    <col min="10503" max="10503" width="9.7109375" style="606" customWidth="1"/>
    <col min="10504" max="10504" width="9.5703125" style="606" customWidth="1"/>
    <col min="10505" max="10505" width="9.85546875" style="606" customWidth="1"/>
    <col min="10506" max="10506" width="6.5703125" style="606" customWidth="1"/>
    <col min="10507" max="10507" width="6" style="606" bestFit="1" customWidth="1"/>
    <col min="10508" max="10508" width="6.28515625" style="606" customWidth="1"/>
    <col min="10509" max="10509" width="11.7109375" style="606" customWidth="1"/>
    <col min="10510" max="10510" width="0" style="606" hidden="1" customWidth="1"/>
    <col min="10511" max="10511" width="14.5703125" style="606" customWidth="1"/>
    <col min="10512" max="10512" width="11.85546875" style="606" customWidth="1"/>
    <col min="10513" max="10747" width="9.140625" style="606"/>
    <col min="10748" max="10748" width="2.85546875" style="606" customWidth="1"/>
    <col min="10749" max="10749" width="50.7109375" style="606" customWidth="1"/>
    <col min="10750" max="10750" width="9.42578125" style="606" customWidth="1"/>
    <col min="10751" max="10751" width="11.85546875" style="606" customWidth="1"/>
    <col min="10752" max="10752" width="8.42578125" style="606" bestFit="1" customWidth="1"/>
    <col min="10753" max="10755" width="0" style="606" hidden="1" customWidth="1"/>
    <col min="10756" max="10756" width="6" style="606" bestFit="1" customWidth="1"/>
    <col min="10757" max="10757" width="9.5703125" style="606" customWidth="1"/>
    <col min="10758" max="10758" width="9.85546875" style="606" customWidth="1"/>
    <col min="10759" max="10759" width="9.7109375" style="606" customWidth="1"/>
    <col min="10760" max="10760" width="9.5703125" style="606" customWidth="1"/>
    <col min="10761" max="10761" width="9.85546875" style="606" customWidth="1"/>
    <col min="10762" max="10762" width="6.5703125" style="606" customWidth="1"/>
    <col min="10763" max="10763" width="6" style="606" bestFit="1" customWidth="1"/>
    <col min="10764" max="10764" width="6.28515625" style="606" customWidth="1"/>
    <col min="10765" max="10765" width="11.7109375" style="606" customWidth="1"/>
    <col min="10766" max="10766" width="0" style="606" hidden="1" customWidth="1"/>
    <col min="10767" max="10767" width="14.5703125" style="606" customWidth="1"/>
    <col min="10768" max="10768" width="11.85546875" style="606" customWidth="1"/>
    <col min="10769" max="11003" width="9.140625" style="606"/>
    <col min="11004" max="11004" width="2.85546875" style="606" customWidth="1"/>
    <col min="11005" max="11005" width="50.7109375" style="606" customWidth="1"/>
    <col min="11006" max="11006" width="9.42578125" style="606" customWidth="1"/>
    <col min="11007" max="11007" width="11.85546875" style="606" customWidth="1"/>
    <col min="11008" max="11008" width="8.42578125" style="606" bestFit="1" customWidth="1"/>
    <col min="11009" max="11011" width="0" style="606" hidden="1" customWidth="1"/>
    <col min="11012" max="11012" width="6" style="606" bestFit="1" customWidth="1"/>
    <col min="11013" max="11013" width="9.5703125" style="606" customWidth="1"/>
    <col min="11014" max="11014" width="9.85546875" style="606" customWidth="1"/>
    <col min="11015" max="11015" width="9.7109375" style="606" customWidth="1"/>
    <col min="11016" max="11016" width="9.5703125" style="606" customWidth="1"/>
    <col min="11017" max="11017" width="9.85546875" style="606" customWidth="1"/>
    <col min="11018" max="11018" width="6.5703125" style="606" customWidth="1"/>
    <col min="11019" max="11019" width="6" style="606" bestFit="1" customWidth="1"/>
    <col min="11020" max="11020" width="6.28515625" style="606" customWidth="1"/>
    <col min="11021" max="11021" width="11.7109375" style="606" customWidth="1"/>
    <col min="11022" max="11022" width="0" style="606" hidden="1" customWidth="1"/>
    <col min="11023" max="11023" width="14.5703125" style="606" customWidth="1"/>
    <col min="11024" max="11024" width="11.85546875" style="606" customWidth="1"/>
    <col min="11025" max="11259" width="9.140625" style="606"/>
    <col min="11260" max="11260" width="2.85546875" style="606" customWidth="1"/>
    <col min="11261" max="11261" width="50.7109375" style="606" customWidth="1"/>
    <col min="11262" max="11262" width="9.42578125" style="606" customWidth="1"/>
    <col min="11263" max="11263" width="11.85546875" style="606" customWidth="1"/>
    <col min="11264" max="11264" width="8.42578125" style="606" bestFit="1" customWidth="1"/>
    <col min="11265" max="11267" width="0" style="606" hidden="1" customWidth="1"/>
    <col min="11268" max="11268" width="6" style="606" bestFit="1" customWidth="1"/>
    <col min="11269" max="11269" width="9.5703125" style="606" customWidth="1"/>
    <col min="11270" max="11270" width="9.85546875" style="606" customWidth="1"/>
    <col min="11271" max="11271" width="9.7109375" style="606" customWidth="1"/>
    <col min="11272" max="11272" width="9.5703125" style="606" customWidth="1"/>
    <col min="11273" max="11273" width="9.85546875" style="606" customWidth="1"/>
    <col min="11274" max="11274" width="6.5703125" style="606" customWidth="1"/>
    <col min="11275" max="11275" width="6" style="606" bestFit="1" customWidth="1"/>
    <col min="11276" max="11276" width="6.28515625" style="606" customWidth="1"/>
    <col min="11277" max="11277" width="11.7109375" style="606" customWidth="1"/>
    <col min="11278" max="11278" width="0" style="606" hidden="1" customWidth="1"/>
    <col min="11279" max="11279" width="14.5703125" style="606" customWidth="1"/>
    <col min="11280" max="11280" width="11.85546875" style="606" customWidth="1"/>
    <col min="11281" max="11515" width="9.140625" style="606"/>
    <col min="11516" max="11516" width="2.85546875" style="606" customWidth="1"/>
    <col min="11517" max="11517" width="50.7109375" style="606" customWidth="1"/>
    <col min="11518" max="11518" width="9.42578125" style="606" customWidth="1"/>
    <col min="11519" max="11519" width="11.85546875" style="606" customWidth="1"/>
    <col min="11520" max="11520" width="8.42578125" style="606" bestFit="1" customWidth="1"/>
    <col min="11521" max="11523" width="0" style="606" hidden="1" customWidth="1"/>
    <col min="11524" max="11524" width="6" style="606" bestFit="1" customWidth="1"/>
    <col min="11525" max="11525" width="9.5703125" style="606" customWidth="1"/>
    <col min="11526" max="11526" width="9.85546875" style="606" customWidth="1"/>
    <col min="11527" max="11527" width="9.7109375" style="606" customWidth="1"/>
    <col min="11528" max="11528" width="9.5703125" style="606" customWidth="1"/>
    <col min="11529" max="11529" width="9.85546875" style="606" customWidth="1"/>
    <col min="11530" max="11530" width="6.5703125" style="606" customWidth="1"/>
    <col min="11531" max="11531" width="6" style="606" bestFit="1" customWidth="1"/>
    <col min="11532" max="11532" width="6.28515625" style="606" customWidth="1"/>
    <col min="11533" max="11533" width="11.7109375" style="606" customWidth="1"/>
    <col min="11534" max="11534" width="0" style="606" hidden="1" customWidth="1"/>
    <col min="11535" max="11535" width="14.5703125" style="606" customWidth="1"/>
    <col min="11536" max="11536" width="11.85546875" style="606" customWidth="1"/>
    <col min="11537" max="11771" width="9.140625" style="606"/>
    <col min="11772" max="11772" width="2.85546875" style="606" customWidth="1"/>
    <col min="11773" max="11773" width="50.7109375" style="606" customWidth="1"/>
    <col min="11774" max="11774" width="9.42578125" style="606" customWidth="1"/>
    <col min="11775" max="11775" width="11.85546875" style="606" customWidth="1"/>
    <col min="11776" max="11776" width="8.42578125" style="606" bestFit="1" customWidth="1"/>
    <col min="11777" max="11779" width="0" style="606" hidden="1" customWidth="1"/>
    <col min="11780" max="11780" width="6" style="606" bestFit="1" customWidth="1"/>
    <col min="11781" max="11781" width="9.5703125" style="606" customWidth="1"/>
    <col min="11782" max="11782" width="9.85546875" style="606" customWidth="1"/>
    <col min="11783" max="11783" width="9.7109375" style="606" customWidth="1"/>
    <col min="11784" max="11784" width="9.5703125" style="606" customWidth="1"/>
    <col min="11785" max="11785" width="9.85546875" style="606" customWidth="1"/>
    <col min="11786" max="11786" width="6.5703125" style="606" customWidth="1"/>
    <col min="11787" max="11787" width="6" style="606" bestFit="1" customWidth="1"/>
    <col min="11788" max="11788" width="6.28515625" style="606" customWidth="1"/>
    <col min="11789" max="11789" width="11.7109375" style="606" customWidth="1"/>
    <col min="11790" max="11790" width="0" style="606" hidden="1" customWidth="1"/>
    <col min="11791" max="11791" width="14.5703125" style="606" customWidth="1"/>
    <col min="11792" max="11792" width="11.85546875" style="606" customWidth="1"/>
    <col min="11793" max="12027" width="9.140625" style="606"/>
    <col min="12028" max="12028" width="2.85546875" style="606" customWidth="1"/>
    <col min="12029" max="12029" width="50.7109375" style="606" customWidth="1"/>
    <col min="12030" max="12030" width="9.42578125" style="606" customWidth="1"/>
    <col min="12031" max="12031" width="11.85546875" style="606" customWidth="1"/>
    <col min="12032" max="12032" width="8.42578125" style="606" bestFit="1" customWidth="1"/>
    <col min="12033" max="12035" width="0" style="606" hidden="1" customWidth="1"/>
    <col min="12036" max="12036" width="6" style="606" bestFit="1" customWidth="1"/>
    <col min="12037" max="12037" width="9.5703125" style="606" customWidth="1"/>
    <col min="12038" max="12038" width="9.85546875" style="606" customWidth="1"/>
    <col min="12039" max="12039" width="9.7109375" style="606" customWidth="1"/>
    <col min="12040" max="12040" width="9.5703125" style="606" customWidth="1"/>
    <col min="12041" max="12041" width="9.85546875" style="606" customWidth="1"/>
    <col min="12042" max="12042" width="6.5703125" style="606" customWidth="1"/>
    <col min="12043" max="12043" width="6" style="606" bestFit="1" customWidth="1"/>
    <col min="12044" max="12044" width="6.28515625" style="606" customWidth="1"/>
    <col min="12045" max="12045" width="11.7109375" style="606" customWidth="1"/>
    <col min="12046" max="12046" width="0" style="606" hidden="1" customWidth="1"/>
    <col min="12047" max="12047" width="14.5703125" style="606" customWidth="1"/>
    <col min="12048" max="12048" width="11.85546875" style="606" customWidth="1"/>
    <col min="12049" max="12283" width="9.140625" style="606"/>
    <col min="12284" max="12284" width="2.85546875" style="606" customWidth="1"/>
    <col min="12285" max="12285" width="50.7109375" style="606" customWidth="1"/>
    <col min="12286" max="12286" width="9.42578125" style="606" customWidth="1"/>
    <col min="12287" max="12287" width="11.85546875" style="606" customWidth="1"/>
    <col min="12288" max="12288" width="8.42578125" style="606" bestFit="1" customWidth="1"/>
    <col min="12289" max="12291" width="0" style="606" hidden="1" customWidth="1"/>
    <col min="12292" max="12292" width="6" style="606" bestFit="1" customWidth="1"/>
    <col min="12293" max="12293" width="9.5703125" style="606" customWidth="1"/>
    <col min="12294" max="12294" width="9.85546875" style="606" customWidth="1"/>
    <col min="12295" max="12295" width="9.7109375" style="606" customWidth="1"/>
    <col min="12296" max="12296" width="9.5703125" style="606" customWidth="1"/>
    <col min="12297" max="12297" width="9.85546875" style="606" customWidth="1"/>
    <col min="12298" max="12298" width="6.5703125" style="606" customWidth="1"/>
    <col min="12299" max="12299" width="6" style="606" bestFit="1" customWidth="1"/>
    <col min="12300" max="12300" width="6.28515625" style="606" customWidth="1"/>
    <col min="12301" max="12301" width="11.7109375" style="606" customWidth="1"/>
    <col min="12302" max="12302" width="0" style="606" hidden="1" customWidth="1"/>
    <col min="12303" max="12303" width="14.5703125" style="606" customWidth="1"/>
    <col min="12304" max="12304" width="11.85546875" style="606" customWidth="1"/>
    <col min="12305" max="12539" width="9.140625" style="606"/>
    <col min="12540" max="12540" width="2.85546875" style="606" customWidth="1"/>
    <col min="12541" max="12541" width="50.7109375" style="606" customWidth="1"/>
    <col min="12542" max="12542" width="9.42578125" style="606" customWidth="1"/>
    <col min="12543" max="12543" width="11.85546875" style="606" customWidth="1"/>
    <col min="12544" max="12544" width="8.42578125" style="606" bestFit="1" customWidth="1"/>
    <col min="12545" max="12547" width="0" style="606" hidden="1" customWidth="1"/>
    <col min="12548" max="12548" width="6" style="606" bestFit="1" customWidth="1"/>
    <col min="12549" max="12549" width="9.5703125" style="606" customWidth="1"/>
    <col min="12550" max="12550" width="9.85546875" style="606" customWidth="1"/>
    <col min="12551" max="12551" width="9.7109375" style="606" customWidth="1"/>
    <col min="12552" max="12552" width="9.5703125" style="606" customWidth="1"/>
    <col min="12553" max="12553" width="9.85546875" style="606" customWidth="1"/>
    <col min="12554" max="12554" width="6.5703125" style="606" customWidth="1"/>
    <col min="12555" max="12555" width="6" style="606" bestFit="1" customWidth="1"/>
    <col min="12556" max="12556" width="6.28515625" style="606" customWidth="1"/>
    <col min="12557" max="12557" width="11.7109375" style="606" customWidth="1"/>
    <col min="12558" max="12558" width="0" style="606" hidden="1" customWidth="1"/>
    <col min="12559" max="12559" width="14.5703125" style="606" customWidth="1"/>
    <col min="12560" max="12560" width="11.85546875" style="606" customWidth="1"/>
    <col min="12561" max="12795" width="9.140625" style="606"/>
    <col min="12796" max="12796" width="2.85546875" style="606" customWidth="1"/>
    <col min="12797" max="12797" width="50.7109375" style="606" customWidth="1"/>
    <col min="12798" max="12798" width="9.42578125" style="606" customWidth="1"/>
    <col min="12799" max="12799" width="11.85546875" style="606" customWidth="1"/>
    <col min="12800" max="12800" width="8.42578125" style="606" bestFit="1" customWidth="1"/>
    <col min="12801" max="12803" width="0" style="606" hidden="1" customWidth="1"/>
    <col min="12804" max="12804" width="6" style="606" bestFit="1" customWidth="1"/>
    <col min="12805" max="12805" width="9.5703125" style="606" customWidth="1"/>
    <col min="12806" max="12806" width="9.85546875" style="606" customWidth="1"/>
    <col min="12807" max="12807" width="9.7109375" style="606" customWidth="1"/>
    <col min="12808" max="12808" width="9.5703125" style="606" customWidth="1"/>
    <col min="12809" max="12809" width="9.85546875" style="606" customWidth="1"/>
    <col min="12810" max="12810" width="6.5703125" style="606" customWidth="1"/>
    <col min="12811" max="12811" width="6" style="606" bestFit="1" customWidth="1"/>
    <col min="12812" max="12812" width="6.28515625" style="606" customWidth="1"/>
    <col min="12813" max="12813" width="11.7109375" style="606" customWidth="1"/>
    <col min="12814" max="12814" width="0" style="606" hidden="1" customWidth="1"/>
    <col min="12815" max="12815" width="14.5703125" style="606" customWidth="1"/>
    <col min="12816" max="12816" width="11.85546875" style="606" customWidth="1"/>
    <col min="12817" max="13051" width="9.140625" style="606"/>
    <col min="13052" max="13052" width="2.85546875" style="606" customWidth="1"/>
    <col min="13053" max="13053" width="50.7109375" style="606" customWidth="1"/>
    <col min="13054" max="13054" width="9.42578125" style="606" customWidth="1"/>
    <col min="13055" max="13055" width="11.85546875" style="606" customWidth="1"/>
    <col min="13056" max="13056" width="8.42578125" style="606" bestFit="1" customWidth="1"/>
    <col min="13057" max="13059" width="0" style="606" hidden="1" customWidth="1"/>
    <col min="13060" max="13060" width="6" style="606" bestFit="1" customWidth="1"/>
    <col min="13061" max="13061" width="9.5703125" style="606" customWidth="1"/>
    <col min="13062" max="13062" width="9.85546875" style="606" customWidth="1"/>
    <col min="13063" max="13063" width="9.7109375" style="606" customWidth="1"/>
    <col min="13064" max="13064" width="9.5703125" style="606" customWidth="1"/>
    <col min="13065" max="13065" width="9.85546875" style="606" customWidth="1"/>
    <col min="13066" max="13066" width="6.5703125" style="606" customWidth="1"/>
    <col min="13067" max="13067" width="6" style="606" bestFit="1" customWidth="1"/>
    <col min="13068" max="13068" width="6.28515625" style="606" customWidth="1"/>
    <col min="13069" max="13069" width="11.7109375" style="606" customWidth="1"/>
    <col min="13070" max="13070" width="0" style="606" hidden="1" customWidth="1"/>
    <col min="13071" max="13071" width="14.5703125" style="606" customWidth="1"/>
    <col min="13072" max="13072" width="11.85546875" style="606" customWidth="1"/>
    <col min="13073" max="13307" width="9.140625" style="606"/>
    <col min="13308" max="13308" width="2.85546875" style="606" customWidth="1"/>
    <col min="13309" max="13309" width="50.7109375" style="606" customWidth="1"/>
    <col min="13310" max="13310" width="9.42578125" style="606" customWidth="1"/>
    <col min="13311" max="13311" width="11.85546875" style="606" customWidth="1"/>
    <col min="13312" max="13312" width="8.42578125" style="606" bestFit="1" customWidth="1"/>
    <col min="13313" max="13315" width="0" style="606" hidden="1" customWidth="1"/>
    <col min="13316" max="13316" width="6" style="606" bestFit="1" customWidth="1"/>
    <col min="13317" max="13317" width="9.5703125" style="606" customWidth="1"/>
    <col min="13318" max="13318" width="9.85546875" style="606" customWidth="1"/>
    <col min="13319" max="13319" width="9.7109375" style="606" customWidth="1"/>
    <col min="13320" max="13320" width="9.5703125" style="606" customWidth="1"/>
    <col min="13321" max="13321" width="9.85546875" style="606" customWidth="1"/>
    <col min="13322" max="13322" width="6.5703125" style="606" customWidth="1"/>
    <col min="13323" max="13323" width="6" style="606" bestFit="1" customWidth="1"/>
    <col min="13324" max="13324" width="6.28515625" style="606" customWidth="1"/>
    <col min="13325" max="13325" width="11.7109375" style="606" customWidth="1"/>
    <col min="13326" max="13326" width="0" style="606" hidden="1" customWidth="1"/>
    <col min="13327" max="13327" width="14.5703125" style="606" customWidth="1"/>
    <col min="13328" max="13328" width="11.85546875" style="606" customWidth="1"/>
    <col min="13329" max="13563" width="9.140625" style="606"/>
    <col min="13564" max="13564" width="2.85546875" style="606" customWidth="1"/>
    <col min="13565" max="13565" width="50.7109375" style="606" customWidth="1"/>
    <col min="13566" max="13566" width="9.42578125" style="606" customWidth="1"/>
    <col min="13567" max="13567" width="11.85546875" style="606" customWidth="1"/>
    <col min="13568" max="13568" width="8.42578125" style="606" bestFit="1" customWidth="1"/>
    <col min="13569" max="13571" width="0" style="606" hidden="1" customWidth="1"/>
    <col min="13572" max="13572" width="6" style="606" bestFit="1" customWidth="1"/>
    <col min="13573" max="13573" width="9.5703125" style="606" customWidth="1"/>
    <col min="13574" max="13574" width="9.85546875" style="606" customWidth="1"/>
    <col min="13575" max="13575" width="9.7109375" style="606" customWidth="1"/>
    <col min="13576" max="13576" width="9.5703125" style="606" customWidth="1"/>
    <col min="13577" max="13577" width="9.85546875" style="606" customWidth="1"/>
    <col min="13578" max="13578" width="6.5703125" style="606" customWidth="1"/>
    <col min="13579" max="13579" width="6" style="606" bestFit="1" customWidth="1"/>
    <col min="13580" max="13580" width="6.28515625" style="606" customWidth="1"/>
    <col min="13581" max="13581" width="11.7109375" style="606" customWidth="1"/>
    <col min="13582" max="13582" width="0" style="606" hidden="1" customWidth="1"/>
    <col min="13583" max="13583" width="14.5703125" style="606" customWidth="1"/>
    <col min="13584" max="13584" width="11.85546875" style="606" customWidth="1"/>
    <col min="13585" max="13819" width="9.140625" style="606"/>
    <col min="13820" max="13820" width="2.85546875" style="606" customWidth="1"/>
    <col min="13821" max="13821" width="50.7109375" style="606" customWidth="1"/>
    <col min="13822" max="13822" width="9.42578125" style="606" customWidth="1"/>
    <col min="13823" max="13823" width="11.85546875" style="606" customWidth="1"/>
    <col min="13824" max="13824" width="8.42578125" style="606" bestFit="1" customWidth="1"/>
    <col min="13825" max="13827" width="0" style="606" hidden="1" customWidth="1"/>
    <col min="13828" max="13828" width="6" style="606" bestFit="1" customWidth="1"/>
    <col min="13829" max="13829" width="9.5703125" style="606" customWidth="1"/>
    <col min="13830" max="13830" width="9.85546875" style="606" customWidth="1"/>
    <col min="13831" max="13831" width="9.7109375" style="606" customWidth="1"/>
    <col min="13832" max="13832" width="9.5703125" style="606" customWidth="1"/>
    <col min="13833" max="13833" width="9.85546875" style="606" customWidth="1"/>
    <col min="13834" max="13834" width="6.5703125" style="606" customWidth="1"/>
    <col min="13835" max="13835" width="6" style="606" bestFit="1" customWidth="1"/>
    <col min="13836" max="13836" width="6.28515625" style="606" customWidth="1"/>
    <col min="13837" max="13837" width="11.7109375" style="606" customWidth="1"/>
    <col min="13838" max="13838" width="0" style="606" hidden="1" customWidth="1"/>
    <col min="13839" max="13839" width="14.5703125" style="606" customWidth="1"/>
    <col min="13840" max="13840" width="11.85546875" style="606" customWidth="1"/>
    <col min="13841" max="14075" width="9.140625" style="606"/>
    <col min="14076" max="14076" width="2.85546875" style="606" customWidth="1"/>
    <col min="14077" max="14077" width="50.7109375" style="606" customWidth="1"/>
    <col min="14078" max="14078" width="9.42578125" style="606" customWidth="1"/>
    <col min="14079" max="14079" width="11.85546875" style="606" customWidth="1"/>
    <col min="14080" max="14080" width="8.42578125" style="606" bestFit="1" customWidth="1"/>
    <col min="14081" max="14083" width="0" style="606" hidden="1" customWidth="1"/>
    <col min="14084" max="14084" width="6" style="606" bestFit="1" customWidth="1"/>
    <col min="14085" max="14085" width="9.5703125" style="606" customWidth="1"/>
    <col min="14086" max="14086" width="9.85546875" style="606" customWidth="1"/>
    <col min="14087" max="14087" width="9.7109375" style="606" customWidth="1"/>
    <col min="14088" max="14088" width="9.5703125" style="606" customWidth="1"/>
    <col min="14089" max="14089" width="9.85546875" style="606" customWidth="1"/>
    <col min="14090" max="14090" width="6.5703125" style="606" customWidth="1"/>
    <col min="14091" max="14091" width="6" style="606" bestFit="1" customWidth="1"/>
    <col min="14092" max="14092" width="6.28515625" style="606" customWidth="1"/>
    <col min="14093" max="14093" width="11.7109375" style="606" customWidth="1"/>
    <col min="14094" max="14094" width="0" style="606" hidden="1" customWidth="1"/>
    <col min="14095" max="14095" width="14.5703125" style="606" customWidth="1"/>
    <col min="14096" max="14096" width="11.85546875" style="606" customWidth="1"/>
    <col min="14097" max="14331" width="9.140625" style="606"/>
    <col min="14332" max="14332" width="2.85546875" style="606" customWidth="1"/>
    <col min="14333" max="14333" width="50.7109375" style="606" customWidth="1"/>
    <col min="14334" max="14334" width="9.42578125" style="606" customWidth="1"/>
    <col min="14335" max="14335" width="11.85546875" style="606" customWidth="1"/>
    <col min="14336" max="14336" width="8.42578125" style="606" bestFit="1" customWidth="1"/>
    <col min="14337" max="14339" width="0" style="606" hidden="1" customWidth="1"/>
    <col min="14340" max="14340" width="6" style="606" bestFit="1" customWidth="1"/>
    <col min="14341" max="14341" width="9.5703125" style="606" customWidth="1"/>
    <col min="14342" max="14342" width="9.85546875" style="606" customWidth="1"/>
    <col min="14343" max="14343" width="9.7109375" style="606" customWidth="1"/>
    <col min="14344" max="14344" width="9.5703125" style="606" customWidth="1"/>
    <col min="14345" max="14345" width="9.85546875" style="606" customWidth="1"/>
    <col min="14346" max="14346" width="6.5703125" style="606" customWidth="1"/>
    <col min="14347" max="14347" width="6" style="606" bestFit="1" customWidth="1"/>
    <col min="14348" max="14348" width="6.28515625" style="606" customWidth="1"/>
    <col min="14349" max="14349" width="11.7109375" style="606" customWidth="1"/>
    <col min="14350" max="14350" width="0" style="606" hidden="1" customWidth="1"/>
    <col min="14351" max="14351" width="14.5703125" style="606" customWidth="1"/>
    <col min="14352" max="14352" width="11.85546875" style="606" customWidth="1"/>
    <col min="14353" max="14587" width="9.140625" style="606"/>
    <col min="14588" max="14588" width="2.85546875" style="606" customWidth="1"/>
    <col min="14589" max="14589" width="50.7109375" style="606" customWidth="1"/>
    <col min="14590" max="14590" width="9.42578125" style="606" customWidth="1"/>
    <col min="14591" max="14591" width="11.85546875" style="606" customWidth="1"/>
    <col min="14592" max="14592" width="8.42578125" style="606" bestFit="1" customWidth="1"/>
    <col min="14593" max="14595" width="0" style="606" hidden="1" customWidth="1"/>
    <col min="14596" max="14596" width="6" style="606" bestFit="1" customWidth="1"/>
    <col min="14597" max="14597" width="9.5703125" style="606" customWidth="1"/>
    <col min="14598" max="14598" width="9.85546875" style="606" customWidth="1"/>
    <col min="14599" max="14599" width="9.7109375" style="606" customWidth="1"/>
    <col min="14600" max="14600" width="9.5703125" style="606" customWidth="1"/>
    <col min="14601" max="14601" width="9.85546875" style="606" customWidth="1"/>
    <col min="14602" max="14602" width="6.5703125" style="606" customWidth="1"/>
    <col min="14603" max="14603" width="6" style="606" bestFit="1" customWidth="1"/>
    <col min="14604" max="14604" width="6.28515625" style="606" customWidth="1"/>
    <col min="14605" max="14605" width="11.7109375" style="606" customWidth="1"/>
    <col min="14606" max="14606" width="0" style="606" hidden="1" customWidth="1"/>
    <col min="14607" max="14607" width="14.5703125" style="606" customWidth="1"/>
    <col min="14608" max="14608" width="11.85546875" style="606" customWidth="1"/>
    <col min="14609" max="14843" width="9.140625" style="606"/>
    <col min="14844" max="14844" width="2.85546875" style="606" customWidth="1"/>
    <col min="14845" max="14845" width="50.7109375" style="606" customWidth="1"/>
    <col min="14846" max="14846" width="9.42578125" style="606" customWidth="1"/>
    <col min="14847" max="14847" width="11.85546875" style="606" customWidth="1"/>
    <col min="14848" max="14848" width="8.42578125" style="606" bestFit="1" customWidth="1"/>
    <col min="14849" max="14851" width="0" style="606" hidden="1" customWidth="1"/>
    <col min="14852" max="14852" width="6" style="606" bestFit="1" customWidth="1"/>
    <col min="14853" max="14853" width="9.5703125" style="606" customWidth="1"/>
    <col min="14854" max="14854" width="9.85546875" style="606" customWidth="1"/>
    <col min="14855" max="14855" width="9.7109375" style="606" customWidth="1"/>
    <col min="14856" max="14856" width="9.5703125" style="606" customWidth="1"/>
    <col min="14857" max="14857" width="9.85546875" style="606" customWidth="1"/>
    <col min="14858" max="14858" width="6.5703125" style="606" customWidth="1"/>
    <col min="14859" max="14859" width="6" style="606" bestFit="1" customWidth="1"/>
    <col min="14860" max="14860" width="6.28515625" style="606" customWidth="1"/>
    <col min="14861" max="14861" width="11.7109375" style="606" customWidth="1"/>
    <col min="14862" max="14862" width="0" style="606" hidden="1" customWidth="1"/>
    <col min="14863" max="14863" width="14.5703125" style="606" customWidth="1"/>
    <col min="14864" max="14864" width="11.85546875" style="606" customWidth="1"/>
    <col min="14865" max="15099" width="9.140625" style="606"/>
    <col min="15100" max="15100" width="2.85546875" style="606" customWidth="1"/>
    <col min="15101" max="15101" width="50.7109375" style="606" customWidth="1"/>
    <col min="15102" max="15102" width="9.42578125" style="606" customWidth="1"/>
    <col min="15103" max="15103" width="11.85546875" style="606" customWidth="1"/>
    <col min="15104" max="15104" width="8.42578125" style="606" bestFit="1" customWidth="1"/>
    <col min="15105" max="15107" width="0" style="606" hidden="1" customWidth="1"/>
    <col min="15108" max="15108" width="6" style="606" bestFit="1" customWidth="1"/>
    <col min="15109" max="15109" width="9.5703125" style="606" customWidth="1"/>
    <col min="15110" max="15110" width="9.85546875" style="606" customWidth="1"/>
    <col min="15111" max="15111" width="9.7109375" style="606" customWidth="1"/>
    <col min="15112" max="15112" width="9.5703125" style="606" customWidth="1"/>
    <col min="15113" max="15113" width="9.85546875" style="606" customWidth="1"/>
    <col min="15114" max="15114" width="6.5703125" style="606" customWidth="1"/>
    <col min="15115" max="15115" width="6" style="606" bestFit="1" customWidth="1"/>
    <col min="15116" max="15116" width="6.28515625" style="606" customWidth="1"/>
    <col min="15117" max="15117" width="11.7109375" style="606" customWidth="1"/>
    <col min="15118" max="15118" width="0" style="606" hidden="1" customWidth="1"/>
    <col min="15119" max="15119" width="14.5703125" style="606" customWidth="1"/>
    <col min="15120" max="15120" width="11.85546875" style="606" customWidth="1"/>
    <col min="15121" max="15355" width="9.140625" style="606"/>
    <col min="15356" max="15356" width="2.85546875" style="606" customWidth="1"/>
    <col min="15357" max="15357" width="50.7109375" style="606" customWidth="1"/>
    <col min="15358" max="15358" width="9.42578125" style="606" customWidth="1"/>
    <col min="15359" max="15359" width="11.85546875" style="606" customWidth="1"/>
    <col min="15360" max="15360" width="8.42578125" style="606" bestFit="1" customWidth="1"/>
    <col min="15361" max="15363" width="0" style="606" hidden="1" customWidth="1"/>
    <col min="15364" max="15364" width="6" style="606" bestFit="1" customWidth="1"/>
    <col min="15365" max="15365" width="9.5703125" style="606" customWidth="1"/>
    <col min="15366" max="15366" width="9.85546875" style="606" customWidth="1"/>
    <col min="15367" max="15367" width="9.7109375" style="606" customWidth="1"/>
    <col min="15368" max="15368" width="9.5703125" style="606" customWidth="1"/>
    <col min="15369" max="15369" width="9.85546875" style="606" customWidth="1"/>
    <col min="15370" max="15370" width="6.5703125" style="606" customWidth="1"/>
    <col min="15371" max="15371" width="6" style="606" bestFit="1" customWidth="1"/>
    <col min="15372" max="15372" width="6.28515625" style="606" customWidth="1"/>
    <col min="15373" max="15373" width="11.7109375" style="606" customWidth="1"/>
    <col min="15374" max="15374" width="0" style="606" hidden="1" customWidth="1"/>
    <col min="15375" max="15375" width="14.5703125" style="606" customWidth="1"/>
    <col min="15376" max="15376" width="11.85546875" style="606" customWidth="1"/>
    <col min="15377" max="15611" width="9.140625" style="606"/>
    <col min="15612" max="15612" width="2.85546875" style="606" customWidth="1"/>
    <col min="15613" max="15613" width="50.7109375" style="606" customWidth="1"/>
    <col min="15614" max="15614" width="9.42578125" style="606" customWidth="1"/>
    <col min="15615" max="15615" width="11.85546875" style="606" customWidth="1"/>
    <col min="15616" max="15616" width="8.42578125" style="606" bestFit="1" customWidth="1"/>
    <col min="15617" max="15619" width="0" style="606" hidden="1" customWidth="1"/>
    <col min="15620" max="15620" width="6" style="606" bestFit="1" customWidth="1"/>
    <col min="15621" max="15621" width="9.5703125" style="606" customWidth="1"/>
    <col min="15622" max="15622" width="9.85546875" style="606" customWidth="1"/>
    <col min="15623" max="15623" width="9.7109375" style="606" customWidth="1"/>
    <col min="15624" max="15624" width="9.5703125" style="606" customWidth="1"/>
    <col min="15625" max="15625" width="9.85546875" style="606" customWidth="1"/>
    <col min="15626" max="15626" width="6.5703125" style="606" customWidth="1"/>
    <col min="15627" max="15627" width="6" style="606" bestFit="1" customWidth="1"/>
    <col min="15628" max="15628" width="6.28515625" style="606" customWidth="1"/>
    <col min="15629" max="15629" width="11.7109375" style="606" customWidth="1"/>
    <col min="15630" max="15630" width="0" style="606" hidden="1" customWidth="1"/>
    <col min="15631" max="15631" width="14.5703125" style="606" customWidth="1"/>
    <col min="15632" max="15632" width="11.85546875" style="606" customWidth="1"/>
    <col min="15633" max="15867" width="9.140625" style="606"/>
    <col min="15868" max="15868" width="2.85546875" style="606" customWidth="1"/>
    <col min="15869" max="15869" width="50.7109375" style="606" customWidth="1"/>
    <col min="15870" max="15870" width="9.42578125" style="606" customWidth="1"/>
    <col min="15871" max="15871" width="11.85546875" style="606" customWidth="1"/>
    <col min="15872" max="15872" width="8.42578125" style="606" bestFit="1" customWidth="1"/>
    <col min="15873" max="15875" width="0" style="606" hidden="1" customWidth="1"/>
    <col min="15876" max="15876" width="6" style="606" bestFit="1" customWidth="1"/>
    <col min="15877" max="15877" width="9.5703125" style="606" customWidth="1"/>
    <col min="15878" max="15878" width="9.85546875" style="606" customWidth="1"/>
    <col min="15879" max="15879" width="9.7109375" style="606" customWidth="1"/>
    <col min="15880" max="15880" width="9.5703125" style="606" customWidth="1"/>
    <col min="15881" max="15881" width="9.85546875" style="606" customWidth="1"/>
    <col min="15882" max="15882" width="6.5703125" style="606" customWidth="1"/>
    <col min="15883" max="15883" width="6" style="606" bestFit="1" customWidth="1"/>
    <col min="15884" max="15884" width="6.28515625" style="606" customWidth="1"/>
    <col min="15885" max="15885" width="11.7109375" style="606" customWidth="1"/>
    <col min="15886" max="15886" width="0" style="606" hidden="1" customWidth="1"/>
    <col min="15887" max="15887" width="14.5703125" style="606" customWidth="1"/>
    <col min="15888" max="15888" width="11.85546875" style="606" customWidth="1"/>
    <col min="15889" max="16123" width="9.140625" style="606"/>
    <col min="16124" max="16124" width="2.85546875" style="606" customWidth="1"/>
    <col min="16125" max="16125" width="50.7109375" style="606" customWidth="1"/>
    <col min="16126" max="16126" width="9.42578125" style="606" customWidth="1"/>
    <col min="16127" max="16127" width="11.85546875" style="606" customWidth="1"/>
    <col min="16128" max="16128" width="8.42578125" style="606" bestFit="1" customWidth="1"/>
    <col min="16129" max="16131" width="0" style="606" hidden="1" customWidth="1"/>
    <col min="16132" max="16132" width="6" style="606" bestFit="1" customWidth="1"/>
    <col min="16133" max="16133" width="9.5703125" style="606" customWidth="1"/>
    <col min="16134" max="16134" width="9.85546875" style="606" customWidth="1"/>
    <col min="16135" max="16135" width="9.7109375" style="606" customWidth="1"/>
    <col min="16136" max="16136" width="9.5703125" style="606" customWidth="1"/>
    <col min="16137" max="16137" width="9.85546875" style="606" customWidth="1"/>
    <col min="16138" max="16138" width="6.5703125" style="606" customWidth="1"/>
    <col min="16139" max="16139" width="6" style="606" bestFit="1" customWidth="1"/>
    <col min="16140" max="16140" width="6.28515625" style="606" customWidth="1"/>
    <col min="16141" max="16141" width="11.7109375" style="606" customWidth="1"/>
    <col min="16142" max="16142" width="0" style="606" hidden="1" customWidth="1"/>
    <col min="16143" max="16143" width="14.5703125" style="606" customWidth="1"/>
    <col min="16144" max="16144" width="11.85546875" style="606" customWidth="1"/>
    <col min="16145" max="16384" width="9.140625" style="606"/>
  </cols>
  <sheetData>
    <row r="1" spans="1:16" ht="15" customHeight="1">
      <c r="H1" s="785" t="s">
        <v>477</v>
      </c>
      <c r="M1" s="592"/>
      <c r="N1" s="592"/>
      <c r="O1" s="593"/>
    </row>
    <row r="2" spans="1:16" ht="2.25" customHeight="1">
      <c r="M2" s="592"/>
      <c r="N2" s="592"/>
      <c r="O2" s="593"/>
    </row>
    <row r="3" spans="1:16" ht="6.75" customHeight="1">
      <c r="M3" s="592"/>
      <c r="N3" s="592"/>
      <c r="O3" s="593"/>
    </row>
    <row r="4" spans="1:16" ht="36" customHeight="1" thickBot="1">
      <c r="A4" s="3843" t="s">
        <v>201</v>
      </c>
      <c r="B4" s="3843"/>
      <c r="C4" s="3843"/>
      <c r="D4" s="3843"/>
      <c r="E4" s="3843"/>
      <c r="F4" s="3843"/>
      <c r="G4" s="3843"/>
      <c r="H4" s="3843"/>
      <c r="I4" s="3843"/>
      <c r="J4" s="3843"/>
      <c r="K4" s="3843"/>
      <c r="L4" s="3843"/>
      <c r="M4" s="3843"/>
      <c r="N4" s="3843"/>
      <c r="O4" s="3843"/>
    </row>
    <row r="5" spans="1:16" ht="62.25" customHeight="1">
      <c r="A5" s="786"/>
      <c r="B5" s="3844" t="s">
        <v>75</v>
      </c>
      <c r="C5" s="3310" t="s">
        <v>71</v>
      </c>
      <c r="D5" s="3466" t="s">
        <v>117</v>
      </c>
      <c r="E5" s="1707" t="s">
        <v>263</v>
      </c>
      <c r="F5" s="3184" t="s">
        <v>525</v>
      </c>
      <c r="G5" s="3327" t="s">
        <v>457</v>
      </c>
      <c r="H5" s="3328"/>
      <c r="I5" s="3328"/>
      <c r="J5" s="3328"/>
      <c r="K5" s="3328"/>
      <c r="L5" s="3329"/>
      <c r="M5" s="3706" t="s">
        <v>480</v>
      </c>
      <c r="N5" s="3706" t="s">
        <v>462</v>
      </c>
      <c r="O5" s="3480" t="s">
        <v>73</v>
      </c>
    </row>
    <row r="6" spans="1:16" ht="18.75" customHeight="1" thickBot="1">
      <c r="A6" s="787"/>
      <c r="B6" s="3845"/>
      <c r="C6" s="3846"/>
      <c r="D6" s="3809"/>
      <c r="E6" s="946" t="s">
        <v>445</v>
      </c>
      <c r="F6" s="3186"/>
      <c r="G6" s="2195" t="s">
        <v>6</v>
      </c>
      <c r="H6" s="328" t="s">
        <v>206</v>
      </c>
      <c r="I6" s="328" t="s">
        <v>207</v>
      </c>
      <c r="J6" s="328" t="s">
        <v>255</v>
      </c>
      <c r="K6" s="328" t="s">
        <v>256</v>
      </c>
      <c r="L6" s="328" t="s">
        <v>257</v>
      </c>
      <c r="M6" s="3847"/>
      <c r="N6" s="3847"/>
      <c r="O6" s="3482"/>
    </row>
    <row r="7" spans="1:16" ht="15" customHeight="1" thickBot="1">
      <c r="A7" s="1042">
        <v>1</v>
      </c>
      <c r="B7" s="1043">
        <v>2</v>
      </c>
      <c r="C7" s="1044" t="s">
        <v>118</v>
      </c>
      <c r="D7" s="1044" t="s">
        <v>119</v>
      </c>
      <c r="E7" s="1044">
        <v>5</v>
      </c>
      <c r="F7" s="1044">
        <v>6</v>
      </c>
      <c r="G7" s="1044">
        <v>7</v>
      </c>
      <c r="H7" s="1044">
        <v>8</v>
      </c>
      <c r="I7" s="1044">
        <v>9</v>
      </c>
      <c r="J7" s="1044">
        <v>10</v>
      </c>
      <c r="K7" s="1044">
        <v>11</v>
      </c>
      <c r="L7" s="1044">
        <v>12</v>
      </c>
      <c r="M7" s="1045">
        <v>13</v>
      </c>
      <c r="N7" s="1045">
        <v>13</v>
      </c>
      <c r="O7" s="1046">
        <v>14</v>
      </c>
    </row>
    <row r="8" spans="1:16" s="789" customFormat="1" ht="15.75" customHeight="1">
      <c r="A8" s="601"/>
      <c r="B8" s="236" t="s">
        <v>76</v>
      </c>
      <c r="C8" s="210"/>
      <c r="D8" s="947">
        <f>+D9+D10</f>
        <v>2254391</v>
      </c>
      <c r="E8" s="211">
        <f t="shared" ref="E8" si="0">+E9+E10</f>
        <v>438262</v>
      </c>
      <c r="F8" s="211">
        <f t="shared" ref="F8" si="1">+F9+F10</f>
        <v>760062</v>
      </c>
      <c r="G8" s="211">
        <f t="shared" ref="G8:N8" si="2">+G9+G10</f>
        <v>783977</v>
      </c>
      <c r="H8" s="211">
        <f t="shared" si="2"/>
        <v>145187</v>
      </c>
      <c r="I8" s="211">
        <f t="shared" si="2"/>
        <v>126903</v>
      </c>
      <c r="J8" s="211">
        <f t="shared" si="2"/>
        <v>0</v>
      </c>
      <c r="K8" s="211">
        <f t="shared" si="2"/>
        <v>0</v>
      </c>
      <c r="L8" s="211">
        <f t="shared" si="2"/>
        <v>0</v>
      </c>
      <c r="M8" s="150">
        <f t="shared" ref="M8" si="3">+M9+M10</f>
        <v>2254391</v>
      </c>
      <c r="N8" s="150">
        <f t="shared" si="2"/>
        <v>1056067</v>
      </c>
      <c r="O8" s="753"/>
      <c r="P8" s="788"/>
    </row>
    <row r="9" spans="1:16" s="789" customFormat="1" ht="13.5" customHeight="1">
      <c r="A9" s="601"/>
      <c r="B9" s="225" t="s">
        <v>77</v>
      </c>
      <c r="C9" s="213"/>
      <c r="D9" s="940">
        <f>+D25+D34+D54</f>
        <v>2246830</v>
      </c>
      <c r="E9" s="214">
        <f t="shared" ref="E9" si="4">+E25+E34+E54</f>
        <v>438262</v>
      </c>
      <c r="F9" s="214">
        <f t="shared" ref="F9:I9" si="5">+F25+F34+F54</f>
        <v>752501</v>
      </c>
      <c r="G9" s="214">
        <f t="shared" si="5"/>
        <v>783977</v>
      </c>
      <c r="H9" s="214">
        <f t="shared" si="5"/>
        <v>145187</v>
      </c>
      <c r="I9" s="214">
        <f t="shared" si="5"/>
        <v>126903</v>
      </c>
      <c r="J9" s="214">
        <f>+J25+J34+J55</f>
        <v>0</v>
      </c>
      <c r="K9" s="214">
        <f>+K25+K34+K55</f>
        <v>0</v>
      </c>
      <c r="L9" s="214">
        <f>+L25+L34+L55</f>
        <v>0</v>
      </c>
      <c r="M9" s="594">
        <f>SUM(E9:K9)</f>
        <v>2246830</v>
      </c>
      <c r="N9" s="594">
        <f>SUM(G9:L9)</f>
        <v>1056067</v>
      </c>
      <c r="O9" s="753"/>
    </row>
    <row r="10" spans="1:16" s="789" customFormat="1" ht="13.5" customHeight="1" thickBot="1">
      <c r="A10" s="601"/>
      <c r="B10" s="790" t="s">
        <v>9</v>
      </c>
      <c r="C10" s="791"/>
      <c r="D10" s="948">
        <f>D43+D72</f>
        <v>7561</v>
      </c>
      <c r="E10" s="792">
        <f>E43+E72</f>
        <v>0</v>
      </c>
      <c r="F10" s="792">
        <f>F43+F72</f>
        <v>7561</v>
      </c>
      <c r="G10" s="792">
        <f t="shared" ref="G10:L10" si="6">G43+G72</f>
        <v>0</v>
      </c>
      <c r="H10" s="792">
        <f t="shared" si="6"/>
        <v>0</v>
      </c>
      <c r="I10" s="792">
        <f t="shared" si="6"/>
        <v>0</v>
      </c>
      <c r="J10" s="792">
        <f t="shared" si="6"/>
        <v>0</v>
      </c>
      <c r="K10" s="792">
        <f t="shared" si="6"/>
        <v>0</v>
      </c>
      <c r="L10" s="792">
        <f t="shared" si="6"/>
        <v>0</v>
      </c>
      <c r="M10" s="152">
        <f>SUM(E10:K10)</f>
        <v>7561</v>
      </c>
      <c r="N10" s="152">
        <f>SUM(G10:L10)</f>
        <v>0</v>
      </c>
      <c r="O10" s="753"/>
    </row>
    <row r="11" spans="1:16" ht="14.25" customHeight="1">
      <c r="A11" s="601"/>
      <c r="B11" s="93" t="s">
        <v>10</v>
      </c>
      <c r="C11" s="90"/>
      <c r="D11" s="118">
        <f>D12+D15</f>
        <v>2254391</v>
      </c>
      <c r="E11" s="118">
        <f t="shared" ref="E11" si="7">E12+E15</f>
        <v>438262</v>
      </c>
      <c r="F11" s="118">
        <f t="shared" ref="F11:L11" si="8">F12+F15</f>
        <v>760062</v>
      </c>
      <c r="G11" s="118">
        <f t="shared" si="8"/>
        <v>783977</v>
      </c>
      <c r="H11" s="118">
        <f t="shared" si="8"/>
        <v>145187</v>
      </c>
      <c r="I11" s="118">
        <f t="shared" si="8"/>
        <v>126903</v>
      </c>
      <c r="J11" s="118">
        <f t="shared" si="8"/>
        <v>0</v>
      </c>
      <c r="K11" s="118">
        <f t="shared" si="8"/>
        <v>0</v>
      </c>
      <c r="L11" s="118">
        <f t="shared" si="8"/>
        <v>0</v>
      </c>
      <c r="M11" s="508">
        <f>+M12+M15</f>
        <v>2254391</v>
      </c>
      <c r="N11" s="508">
        <f>+N12+N15</f>
        <v>1056067</v>
      </c>
      <c r="O11" s="755"/>
    </row>
    <row r="12" spans="1:16" ht="13.5" customHeight="1">
      <c r="A12" s="601"/>
      <c r="B12" s="793" t="s">
        <v>24</v>
      </c>
      <c r="C12" s="794"/>
      <c r="D12" s="795">
        <f>+D13+D14</f>
        <v>378022</v>
      </c>
      <c r="E12" s="795">
        <f t="shared" ref="E12" si="9">+E13+E14</f>
        <v>73925</v>
      </c>
      <c r="F12" s="795">
        <f t="shared" ref="F12:L12" si="10">+F13+F14</f>
        <v>124262</v>
      </c>
      <c r="G12" s="795">
        <f t="shared" si="10"/>
        <v>124824</v>
      </c>
      <c r="H12" s="795">
        <f t="shared" si="10"/>
        <v>28877</v>
      </c>
      <c r="I12" s="795">
        <f t="shared" si="10"/>
        <v>26134</v>
      </c>
      <c r="J12" s="795">
        <f t="shared" si="10"/>
        <v>0</v>
      </c>
      <c r="K12" s="795">
        <f t="shared" si="10"/>
        <v>0</v>
      </c>
      <c r="L12" s="795">
        <f t="shared" si="10"/>
        <v>0</v>
      </c>
      <c r="M12" s="796">
        <f>+M13+M14</f>
        <v>378022</v>
      </c>
      <c r="N12" s="796">
        <f>+N13+N14</f>
        <v>179835</v>
      </c>
      <c r="O12" s="757"/>
    </row>
    <row r="13" spans="1:16" ht="12">
      <c r="A13" s="601"/>
      <c r="B13" s="797" t="s">
        <v>12</v>
      </c>
      <c r="C13" s="798"/>
      <c r="D13" s="603">
        <f>D27+D36+D60</f>
        <v>278625</v>
      </c>
      <c r="E13" s="603">
        <f t="shared" ref="E13" si="11">E27+E36+E60</f>
        <v>51859</v>
      </c>
      <c r="F13" s="603">
        <f t="shared" ref="F13:L13" si="12">F27+F36+F60</f>
        <v>98890</v>
      </c>
      <c r="G13" s="603">
        <f t="shared" si="12"/>
        <v>107505</v>
      </c>
      <c r="H13" s="603">
        <f t="shared" si="12"/>
        <v>11557</v>
      </c>
      <c r="I13" s="603">
        <f t="shared" si="12"/>
        <v>8814</v>
      </c>
      <c r="J13" s="603">
        <f t="shared" si="12"/>
        <v>0</v>
      </c>
      <c r="K13" s="603">
        <f t="shared" si="12"/>
        <v>0</v>
      </c>
      <c r="L13" s="603">
        <f t="shared" si="12"/>
        <v>0</v>
      </c>
      <c r="M13" s="589">
        <f>SUM(E13:K13)</f>
        <v>278625</v>
      </c>
      <c r="N13" s="589">
        <f>SUM(G13:L13)</f>
        <v>127876</v>
      </c>
      <c r="O13" s="757"/>
    </row>
    <row r="14" spans="1:16" ht="12">
      <c r="A14" s="601"/>
      <c r="B14" s="797" t="s">
        <v>13</v>
      </c>
      <c r="C14" s="798"/>
      <c r="D14" s="799">
        <f>+D56+D74</f>
        <v>99397</v>
      </c>
      <c r="E14" s="799">
        <f>+E56+E74</f>
        <v>22066</v>
      </c>
      <c r="F14" s="799">
        <f>+F56+F74</f>
        <v>25372</v>
      </c>
      <c r="G14" s="799">
        <f t="shared" ref="G14:I14" si="13">+G56+G74</f>
        <v>17319</v>
      </c>
      <c r="H14" s="799">
        <f t="shared" si="13"/>
        <v>17320</v>
      </c>
      <c r="I14" s="799">
        <f t="shared" si="13"/>
        <v>17320</v>
      </c>
      <c r="J14" s="799">
        <f t="shared" ref="J14:L14" si="14">+J56</f>
        <v>0</v>
      </c>
      <c r="K14" s="799">
        <f t="shared" si="14"/>
        <v>0</v>
      </c>
      <c r="L14" s="799">
        <f t="shared" si="14"/>
        <v>0</v>
      </c>
      <c r="M14" s="589">
        <f>SUM(E14:K14)</f>
        <v>99397</v>
      </c>
      <c r="N14" s="589">
        <f>SUM(G14:L14)</f>
        <v>51959</v>
      </c>
      <c r="O14" s="757"/>
    </row>
    <row r="15" spans="1:16" ht="13.5" customHeight="1">
      <c r="A15" s="601"/>
      <c r="B15" s="800" t="s">
        <v>18</v>
      </c>
      <c r="C15" s="801"/>
      <c r="D15" s="795">
        <f>+D16+D17</f>
        <v>1876369</v>
      </c>
      <c r="E15" s="795">
        <f t="shared" ref="E15" si="15">+E16+E17</f>
        <v>364337</v>
      </c>
      <c r="F15" s="795">
        <f t="shared" ref="F15:L15" si="16">+F16+F17</f>
        <v>635800</v>
      </c>
      <c r="G15" s="795">
        <f t="shared" si="16"/>
        <v>659153</v>
      </c>
      <c r="H15" s="795">
        <f t="shared" si="16"/>
        <v>116310</v>
      </c>
      <c r="I15" s="795">
        <f t="shared" si="16"/>
        <v>100769</v>
      </c>
      <c r="J15" s="795">
        <f t="shared" si="16"/>
        <v>0</v>
      </c>
      <c r="K15" s="795">
        <f t="shared" si="16"/>
        <v>0</v>
      </c>
      <c r="L15" s="795">
        <f t="shared" si="16"/>
        <v>0</v>
      </c>
      <c r="M15" s="588">
        <f>+M16+M17</f>
        <v>1876369</v>
      </c>
      <c r="N15" s="588">
        <f>+N16+N17</f>
        <v>876232</v>
      </c>
      <c r="O15" s="757"/>
    </row>
    <row r="16" spans="1:16" ht="13.5" hidden="1" customHeight="1">
      <c r="A16" s="601"/>
      <c r="B16" s="797" t="s">
        <v>21</v>
      </c>
      <c r="C16" s="802"/>
      <c r="D16" s="595"/>
      <c r="E16" s="595"/>
      <c r="F16" s="595"/>
      <c r="G16" s="595"/>
      <c r="H16" s="595"/>
      <c r="I16" s="595"/>
      <c r="J16" s="595"/>
      <c r="K16" s="595"/>
      <c r="L16" s="595"/>
      <c r="M16" s="589">
        <f>SUM(E16:K16)</f>
        <v>0</v>
      </c>
      <c r="N16" s="589">
        <f>SUM(F16:L16)</f>
        <v>0</v>
      </c>
      <c r="O16" s="757"/>
    </row>
    <row r="17" spans="1:17" ht="12.75" customHeight="1">
      <c r="A17" s="601"/>
      <c r="B17" s="596" t="s">
        <v>20</v>
      </c>
      <c r="C17" s="802"/>
      <c r="D17" s="595">
        <f>+D29+D38+D62+D76</f>
        <v>1876369</v>
      </c>
      <c r="E17" s="595">
        <f>+E29+E38+E62+E76</f>
        <v>364337</v>
      </c>
      <c r="F17" s="595">
        <f>+F29+F38+F62+F76</f>
        <v>635800</v>
      </c>
      <c r="G17" s="595">
        <f t="shared" ref="G17:I17" si="17">+G29+G38+G62+G76</f>
        <v>659153</v>
      </c>
      <c r="H17" s="595">
        <f t="shared" si="17"/>
        <v>116310</v>
      </c>
      <c r="I17" s="595">
        <f t="shared" si="17"/>
        <v>100769</v>
      </c>
      <c r="J17" s="595">
        <f t="shared" ref="J17:L17" si="18">+J29+J38+J62</f>
        <v>0</v>
      </c>
      <c r="K17" s="595">
        <f t="shared" si="18"/>
        <v>0</v>
      </c>
      <c r="L17" s="595">
        <f t="shared" si="18"/>
        <v>0</v>
      </c>
      <c r="M17" s="589">
        <f>SUM(E17:K17)</f>
        <v>1876369</v>
      </c>
      <c r="N17" s="589">
        <f>SUM(G17:L17)</f>
        <v>876232</v>
      </c>
      <c r="O17" s="757"/>
    </row>
    <row r="18" spans="1:17" ht="15" customHeight="1">
      <c r="A18" s="601"/>
      <c r="B18" s="82" t="s">
        <v>22</v>
      </c>
      <c r="C18" s="522"/>
      <c r="D18" s="597">
        <f>D21+D19</f>
        <v>1975766</v>
      </c>
      <c r="E18" s="597">
        <f>E21+E20</f>
        <v>0</v>
      </c>
      <c r="F18" s="597">
        <f>F21+F20</f>
        <v>406577</v>
      </c>
      <c r="G18" s="597">
        <f t="shared" ref="G18:L18" si="19">G21+G20</f>
        <v>719266</v>
      </c>
      <c r="H18" s="597">
        <f t="shared" si="19"/>
        <v>619162</v>
      </c>
      <c r="I18" s="597">
        <f t="shared" si="19"/>
        <v>131451</v>
      </c>
      <c r="J18" s="597">
        <f t="shared" si="19"/>
        <v>99310</v>
      </c>
      <c r="K18" s="597">
        <f t="shared" si="19"/>
        <v>0</v>
      </c>
      <c r="L18" s="597">
        <f t="shared" si="19"/>
        <v>0</v>
      </c>
      <c r="M18" s="3826" t="s">
        <v>61</v>
      </c>
      <c r="N18" s="3826" t="s">
        <v>61</v>
      </c>
      <c r="O18" s="604"/>
      <c r="P18" s="605"/>
    </row>
    <row r="19" spans="1:17" ht="12">
      <c r="A19" s="601"/>
      <c r="B19" s="598" t="s">
        <v>12</v>
      </c>
      <c r="C19" s="599"/>
      <c r="D19" s="600">
        <f>+D20</f>
        <v>99397</v>
      </c>
      <c r="E19" s="600">
        <f t="shared" ref="E19:L19" si="20">+E20</f>
        <v>0</v>
      </c>
      <c r="F19" s="600">
        <f t="shared" si="20"/>
        <v>28409</v>
      </c>
      <c r="G19" s="600">
        <f t="shared" si="20"/>
        <v>23359</v>
      </c>
      <c r="H19" s="600">
        <f t="shared" si="20"/>
        <v>17319</v>
      </c>
      <c r="I19" s="600">
        <f t="shared" si="20"/>
        <v>17320</v>
      </c>
      <c r="J19" s="600">
        <f t="shared" si="20"/>
        <v>12990</v>
      </c>
      <c r="K19" s="600">
        <f t="shared" si="20"/>
        <v>0</v>
      </c>
      <c r="L19" s="600">
        <f t="shared" si="20"/>
        <v>0</v>
      </c>
      <c r="M19" s="3273"/>
      <c r="N19" s="3273"/>
      <c r="O19" s="604"/>
      <c r="P19" s="605"/>
    </row>
    <row r="20" spans="1:17" ht="12">
      <c r="A20" s="601"/>
      <c r="B20" s="602" t="s">
        <v>13</v>
      </c>
      <c r="C20" s="599"/>
      <c r="D20" s="603">
        <f>+D68+D79</f>
        <v>99397</v>
      </c>
      <c r="E20" s="603">
        <f>+E68+E79</f>
        <v>0</v>
      </c>
      <c r="F20" s="603">
        <f>+F68+F79</f>
        <v>28409</v>
      </c>
      <c r="G20" s="603">
        <f>+G68+G79</f>
        <v>23359</v>
      </c>
      <c r="H20" s="603">
        <f t="shared" ref="H20:J20" si="21">+H68+H79</f>
        <v>17319</v>
      </c>
      <c r="I20" s="603">
        <f t="shared" si="21"/>
        <v>17320</v>
      </c>
      <c r="J20" s="603">
        <f t="shared" si="21"/>
        <v>12990</v>
      </c>
      <c r="K20" s="603">
        <f t="shared" ref="K20:L20" si="22">+K68</f>
        <v>0</v>
      </c>
      <c r="L20" s="603">
        <f t="shared" si="22"/>
        <v>0</v>
      </c>
      <c r="M20" s="3273"/>
      <c r="N20" s="3273"/>
      <c r="O20" s="604"/>
      <c r="P20" s="605">
        <f>D14-D20</f>
        <v>0</v>
      </c>
    </row>
    <row r="21" spans="1:17" ht="12">
      <c r="A21" s="607"/>
      <c r="B21" s="183" t="s">
        <v>18</v>
      </c>
      <c r="C21" s="608"/>
      <c r="D21" s="609">
        <f>+D22+D23</f>
        <v>1876369</v>
      </c>
      <c r="E21" s="609">
        <f t="shared" ref="E21" si="23">+E22+E23</f>
        <v>0</v>
      </c>
      <c r="F21" s="609">
        <f t="shared" ref="F21:L21" si="24">+F22+F23</f>
        <v>378168</v>
      </c>
      <c r="G21" s="609">
        <f t="shared" si="24"/>
        <v>695907</v>
      </c>
      <c r="H21" s="609">
        <f t="shared" si="24"/>
        <v>601843</v>
      </c>
      <c r="I21" s="609">
        <f t="shared" si="24"/>
        <v>114131</v>
      </c>
      <c r="J21" s="609">
        <f t="shared" si="24"/>
        <v>86320</v>
      </c>
      <c r="K21" s="609">
        <f t="shared" si="24"/>
        <v>0</v>
      </c>
      <c r="L21" s="609">
        <f t="shared" si="24"/>
        <v>0</v>
      </c>
      <c r="M21" s="3273"/>
      <c r="N21" s="3273"/>
      <c r="O21" s="604"/>
    </row>
    <row r="22" spans="1:17" ht="15" hidden="1" customHeight="1">
      <c r="A22" s="607"/>
      <c r="B22" s="602" t="s">
        <v>21</v>
      </c>
      <c r="C22" s="599"/>
      <c r="D22" s="603"/>
      <c r="E22" s="603"/>
      <c r="F22" s="603"/>
      <c r="G22" s="603"/>
      <c r="H22" s="603"/>
      <c r="I22" s="603"/>
      <c r="J22" s="603"/>
      <c r="K22" s="603"/>
      <c r="L22" s="603"/>
      <c r="M22" s="3273"/>
      <c r="N22" s="3273"/>
      <c r="O22" s="604"/>
      <c r="P22" s="605"/>
    </row>
    <row r="23" spans="1:17" ht="12.75" thickBot="1">
      <c r="A23" s="610"/>
      <c r="B23" s="611" t="s">
        <v>20</v>
      </c>
      <c r="C23" s="803"/>
      <c r="D23" s="603">
        <f>+D32+D41+D70+D81</f>
        <v>1876369</v>
      </c>
      <c r="E23" s="603">
        <f t="shared" ref="E23" si="25">+E32+E41+E70+E81</f>
        <v>0</v>
      </c>
      <c r="F23" s="603">
        <f t="shared" ref="F23:J23" si="26">+F32+F41+F70+F81</f>
        <v>378168</v>
      </c>
      <c r="G23" s="603">
        <f t="shared" si="26"/>
        <v>695907</v>
      </c>
      <c r="H23" s="603">
        <f t="shared" si="26"/>
        <v>601843</v>
      </c>
      <c r="I23" s="603">
        <f t="shared" si="26"/>
        <v>114131</v>
      </c>
      <c r="J23" s="603">
        <f t="shared" si="26"/>
        <v>86320</v>
      </c>
      <c r="K23" s="603">
        <f t="shared" ref="K23:L23" si="27">+K32+K41+K70</f>
        <v>0</v>
      </c>
      <c r="L23" s="603">
        <f t="shared" si="27"/>
        <v>0</v>
      </c>
      <c r="M23" s="3274"/>
      <c r="N23" s="3274"/>
      <c r="O23" s="804"/>
      <c r="P23" s="605">
        <f>D17-D23</f>
        <v>0</v>
      </c>
    </row>
    <row r="24" spans="1:17" ht="25.5" customHeight="1">
      <c r="A24" s="3830" t="s">
        <v>63</v>
      </c>
      <c r="B24" s="612" t="s">
        <v>508</v>
      </c>
      <c r="C24" s="613" t="s">
        <v>109</v>
      </c>
      <c r="D24" s="805"/>
      <c r="E24" s="806"/>
      <c r="F24" s="807"/>
      <c r="G24" s="807"/>
      <c r="H24" s="807"/>
      <c r="I24" s="807"/>
      <c r="J24" s="807"/>
      <c r="K24" s="807"/>
      <c r="L24" s="807"/>
      <c r="M24" s="808"/>
      <c r="N24" s="808"/>
      <c r="O24" s="3833" t="s">
        <v>326</v>
      </c>
    </row>
    <row r="25" spans="1:17" ht="12">
      <c r="A25" s="3848"/>
      <c r="B25" s="491" t="s">
        <v>10</v>
      </c>
      <c r="C25" s="522"/>
      <c r="D25" s="513">
        <f t="shared" ref="D25" si="28">+D26+D28</f>
        <v>960682</v>
      </c>
      <c r="E25" s="513">
        <f t="shared" ref="E25" si="29">+E26+E28</f>
        <v>184963</v>
      </c>
      <c r="F25" s="513">
        <f t="shared" ref="F25:H25" si="30">+F26+F28</f>
        <v>332877</v>
      </c>
      <c r="G25" s="513">
        <f t="shared" si="30"/>
        <v>408671</v>
      </c>
      <c r="H25" s="513">
        <f t="shared" si="30"/>
        <v>34171</v>
      </c>
      <c r="I25" s="513"/>
      <c r="J25" s="513"/>
      <c r="K25" s="513"/>
      <c r="L25" s="513"/>
      <c r="M25" s="508">
        <f>+M26+M28</f>
        <v>775719</v>
      </c>
      <c r="N25" s="508">
        <f>+N26+N28</f>
        <v>442842</v>
      </c>
      <c r="O25" s="3834"/>
      <c r="P25" s="605"/>
      <c r="Q25" s="605"/>
    </row>
    <row r="26" spans="1:17" ht="13.5" customHeight="1">
      <c r="A26" s="3848"/>
      <c r="B26" s="809" t="s">
        <v>24</v>
      </c>
      <c r="C26" s="3232" t="s">
        <v>268</v>
      </c>
      <c r="D26" s="614">
        <f>+D27</f>
        <v>144099</v>
      </c>
      <c r="E26" s="616">
        <f t="shared" ref="E26:H26" si="31">+E27</f>
        <v>27744</v>
      </c>
      <c r="F26" s="509">
        <f t="shared" si="31"/>
        <v>49931</v>
      </c>
      <c r="G26" s="509">
        <f t="shared" si="31"/>
        <v>61298</v>
      </c>
      <c r="H26" s="509">
        <f t="shared" si="31"/>
        <v>5126</v>
      </c>
      <c r="I26" s="509"/>
      <c r="J26" s="509"/>
      <c r="K26" s="509"/>
      <c r="L26" s="509"/>
      <c r="M26" s="520">
        <f>+M27</f>
        <v>116355</v>
      </c>
      <c r="N26" s="520">
        <f>+N27</f>
        <v>66424</v>
      </c>
      <c r="O26" s="3835"/>
    </row>
    <row r="27" spans="1:17" ht="13.5" customHeight="1">
      <c r="A27" s="3848"/>
      <c r="B27" s="810" t="s">
        <v>12</v>
      </c>
      <c r="C27" s="3837"/>
      <c r="D27" s="247">
        <f>E27+F27+G27+H27+I27+J27+K27+L27</f>
        <v>144099</v>
      </c>
      <c r="E27" s="284">
        <v>27744</v>
      </c>
      <c r="F27" s="496">
        <f>58031-8100</f>
        <v>49931</v>
      </c>
      <c r="G27" s="496">
        <f>53201+8098-1</f>
        <v>61298</v>
      </c>
      <c r="H27" s="496">
        <v>5126</v>
      </c>
      <c r="I27" s="496"/>
      <c r="J27" s="496"/>
      <c r="K27" s="496"/>
      <c r="L27" s="496"/>
      <c r="M27" s="589">
        <f>SUM(F27:K27)</f>
        <v>116355</v>
      </c>
      <c r="N27" s="589">
        <f>SUM(G27:L27)</f>
        <v>66424</v>
      </c>
      <c r="O27" s="3835"/>
    </row>
    <row r="28" spans="1:17" ht="13.5" customHeight="1">
      <c r="A28" s="3848"/>
      <c r="B28" s="811" t="s">
        <v>18</v>
      </c>
      <c r="C28" s="3837"/>
      <c r="D28" s="617">
        <f t="shared" ref="D28:N28" si="32">+D29</f>
        <v>816583</v>
      </c>
      <c r="E28" s="614">
        <f t="shared" si="32"/>
        <v>157219</v>
      </c>
      <c r="F28" s="618">
        <f>+F29</f>
        <v>282946</v>
      </c>
      <c r="G28" s="618">
        <f>+G29</f>
        <v>347373</v>
      </c>
      <c r="H28" s="618">
        <f>+H29</f>
        <v>29045</v>
      </c>
      <c r="I28" s="618"/>
      <c r="J28" s="618"/>
      <c r="K28" s="618"/>
      <c r="L28" s="618"/>
      <c r="M28" s="588">
        <f t="shared" si="32"/>
        <v>659364</v>
      </c>
      <c r="N28" s="588">
        <f t="shared" si="32"/>
        <v>376418</v>
      </c>
      <c r="O28" s="3835"/>
    </row>
    <row r="29" spans="1:17" ht="13.5" customHeight="1">
      <c r="A29" s="3848"/>
      <c r="B29" s="676" t="s">
        <v>20</v>
      </c>
      <c r="C29" s="3837"/>
      <c r="D29" s="247">
        <f>E29+F29+G29+H29+I29+J29+K29+L29</f>
        <v>816583</v>
      </c>
      <c r="E29" s="284">
        <v>157219</v>
      </c>
      <c r="F29" s="2306">
        <f>328844-45898</f>
        <v>282946</v>
      </c>
      <c r="G29" s="2306">
        <f>301472+45901</f>
        <v>347373</v>
      </c>
      <c r="H29" s="590">
        <v>29045</v>
      </c>
      <c r="I29" s="590"/>
      <c r="J29" s="590"/>
      <c r="K29" s="590"/>
      <c r="L29" s="590"/>
      <c r="M29" s="589">
        <f>SUM(F29:K29)</f>
        <v>659364</v>
      </c>
      <c r="N29" s="589">
        <f>SUM(G29:L29)</f>
        <v>376418</v>
      </c>
      <c r="O29" s="3835"/>
    </row>
    <row r="30" spans="1:17" ht="12">
      <c r="A30" s="3848"/>
      <c r="B30" s="491" t="s">
        <v>22</v>
      </c>
      <c r="C30" s="522"/>
      <c r="D30" s="813">
        <f>+D31</f>
        <v>816583</v>
      </c>
      <c r="E30" s="813">
        <v>0</v>
      </c>
      <c r="F30" s="813">
        <f t="shared" ref="F30:I31" si="33">+F31</f>
        <v>159401</v>
      </c>
      <c r="G30" s="813">
        <f t="shared" si="33"/>
        <v>328844</v>
      </c>
      <c r="H30" s="813">
        <f t="shared" si="33"/>
        <v>301472</v>
      </c>
      <c r="I30" s="813">
        <f t="shared" si="33"/>
        <v>26866</v>
      </c>
      <c r="J30" s="513"/>
      <c r="K30" s="513"/>
      <c r="L30" s="513"/>
      <c r="M30" s="3826" t="s">
        <v>61</v>
      </c>
      <c r="N30" s="3826" t="s">
        <v>61</v>
      </c>
      <c r="O30" s="3835"/>
    </row>
    <row r="31" spans="1:17" ht="13.5" customHeight="1">
      <c r="A31" s="3848"/>
      <c r="B31" s="811" t="s">
        <v>18</v>
      </c>
      <c r="C31" s="3279" t="s">
        <v>268</v>
      </c>
      <c r="D31" s="617">
        <f>+D32</f>
        <v>816583</v>
      </c>
      <c r="E31" s="617">
        <v>0</v>
      </c>
      <c r="F31" s="617">
        <f t="shared" si="33"/>
        <v>159401</v>
      </c>
      <c r="G31" s="617">
        <f t="shared" si="33"/>
        <v>328844</v>
      </c>
      <c r="H31" s="617">
        <f t="shared" si="33"/>
        <v>301472</v>
      </c>
      <c r="I31" s="617">
        <f t="shared" si="33"/>
        <v>26866</v>
      </c>
      <c r="J31" s="617"/>
      <c r="K31" s="617"/>
      <c r="L31" s="617"/>
      <c r="M31" s="3273"/>
      <c r="N31" s="3273"/>
      <c r="O31" s="3835"/>
      <c r="P31" s="605">
        <f>+D32-D29</f>
        <v>0</v>
      </c>
    </row>
    <row r="32" spans="1:17" ht="12.75" thickBot="1">
      <c r="A32" s="3849"/>
      <c r="B32" s="676" t="s">
        <v>20</v>
      </c>
      <c r="C32" s="3838"/>
      <c r="D32" s="247">
        <f>E32+F32+G32+H32+I32+J32+K32+L32</f>
        <v>816583</v>
      </c>
      <c r="E32" s="284">
        <v>0</v>
      </c>
      <c r="F32" s="619">
        <v>159401</v>
      </c>
      <c r="G32" s="619">
        <v>328844</v>
      </c>
      <c r="H32" s="619">
        <v>301472</v>
      </c>
      <c r="I32" s="619">
        <f>29045-2182+3</f>
        <v>26866</v>
      </c>
      <c r="J32" s="619"/>
      <c r="K32" s="619"/>
      <c r="L32" s="619"/>
      <c r="M32" s="3274"/>
      <c r="N32" s="3274"/>
      <c r="O32" s="3836"/>
    </row>
    <row r="33" spans="1:19" ht="40.5" customHeight="1">
      <c r="A33" s="3830" t="s">
        <v>64</v>
      </c>
      <c r="B33" s="612" t="s">
        <v>509</v>
      </c>
      <c r="C33" s="613" t="s">
        <v>109</v>
      </c>
      <c r="D33" s="805"/>
      <c r="E33" s="806"/>
      <c r="F33" s="807"/>
      <c r="G33" s="807"/>
      <c r="H33" s="807"/>
      <c r="I33" s="807"/>
      <c r="J33" s="807"/>
      <c r="K33" s="807"/>
      <c r="L33" s="807"/>
      <c r="M33" s="814"/>
      <c r="N33" s="814"/>
      <c r="O33" s="3833" t="s">
        <v>326</v>
      </c>
    </row>
    <row r="34" spans="1:19" ht="12.75" customHeight="1">
      <c r="A34" s="3848"/>
      <c r="B34" s="491" t="s">
        <v>10</v>
      </c>
      <c r="C34" s="522"/>
      <c r="D34" s="813">
        <f t="shared" ref="D34:I34" si="34">+D35+D37</f>
        <v>895017</v>
      </c>
      <c r="E34" s="513">
        <f t="shared" ref="E34" si="35">+E35+E37</f>
        <v>164812</v>
      </c>
      <c r="F34" s="513">
        <f>+F35+F37</f>
        <v>325414</v>
      </c>
      <c r="G34" s="513">
        <f t="shared" si="34"/>
        <v>305828</v>
      </c>
      <c r="H34" s="513">
        <f t="shared" si="34"/>
        <v>41538</v>
      </c>
      <c r="I34" s="513">
        <f t="shared" si="34"/>
        <v>57425</v>
      </c>
      <c r="J34" s="513"/>
      <c r="K34" s="513"/>
      <c r="L34" s="513"/>
      <c r="M34" s="508">
        <f>+M35+M37</f>
        <v>730205</v>
      </c>
      <c r="N34" s="508">
        <f>+N35+N37</f>
        <v>404791</v>
      </c>
      <c r="O34" s="3834"/>
      <c r="P34" s="605"/>
      <c r="Q34" s="605"/>
      <c r="R34" s="605"/>
      <c r="S34" s="605"/>
    </row>
    <row r="35" spans="1:19" ht="12" customHeight="1">
      <c r="A35" s="3848"/>
      <c r="B35" s="809" t="s">
        <v>24</v>
      </c>
      <c r="C35" s="3232" t="s">
        <v>268</v>
      </c>
      <c r="D35" s="815">
        <f>+D36</f>
        <v>133424</v>
      </c>
      <c r="E35" s="621">
        <f t="shared" ref="E35:I35" si="36">+E36</f>
        <v>23893</v>
      </c>
      <c r="F35" s="620">
        <f t="shared" si="36"/>
        <v>48679</v>
      </c>
      <c r="G35" s="620">
        <f t="shared" si="36"/>
        <v>46007</v>
      </c>
      <c r="H35" s="620">
        <f t="shared" si="36"/>
        <v>6231</v>
      </c>
      <c r="I35" s="620">
        <f t="shared" si="36"/>
        <v>8614</v>
      </c>
      <c r="J35" s="519"/>
      <c r="K35" s="519"/>
      <c r="L35" s="519"/>
      <c r="M35" s="588">
        <f>+M36</f>
        <v>109531</v>
      </c>
      <c r="N35" s="588">
        <f>+N36</f>
        <v>60852</v>
      </c>
      <c r="O35" s="3835"/>
    </row>
    <row r="36" spans="1:19" ht="12">
      <c r="A36" s="3848"/>
      <c r="B36" s="810" t="s">
        <v>12</v>
      </c>
      <c r="C36" s="3837"/>
      <c r="D36" s="247">
        <f>E36+F36+G36+H36+I36+J36+K36+L36</f>
        <v>133424</v>
      </c>
      <c r="E36" s="284">
        <v>23893</v>
      </c>
      <c r="F36" s="496">
        <f>52409-1560-2170</f>
        <v>48679</v>
      </c>
      <c r="G36" s="496">
        <f>43837+2170</f>
        <v>46007</v>
      </c>
      <c r="H36" s="496">
        <v>6231</v>
      </c>
      <c r="I36" s="496">
        <v>8614</v>
      </c>
      <c r="J36" s="496"/>
      <c r="K36" s="496"/>
      <c r="L36" s="496"/>
      <c r="M36" s="589">
        <f>SUM(F36:K36)</f>
        <v>109531</v>
      </c>
      <c r="N36" s="589">
        <f>SUM(G36:L36)</f>
        <v>60852</v>
      </c>
      <c r="O36" s="3835"/>
    </row>
    <row r="37" spans="1:19" ht="12">
      <c r="A37" s="3848"/>
      <c r="B37" s="811" t="s">
        <v>18</v>
      </c>
      <c r="C37" s="3837"/>
      <c r="D37" s="622">
        <f t="shared" ref="D37:N37" si="37">+D38</f>
        <v>761593</v>
      </c>
      <c r="E37" s="614">
        <f t="shared" si="37"/>
        <v>140919</v>
      </c>
      <c r="F37" s="616">
        <f t="shared" si="37"/>
        <v>276735</v>
      </c>
      <c r="G37" s="616">
        <f t="shared" si="37"/>
        <v>259821</v>
      </c>
      <c r="H37" s="616">
        <f t="shared" si="37"/>
        <v>35307</v>
      </c>
      <c r="I37" s="616">
        <f t="shared" si="37"/>
        <v>48811</v>
      </c>
      <c r="J37" s="615"/>
      <c r="K37" s="615"/>
      <c r="L37" s="615"/>
      <c r="M37" s="588">
        <f t="shared" si="37"/>
        <v>620674</v>
      </c>
      <c r="N37" s="588">
        <f t="shared" si="37"/>
        <v>343939</v>
      </c>
      <c r="O37" s="3835"/>
    </row>
    <row r="38" spans="1:19" ht="12">
      <c r="A38" s="3848"/>
      <c r="B38" s="676" t="s">
        <v>20</v>
      </c>
      <c r="C38" s="3837"/>
      <c r="D38" s="247">
        <f>E38+F38+G38+H38+I38+J38+K38+L38</f>
        <v>761593</v>
      </c>
      <c r="E38" s="284">
        <v>140919</v>
      </c>
      <c r="F38" s="590">
        <f>296984-8840-11410+1</f>
        <v>276735</v>
      </c>
      <c r="G38" s="590">
        <f>248412+11409</f>
        <v>259821</v>
      </c>
      <c r="H38" s="590">
        <v>35307</v>
      </c>
      <c r="I38" s="590">
        <v>48811</v>
      </c>
      <c r="J38" s="590"/>
      <c r="K38" s="590"/>
      <c r="L38" s="590"/>
      <c r="M38" s="589">
        <f>SUM(F38:K38)</f>
        <v>620674</v>
      </c>
      <c r="N38" s="589">
        <f>SUM(G38:L38)</f>
        <v>343939</v>
      </c>
      <c r="O38" s="3835"/>
    </row>
    <row r="39" spans="1:19" ht="12">
      <c r="A39" s="3848"/>
      <c r="B39" s="488" t="s">
        <v>22</v>
      </c>
      <c r="C39" s="522"/>
      <c r="D39" s="813">
        <f>+D40</f>
        <v>761593</v>
      </c>
      <c r="E39" s="813">
        <v>0</v>
      </c>
      <c r="F39" s="813">
        <f t="shared" ref="F39:I39" si="38">+F40</f>
        <v>133538</v>
      </c>
      <c r="G39" s="813">
        <f t="shared" si="38"/>
        <v>296984</v>
      </c>
      <c r="H39" s="813">
        <f t="shared" si="38"/>
        <v>248412</v>
      </c>
      <c r="I39" s="813">
        <f t="shared" si="38"/>
        <v>35307</v>
      </c>
      <c r="J39" s="813">
        <f t="shared" ref="F39:J40" si="39">+J40</f>
        <v>47352</v>
      </c>
      <c r="K39" s="513"/>
      <c r="L39" s="513"/>
      <c r="M39" s="3826" t="s">
        <v>61</v>
      </c>
      <c r="N39" s="3826" t="s">
        <v>61</v>
      </c>
      <c r="O39" s="3835"/>
    </row>
    <row r="40" spans="1:19" ht="12" customHeight="1">
      <c r="A40" s="3848"/>
      <c r="B40" s="811" t="s">
        <v>18</v>
      </c>
      <c r="C40" s="3279" t="s">
        <v>268</v>
      </c>
      <c r="D40" s="622">
        <f>+D41</f>
        <v>761593</v>
      </c>
      <c r="E40" s="617">
        <v>0</v>
      </c>
      <c r="F40" s="617">
        <f t="shared" si="39"/>
        <v>133538</v>
      </c>
      <c r="G40" s="617">
        <f t="shared" si="39"/>
        <v>296984</v>
      </c>
      <c r="H40" s="617">
        <f t="shared" si="39"/>
        <v>248412</v>
      </c>
      <c r="I40" s="617">
        <f t="shared" si="39"/>
        <v>35307</v>
      </c>
      <c r="J40" s="617">
        <f t="shared" si="39"/>
        <v>47352</v>
      </c>
      <c r="K40" s="617"/>
      <c r="L40" s="617"/>
      <c r="M40" s="3273"/>
      <c r="N40" s="3273"/>
      <c r="O40" s="3835"/>
    </row>
    <row r="41" spans="1:19" ht="13.5" thickBot="1">
      <c r="A41" s="3849"/>
      <c r="B41" s="676" t="s">
        <v>20</v>
      </c>
      <c r="C41" s="3838"/>
      <c r="D41" s="247">
        <f>E41+F41+G41+H41+I41+J41+K41+L41</f>
        <v>761593</v>
      </c>
      <c r="E41" s="284">
        <v>0</v>
      </c>
      <c r="F41" s="483">
        <v>133538</v>
      </c>
      <c r="G41" s="483">
        <v>296984</v>
      </c>
      <c r="H41" s="483">
        <v>248412</v>
      </c>
      <c r="I41" s="483">
        <f>35307</f>
        <v>35307</v>
      </c>
      <c r="J41" s="483">
        <f>48811-1459</f>
        <v>47352</v>
      </c>
      <c r="K41" s="816"/>
      <c r="L41" s="816"/>
      <c r="M41" s="3274"/>
      <c r="N41" s="3274"/>
      <c r="O41" s="3836"/>
      <c r="P41" s="605">
        <f>+D41-D38</f>
        <v>0</v>
      </c>
    </row>
    <row r="42" spans="1:19" ht="12" hidden="1">
      <c r="A42" s="3830" t="s">
        <v>64</v>
      </c>
      <c r="B42" s="612"/>
      <c r="C42" s="613" t="s">
        <v>81</v>
      </c>
      <c r="D42" s="805"/>
      <c r="E42" s="806"/>
      <c r="F42" s="807"/>
      <c r="G42" s="807"/>
      <c r="H42" s="807"/>
      <c r="I42" s="807"/>
      <c r="J42" s="807"/>
      <c r="K42" s="807"/>
      <c r="L42" s="807"/>
      <c r="M42" s="808"/>
      <c r="N42" s="808"/>
      <c r="O42" s="3833"/>
    </row>
    <row r="43" spans="1:19" ht="15.75" hidden="1" customHeight="1">
      <c r="A43" s="3831"/>
      <c r="B43" s="491" t="s">
        <v>10</v>
      </c>
      <c r="C43" s="522"/>
      <c r="D43" s="813"/>
      <c r="E43" s="513">
        <v>0</v>
      </c>
      <c r="F43" s="513"/>
      <c r="G43" s="513"/>
      <c r="H43" s="513"/>
      <c r="I43" s="513"/>
      <c r="J43" s="513"/>
      <c r="K43" s="513"/>
      <c r="L43" s="513"/>
      <c r="M43" s="508">
        <f>+M44+M46</f>
        <v>0</v>
      </c>
      <c r="N43" s="508">
        <f>+N44+N46</f>
        <v>0</v>
      </c>
      <c r="O43" s="3834"/>
      <c r="Q43" s="605"/>
    </row>
    <row r="44" spans="1:19" ht="12.75" hidden="1" customHeight="1">
      <c r="A44" s="3831"/>
      <c r="B44" s="809" t="s">
        <v>24</v>
      </c>
      <c r="C44" s="3232" t="s">
        <v>202</v>
      </c>
      <c r="D44" s="815"/>
      <c r="E44" s="621">
        <v>0</v>
      </c>
      <c r="F44" s="789"/>
      <c r="G44" s="789"/>
      <c r="H44" s="789"/>
      <c r="I44" s="789"/>
      <c r="J44" s="789"/>
      <c r="K44" s="789"/>
      <c r="L44" s="789"/>
      <c r="M44" s="588">
        <f>+M45</f>
        <v>0</v>
      </c>
      <c r="N44" s="588">
        <f>+N45</f>
        <v>0</v>
      </c>
      <c r="O44" s="3835"/>
    </row>
    <row r="45" spans="1:19" ht="12.75" hidden="1" customHeight="1">
      <c r="A45" s="3831"/>
      <c r="B45" s="810" t="s">
        <v>12</v>
      </c>
      <c r="C45" s="3837"/>
      <c r="D45" s="624"/>
      <c r="E45" s="510">
        <v>0</v>
      </c>
      <c r="F45" s="496"/>
      <c r="G45" s="496"/>
      <c r="H45" s="496"/>
      <c r="I45" s="496"/>
      <c r="J45" s="203"/>
      <c r="K45" s="203"/>
      <c r="L45" s="203"/>
      <c r="M45" s="817"/>
      <c r="N45" s="817"/>
      <c r="O45" s="3835"/>
    </row>
    <row r="46" spans="1:19" ht="12" hidden="1" customHeight="1">
      <c r="A46" s="3831"/>
      <c r="B46" s="811" t="s">
        <v>18</v>
      </c>
      <c r="C46" s="3837"/>
      <c r="D46" s="625"/>
      <c r="E46" s="614">
        <v>0</v>
      </c>
      <c r="F46" s="618"/>
      <c r="G46" s="618"/>
      <c r="H46" s="618"/>
      <c r="I46" s="618"/>
      <c r="J46" s="618"/>
      <c r="K46" s="618"/>
      <c r="L46" s="618"/>
      <c r="M46" s="588">
        <f t="shared" ref="M46:N46" si="40">+M47</f>
        <v>0</v>
      </c>
      <c r="N46" s="588">
        <f t="shared" si="40"/>
        <v>0</v>
      </c>
      <c r="O46" s="3835"/>
    </row>
    <row r="47" spans="1:19" ht="13.5" hidden="1" thickBot="1">
      <c r="A47" s="3831"/>
      <c r="B47" s="818" t="s">
        <v>21</v>
      </c>
      <c r="C47" s="3837"/>
      <c r="D47" s="510"/>
      <c r="E47" s="510"/>
      <c r="F47" s="590"/>
      <c r="G47" s="590"/>
      <c r="H47" s="590"/>
      <c r="I47" s="590"/>
      <c r="J47" s="590"/>
      <c r="K47" s="590"/>
      <c r="L47" s="590"/>
      <c r="M47" s="589">
        <f>SUM(E47:H47)</f>
        <v>0</v>
      </c>
      <c r="N47" s="589">
        <f>SUM(F47:I47)</f>
        <v>0</v>
      </c>
      <c r="O47" s="3835"/>
    </row>
    <row r="48" spans="1:19" ht="15.75" hidden="1" customHeight="1">
      <c r="A48" s="3831"/>
      <c r="B48" s="488" t="s">
        <v>22</v>
      </c>
      <c r="C48" s="522"/>
      <c r="D48" s="101"/>
      <c r="E48" s="813">
        <v>0</v>
      </c>
      <c r="F48" s="813"/>
      <c r="G48" s="513"/>
      <c r="H48" s="513"/>
      <c r="I48" s="513"/>
      <c r="J48" s="513"/>
      <c r="K48" s="513"/>
      <c r="L48" s="513"/>
      <c r="M48" s="3826" t="s">
        <v>61</v>
      </c>
      <c r="N48" s="3826" t="s">
        <v>61</v>
      </c>
      <c r="O48" s="3835"/>
    </row>
    <row r="49" spans="1:16" ht="15.75" hidden="1" customHeight="1">
      <c r="A49" s="3831"/>
      <c r="B49" s="626"/>
      <c r="C49" s="627"/>
      <c r="D49" s="819"/>
      <c r="E49" s="820"/>
      <c r="F49" s="820"/>
      <c r="G49" s="821"/>
      <c r="H49" s="821"/>
      <c r="I49" s="821"/>
      <c r="J49" s="821"/>
      <c r="K49" s="821"/>
      <c r="L49" s="821"/>
      <c r="M49" s="3273"/>
      <c r="N49" s="3273"/>
      <c r="O49" s="3835"/>
    </row>
    <row r="50" spans="1:16" ht="15.75" hidden="1" customHeight="1">
      <c r="A50" s="3831"/>
      <c r="B50" s="626"/>
      <c r="C50" s="627"/>
      <c r="D50" s="819"/>
      <c r="E50" s="820"/>
      <c r="F50" s="820"/>
      <c r="G50" s="821"/>
      <c r="H50" s="821"/>
      <c r="I50" s="821"/>
      <c r="J50" s="821"/>
      <c r="K50" s="821"/>
      <c r="L50" s="821"/>
      <c r="M50" s="3273"/>
      <c r="N50" s="3273"/>
      <c r="O50" s="3835"/>
    </row>
    <row r="51" spans="1:16" ht="12" hidden="1" customHeight="1">
      <c r="A51" s="3831"/>
      <c r="B51" s="811" t="s">
        <v>18</v>
      </c>
      <c r="C51" s="3279" t="s">
        <v>203</v>
      </c>
      <c r="D51" s="622"/>
      <c r="E51" s="617">
        <v>0</v>
      </c>
      <c r="F51" s="617"/>
      <c r="G51" s="617"/>
      <c r="H51" s="617"/>
      <c r="I51" s="617"/>
      <c r="J51" s="617"/>
      <c r="K51" s="617"/>
      <c r="L51" s="617"/>
      <c r="M51" s="3273"/>
      <c r="N51" s="3273"/>
      <c r="O51" s="3835"/>
    </row>
    <row r="52" spans="1:16" ht="13.5" hidden="1" thickBot="1">
      <c r="A52" s="3832"/>
      <c r="B52" s="818" t="s">
        <v>21</v>
      </c>
      <c r="C52" s="3838"/>
      <c r="D52" s="483"/>
      <c r="E52" s="483"/>
      <c r="F52" s="623"/>
      <c r="G52" s="623"/>
      <c r="H52" s="623"/>
      <c r="I52" s="623"/>
      <c r="J52" s="623"/>
      <c r="K52" s="623"/>
      <c r="L52" s="623"/>
      <c r="M52" s="3274"/>
      <c r="N52" s="3274"/>
      <c r="O52" s="3836"/>
    </row>
    <row r="53" spans="1:16" s="2199" customFormat="1" ht="24" customHeight="1">
      <c r="A53" s="3827" t="s">
        <v>65</v>
      </c>
      <c r="B53" s="74" t="s">
        <v>442</v>
      </c>
      <c r="C53" s="58" t="s">
        <v>109</v>
      </c>
      <c r="D53" s="822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3202" t="s">
        <v>308</v>
      </c>
    </row>
    <row r="54" spans="1:16" s="2199" customFormat="1" ht="12.75">
      <c r="A54" s="3828"/>
      <c r="B54" s="1902" t="s">
        <v>10</v>
      </c>
      <c r="C54" s="1800"/>
      <c r="D54" s="1865">
        <f>+D55+D61</f>
        <v>391131</v>
      </c>
      <c r="E54" s="1865">
        <f t="shared" ref="E54" si="41">+E55+E61</f>
        <v>88487</v>
      </c>
      <c r="F54" s="1870">
        <f t="shared" ref="F54:I54" si="42">+F55+F61</f>
        <v>94210</v>
      </c>
      <c r="G54" s="1870">
        <f t="shared" si="42"/>
        <v>69478</v>
      </c>
      <c r="H54" s="1870">
        <f t="shared" si="42"/>
        <v>69478</v>
      </c>
      <c r="I54" s="1870">
        <f t="shared" si="42"/>
        <v>69478</v>
      </c>
      <c r="J54" s="1870"/>
      <c r="K54" s="1870"/>
      <c r="L54" s="1870"/>
      <c r="M54" s="1898">
        <f>+M55+M61</f>
        <v>302644</v>
      </c>
      <c r="N54" s="1898">
        <f>+N55+N61</f>
        <v>208434</v>
      </c>
      <c r="O54" s="3203"/>
      <c r="P54" s="823"/>
    </row>
    <row r="55" spans="1:16" s="2199" customFormat="1" ht="12.75">
      <c r="A55" s="3828"/>
      <c r="B55" s="809" t="s">
        <v>24</v>
      </c>
      <c r="C55" s="3214" t="s">
        <v>148</v>
      </c>
      <c r="D55" s="1903">
        <f>+D56+D60</f>
        <v>98610</v>
      </c>
      <c r="E55" s="1903">
        <f t="shared" ref="E55" si="43">+E56+E60</f>
        <v>22288</v>
      </c>
      <c r="F55" s="1904">
        <f t="shared" ref="F55:I55" si="44">+F56+F60</f>
        <v>23763</v>
      </c>
      <c r="G55" s="1904">
        <f t="shared" si="44"/>
        <v>17519</v>
      </c>
      <c r="H55" s="1904">
        <f t="shared" si="44"/>
        <v>17520</v>
      </c>
      <c r="I55" s="1904">
        <f t="shared" si="44"/>
        <v>17520</v>
      </c>
      <c r="J55" s="1903"/>
      <c r="K55" s="1903"/>
      <c r="L55" s="1903"/>
      <c r="M55" s="1905">
        <f>+M56+M60</f>
        <v>76322</v>
      </c>
      <c r="N55" s="1905">
        <f>+N56+N60</f>
        <v>52559</v>
      </c>
      <c r="O55" s="3203"/>
    </row>
    <row r="56" spans="1:16" s="2199" customFormat="1" ht="10.5" customHeight="1">
      <c r="A56" s="3828"/>
      <c r="B56" s="228" t="s">
        <v>13</v>
      </c>
      <c r="C56" s="3215"/>
      <c r="D56" s="1715">
        <f>E56+F56+G56+H56+I56+J56+K56+L56</f>
        <v>97508</v>
      </c>
      <c r="E56" s="1775">
        <v>22066</v>
      </c>
      <c r="F56" s="1906">
        <f>+F58+F59</f>
        <v>23483</v>
      </c>
      <c r="G56" s="1906">
        <f t="shared" ref="G56:I56" si="45">+G58+G59</f>
        <v>17319</v>
      </c>
      <c r="H56" s="1906">
        <f t="shared" si="45"/>
        <v>17320</v>
      </c>
      <c r="I56" s="1906">
        <f t="shared" si="45"/>
        <v>17320</v>
      </c>
      <c r="J56" s="1775"/>
      <c r="K56" s="1775"/>
      <c r="L56" s="1775"/>
      <c r="M56" s="1818">
        <f>SUM(F56:K56)</f>
        <v>75442</v>
      </c>
      <c r="N56" s="1818">
        <f>SUM(G56:L56)</f>
        <v>51959</v>
      </c>
      <c r="O56" s="3203"/>
      <c r="P56" s="823">
        <f>D56-D68</f>
        <v>0</v>
      </c>
    </row>
    <row r="57" spans="1:16" s="2199" customFormat="1" ht="12.75" hidden="1">
      <c r="A57" s="3828"/>
      <c r="B57" s="1907" t="s">
        <v>149</v>
      </c>
      <c r="C57" s="3215"/>
      <c r="D57" s="1715">
        <f>E57+F57+G57+H57+I57+J57+K57+L57</f>
        <v>0</v>
      </c>
      <c r="E57" s="1775"/>
      <c r="F57" s="1817"/>
      <c r="G57" s="1817"/>
      <c r="H57" s="1817"/>
      <c r="I57" s="1817"/>
      <c r="J57" s="1817"/>
      <c r="K57" s="1817"/>
      <c r="L57" s="1817"/>
      <c r="M57" s="1818"/>
      <c r="N57" s="1818"/>
      <c r="O57" s="3203"/>
      <c r="P57" s="823"/>
    </row>
    <row r="58" spans="1:16" s="2199" customFormat="1" ht="12.75" hidden="1">
      <c r="A58" s="3828"/>
      <c r="B58" s="1907" t="s">
        <v>293</v>
      </c>
      <c r="C58" s="3215"/>
      <c r="D58" s="1715">
        <f>E58+F58+G58+H58+I58+J58+K58+L58</f>
        <v>44222</v>
      </c>
      <c r="E58" s="1775"/>
      <c r="F58" s="1908">
        <f>8056+671+1501+214+2452</f>
        <v>12894</v>
      </c>
      <c r="G58" s="1908">
        <f>8056+671+1501+214</f>
        <v>10442</v>
      </c>
      <c r="H58" s="1908">
        <f>8057+671+1501+214</f>
        <v>10443</v>
      </c>
      <c r="I58" s="1908">
        <f>8057+671+1501+214</f>
        <v>10443</v>
      </c>
      <c r="J58" s="1817"/>
      <c r="K58" s="1817"/>
      <c r="L58" s="1817"/>
      <c r="M58" s="1909">
        <f>SUM(E58:H58)</f>
        <v>33779</v>
      </c>
      <c r="N58" s="1909">
        <f>SUM(G58:I58)</f>
        <v>31328</v>
      </c>
      <c r="O58" s="3203"/>
      <c r="P58" s="823"/>
    </row>
    <row r="59" spans="1:16" s="2199" customFormat="1" ht="12.75" hidden="1">
      <c r="A59" s="3828"/>
      <c r="B59" s="1907" t="s">
        <v>110</v>
      </c>
      <c r="C59" s="3215"/>
      <c r="D59" s="1715">
        <f>E59+F59+G59+H59+I59+J59+K59+L59</f>
        <v>31220</v>
      </c>
      <c r="E59" s="1775"/>
      <c r="F59" s="1910">
        <f>512+979+979+1250+2157+750+250+5601-1889</f>
        <v>10589</v>
      </c>
      <c r="G59" s="1908">
        <f>512+979+979+1250+2407+750</f>
        <v>6877</v>
      </c>
      <c r="H59" s="1908">
        <f>512+979+979+1250+2407+750</f>
        <v>6877</v>
      </c>
      <c r="I59" s="1908">
        <f>512+979+979+1250+2407+750</f>
        <v>6877</v>
      </c>
      <c r="J59" s="1817"/>
      <c r="K59" s="1817"/>
      <c r="L59" s="1817"/>
      <c r="M59" s="1909">
        <f>SUM(E59:H59)</f>
        <v>24343</v>
      </c>
      <c r="N59" s="1909">
        <f>SUM(G59:I59)</f>
        <v>20631</v>
      </c>
      <c r="O59" s="3203"/>
      <c r="P59" s="823"/>
    </row>
    <row r="60" spans="1:16" s="2199" customFormat="1" ht="12.75">
      <c r="A60" s="3828"/>
      <c r="B60" s="1911" t="s">
        <v>12</v>
      </c>
      <c r="C60" s="3215"/>
      <c r="D60" s="1715">
        <f>E60+F60+G60+H60+I60+J60+K60+L60</f>
        <v>1102</v>
      </c>
      <c r="E60" s="1775">
        <v>222</v>
      </c>
      <c r="F60" s="1817">
        <v>280</v>
      </c>
      <c r="G60" s="1817">
        <v>200</v>
      </c>
      <c r="H60" s="1817">
        <v>200</v>
      </c>
      <c r="I60" s="1817">
        <v>200</v>
      </c>
      <c r="J60" s="1817"/>
      <c r="K60" s="1817"/>
      <c r="L60" s="1817"/>
      <c r="M60" s="1818">
        <f>SUM(F60:K60)</f>
        <v>880</v>
      </c>
      <c r="N60" s="1818">
        <f>SUM(G60:L60)</f>
        <v>600</v>
      </c>
      <c r="O60" s="3203"/>
    </row>
    <row r="61" spans="1:16" s="2199" customFormat="1" ht="13.5" customHeight="1">
      <c r="A61" s="3828"/>
      <c r="B61" s="1912" t="s">
        <v>18</v>
      </c>
      <c r="C61" s="3215"/>
      <c r="D61" s="1804">
        <f>+D62</f>
        <v>292521</v>
      </c>
      <c r="E61" s="1804">
        <f t="shared" ref="E61" si="46">+E62</f>
        <v>66199</v>
      </c>
      <c r="F61" s="1810">
        <f t="shared" ref="F61:I61" si="47">+F62</f>
        <v>70447</v>
      </c>
      <c r="G61" s="1810">
        <f t="shared" si="47"/>
        <v>51959</v>
      </c>
      <c r="H61" s="1810">
        <f t="shared" si="47"/>
        <v>51958</v>
      </c>
      <c r="I61" s="1810">
        <f t="shared" si="47"/>
        <v>51958</v>
      </c>
      <c r="J61" s="1810"/>
      <c r="K61" s="1810"/>
      <c r="L61" s="1810"/>
      <c r="M61" s="1913">
        <f>+M62</f>
        <v>226322</v>
      </c>
      <c r="N61" s="1913">
        <f>+N62</f>
        <v>155875</v>
      </c>
      <c r="O61" s="3203"/>
    </row>
    <row r="62" spans="1:16" s="2199" customFormat="1" ht="12.75">
      <c r="A62" s="3828"/>
      <c r="B62" s="1828" t="s">
        <v>20</v>
      </c>
      <c r="C62" s="3262"/>
      <c r="D62" s="1715">
        <f>E62+F62+G62+H62+I62+J62+K62+L62</f>
        <v>292521</v>
      </c>
      <c r="E62" s="1775">
        <v>66199</v>
      </c>
      <c r="F62" s="1914">
        <f>SUM(F64:F65)</f>
        <v>70447</v>
      </c>
      <c r="G62" s="1914">
        <f>SUM(G64:G65)</f>
        <v>51959</v>
      </c>
      <c r="H62" s="1914">
        <f>SUM(H64:H65)</f>
        <v>51958</v>
      </c>
      <c r="I62" s="1914">
        <f>SUM(I64:I65)</f>
        <v>51958</v>
      </c>
      <c r="J62" s="1807"/>
      <c r="K62" s="1807"/>
      <c r="L62" s="1807"/>
      <c r="M62" s="1818">
        <f>SUM(F62:K62)</f>
        <v>226322</v>
      </c>
      <c r="N62" s="1818">
        <f>SUM(G62:L62)</f>
        <v>155875</v>
      </c>
      <c r="O62" s="3203"/>
      <c r="P62" s="823">
        <f>D62-D70</f>
        <v>0</v>
      </c>
    </row>
    <row r="63" spans="1:16" s="825" customFormat="1" ht="13.5" hidden="1" customHeight="1">
      <c r="A63" s="3828"/>
      <c r="B63" s="1907" t="s">
        <v>149</v>
      </c>
      <c r="C63" s="1603"/>
      <c r="D63" s="1915"/>
      <c r="E63" s="1916"/>
      <c r="F63" s="1916"/>
      <c r="G63" s="1916"/>
      <c r="H63" s="1916"/>
      <c r="I63" s="1916"/>
      <c r="J63" s="1916"/>
      <c r="K63" s="1916"/>
      <c r="L63" s="1916"/>
      <c r="M63" s="1917"/>
      <c r="N63" s="1917"/>
      <c r="O63" s="3203"/>
      <c r="P63" s="824"/>
    </row>
    <row r="64" spans="1:16" s="825" customFormat="1" ht="13.5" hidden="1" customHeight="1">
      <c r="A64" s="3828"/>
      <c r="B64" s="1907" t="s">
        <v>293</v>
      </c>
      <c r="C64" s="1603"/>
      <c r="D64" s="1715">
        <f>E64+F64+G64+H64+I64+J64+K64+L64</f>
        <v>132677</v>
      </c>
      <c r="E64" s="1916"/>
      <c r="F64" s="1916">
        <f>24173+2014+4502+642+7355</f>
        <v>38686</v>
      </c>
      <c r="G64" s="1916">
        <f>24173+2014+4502+642</f>
        <v>31331</v>
      </c>
      <c r="H64" s="1916">
        <f>24172+2014+4502+642</f>
        <v>31330</v>
      </c>
      <c r="I64" s="1916">
        <f>24172+2014+4502+642</f>
        <v>31330</v>
      </c>
      <c r="J64" s="1916"/>
      <c r="K64" s="1916"/>
      <c r="L64" s="1916"/>
      <c r="M64" s="1909">
        <f>SUM(E64:H64)</f>
        <v>101347</v>
      </c>
      <c r="N64" s="1909">
        <f>SUM(G64:I64)</f>
        <v>93991</v>
      </c>
      <c r="O64" s="3203"/>
      <c r="P64" s="824"/>
    </row>
    <row r="65" spans="1:17" s="825" customFormat="1" ht="13.5" hidden="1" customHeight="1">
      <c r="A65" s="3828"/>
      <c r="B65" s="1907" t="s">
        <v>110</v>
      </c>
      <c r="C65" s="1603"/>
      <c r="D65" s="1715">
        <f>E65+F65+G65+H65+I65+J65+K65+L65</f>
        <v>93645</v>
      </c>
      <c r="E65" s="1916"/>
      <c r="F65" s="1916">
        <f>1537+2936+2936+3750+6469+2250+750+16805-5672</f>
        <v>31761</v>
      </c>
      <c r="G65" s="1916">
        <f>1537+2936+2936+3750+7219+2250</f>
        <v>20628</v>
      </c>
      <c r="H65" s="1916">
        <f>1537+2936+2936+3750+7219+2250</f>
        <v>20628</v>
      </c>
      <c r="I65" s="1916">
        <f>1537+2936+2936+3750+7219+2250</f>
        <v>20628</v>
      </c>
      <c r="J65" s="1916"/>
      <c r="K65" s="1916"/>
      <c r="L65" s="1916"/>
      <c r="M65" s="1909">
        <f>SUM(E65:H65)</f>
        <v>73017</v>
      </c>
      <c r="N65" s="1909">
        <f>SUM(G65:I65)</f>
        <v>61884</v>
      </c>
      <c r="O65" s="3203"/>
      <c r="P65" s="824"/>
    </row>
    <row r="66" spans="1:17" s="2199" customFormat="1" ht="12.75">
      <c r="A66" s="3828"/>
      <c r="B66" s="488" t="s">
        <v>22</v>
      </c>
      <c r="C66" s="1800"/>
      <c r="D66" s="1801">
        <f>+D67+D69</f>
        <v>390029</v>
      </c>
      <c r="E66" s="1801">
        <f t="shared" ref="E66" si="48">+E67+E69</f>
        <v>0</v>
      </c>
      <c r="F66" s="1801">
        <f t="shared" ref="F66:J66" si="49">+F67+F69</f>
        <v>113638</v>
      </c>
      <c r="G66" s="1801">
        <f t="shared" si="49"/>
        <v>85877</v>
      </c>
      <c r="H66" s="1801">
        <f t="shared" si="49"/>
        <v>69278</v>
      </c>
      <c r="I66" s="1801">
        <f t="shared" si="49"/>
        <v>69278</v>
      </c>
      <c r="J66" s="1801">
        <f t="shared" si="49"/>
        <v>51958</v>
      </c>
      <c r="K66" s="1870"/>
      <c r="L66" s="1870"/>
      <c r="M66" s="3302" t="s">
        <v>61</v>
      </c>
      <c r="N66" s="3302" t="s">
        <v>61</v>
      </c>
      <c r="O66" s="3203"/>
    </row>
    <row r="67" spans="1:17" s="2199" customFormat="1" ht="13.5" customHeight="1">
      <c r="A67" s="3828"/>
      <c r="B67" s="670" t="s">
        <v>24</v>
      </c>
      <c r="C67" s="3332" t="s">
        <v>148</v>
      </c>
      <c r="D67" s="1918">
        <f>+D68</f>
        <v>97508</v>
      </c>
      <c r="E67" s="1918">
        <f t="shared" ref="E67" si="50">+E68</f>
        <v>0</v>
      </c>
      <c r="F67" s="1919">
        <f t="shared" ref="F67:J67" si="51">+F68</f>
        <v>28409</v>
      </c>
      <c r="G67" s="1919">
        <f t="shared" si="51"/>
        <v>21470</v>
      </c>
      <c r="H67" s="1919">
        <f t="shared" si="51"/>
        <v>17319</v>
      </c>
      <c r="I67" s="1919">
        <f t="shared" si="51"/>
        <v>17320</v>
      </c>
      <c r="J67" s="1919">
        <f t="shared" si="51"/>
        <v>12990</v>
      </c>
      <c r="K67" s="1919"/>
      <c r="L67" s="1919"/>
      <c r="M67" s="3273"/>
      <c r="N67" s="3273"/>
      <c r="O67" s="3203"/>
    </row>
    <row r="68" spans="1:17" s="2199" customFormat="1" ht="12.75">
      <c r="A68" s="3828"/>
      <c r="B68" s="228" t="s">
        <v>13</v>
      </c>
      <c r="C68" s="3280"/>
      <c r="D68" s="1782">
        <f>E68+F68+G68+H68+I68+J68+K68+L68</f>
        <v>97508</v>
      </c>
      <c r="E68" s="1775">
        <v>0</v>
      </c>
      <c r="F68" s="1775">
        <v>28409</v>
      </c>
      <c r="G68" s="1775">
        <f>17319+6040-1889</f>
        <v>21470</v>
      </c>
      <c r="H68" s="1775">
        <v>17319</v>
      </c>
      <c r="I68" s="1775">
        <v>17320</v>
      </c>
      <c r="J68" s="1775">
        <v>12990</v>
      </c>
      <c r="K68" s="1920"/>
      <c r="L68" s="1920"/>
      <c r="M68" s="3273"/>
      <c r="N68" s="3273"/>
      <c r="O68" s="3203"/>
    </row>
    <row r="69" spans="1:17" s="2199" customFormat="1" ht="12.75">
      <c r="A69" s="3828"/>
      <c r="B69" s="1604" t="s">
        <v>18</v>
      </c>
      <c r="C69" s="3280"/>
      <c r="D69" s="1605">
        <f>+D70</f>
        <v>292521</v>
      </c>
      <c r="E69" s="1605">
        <f t="shared" ref="E69" si="52">+E70</f>
        <v>0</v>
      </c>
      <c r="F69" s="1605">
        <f>+F70</f>
        <v>85229</v>
      </c>
      <c r="G69" s="1605">
        <f>+G70</f>
        <v>64407</v>
      </c>
      <c r="H69" s="1605">
        <f>+H70</f>
        <v>51959</v>
      </c>
      <c r="I69" s="1605">
        <f>+I70</f>
        <v>51958</v>
      </c>
      <c r="J69" s="1605">
        <f>+J70</f>
        <v>38968</v>
      </c>
      <c r="K69" s="1606"/>
      <c r="L69" s="1606"/>
      <c r="M69" s="3273"/>
      <c r="N69" s="3273"/>
      <c r="O69" s="3203"/>
    </row>
    <row r="70" spans="1:17" s="2199" customFormat="1" ht="13.5" thickBot="1">
      <c r="A70" s="3829"/>
      <c r="B70" s="826" t="s">
        <v>20</v>
      </c>
      <c r="C70" s="3774"/>
      <c r="D70" s="941">
        <f>E70+F70+G70+H70+I70+J70+K70+L70</f>
        <v>292521</v>
      </c>
      <c r="E70" s="942">
        <v>0</v>
      </c>
      <c r="F70" s="483">
        <v>85229</v>
      </c>
      <c r="G70" s="483">
        <f>51959+18120-5672</f>
        <v>64407</v>
      </c>
      <c r="H70" s="483">
        <v>51959</v>
      </c>
      <c r="I70" s="483">
        <v>51958</v>
      </c>
      <c r="J70" s="483">
        <v>38968</v>
      </c>
      <c r="K70" s="816"/>
      <c r="L70" s="816"/>
      <c r="M70" s="3274"/>
      <c r="N70" s="3274"/>
      <c r="O70" s="3297"/>
    </row>
    <row r="71" spans="1:17" s="2199" customFormat="1" ht="27.75" customHeight="1">
      <c r="A71" s="3827" t="s">
        <v>66</v>
      </c>
      <c r="B71" s="74" t="s">
        <v>512</v>
      </c>
      <c r="C71" s="58" t="s">
        <v>81</v>
      </c>
      <c r="D71" s="822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3202" t="s">
        <v>110</v>
      </c>
    </row>
    <row r="72" spans="1:17" s="2199" customFormat="1" ht="14.25" customHeight="1" thickBot="1">
      <c r="A72" s="3829"/>
      <c r="B72" s="666" t="s">
        <v>10</v>
      </c>
      <c r="C72" s="748"/>
      <c r="D72" s="710">
        <f>+D73+D75</f>
        <v>7561</v>
      </c>
      <c r="E72" s="710">
        <f>+E73+E75</f>
        <v>0</v>
      </c>
      <c r="F72" s="710">
        <f>+F73+F75</f>
        <v>7561</v>
      </c>
      <c r="G72" s="722">
        <v>0</v>
      </c>
      <c r="H72" s="1607">
        <v>0</v>
      </c>
      <c r="I72" s="1607">
        <v>0</v>
      </c>
      <c r="J72" s="1607">
        <v>0</v>
      </c>
      <c r="K72" s="1607">
        <v>0</v>
      </c>
      <c r="L72" s="1607">
        <v>0</v>
      </c>
      <c r="M72" s="711">
        <f>+M73+M75</f>
        <v>7561</v>
      </c>
      <c r="N72" s="711">
        <f>+N73+N75</f>
        <v>0</v>
      </c>
      <c r="O72" s="3758"/>
      <c r="P72" s="823" t="s">
        <v>430</v>
      </c>
    </row>
    <row r="73" spans="1:17" s="2199" customFormat="1" ht="13.5" customHeight="1" thickBot="1">
      <c r="A73" s="3829"/>
      <c r="B73" s="809" t="s">
        <v>24</v>
      </c>
      <c r="C73" s="3232" t="s">
        <v>148</v>
      </c>
      <c r="D73" s="1601">
        <f>+D74</f>
        <v>1889</v>
      </c>
      <c r="E73" s="1601">
        <f>+E74</f>
        <v>0</v>
      </c>
      <c r="F73" s="1601">
        <f>+F74</f>
        <v>1889</v>
      </c>
      <c r="G73" s="1609">
        <v>0</v>
      </c>
      <c r="H73" s="1608">
        <v>0</v>
      </c>
      <c r="I73" s="1608">
        <v>0</v>
      </c>
      <c r="J73" s="1608">
        <v>0</v>
      </c>
      <c r="K73" s="1608">
        <v>0</v>
      </c>
      <c r="L73" s="1608">
        <v>0</v>
      </c>
      <c r="M73" s="1602">
        <f>+M74</f>
        <v>1889</v>
      </c>
      <c r="N73" s="1602">
        <f>+N74</f>
        <v>0</v>
      </c>
      <c r="O73" s="3758"/>
      <c r="P73" s="2199" t="s">
        <v>431</v>
      </c>
      <c r="Q73" s="823"/>
    </row>
    <row r="74" spans="1:17" s="2199" customFormat="1" ht="13.5" customHeight="1" thickBot="1">
      <c r="A74" s="3829"/>
      <c r="B74" s="228" t="s">
        <v>13</v>
      </c>
      <c r="C74" s="3215"/>
      <c r="D74" s="1555">
        <f>E74+F74+G74+H74+I74+J74+K74+L74</f>
        <v>1889</v>
      </c>
      <c r="E74" s="284">
        <v>0</v>
      </c>
      <c r="F74" s="717">
        <v>1889</v>
      </c>
      <c r="G74" s="1609">
        <v>0</v>
      </c>
      <c r="H74" s="1608">
        <v>0</v>
      </c>
      <c r="I74" s="1608">
        <v>0</v>
      </c>
      <c r="J74" s="1608">
        <v>0</v>
      </c>
      <c r="K74" s="1608">
        <v>0</v>
      </c>
      <c r="L74" s="1608">
        <v>0</v>
      </c>
      <c r="M74" s="589">
        <f>SUM(F74:K74)</f>
        <v>1889</v>
      </c>
      <c r="N74" s="589">
        <f>SUM(G74:L74)</f>
        <v>0</v>
      </c>
      <c r="O74" s="3758"/>
    </row>
    <row r="75" spans="1:17" s="1536" customFormat="1" ht="13.5" thickBot="1">
      <c r="A75" s="3840"/>
      <c r="B75" s="675" t="s">
        <v>18</v>
      </c>
      <c r="C75" s="3215"/>
      <c r="D75" s="713">
        <f>+D76</f>
        <v>5672</v>
      </c>
      <c r="E75" s="713">
        <f>+E76</f>
        <v>0</v>
      </c>
      <c r="F75" s="713">
        <f>+F76</f>
        <v>5672</v>
      </c>
      <c r="G75" s="723">
        <v>0</v>
      </c>
      <c r="H75" s="1608">
        <v>0</v>
      </c>
      <c r="I75" s="1608">
        <v>0</v>
      </c>
      <c r="J75" s="1608">
        <v>0</v>
      </c>
      <c r="K75" s="1608">
        <v>0</v>
      </c>
      <c r="L75" s="1608">
        <v>0</v>
      </c>
      <c r="M75" s="644">
        <f>+M76</f>
        <v>5672</v>
      </c>
      <c r="N75" s="644">
        <f>+N76</f>
        <v>0</v>
      </c>
      <c r="O75" s="3841"/>
      <c r="P75" s="1535"/>
    </row>
    <row r="76" spans="1:17" s="2199" customFormat="1" ht="13.5" thickBot="1">
      <c r="A76" s="3829"/>
      <c r="B76" s="812" t="s">
        <v>20</v>
      </c>
      <c r="C76" s="3262"/>
      <c r="D76" s="1555">
        <f>E76+F76+G76+H76+I76+J76+K76+L76</f>
        <v>5672</v>
      </c>
      <c r="E76" s="284">
        <v>0</v>
      </c>
      <c r="F76" s="1566">
        <v>5672</v>
      </c>
      <c r="G76" s="1610">
        <v>0</v>
      </c>
      <c r="H76" s="674">
        <v>0</v>
      </c>
      <c r="I76" s="674">
        <v>0</v>
      </c>
      <c r="J76" s="674">
        <v>0</v>
      </c>
      <c r="K76" s="674">
        <v>0</v>
      </c>
      <c r="L76" s="674">
        <v>0</v>
      </c>
      <c r="M76" s="589">
        <f>SUM(F76:K76)</f>
        <v>5672</v>
      </c>
      <c r="N76" s="589">
        <f>SUM(G76:L76)</f>
        <v>0</v>
      </c>
      <c r="O76" s="3758"/>
      <c r="P76" s="823"/>
    </row>
    <row r="77" spans="1:17" s="2199" customFormat="1" ht="13.5" thickBot="1">
      <c r="A77" s="3829"/>
      <c r="B77" s="488" t="s">
        <v>22</v>
      </c>
      <c r="C77" s="748"/>
      <c r="D77" s="709">
        <f>+D78+D80</f>
        <v>7561</v>
      </c>
      <c r="E77" s="709">
        <f>+E78+E80</f>
        <v>0</v>
      </c>
      <c r="F77" s="749">
        <v>0</v>
      </c>
      <c r="G77" s="709">
        <f>+G78+G80</f>
        <v>7561</v>
      </c>
      <c r="H77" s="749">
        <v>0</v>
      </c>
      <c r="I77" s="749">
        <v>0</v>
      </c>
      <c r="J77" s="749">
        <v>0</v>
      </c>
      <c r="K77" s="749">
        <v>0</v>
      </c>
      <c r="L77" s="749">
        <v>0</v>
      </c>
      <c r="M77" s="3371" t="s">
        <v>61</v>
      </c>
      <c r="N77" s="3371" t="s">
        <v>61</v>
      </c>
      <c r="O77" s="3758"/>
      <c r="P77" s="823"/>
    </row>
    <row r="78" spans="1:17" s="1536" customFormat="1" ht="12.75" customHeight="1" thickBot="1">
      <c r="A78" s="3840"/>
      <c r="B78" s="670" t="s">
        <v>24</v>
      </c>
      <c r="C78" s="3232" t="s">
        <v>148</v>
      </c>
      <c r="D78" s="735">
        <f>+D79</f>
        <v>1889</v>
      </c>
      <c r="E78" s="735">
        <f>+E79</f>
        <v>0</v>
      </c>
      <c r="F78" s="976">
        <v>0</v>
      </c>
      <c r="G78" s="735">
        <f>+G79</f>
        <v>1889</v>
      </c>
      <c r="H78" s="1608">
        <v>0</v>
      </c>
      <c r="I78" s="1608">
        <v>0</v>
      </c>
      <c r="J78" s="1608">
        <v>0</v>
      </c>
      <c r="K78" s="1608">
        <v>0</v>
      </c>
      <c r="L78" s="1608">
        <v>0</v>
      </c>
      <c r="M78" s="3350"/>
      <c r="N78" s="3350"/>
      <c r="O78" s="3841"/>
      <c r="P78" s="1535"/>
    </row>
    <row r="79" spans="1:17" s="2199" customFormat="1" ht="13.5" customHeight="1" thickBot="1">
      <c r="A79" s="3829"/>
      <c r="B79" s="228" t="s">
        <v>13</v>
      </c>
      <c r="C79" s="3215"/>
      <c r="D79" s="1555">
        <f>E79+F79+G79+H79+I79+J79+K79+L79</f>
        <v>1889</v>
      </c>
      <c r="E79" s="284">
        <v>0</v>
      </c>
      <c r="F79" s="977">
        <v>0</v>
      </c>
      <c r="G79" s="717">
        <v>1889</v>
      </c>
      <c r="H79" s="674">
        <v>0</v>
      </c>
      <c r="I79" s="674">
        <v>0</v>
      </c>
      <c r="J79" s="674">
        <v>0</v>
      </c>
      <c r="K79" s="674">
        <v>0</v>
      </c>
      <c r="L79" s="674">
        <v>0</v>
      </c>
      <c r="M79" s="3350"/>
      <c r="N79" s="3350"/>
      <c r="O79" s="3758"/>
    </row>
    <row r="80" spans="1:17" s="2199" customFormat="1" ht="13.5" customHeight="1" thickBot="1">
      <c r="A80" s="3829"/>
      <c r="B80" s="1604" t="s">
        <v>18</v>
      </c>
      <c r="C80" s="3215"/>
      <c r="D80" s="962">
        <f>+D81</f>
        <v>5672</v>
      </c>
      <c r="E80" s="962">
        <f>+E81</f>
        <v>0</v>
      </c>
      <c r="F80" s="984">
        <v>0</v>
      </c>
      <c r="G80" s="962">
        <f>+G81</f>
        <v>5672</v>
      </c>
      <c r="H80" s="979">
        <v>0</v>
      </c>
      <c r="I80" s="979">
        <v>0</v>
      </c>
      <c r="J80" s="979">
        <v>0</v>
      </c>
      <c r="K80" s="979">
        <v>0</v>
      </c>
      <c r="L80" s="979">
        <v>0</v>
      </c>
      <c r="M80" s="3350"/>
      <c r="N80" s="3350"/>
      <c r="O80" s="3758"/>
    </row>
    <row r="81" spans="1:16" s="2199" customFormat="1" ht="13.5" customHeight="1" thickBot="1">
      <c r="A81" s="3829"/>
      <c r="B81" s="826" t="s">
        <v>20</v>
      </c>
      <c r="C81" s="3216"/>
      <c r="D81" s="1555">
        <f>E81+F81+G81+H81+I81+J81+K81+L81</f>
        <v>5672</v>
      </c>
      <c r="E81" s="284">
        <v>0</v>
      </c>
      <c r="F81" s="1611">
        <v>0</v>
      </c>
      <c r="G81" s="1566">
        <v>5672</v>
      </c>
      <c r="H81" s="674">
        <v>0</v>
      </c>
      <c r="I81" s="674">
        <v>0</v>
      </c>
      <c r="J81" s="674">
        <v>0</v>
      </c>
      <c r="K81" s="674">
        <v>0</v>
      </c>
      <c r="L81" s="674">
        <v>0</v>
      </c>
      <c r="M81" s="3351"/>
      <c r="N81" s="3351"/>
      <c r="O81" s="3758"/>
      <c r="P81" s="823"/>
    </row>
    <row r="82" spans="1:16" ht="28.5" customHeight="1" thickBot="1">
      <c r="A82" s="191" t="s">
        <v>267</v>
      </c>
      <c r="B82" s="771"/>
      <c r="C82" s="771"/>
      <c r="D82" s="771"/>
      <c r="E82" s="771"/>
      <c r="F82" s="771"/>
      <c r="G82" s="771"/>
      <c r="H82" s="771"/>
      <c r="I82" s="771"/>
      <c r="J82" s="771"/>
      <c r="K82" s="771"/>
      <c r="L82" s="771"/>
      <c r="M82" s="772"/>
      <c r="N82" s="772"/>
      <c r="O82" s="773"/>
    </row>
    <row r="83" spans="1:16" ht="15.75" customHeight="1">
      <c r="A83" s="661"/>
      <c r="B83" s="220" t="s">
        <v>76</v>
      </c>
      <c r="C83" s="221"/>
      <c r="D83" s="222">
        <f>+D84+D85</f>
        <v>312355</v>
      </c>
      <c r="E83" s="222">
        <v>24302</v>
      </c>
      <c r="F83" s="222">
        <f t="shared" ref="F83" si="53">+F84+F85</f>
        <v>54161</v>
      </c>
      <c r="G83" s="222">
        <f t="shared" ref="G83:N83" si="54">+G84+G85</f>
        <v>208325</v>
      </c>
      <c r="H83" s="222">
        <f t="shared" si="54"/>
        <v>25567</v>
      </c>
      <c r="I83" s="222">
        <f t="shared" si="54"/>
        <v>0</v>
      </c>
      <c r="J83" s="222">
        <f t="shared" si="54"/>
        <v>0</v>
      </c>
      <c r="K83" s="222">
        <f t="shared" si="54"/>
        <v>0</v>
      </c>
      <c r="L83" s="222">
        <f t="shared" si="54"/>
        <v>0</v>
      </c>
      <c r="M83" s="150">
        <f t="shared" ref="M83" si="55">+M84+M85</f>
        <v>288053</v>
      </c>
      <c r="N83" s="150">
        <f t="shared" si="54"/>
        <v>233892</v>
      </c>
      <c r="O83" s="3618" t="s">
        <v>61</v>
      </c>
    </row>
    <row r="84" spans="1:16" ht="16.5" customHeight="1">
      <c r="A84" s="661"/>
      <c r="B84" s="212" t="s">
        <v>77</v>
      </c>
      <c r="C84" s="213"/>
      <c r="D84" s="214">
        <f>+D94+D98</f>
        <v>312355</v>
      </c>
      <c r="E84" s="214">
        <v>24302</v>
      </c>
      <c r="F84" s="214">
        <f t="shared" ref="F84:L84" si="56">+F94+F98</f>
        <v>54161</v>
      </c>
      <c r="G84" s="214">
        <f t="shared" si="56"/>
        <v>208325</v>
      </c>
      <c r="H84" s="214">
        <f t="shared" si="56"/>
        <v>25567</v>
      </c>
      <c r="I84" s="214">
        <f t="shared" si="56"/>
        <v>0</v>
      </c>
      <c r="J84" s="214">
        <f t="shared" si="56"/>
        <v>0</v>
      </c>
      <c r="K84" s="214">
        <f t="shared" si="56"/>
        <v>0</v>
      </c>
      <c r="L84" s="214">
        <f t="shared" si="56"/>
        <v>0</v>
      </c>
      <c r="M84" s="1012">
        <f>SUM(F84:K84)</f>
        <v>288053</v>
      </c>
      <c r="N84" s="1012">
        <f>SUM(G84:L84)</f>
        <v>233892</v>
      </c>
      <c r="O84" s="3619"/>
    </row>
    <row r="85" spans="1:16" ht="12.75" thickBot="1">
      <c r="A85" s="661"/>
      <c r="B85" s="827" t="s">
        <v>9</v>
      </c>
      <c r="C85" s="213"/>
      <c r="D85" s="214"/>
      <c r="E85" s="214"/>
      <c r="F85" s="214"/>
      <c r="G85" s="372"/>
      <c r="H85" s="372"/>
      <c r="I85" s="372"/>
      <c r="J85" s="372"/>
      <c r="K85" s="372"/>
      <c r="L85" s="372"/>
      <c r="M85" s="152">
        <f>SUM(F85:H85)</f>
        <v>0</v>
      </c>
      <c r="N85" s="152">
        <f>SUM(G85:I85)</f>
        <v>0</v>
      </c>
      <c r="O85" s="3619"/>
    </row>
    <row r="86" spans="1:16" ht="15.75" customHeight="1">
      <c r="A86" s="373"/>
      <c r="B86" s="181" t="s">
        <v>10</v>
      </c>
      <c r="C86" s="182"/>
      <c r="D86" s="156">
        <f>+D87</f>
        <v>312355</v>
      </c>
      <c r="E86" s="156">
        <v>24302</v>
      </c>
      <c r="F86" s="156">
        <f t="shared" ref="F86:L87" si="57">+F87</f>
        <v>54161</v>
      </c>
      <c r="G86" s="156">
        <f t="shared" si="57"/>
        <v>208325</v>
      </c>
      <c r="H86" s="156">
        <f t="shared" si="57"/>
        <v>25567</v>
      </c>
      <c r="I86" s="156">
        <f t="shared" si="57"/>
        <v>0</v>
      </c>
      <c r="J86" s="156">
        <f t="shared" si="57"/>
        <v>0</v>
      </c>
      <c r="K86" s="156">
        <f t="shared" si="57"/>
        <v>0</v>
      </c>
      <c r="L86" s="156">
        <f t="shared" si="57"/>
        <v>0</v>
      </c>
      <c r="M86" s="374">
        <f>+M87</f>
        <v>288053</v>
      </c>
      <c r="N86" s="374">
        <f>+N87</f>
        <v>233892</v>
      </c>
      <c r="O86" s="3619"/>
    </row>
    <row r="87" spans="1:16" ht="15" customHeight="1">
      <c r="A87" s="195"/>
      <c r="B87" s="157" t="s">
        <v>11</v>
      </c>
      <c r="C87" s="3621" t="s">
        <v>61</v>
      </c>
      <c r="D87" s="628">
        <f>+D88+D89</f>
        <v>312355</v>
      </c>
      <c r="E87" s="628">
        <v>24302</v>
      </c>
      <c r="F87" s="628">
        <f t="shared" si="57"/>
        <v>54161</v>
      </c>
      <c r="G87" s="628">
        <f t="shared" si="57"/>
        <v>208325</v>
      </c>
      <c r="H87" s="628">
        <f t="shared" si="57"/>
        <v>25567</v>
      </c>
      <c r="I87" s="628">
        <f t="shared" si="57"/>
        <v>0</v>
      </c>
      <c r="J87" s="628">
        <f t="shared" si="57"/>
        <v>0</v>
      </c>
      <c r="K87" s="628">
        <f t="shared" si="57"/>
        <v>0</v>
      </c>
      <c r="L87" s="628">
        <f t="shared" si="57"/>
        <v>0</v>
      </c>
      <c r="M87" s="629">
        <f>+M88+M89</f>
        <v>288053</v>
      </c>
      <c r="N87" s="629">
        <f>+N88+N89</f>
        <v>233892</v>
      </c>
      <c r="O87" s="3619"/>
    </row>
    <row r="88" spans="1:16" ht="15" customHeight="1" thickBot="1">
      <c r="A88" s="776"/>
      <c r="B88" s="160" t="s">
        <v>12</v>
      </c>
      <c r="C88" s="3622"/>
      <c r="D88" s="630">
        <f>+D96+D103+D107+D100</f>
        <v>312355</v>
      </c>
      <c r="E88" s="630">
        <v>24302</v>
      </c>
      <c r="F88" s="630">
        <f t="shared" ref="F88:L88" si="58">+F96+F103+F107+F100</f>
        <v>54161</v>
      </c>
      <c r="G88" s="630">
        <f t="shared" si="58"/>
        <v>208325</v>
      </c>
      <c r="H88" s="630">
        <f t="shared" si="58"/>
        <v>25567</v>
      </c>
      <c r="I88" s="630">
        <f t="shared" si="58"/>
        <v>0</v>
      </c>
      <c r="J88" s="630">
        <f t="shared" si="58"/>
        <v>0</v>
      </c>
      <c r="K88" s="630">
        <f t="shared" si="58"/>
        <v>0</v>
      </c>
      <c r="L88" s="630">
        <f t="shared" si="58"/>
        <v>0</v>
      </c>
      <c r="M88" s="589">
        <f>SUM(F88:K88)</f>
        <v>288053</v>
      </c>
      <c r="N88" s="589">
        <f>SUM(G88:L88)</f>
        <v>233892</v>
      </c>
      <c r="O88" s="3619"/>
    </row>
    <row r="89" spans="1:16" ht="12.75" hidden="1" thickBot="1">
      <c r="A89" s="776"/>
      <c r="B89" s="160" t="s">
        <v>14</v>
      </c>
      <c r="C89" s="3839"/>
      <c r="D89" s="630">
        <f>+D108</f>
        <v>0</v>
      </c>
      <c r="E89" s="1421">
        <v>0</v>
      </c>
      <c r="F89" s="630">
        <f t="shared" ref="F89:I89" si="59">+F108</f>
        <v>0</v>
      </c>
      <c r="G89" s="630">
        <f t="shared" si="59"/>
        <v>0</v>
      </c>
      <c r="H89" s="630">
        <f t="shared" si="59"/>
        <v>0</v>
      </c>
      <c r="I89" s="630">
        <f t="shared" si="59"/>
        <v>0</v>
      </c>
      <c r="J89" s="630"/>
      <c r="K89" s="630"/>
      <c r="L89" s="630"/>
      <c r="M89" s="512">
        <f>SUM(E89:K89)</f>
        <v>0</v>
      </c>
      <c r="N89" s="512">
        <f>SUM(F89:L89)</f>
        <v>0</v>
      </c>
      <c r="O89" s="3619"/>
    </row>
    <row r="90" spans="1:16" ht="12" hidden="1" customHeight="1">
      <c r="A90" s="373"/>
      <c r="B90" s="82" t="s">
        <v>22</v>
      </c>
      <c r="C90" s="90"/>
      <c r="D90" s="194">
        <f>+D91</f>
        <v>0</v>
      </c>
      <c r="E90" s="1422">
        <v>0</v>
      </c>
      <c r="F90" s="194">
        <f t="shared" ref="F90:I91" si="60">+F91</f>
        <v>0</v>
      </c>
      <c r="G90" s="194">
        <f t="shared" si="60"/>
        <v>0</v>
      </c>
      <c r="H90" s="194">
        <f t="shared" si="60"/>
        <v>0</v>
      </c>
      <c r="I90" s="194">
        <f t="shared" si="60"/>
        <v>0</v>
      </c>
      <c r="J90" s="194"/>
      <c r="K90" s="194"/>
      <c r="L90" s="194"/>
      <c r="M90" s="3668" t="s">
        <v>61</v>
      </c>
      <c r="N90" s="3668" t="s">
        <v>61</v>
      </c>
      <c r="O90" s="3619"/>
    </row>
    <row r="91" spans="1:16" ht="12" hidden="1" customHeight="1">
      <c r="A91" s="373"/>
      <c r="B91" s="157" t="s">
        <v>11</v>
      </c>
      <c r="C91" s="3621" t="s">
        <v>61</v>
      </c>
      <c r="D91" s="628">
        <f>+D92</f>
        <v>0</v>
      </c>
      <c r="E91" s="1420">
        <v>0</v>
      </c>
      <c r="F91" s="628">
        <f t="shared" si="60"/>
        <v>0</v>
      </c>
      <c r="G91" s="628">
        <f t="shared" si="60"/>
        <v>0</v>
      </c>
      <c r="H91" s="628">
        <f t="shared" si="60"/>
        <v>0</v>
      </c>
      <c r="I91" s="628">
        <f t="shared" si="60"/>
        <v>0</v>
      </c>
      <c r="J91" s="628"/>
      <c r="K91" s="628"/>
      <c r="L91" s="628"/>
      <c r="M91" s="3521"/>
      <c r="N91" s="3521"/>
      <c r="O91" s="3619"/>
    </row>
    <row r="92" spans="1:16" ht="12.75" hidden="1" customHeight="1" thickBot="1">
      <c r="A92" s="776"/>
      <c r="B92" s="160" t="s">
        <v>14</v>
      </c>
      <c r="C92" s="3622"/>
      <c r="D92" s="630">
        <f>+D111</f>
        <v>0</v>
      </c>
      <c r="E92" s="1421">
        <v>0</v>
      </c>
      <c r="F92" s="630">
        <f t="shared" ref="F92:I92" si="61">+F111</f>
        <v>0</v>
      </c>
      <c r="G92" s="630">
        <f t="shared" si="61"/>
        <v>0</v>
      </c>
      <c r="H92" s="630">
        <f t="shared" si="61"/>
        <v>0</v>
      </c>
      <c r="I92" s="630">
        <f t="shared" si="61"/>
        <v>0</v>
      </c>
      <c r="J92" s="380"/>
      <c r="K92" s="380"/>
      <c r="L92" s="380"/>
      <c r="M92" s="3522"/>
      <c r="N92" s="3522"/>
      <c r="O92" s="3620"/>
    </row>
    <row r="93" spans="1:16" ht="18" customHeight="1">
      <c r="A93" s="3613" t="s">
        <v>63</v>
      </c>
      <c r="B93" s="381" t="s">
        <v>513</v>
      </c>
      <c r="C93" s="613" t="s">
        <v>109</v>
      </c>
      <c r="D93" s="828"/>
      <c r="E93" s="1423"/>
      <c r="F93" s="829"/>
      <c r="G93" s="829"/>
      <c r="H93" s="829"/>
      <c r="I93" s="829"/>
      <c r="J93" s="829"/>
      <c r="K93" s="829"/>
      <c r="L93" s="829"/>
      <c r="M93" s="354"/>
      <c r="N93" s="354"/>
      <c r="O93" s="3645" t="s">
        <v>326</v>
      </c>
    </row>
    <row r="94" spans="1:16" ht="17.25" customHeight="1">
      <c r="A94" s="3614"/>
      <c r="B94" s="82" t="s">
        <v>10</v>
      </c>
      <c r="C94" s="830"/>
      <c r="D94" s="495">
        <f>+D95</f>
        <v>103580</v>
      </c>
      <c r="E94" s="495">
        <f t="shared" ref="E94:N95" si="62">+E95</f>
        <v>24302</v>
      </c>
      <c r="F94" s="495">
        <f t="shared" si="62"/>
        <v>26855</v>
      </c>
      <c r="G94" s="495">
        <f t="shared" si="62"/>
        <v>26856</v>
      </c>
      <c r="H94" s="495">
        <f t="shared" si="62"/>
        <v>25567</v>
      </c>
      <c r="I94" s="631">
        <v>0</v>
      </c>
      <c r="J94" s="631">
        <v>0</v>
      </c>
      <c r="K94" s="631">
        <v>0</v>
      </c>
      <c r="L94" s="631">
        <v>0</v>
      </c>
      <c r="M94" s="632">
        <f t="shared" si="62"/>
        <v>79278</v>
      </c>
      <c r="N94" s="632">
        <f t="shared" si="62"/>
        <v>52423</v>
      </c>
      <c r="O94" s="3824"/>
    </row>
    <row r="95" spans="1:16" ht="15.75" customHeight="1">
      <c r="A95" s="3614"/>
      <c r="B95" s="633" t="s">
        <v>24</v>
      </c>
      <c r="C95" s="3630" t="s">
        <v>268</v>
      </c>
      <c r="D95" s="634">
        <f>+D96</f>
        <v>103580</v>
      </c>
      <c r="E95" s="634">
        <f t="shared" si="62"/>
        <v>24302</v>
      </c>
      <c r="F95" s="634">
        <f t="shared" si="62"/>
        <v>26855</v>
      </c>
      <c r="G95" s="634">
        <f t="shared" si="62"/>
        <v>26856</v>
      </c>
      <c r="H95" s="634">
        <f t="shared" si="62"/>
        <v>25567</v>
      </c>
      <c r="I95" s="635">
        <v>0</v>
      </c>
      <c r="J95" s="635">
        <v>0</v>
      </c>
      <c r="K95" s="635">
        <v>0</v>
      </c>
      <c r="L95" s="635">
        <v>0</v>
      </c>
      <c r="M95" s="636">
        <f t="shared" si="62"/>
        <v>79278</v>
      </c>
      <c r="N95" s="636">
        <f t="shared" si="62"/>
        <v>52423</v>
      </c>
      <c r="O95" s="3824"/>
    </row>
    <row r="96" spans="1:16" ht="15" customHeight="1" thickBot="1">
      <c r="A96" s="3615"/>
      <c r="B96" s="637" t="s">
        <v>12</v>
      </c>
      <c r="C96" s="3598"/>
      <c r="D96" s="1555">
        <f>E96+F96+G96+H96+I96+J96+K96+L96</f>
        <v>103580</v>
      </c>
      <c r="E96" s="284">
        <v>24302</v>
      </c>
      <c r="F96" s="558">
        <v>26855</v>
      </c>
      <c r="G96" s="558">
        <v>26856</v>
      </c>
      <c r="H96" s="558">
        <v>25567</v>
      </c>
      <c r="I96" s="638">
        <v>0</v>
      </c>
      <c r="J96" s="638">
        <v>0</v>
      </c>
      <c r="K96" s="638">
        <v>0</v>
      </c>
      <c r="L96" s="638">
        <v>0</v>
      </c>
      <c r="M96" s="589">
        <f>SUM(F96:K96)</f>
        <v>79278</v>
      </c>
      <c r="N96" s="589">
        <f>SUM(G96:L96)</f>
        <v>52423</v>
      </c>
      <c r="O96" s="3825"/>
    </row>
    <row r="97" spans="1:17" ht="25.5" customHeight="1">
      <c r="A97" s="3613" t="s">
        <v>64</v>
      </c>
      <c r="B97" s="381" t="s">
        <v>397</v>
      </c>
      <c r="C97" s="613" t="s">
        <v>109</v>
      </c>
      <c r="D97" s="828"/>
      <c r="E97" s="1423"/>
      <c r="F97" s="829"/>
      <c r="G97" s="829"/>
      <c r="H97" s="829"/>
      <c r="I97" s="829"/>
      <c r="J97" s="829"/>
      <c r="K97" s="829"/>
      <c r="L97" s="829"/>
      <c r="M97" s="354"/>
      <c r="N97" s="354"/>
      <c r="O97" s="3645" t="s">
        <v>320</v>
      </c>
      <c r="Q97" s="605">
        <f>+N98+N94</f>
        <v>233892</v>
      </c>
    </row>
    <row r="98" spans="1:17" ht="17.25" customHeight="1">
      <c r="A98" s="3614"/>
      <c r="B98" s="82" t="s">
        <v>10</v>
      </c>
      <c r="C98" s="830"/>
      <c r="D98" s="495">
        <f>+D99</f>
        <v>208775</v>
      </c>
      <c r="E98" s="631">
        <f t="shared" ref="E98:N99" si="63">+E99</f>
        <v>0</v>
      </c>
      <c r="F98" s="495">
        <f t="shared" si="63"/>
        <v>27306</v>
      </c>
      <c r="G98" s="495">
        <f t="shared" si="63"/>
        <v>181469</v>
      </c>
      <c r="H98" s="631">
        <f t="shared" si="63"/>
        <v>0</v>
      </c>
      <c r="I98" s="631">
        <v>0</v>
      </c>
      <c r="J98" s="631">
        <v>0</v>
      </c>
      <c r="K98" s="631">
        <v>0</v>
      </c>
      <c r="L98" s="1867">
        <v>0</v>
      </c>
      <c r="M98" s="1795">
        <f t="shared" si="63"/>
        <v>208775</v>
      </c>
      <c r="N98" s="1795">
        <f t="shared" si="63"/>
        <v>181469</v>
      </c>
      <c r="O98" s="3824"/>
    </row>
    <row r="99" spans="1:17" ht="15.75" customHeight="1">
      <c r="A99" s="3614"/>
      <c r="B99" s="633" t="s">
        <v>24</v>
      </c>
      <c r="C99" s="3630" t="s">
        <v>396</v>
      </c>
      <c r="D99" s="2307">
        <f>+D100</f>
        <v>208775</v>
      </c>
      <c r="E99" s="1608">
        <f t="shared" si="63"/>
        <v>0</v>
      </c>
      <c r="F99" s="2307">
        <f t="shared" si="63"/>
        <v>27306</v>
      </c>
      <c r="G99" s="2307">
        <f t="shared" si="63"/>
        <v>181469</v>
      </c>
      <c r="H99" s="1608">
        <f t="shared" si="63"/>
        <v>0</v>
      </c>
      <c r="I99" s="1608">
        <v>0</v>
      </c>
      <c r="J99" s="1608">
        <v>0</v>
      </c>
      <c r="K99" s="1608">
        <v>0</v>
      </c>
      <c r="L99" s="2321">
        <v>0</v>
      </c>
      <c r="M99" s="2322">
        <f t="shared" si="63"/>
        <v>208775</v>
      </c>
      <c r="N99" s="2322">
        <f t="shared" si="63"/>
        <v>181469</v>
      </c>
      <c r="O99" s="3824"/>
    </row>
    <row r="100" spans="1:17" ht="15" customHeight="1" thickBot="1">
      <c r="A100" s="3615"/>
      <c r="B100" s="637" t="s">
        <v>12</v>
      </c>
      <c r="C100" s="3598"/>
      <c r="D100" s="941">
        <f>E100+F100+G100+H100+I100+J100+K100+L100</f>
        <v>208775</v>
      </c>
      <c r="E100" s="638">
        <v>0</v>
      </c>
      <c r="F100" s="558">
        <f>34000-6694</f>
        <v>27306</v>
      </c>
      <c r="G100" s="558">
        <f>166000+15469</f>
        <v>181469</v>
      </c>
      <c r="H100" s="638">
        <v>0</v>
      </c>
      <c r="I100" s="638">
        <v>0</v>
      </c>
      <c r="J100" s="638">
        <v>0</v>
      </c>
      <c r="K100" s="638">
        <v>0</v>
      </c>
      <c r="L100" s="2187">
        <v>0</v>
      </c>
      <c r="M100" s="2308">
        <f>SUM(F100:K100)</f>
        <v>208775</v>
      </c>
      <c r="N100" s="2190">
        <f>SUM(G100:L100)</f>
        <v>181469</v>
      </c>
      <c r="O100" s="3825"/>
    </row>
    <row r="101" spans="1:17" ht="30" customHeight="1">
      <c r="A101" s="3842"/>
      <c r="B101" s="3842"/>
      <c r="C101" s="3842"/>
      <c r="D101" s="3842"/>
      <c r="E101" s="3842"/>
      <c r="F101" s="3842"/>
      <c r="G101" s="3842"/>
      <c r="H101" s="3842"/>
      <c r="I101" s="3842"/>
      <c r="J101" s="3842"/>
      <c r="K101" s="3842"/>
      <c r="L101" s="3842"/>
      <c r="M101" s="2200"/>
      <c r="N101" s="3842"/>
      <c r="O101" s="3842"/>
    </row>
    <row r="103" spans="1:17" ht="12.75" hidden="1">
      <c r="B103" s="1442" t="s">
        <v>401</v>
      </c>
      <c r="C103" s="1496"/>
      <c r="D103" s="1496"/>
      <c r="E103" s="1496"/>
      <c r="F103" s="1496"/>
      <c r="G103" s="1496"/>
      <c r="H103" s="1496"/>
      <c r="I103" s="1496"/>
      <c r="J103" s="1496"/>
      <c r="K103" s="1496"/>
      <c r="L103" s="1496"/>
    </row>
    <row r="104" spans="1:17" ht="12.75" hidden="1">
      <c r="B104" s="1497" t="s">
        <v>402</v>
      </c>
      <c r="C104" s="1496"/>
      <c r="D104" s="1498">
        <f t="shared" ref="D104:L104" si="64">D30+D39+D66</f>
        <v>1968205</v>
      </c>
      <c r="E104" s="1498">
        <f t="shared" si="64"/>
        <v>0</v>
      </c>
      <c r="F104" s="1498">
        <f t="shared" si="64"/>
        <v>406577</v>
      </c>
      <c r="G104" s="1498">
        <f t="shared" si="64"/>
        <v>711705</v>
      </c>
      <c r="H104" s="1498">
        <f t="shared" si="64"/>
        <v>619162</v>
      </c>
      <c r="I104" s="1498">
        <f t="shared" si="64"/>
        <v>131451</v>
      </c>
      <c r="J104" s="1498">
        <f t="shared" si="64"/>
        <v>99310</v>
      </c>
      <c r="K104" s="1498">
        <f t="shared" si="64"/>
        <v>0</v>
      </c>
      <c r="L104" s="1498">
        <f t="shared" si="64"/>
        <v>0</v>
      </c>
    </row>
    <row r="105" spans="1:17" ht="12.75" hidden="1">
      <c r="B105" s="1497" t="s">
        <v>403</v>
      </c>
      <c r="C105" s="1496"/>
      <c r="D105" s="1498">
        <f>D77</f>
        <v>7561</v>
      </c>
      <c r="E105" s="1498">
        <v>0</v>
      </c>
      <c r="F105" s="1498">
        <f>F77</f>
        <v>0</v>
      </c>
      <c r="G105" s="1498">
        <f>G77</f>
        <v>7561</v>
      </c>
      <c r="H105" s="1498">
        <f t="shared" ref="H105:L105" si="65">H77</f>
        <v>0</v>
      </c>
      <c r="I105" s="1498">
        <f t="shared" si="65"/>
        <v>0</v>
      </c>
      <c r="J105" s="1498">
        <f t="shared" si="65"/>
        <v>0</v>
      </c>
      <c r="K105" s="1498">
        <f t="shared" si="65"/>
        <v>0</v>
      </c>
      <c r="L105" s="1498">
        <f t="shared" si="65"/>
        <v>0</v>
      </c>
    </row>
    <row r="106" spans="1:17" ht="12.75" hidden="1">
      <c r="B106" s="1497" t="s">
        <v>404</v>
      </c>
      <c r="C106" s="1496"/>
      <c r="D106" s="1440">
        <f>D104+D105</f>
        <v>1975766</v>
      </c>
      <c r="E106" s="1440">
        <f>E104+E105</f>
        <v>0</v>
      </c>
      <c r="F106" s="1440">
        <f t="shared" ref="F106:L106" si="66">F104+F105</f>
        <v>406577</v>
      </c>
      <c r="G106" s="1440">
        <f t="shared" si="66"/>
        <v>719266</v>
      </c>
      <c r="H106" s="1440">
        <f t="shared" si="66"/>
        <v>619162</v>
      </c>
      <c r="I106" s="1440">
        <f t="shared" si="66"/>
        <v>131451</v>
      </c>
      <c r="J106" s="1440">
        <f t="shared" si="66"/>
        <v>99310</v>
      </c>
      <c r="K106" s="1440">
        <f t="shared" si="66"/>
        <v>0</v>
      </c>
      <c r="L106" s="1440">
        <f t="shared" si="66"/>
        <v>0</v>
      </c>
    </row>
    <row r="107" spans="1:17" ht="12.75" hidden="1">
      <c r="B107" s="1436" t="s">
        <v>42</v>
      </c>
      <c r="C107" s="1438"/>
      <c r="D107" s="1441">
        <f t="shared" ref="D107:L107" si="67">D106-D18</f>
        <v>0</v>
      </c>
      <c r="E107" s="1441">
        <f t="shared" si="67"/>
        <v>0</v>
      </c>
      <c r="F107" s="1441">
        <f t="shared" si="67"/>
        <v>0</v>
      </c>
      <c r="G107" s="1441">
        <f t="shared" si="67"/>
        <v>0</v>
      </c>
      <c r="H107" s="1441">
        <f t="shared" si="67"/>
        <v>0</v>
      </c>
      <c r="I107" s="1441">
        <f t="shared" si="67"/>
        <v>0</v>
      </c>
      <c r="J107" s="1441">
        <f t="shared" si="67"/>
        <v>0</v>
      </c>
      <c r="K107" s="1441">
        <f t="shared" si="67"/>
        <v>0</v>
      </c>
      <c r="L107" s="1441">
        <f t="shared" si="67"/>
        <v>0</v>
      </c>
    </row>
    <row r="108" spans="1:17" hidden="1"/>
  </sheetData>
  <mergeCells count="54">
    <mergeCell ref="M90:M92"/>
    <mergeCell ref="M5:M6"/>
    <mergeCell ref="M18:M23"/>
    <mergeCell ref="M30:M32"/>
    <mergeCell ref="M39:M41"/>
    <mergeCell ref="M48:M52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56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5"/>
  </sheetPr>
  <dimension ref="A1:S1012"/>
  <sheetViews>
    <sheetView zoomScaleSheetLayoutView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E3" sqref="E3:J3"/>
    </sheetView>
  </sheetViews>
  <sheetFormatPr defaultColWidth="9.140625" defaultRowHeight="12.75" outlineLevelCol="1"/>
  <cols>
    <col min="1" max="1" width="13.28515625" style="1520" customWidth="1"/>
    <col min="2" max="2" width="35.85546875" style="1081" customWidth="1"/>
    <col min="3" max="3" width="14.7109375" style="1521" customWidth="1"/>
    <col min="4" max="10" width="12.7109375" style="1082" customWidth="1"/>
    <col min="11" max="11" width="14" style="1081" customWidth="1"/>
    <col min="12" max="12" width="14.42578125" style="1081" hidden="1" customWidth="1"/>
    <col min="13" max="13" width="14.42578125" style="1081" customWidth="1"/>
    <col min="14" max="15" width="14.42578125" style="1081" hidden="1" customWidth="1"/>
    <col min="16" max="16" width="14.85546875" style="1499" hidden="1" customWidth="1"/>
    <col min="17" max="17" width="11.85546875" style="1084" hidden="1" customWidth="1" outlineLevel="1"/>
    <col min="18" max="18" width="13.28515625" style="1084" hidden="1" customWidth="1" outlineLevel="1"/>
    <col min="19" max="19" width="20.140625" style="1081" hidden="1" customWidth="1" collapsed="1"/>
    <col min="20" max="21" width="9.140625" style="1081"/>
    <col min="22" max="22" width="9.7109375" style="1081" bestFit="1" customWidth="1"/>
    <col min="23" max="16384" width="9.140625" style="1081"/>
  </cols>
  <sheetData>
    <row r="1" spans="1:19" ht="68.25" customHeight="1">
      <c r="A1" s="3850" t="s">
        <v>176</v>
      </c>
      <c r="B1" s="3850"/>
      <c r="C1" s="3850"/>
      <c r="D1" s="3850"/>
      <c r="E1" s="3850"/>
      <c r="F1" s="3850"/>
      <c r="G1" s="3850"/>
      <c r="H1" s="3850"/>
      <c r="I1" s="3850"/>
      <c r="J1" s="3850"/>
      <c r="K1" s="3850"/>
      <c r="L1" s="3850"/>
      <c r="M1" s="3851"/>
      <c r="N1" s="3167"/>
      <c r="O1" s="3167"/>
    </row>
    <row r="2" spans="1:19" ht="15.75" customHeight="1" thickBot="1">
      <c r="A2" s="3166"/>
      <c r="B2" s="3166"/>
      <c r="C2" s="3166"/>
      <c r="D2" s="3166"/>
      <c r="E2" s="3166"/>
      <c r="F2" s="3166"/>
      <c r="G2" s="3166"/>
      <c r="H2" s="3166"/>
      <c r="I2" s="3166"/>
      <c r="J2" s="3166"/>
      <c r="K2" s="3166"/>
      <c r="L2" s="3167"/>
      <c r="M2" s="3167"/>
      <c r="N2" s="3167"/>
      <c r="O2" s="3167"/>
    </row>
    <row r="3" spans="1:19" ht="34.5" customHeight="1">
      <c r="A3" s="3852" t="s">
        <v>4</v>
      </c>
      <c r="B3" s="3853"/>
      <c r="C3" s="3862" t="s">
        <v>262</v>
      </c>
      <c r="D3" s="3184" t="s">
        <v>525</v>
      </c>
      <c r="E3" s="3327" t="s">
        <v>457</v>
      </c>
      <c r="F3" s="3328"/>
      <c r="G3" s="3328"/>
      <c r="H3" s="3328"/>
      <c r="I3" s="3328"/>
      <c r="J3" s="3329"/>
      <c r="K3" s="3174" t="s">
        <v>3</v>
      </c>
      <c r="L3" s="3858" t="s">
        <v>481</v>
      </c>
      <c r="M3" s="3858" t="s">
        <v>463</v>
      </c>
      <c r="N3" s="2309"/>
      <c r="O3" s="2309"/>
    </row>
    <row r="4" spans="1:19" ht="19.5" customHeight="1">
      <c r="A4" s="3854"/>
      <c r="B4" s="3855"/>
      <c r="C4" s="3863"/>
      <c r="D4" s="3185"/>
      <c r="E4" s="3864" t="s">
        <v>6</v>
      </c>
      <c r="F4" s="3864" t="s">
        <v>206</v>
      </c>
      <c r="G4" s="3864" t="s">
        <v>207</v>
      </c>
      <c r="H4" s="3864" t="s">
        <v>255</v>
      </c>
      <c r="I4" s="3864" t="s">
        <v>256</v>
      </c>
      <c r="J4" s="3864" t="s">
        <v>257</v>
      </c>
      <c r="K4" s="3175"/>
      <c r="L4" s="3859"/>
      <c r="M4" s="3859"/>
      <c r="N4" s="2309"/>
      <c r="O4" s="2309"/>
    </row>
    <row r="5" spans="1:19" ht="18.75" customHeight="1" thickBot="1">
      <c r="A5" s="3856"/>
      <c r="B5" s="3857"/>
      <c r="C5" s="1500" t="s">
        <v>445</v>
      </c>
      <c r="D5" s="3186"/>
      <c r="E5" s="3186"/>
      <c r="F5" s="3186"/>
      <c r="G5" s="3186"/>
      <c r="H5" s="3186"/>
      <c r="I5" s="3186"/>
      <c r="J5" s="3186"/>
      <c r="K5" s="3175"/>
      <c r="L5" s="3859"/>
      <c r="M5" s="3859"/>
      <c r="N5" s="2309"/>
      <c r="O5" s="2309"/>
    </row>
    <row r="6" spans="1:19" s="1106" customFormat="1" ht="14.25" customHeight="1" thickBot="1">
      <c r="A6" s="3860">
        <v>1</v>
      </c>
      <c r="B6" s="3861"/>
      <c r="C6" s="1501">
        <v>2</v>
      </c>
      <c r="D6" s="1502">
        <v>3</v>
      </c>
      <c r="E6" s="1502">
        <v>4</v>
      </c>
      <c r="F6" s="1502">
        <v>5</v>
      </c>
      <c r="G6" s="1502">
        <v>6</v>
      </c>
      <c r="H6" s="1502">
        <v>7</v>
      </c>
      <c r="I6" s="1502">
        <v>8</v>
      </c>
      <c r="J6" s="1502">
        <v>9</v>
      </c>
      <c r="K6" s="1502">
        <v>10</v>
      </c>
      <c r="L6" s="1503">
        <v>11</v>
      </c>
      <c r="M6" s="1503">
        <v>11</v>
      </c>
      <c r="N6" s="2310"/>
      <c r="O6" s="2310"/>
      <c r="P6" s="1504"/>
      <c r="Q6" s="233"/>
      <c r="R6" s="233"/>
    </row>
    <row r="7" spans="1:19" s="1116" customFormat="1" ht="24.75" customHeight="1" thickBot="1">
      <c r="A7" s="3889" t="s">
        <v>177</v>
      </c>
      <c r="B7" s="3890"/>
      <c r="C7" s="1505">
        <f>'Tab. 6A -Drogi'!E35+'Tab. 6B Polit społ i rozwój prz'!E44+'Tab. 6B Polit społ i rozwój prz'!E85+'Tab. 6B Polit społ i rozwój prz'!E97+'Tab. 6E - Administracja'!E94-'Tab. 6E - Administracja'!E102+'Tab. 6E - Administracja'!E119-'Tab. 6E - Administracja'!E121+'Tab. 6E - Administracja'!E138++'Tab. 6H - Kultura fiz. i turyst'!E26+'Tab. 6H - Kultura fiz. i turyst'!E38+'Tab. 6H - Kultura fiz. i turyst'!E62+'Tab. 6H - Kultura fiz. i turyst'!E71+'Tab. 6H - Kultura fiz. i turyst'!E80+'Tab. 6H - Kultura fiz. i turyst'!E89+'Tab. 6H - Kultura fiz. i turyst'!E136+'Tab. 6H - Kultura fiz. i turyst'!E145+'Tab. 6B Polit społ i rozwój prz'!E109+'Tab. 6B Polit społ i rozwój prz'!E122+'Tab. 6B Polit społ i rozwój prz'!E134+'Tab. 6H - Kultura fiz. i turyst'!E50+'Tab. 6G - Roln i ochrona środ.'!E58+'Tab. 6G - Roln i ochrona środ.'!E67+'Tab. 6B Polit społ i rozwój prz'!E162+'Tab. 6B Polit społ i rozwój prz'!E144+'Tab. 6B Polit społ i rozwój prz'!E174+'Tab. 6B Polit społ i rozwój prz'!E207+'Tab. 6B Polit społ i rozwój prz'!E225+'Tab. 6B Polit społ i rozwój prz'!E240</f>
        <v>78155858</v>
      </c>
      <c r="D7" s="1505">
        <f>'Tab. 6A -Drogi'!F35+'Tab. 6B Polit społ i rozwój prz'!F44+'Tab. 6B Polit społ i rozwój prz'!F85+'Tab. 6B Polit społ i rozwój prz'!F97+'Tab. 6E - Administracja'!F94-'Tab. 6E - Administracja'!F102+'Tab. 6E - Administracja'!F119-'Tab. 6E - Administracja'!F121+'Tab. 6E - Administracja'!F138++'Tab. 6H - Kultura fiz. i turyst'!F26+'Tab. 6H - Kultura fiz. i turyst'!F38+'Tab. 6H - Kultura fiz. i turyst'!F62+'Tab. 6H - Kultura fiz. i turyst'!F71+'Tab. 6H - Kultura fiz. i turyst'!F80+'Tab. 6H - Kultura fiz. i turyst'!F89+'Tab. 6H - Kultura fiz. i turyst'!F136+'Tab. 6H - Kultura fiz. i turyst'!F145+'Tab. 6B Polit społ i rozwój prz'!F109+'Tab. 6B Polit społ i rozwój prz'!F122+'Tab. 6B Polit społ i rozwój prz'!F134+'Tab. 6H - Kultura fiz. i turyst'!F50+'Tab. 6G - Roln i ochrona środ.'!F58+'Tab. 6G - Roln i ochrona środ.'!F67+'Tab. 6B Polit społ i rozwój prz'!F162+'Tab. 6B Polit społ i rozwój prz'!F144+'Tab. 6B Polit społ i rozwój prz'!F174+'Tab. 6B Polit społ i rozwój prz'!F207+'Tab. 6B Polit społ i rozwój prz'!F225+'Tab. 6B Polit społ i rozwój prz'!F240</f>
        <v>254802557</v>
      </c>
      <c r="E7" s="1505">
        <f>'Tab. 6A -Drogi'!G35+'Tab. 6B Polit społ i rozwój prz'!G44+'Tab. 6B Polit społ i rozwój prz'!G85+'Tab. 6B Polit społ i rozwój prz'!G97+'Tab. 6E - Administracja'!G94-'Tab. 6E - Administracja'!G102+'Tab. 6E - Administracja'!G119-'Tab. 6E - Administracja'!G121+'Tab. 6E - Administracja'!G138++'Tab. 6H - Kultura fiz. i turyst'!G26+'Tab. 6H - Kultura fiz. i turyst'!G38+'Tab. 6H - Kultura fiz. i turyst'!G62+'Tab. 6H - Kultura fiz. i turyst'!G71+'Tab. 6H - Kultura fiz. i turyst'!G80+'Tab. 6H - Kultura fiz. i turyst'!G89+'Tab. 6H - Kultura fiz. i turyst'!G136+'Tab. 6H - Kultura fiz. i turyst'!G145+'Tab. 6B Polit społ i rozwój prz'!G109+'Tab. 6B Polit społ i rozwój prz'!G122+'Tab. 6B Polit społ i rozwój prz'!G134+'Tab. 6H - Kultura fiz. i turyst'!G50+'Tab. 6G - Roln i ochrona środ.'!G58+'Tab. 6G - Roln i ochrona środ.'!G67+'Tab. 6B Polit społ i rozwój prz'!G162+'Tab. 6B Polit społ i rozwój prz'!G144+'Tab. 6B Polit społ i rozwój prz'!G174+'Tab. 6B Polit społ i rozwój prz'!G207+'Tab. 6B Polit społ i rozwój prz'!G225+'Tab. 6B Polit społ i rozwój prz'!G240</f>
        <v>551416109</v>
      </c>
      <c r="F7" s="1505">
        <f>'Tab. 6A -Drogi'!H35+'Tab. 6B Polit społ i rozwój prz'!H44+'Tab. 6B Polit społ i rozwój prz'!H85+'Tab. 6B Polit społ i rozwój prz'!H97+'Tab. 6E - Administracja'!H94-'Tab. 6E - Administracja'!H102+'Tab. 6E - Administracja'!H119-'Tab. 6E - Administracja'!H121+'Tab. 6E - Administracja'!H138++'Tab. 6H - Kultura fiz. i turyst'!H26+'Tab. 6H - Kultura fiz. i turyst'!H38+'Tab. 6H - Kultura fiz. i turyst'!H62+'Tab. 6H - Kultura fiz. i turyst'!H71+'Tab. 6H - Kultura fiz. i turyst'!H80+'Tab. 6H - Kultura fiz. i turyst'!H89+'Tab. 6H - Kultura fiz. i turyst'!H136+'Tab. 6H - Kultura fiz. i turyst'!H145+'Tab. 6B Polit społ i rozwój prz'!H109+'Tab. 6B Polit społ i rozwój prz'!H122+'Tab. 6B Polit społ i rozwój prz'!H134+'Tab. 6H - Kultura fiz. i turyst'!H50+'Tab. 6G - Roln i ochrona środ.'!H58+'Tab. 6G - Roln i ochrona środ.'!H67+'Tab. 6B Polit społ i rozwój prz'!H162+'Tab. 6B Polit społ i rozwój prz'!H144+'Tab. 6B Polit społ i rozwój prz'!H174+'Tab. 6B Polit społ i rozwój prz'!H207+'Tab. 6B Polit społ i rozwój prz'!H225+'Tab. 6B Polit społ i rozwój prz'!H240</f>
        <v>171521989</v>
      </c>
      <c r="G7" s="1505">
        <f>'Tab. 6A -Drogi'!I35+'Tab. 6B Polit społ i rozwój prz'!I44+'Tab. 6B Polit społ i rozwój prz'!I85+'Tab. 6B Polit społ i rozwój prz'!I97+'Tab. 6E - Administracja'!I94-'Tab. 6E - Administracja'!I102+'Tab. 6E - Administracja'!I119-'Tab. 6E - Administracja'!I121+'Tab. 6E - Administracja'!I138++'Tab. 6H - Kultura fiz. i turyst'!I26+'Tab. 6H - Kultura fiz. i turyst'!I38+'Tab. 6H - Kultura fiz. i turyst'!I62+'Tab. 6H - Kultura fiz. i turyst'!I71+'Tab. 6H - Kultura fiz. i turyst'!I80+'Tab. 6H - Kultura fiz. i turyst'!I89+'Tab. 6H - Kultura fiz. i turyst'!I136+'Tab. 6H - Kultura fiz. i turyst'!I145+'Tab. 6B Polit społ i rozwój prz'!I109+'Tab. 6B Polit społ i rozwój prz'!I122+'Tab. 6B Polit społ i rozwój prz'!I134+'Tab. 6H - Kultura fiz. i turyst'!I50+'Tab. 6G - Roln i ochrona środ.'!I58+'Tab. 6G - Roln i ochrona środ.'!I67+'Tab. 6B Polit społ i rozwój prz'!I162+'Tab. 6B Polit społ i rozwój prz'!I144+'Tab. 6B Polit społ i rozwój prz'!I174+'Tab. 6B Polit społ i rozwój prz'!I207+'Tab. 6B Polit społ i rozwój prz'!I225+'Tab. 6B Polit społ i rozwój prz'!I240</f>
        <v>80342762</v>
      </c>
      <c r="H7" s="1505">
        <f>'Tab. 6A -Drogi'!J35+'Tab. 6B Polit społ i rozwój prz'!J44+'Tab. 6B Polit społ i rozwój prz'!J85+'Tab. 6B Polit społ i rozwój prz'!J97+'Tab. 6E - Administracja'!J94-'Tab. 6E - Administracja'!J102+'Tab. 6E - Administracja'!J119-'Tab. 6E - Administracja'!J121+'Tab. 6E - Administracja'!J138++'Tab. 6H - Kultura fiz. i turyst'!J26+'Tab. 6H - Kultura fiz. i turyst'!J38+'Tab. 6H - Kultura fiz. i turyst'!J62+'Tab. 6H - Kultura fiz. i turyst'!J71+'Tab. 6H - Kultura fiz. i turyst'!J80+'Tab. 6H - Kultura fiz. i turyst'!J89+'Tab. 6H - Kultura fiz. i turyst'!J136+'Tab. 6H - Kultura fiz. i turyst'!J145+'Tab. 6B Polit społ i rozwój prz'!J109+'Tab. 6B Polit społ i rozwój prz'!J122+'Tab. 6B Polit społ i rozwój prz'!J134+'Tab. 6H - Kultura fiz. i turyst'!J50+'Tab. 6G - Roln i ochrona środ.'!J58+'Tab. 6G - Roln i ochrona środ.'!J67+'Tab. 6B Polit społ i rozwój prz'!J162+'Tab. 6B Polit społ i rozwój prz'!J144+'Tab. 6B Polit społ i rozwój prz'!J174+'Tab. 6B Polit społ i rozwój prz'!J207+'Tab. 6B Polit społ i rozwój prz'!J225+'Tab. 6B Polit społ i rozwój prz'!J240</f>
        <v>36334818</v>
      </c>
      <c r="I7" s="1505">
        <f>'Tab. 6A -Drogi'!K35+'Tab. 6B Polit społ i rozwój prz'!K44+'Tab. 6B Polit społ i rozwój prz'!K85+'Tab. 6B Polit społ i rozwój prz'!K97+'Tab. 6E - Administracja'!K94-'Tab. 6E - Administracja'!K102+'Tab. 6E - Administracja'!K119-'Tab. 6E - Administracja'!K121+'Tab. 6E - Administracja'!K138++'Tab. 6H - Kultura fiz. i turyst'!K26+'Tab. 6H - Kultura fiz. i turyst'!K38+'Tab. 6H - Kultura fiz. i turyst'!K62+'Tab. 6H - Kultura fiz. i turyst'!K71+'Tab. 6H - Kultura fiz. i turyst'!K80+'Tab. 6H - Kultura fiz. i turyst'!K89+'Tab. 6H - Kultura fiz. i turyst'!K136+'Tab. 6H - Kultura fiz. i turyst'!K145+'Tab. 6B Polit społ i rozwój prz'!K109+'Tab. 6B Polit społ i rozwój prz'!K122+'Tab. 6B Polit społ i rozwój prz'!K134+'Tab. 6H - Kultura fiz. i turyst'!K50+'Tab. 6G - Roln i ochrona środ.'!K58+'Tab. 6G - Roln i ochrona środ.'!K67+'Tab. 6B Polit społ i rozwój prz'!K162+'Tab. 6B Polit społ i rozwój prz'!K144+'Tab. 6B Polit społ i rozwój prz'!K174+'Tab. 6B Polit społ i rozwój prz'!K207+'Tab. 6B Polit społ i rozwój prz'!K225+'Tab. 6B Polit społ i rozwój prz'!K240</f>
        <v>34520644</v>
      </c>
      <c r="J7" s="1505">
        <f>'Tab. 6A -Drogi'!L35+'Tab. 6B Polit społ i rozwój prz'!L44+'Tab. 6B Polit społ i rozwój prz'!L85+'Tab. 6B Polit społ i rozwój prz'!L97+'Tab. 6E - Administracja'!L94-'Tab. 6E - Administracja'!L102+'Tab. 6E - Administracja'!L119-'Tab. 6E - Administracja'!L121+'Tab. 6E - Administracja'!L138++'Tab. 6H - Kultura fiz. i turyst'!L26+'Tab. 6H - Kultura fiz. i turyst'!L38+'Tab. 6H - Kultura fiz. i turyst'!L62+'Tab. 6H - Kultura fiz. i turyst'!L71+'Tab. 6H - Kultura fiz. i turyst'!L80+'Tab. 6H - Kultura fiz. i turyst'!L89+'Tab. 6H - Kultura fiz. i turyst'!L136+'Tab. 6H - Kultura fiz. i turyst'!L145+'Tab. 6B Polit społ i rozwój prz'!L109+'Tab. 6B Polit społ i rozwój prz'!L122+'Tab. 6B Polit społ i rozwój prz'!L134+'Tab. 6H - Kultura fiz. i turyst'!L50+'Tab. 6G - Roln i ochrona środ.'!L58+'Tab. 6G - Roln i ochrona środ.'!L67+'Tab. 6B Polit społ i rozwój prz'!L162+'Tab. 6B Polit społ i rozwój prz'!L144+'Tab. 6B Polit społ i rozwój prz'!L174+'Tab. 6B Polit społ i rozwój prz'!L207+'Tab. 6B Polit społ i rozwój prz'!L225+'Tab. 6B Polit społ i rozwój prz'!L240</f>
        <v>33618488</v>
      </c>
      <c r="K7" s="1505">
        <f>C7+D7+E7+F7+G7+H7+I7+J7</f>
        <v>1240713225</v>
      </c>
      <c r="L7" s="1506">
        <f>+D7+E7+F7+G7+H7+I7+J7</f>
        <v>1162557367</v>
      </c>
      <c r="M7" s="1506">
        <f>+E7+F7+G7+H7+I7+J7</f>
        <v>907754810</v>
      </c>
      <c r="N7" s="2317">
        <f>E7/$E$45%</f>
        <v>93.609689981505284</v>
      </c>
      <c r="O7" s="2317">
        <f>E7/$O$48%</f>
        <v>46.086325153677798</v>
      </c>
      <c r="P7" s="1507">
        <f>'[2]projekty UE'!$K$7+'[2]projekty UE'!$N$7-C7</f>
        <v>161736562</v>
      </c>
      <c r="Q7" s="1140"/>
      <c r="R7" s="1140"/>
    </row>
    <row r="8" spans="1:19" s="1116" customFormat="1" ht="24.75" customHeight="1" thickBot="1">
      <c r="A8" s="3883" t="s">
        <v>178</v>
      </c>
      <c r="B8" s="3884"/>
      <c r="C8" s="1508">
        <f>'Tab. 6A -Drogi'!E43+'Tab. 6B Polit społ i rozwój prz'!E54+'Tab. 6B Polit społ i rozwój prz'!E91+'Tab. 6B Polit społ i rozwój prz'!E103+'Tab. 6E - Administracja'!E115+'Tab. 6E - Administracja'!E134+'Tab. 6E - Administracja'!E147+'Tab. 6H - Kultura fiz. i turyst'!E32+'Tab. 6H - Kultura fiz. i turyst'!E44+'Tab. 6H - Kultura fiz. i turyst'!E67+'Tab. 6H - Kultura fiz. i turyst'!E76+'Tab. 6H - Kultura fiz. i turyst'!E85+'Tab. 6H - Kultura fiz. i turyst'!E95+'Tab. 6H - Kultura fiz. i turyst'!E141+'Tab. 6H - Kultura fiz. i turyst'!E150+'Tab. 6B Polit społ i rozwój prz'!E118+'Tab. 6B Polit społ i rozwój prz'!E130+'Tab. 6B Polit społ i rozwój prz'!E140+'Tab. 6H - Kultura fiz. i turyst'!E56+'Tab. 6G - Roln i ochrona środ.'!E63+'Tab. 6G - Roln i ochrona środ.'!E72+'Tab. 6B Polit społ i rozwój prz'!E156+'Tab. 6B Polit społ i rozwój prz'!E168+'Tab. 6B Polit społ i rozwój prz'!E186+'Tab. 6B Polit społ i rozwój prz'!E219+'Tab. 6B Polit społ i rozwój prz'!E234+'Tab. 6B Polit społ i rozwój prz'!E245</f>
        <v>57213241</v>
      </c>
      <c r="D8" s="1508">
        <f>'Tab. 6A -Drogi'!F43+'Tab. 6B Polit społ i rozwój prz'!F54+'Tab. 6B Polit społ i rozwój prz'!F91+'Tab. 6B Polit społ i rozwój prz'!F103+'Tab. 6E - Administracja'!F115+'Tab. 6E - Administracja'!F134+'Tab. 6E - Administracja'!F147+'Tab. 6H - Kultura fiz. i turyst'!F32+'Tab. 6H - Kultura fiz. i turyst'!F44+'Tab. 6H - Kultura fiz. i turyst'!F67+'Tab. 6H - Kultura fiz. i turyst'!F76+'Tab. 6H - Kultura fiz. i turyst'!F85+'Tab. 6H - Kultura fiz. i turyst'!F95+'Tab. 6H - Kultura fiz. i turyst'!F141+'Tab. 6H - Kultura fiz. i turyst'!F150+'Tab. 6B Polit społ i rozwój prz'!F118+'Tab. 6B Polit społ i rozwój prz'!F130+'Tab. 6B Polit społ i rozwój prz'!F140+'Tab. 6H - Kultura fiz. i turyst'!F56+'Tab. 6G - Roln i ochrona środ.'!F63+'Tab. 6G - Roln i ochrona środ.'!F72+'Tab. 6B Polit społ i rozwój prz'!F156+'Tab. 6B Polit społ i rozwój prz'!F168+'Tab. 6B Polit społ i rozwój prz'!F186+'Tab. 6B Polit społ i rozwój prz'!F219+'Tab. 6B Polit społ i rozwój prz'!F234+'Tab. 6B Polit społ i rozwój prz'!F245</f>
        <v>213915065</v>
      </c>
      <c r="E8" s="1508">
        <f>'Tab. 6A -Drogi'!G43+'Tab. 6B Polit społ i rozwój prz'!G54+'Tab. 6B Polit społ i rozwój prz'!G91+'Tab. 6B Polit społ i rozwój prz'!G103+'Tab. 6E - Administracja'!G115+'Tab. 6E - Administracja'!G134+'Tab. 6E - Administracja'!G147+'Tab. 6H - Kultura fiz. i turyst'!G32+'Tab. 6H - Kultura fiz. i turyst'!G44+'Tab. 6H - Kultura fiz. i turyst'!G67+'Tab. 6H - Kultura fiz. i turyst'!G76+'Tab. 6H - Kultura fiz. i turyst'!G85+'Tab. 6H - Kultura fiz. i turyst'!G95+'Tab. 6H - Kultura fiz. i turyst'!G141+'Tab. 6H - Kultura fiz. i turyst'!G150+'Tab. 6B Polit społ i rozwój prz'!G118+'Tab. 6B Polit społ i rozwój prz'!G130+'Tab. 6B Polit społ i rozwój prz'!G140+'Tab. 6H - Kultura fiz. i turyst'!G56+'Tab. 6G - Roln i ochrona środ.'!G63+'Tab. 6G - Roln i ochrona środ.'!G72+'Tab. 6B Polit społ i rozwój prz'!G156+'Tab. 6B Polit społ i rozwój prz'!G168+'Tab. 6B Polit społ i rozwój prz'!G186+'Tab. 6B Polit społ i rozwój prz'!G219+'Tab. 6B Polit społ i rozwój prz'!G234+'Tab. 6B Polit społ i rozwój prz'!G245</f>
        <v>466484463</v>
      </c>
      <c r="F8" s="1508">
        <f>'Tab. 6A -Drogi'!H43+'Tab. 6B Polit społ i rozwój prz'!H54+'Tab. 6B Polit społ i rozwój prz'!H91+'Tab. 6B Polit społ i rozwój prz'!H103+'Tab. 6E - Administracja'!H115+'Tab. 6E - Administracja'!H134+'Tab. 6E - Administracja'!H147+'Tab. 6H - Kultura fiz. i turyst'!H32+'Tab. 6H - Kultura fiz. i turyst'!H44+'Tab. 6H - Kultura fiz. i turyst'!H67+'Tab. 6H - Kultura fiz. i turyst'!H76+'Tab. 6H - Kultura fiz. i turyst'!H85+'Tab. 6H - Kultura fiz. i turyst'!H95+'Tab. 6H - Kultura fiz. i turyst'!H141+'Tab. 6H - Kultura fiz. i turyst'!H150+'Tab. 6B Polit społ i rozwój prz'!H118+'Tab. 6B Polit społ i rozwój prz'!H130+'Tab. 6B Polit społ i rozwój prz'!H140+'Tab. 6H - Kultura fiz. i turyst'!H56+'Tab. 6G - Roln i ochrona środ.'!H63+'Tab. 6G - Roln i ochrona środ.'!H72+'Tab. 6B Polit społ i rozwój prz'!H156+'Tab. 6B Polit społ i rozwój prz'!H168+'Tab. 6B Polit społ i rozwój prz'!H186+'Tab. 6B Polit społ i rozwój prz'!H219+'Tab. 6B Polit społ i rozwój prz'!H234+'Tab. 6B Polit społ i rozwój prz'!H245</f>
        <v>143373237</v>
      </c>
      <c r="G8" s="1508">
        <f>'Tab. 6A -Drogi'!I43+'Tab. 6B Polit społ i rozwój prz'!I54+'Tab. 6B Polit społ i rozwój prz'!I91+'Tab. 6B Polit społ i rozwój prz'!I103+'Tab. 6E - Administracja'!I115+'Tab. 6E - Administracja'!I134+'Tab. 6E - Administracja'!I147+'Tab. 6H - Kultura fiz. i turyst'!I32+'Tab. 6H - Kultura fiz. i turyst'!I44+'Tab. 6H - Kultura fiz. i turyst'!I67+'Tab. 6H - Kultura fiz. i turyst'!I76+'Tab. 6H - Kultura fiz. i turyst'!I85+'Tab. 6H - Kultura fiz. i turyst'!I95+'Tab. 6H - Kultura fiz. i turyst'!I141+'Tab. 6H - Kultura fiz. i turyst'!I150+'Tab. 6B Polit społ i rozwój prz'!I118+'Tab. 6B Polit społ i rozwój prz'!I130+'Tab. 6B Polit społ i rozwój prz'!I140+'Tab. 6H - Kultura fiz. i turyst'!I56+'Tab. 6G - Roln i ochrona środ.'!I63+'Tab. 6G - Roln i ochrona środ.'!I72+'Tab. 6B Polit społ i rozwój prz'!I156+'Tab. 6B Polit społ i rozwój prz'!I168+'Tab. 6B Polit społ i rozwój prz'!I186+'Tab. 6B Polit społ i rozwój prz'!I219+'Tab. 6B Polit społ i rozwój prz'!I234+'Tab. 6B Polit społ i rozwój prz'!I245</f>
        <v>60801967</v>
      </c>
      <c r="H8" s="1508">
        <f>'Tab. 6A -Drogi'!J43+'Tab. 6B Polit społ i rozwój prz'!J54+'Tab. 6B Polit społ i rozwój prz'!J91+'Tab. 6B Polit społ i rozwój prz'!J103+'Tab. 6E - Administracja'!J115+'Tab. 6E - Administracja'!J134+'Tab. 6E - Administracja'!J147+'Tab. 6H - Kultura fiz. i turyst'!J32+'Tab. 6H - Kultura fiz. i turyst'!J44+'Tab. 6H - Kultura fiz. i turyst'!J67+'Tab. 6H - Kultura fiz. i turyst'!J76+'Tab. 6H - Kultura fiz. i turyst'!J85+'Tab. 6H - Kultura fiz. i turyst'!J95+'Tab. 6H - Kultura fiz. i turyst'!J141+'Tab. 6H - Kultura fiz. i turyst'!J150+'Tab. 6B Polit społ i rozwój prz'!J118+'Tab. 6B Polit społ i rozwój prz'!J130+'Tab. 6B Polit społ i rozwój prz'!J140+'Tab. 6H - Kultura fiz. i turyst'!J56+'Tab. 6G - Roln i ochrona środ.'!J63+'Tab. 6G - Roln i ochrona środ.'!J72+'Tab. 6B Polit społ i rozwój prz'!J156+'Tab. 6B Polit społ i rozwój prz'!J168+'Tab. 6B Polit społ i rozwój prz'!J186+'Tab. 6B Polit społ i rozwój prz'!J219+'Tab. 6B Polit społ i rozwój prz'!J234+'Tab. 6B Polit społ i rozwój prz'!J245</f>
        <v>30471862</v>
      </c>
      <c r="I8" s="1508">
        <f>'Tab. 6A -Drogi'!K43+'Tab. 6B Polit społ i rozwój prz'!K54+'Tab. 6B Polit społ i rozwój prz'!K91+'Tab. 6B Polit społ i rozwój prz'!K103+'Tab. 6E - Administracja'!K115+'Tab. 6E - Administracja'!K134+'Tab. 6E - Administracja'!K147+'Tab. 6H - Kultura fiz. i turyst'!K32+'Tab. 6H - Kultura fiz. i turyst'!K44+'Tab. 6H - Kultura fiz. i turyst'!K67+'Tab. 6H - Kultura fiz. i turyst'!K76+'Tab. 6H - Kultura fiz. i turyst'!K85+'Tab. 6H - Kultura fiz. i turyst'!K95+'Tab. 6H - Kultura fiz. i turyst'!K141+'Tab. 6H - Kultura fiz. i turyst'!K150+'Tab. 6B Polit społ i rozwój prz'!K118+'Tab. 6B Polit społ i rozwój prz'!K130+'Tab. 6B Polit społ i rozwój prz'!K140+'Tab. 6H - Kultura fiz. i turyst'!K56+'Tab. 6G - Roln i ochrona środ.'!K63+'Tab. 6G - Roln i ochrona środ.'!K72+'Tab. 6B Polit społ i rozwój prz'!K156+'Tab. 6B Polit społ i rozwój prz'!K168+'Tab. 6B Polit społ i rozwój prz'!K186+'Tab. 6B Polit społ i rozwój prz'!K219+'Tab. 6B Polit społ i rozwój prz'!K234+'Tab. 6B Polit społ i rozwój prz'!K245</f>
        <v>30200542</v>
      </c>
      <c r="J8" s="1508">
        <f>'Tab. 6A -Drogi'!L43+'Tab. 6B Polit społ i rozwój prz'!L54+'Tab. 6B Polit społ i rozwój prz'!L91+'Tab. 6B Polit społ i rozwój prz'!L103+'Tab. 6E - Administracja'!L115+'Tab. 6E - Administracja'!L134+'Tab. 6E - Administracja'!L147+'Tab. 6H - Kultura fiz. i turyst'!L32+'Tab. 6H - Kultura fiz. i turyst'!L44+'Tab. 6H - Kultura fiz. i turyst'!L67+'Tab. 6H - Kultura fiz. i turyst'!L76+'Tab. 6H - Kultura fiz. i turyst'!L85+'Tab. 6H - Kultura fiz. i turyst'!L95+'Tab. 6H - Kultura fiz. i turyst'!L141+'Tab. 6H - Kultura fiz. i turyst'!L150+'Tab. 6B Polit społ i rozwój prz'!L118+'Tab. 6B Polit społ i rozwój prz'!L130+'Tab. 6B Polit społ i rozwój prz'!L140+'Tab. 6H - Kultura fiz. i turyst'!L56+'Tab. 6G - Roln i ochrona środ.'!L63+'Tab. 6G - Roln i ochrona środ.'!L72+'Tab. 6B Polit społ i rozwój prz'!L156+'Tab. 6B Polit społ i rozwój prz'!L168+'Tab. 6B Polit społ i rozwój prz'!L186+'Tab. 6B Polit społ i rozwój prz'!L219+'Tab. 6B Polit społ i rozwój prz'!L234+'Tab. 6B Polit społ i rozwój prz'!L245</f>
        <v>29343698</v>
      </c>
      <c r="K8" s="1508">
        <f>+C8+D8+E8+F8+G8+H8+I8+J8+5028154+11590+2055406+299481</f>
        <v>1039198706</v>
      </c>
      <c r="L8" s="1509" t="s">
        <v>61</v>
      </c>
      <c r="M8" s="1509" t="s">
        <v>61</v>
      </c>
      <c r="N8" s="2312"/>
      <c r="O8" s="2312"/>
      <c r="P8" s="1507">
        <f>'[2]projekty UE'!$K$8+'[2]projekty UE'!$N$8-C8</f>
        <v>147483591</v>
      </c>
      <c r="Q8" s="1140"/>
      <c r="R8" s="1140"/>
    </row>
    <row r="9" spans="1:19" s="1116" customFormat="1" ht="24.75" hidden="1" customHeight="1" thickBot="1">
      <c r="A9" s="3164" t="s">
        <v>179</v>
      </c>
      <c r="B9" s="3165"/>
      <c r="C9" s="1505"/>
      <c r="D9" s="1505"/>
      <c r="E9" s="1505"/>
      <c r="F9" s="1505"/>
      <c r="G9" s="1505"/>
      <c r="H9" s="1505"/>
      <c r="I9" s="1505"/>
      <c r="J9" s="1505"/>
      <c r="K9" s="1505"/>
      <c r="L9" s="1506">
        <f>+D9+E9+F9+G9+H9+I9+J9</f>
        <v>0</v>
      </c>
      <c r="M9" s="1506">
        <f>+E9+F9+G9+H9+I9+J9</f>
        <v>0</v>
      </c>
      <c r="N9" s="2311"/>
      <c r="O9" s="2311"/>
      <c r="P9" s="1507"/>
      <c r="Q9" s="1140"/>
      <c r="R9" s="1140"/>
      <c r="S9" s="1507"/>
    </row>
    <row r="10" spans="1:19" s="1116" customFormat="1" ht="24.75" hidden="1" customHeight="1" thickBot="1">
      <c r="A10" s="3883" t="s">
        <v>180</v>
      </c>
      <c r="B10" s="3884"/>
      <c r="C10" s="1508"/>
      <c r="D10" s="1508"/>
      <c r="E10" s="1508"/>
      <c r="F10" s="1508"/>
      <c r="G10" s="1508"/>
      <c r="H10" s="1508"/>
      <c r="I10" s="1508"/>
      <c r="J10" s="1508"/>
      <c r="K10" s="1508"/>
      <c r="L10" s="1509" t="s">
        <v>61</v>
      </c>
      <c r="M10" s="1509" t="s">
        <v>61</v>
      </c>
      <c r="N10" s="2312"/>
      <c r="O10" s="2312"/>
      <c r="P10" s="1507"/>
      <c r="Q10" s="1140"/>
      <c r="R10" s="1140"/>
    </row>
    <row r="11" spans="1:19" s="1116" customFormat="1" ht="24.75" hidden="1" customHeight="1" thickBot="1">
      <c r="A11" s="3889" t="s">
        <v>181</v>
      </c>
      <c r="B11" s="3890"/>
      <c r="C11" s="1505"/>
      <c r="D11" s="1505"/>
      <c r="E11" s="1505"/>
      <c r="F11" s="1505"/>
      <c r="G11" s="1505"/>
      <c r="H11" s="1505"/>
      <c r="I11" s="1505"/>
      <c r="J11" s="1505"/>
      <c r="K11" s="1505"/>
      <c r="L11" s="1506">
        <f>+D11+E11+F11+G11+H11+I11+J11</f>
        <v>0</v>
      </c>
      <c r="M11" s="1506">
        <f>+E11+F11+G11+H11+I11+J11</f>
        <v>0</v>
      </c>
      <c r="N11" s="2311"/>
      <c r="O11" s="2311"/>
      <c r="P11" s="1507"/>
      <c r="Q11" s="1140"/>
      <c r="R11" s="1140"/>
    </row>
    <row r="12" spans="1:19" s="1116" customFormat="1" ht="24.75" hidden="1" customHeight="1" thickBot="1">
      <c r="A12" s="3883" t="s">
        <v>182</v>
      </c>
      <c r="B12" s="3884"/>
      <c r="C12" s="1508"/>
      <c r="D12" s="1508"/>
      <c r="E12" s="1508"/>
      <c r="F12" s="1508"/>
      <c r="G12" s="1508"/>
      <c r="H12" s="1508"/>
      <c r="I12" s="1508"/>
      <c r="J12" s="1508"/>
      <c r="K12" s="1508"/>
      <c r="L12" s="1509" t="s">
        <v>61</v>
      </c>
      <c r="M12" s="1509" t="s">
        <v>61</v>
      </c>
      <c r="N12" s="2312"/>
      <c r="O12" s="2312"/>
      <c r="P12" s="1507"/>
      <c r="Q12" s="1140"/>
      <c r="R12" s="1140"/>
    </row>
    <row r="13" spans="1:19" s="1116" customFormat="1" ht="24.75" customHeight="1" thickBot="1">
      <c r="A13" s="3889" t="s">
        <v>183</v>
      </c>
      <c r="B13" s="3890"/>
      <c r="C13" s="1505">
        <f>+'Tab. 6G - Roln i ochrona środ.'!E44</f>
        <v>5960282</v>
      </c>
      <c r="D13" s="1505">
        <f>+'Tab. 6G - Roln i ochrona środ.'!F44</f>
        <v>3712693</v>
      </c>
      <c r="E13" s="1505">
        <f>+'Tab. 6G - Roln i ochrona środ.'!G44</f>
        <v>5500000</v>
      </c>
      <c r="F13" s="1505">
        <f>+'Tab. 6G - Roln i ochrona środ.'!H44</f>
        <v>6500000</v>
      </c>
      <c r="G13" s="1505">
        <f>+'Tab. 6G - Roln i ochrona środ.'!I44</f>
        <v>6000000</v>
      </c>
      <c r="H13" s="1505">
        <f>+'Tab. 6G - Roln i ochrona środ.'!J44</f>
        <v>1883242</v>
      </c>
      <c r="I13" s="1505">
        <f>+'Tab. 6G - Roln i ochrona środ.'!K44</f>
        <v>1607578</v>
      </c>
      <c r="J13" s="1505">
        <f>+'Tab. 6G - Roln i ochrona środ.'!L44</f>
        <v>1547513</v>
      </c>
      <c r="K13" s="1505">
        <f>C13+D13+E13+F13+G13+H13+I13+J13</f>
        <v>32711308</v>
      </c>
      <c r="L13" s="1506">
        <f>+D13+E13+F13+G13+H13+I13+J13</f>
        <v>26751026</v>
      </c>
      <c r="M13" s="1506">
        <f>+E13+F13+G13+H13+I13+J13</f>
        <v>23038333</v>
      </c>
      <c r="N13" s="2317">
        <f>E13/$E$45%</f>
        <v>0.93369288001391892</v>
      </c>
      <c r="O13" s="2317">
        <f>E13/$O$48%</f>
        <v>0.45967969416944959</v>
      </c>
      <c r="P13" s="1507">
        <f>'[2]projekty UE'!$K$13+'[2]projekty UE'!$N$13-C13</f>
        <v>0</v>
      </c>
      <c r="Q13" s="1140"/>
      <c r="R13" s="1140"/>
    </row>
    <row r="14" spans="1:19" s="1116" customFormat="1" ht="24.75" customHeight="1" thickBot="1">
      <c r="A14" s="3883" t="s">
        <v>184</v>
      </c>
      <c r="B14" s="3884"/>
      <c r="C14" s="1508">
        <f>+'Tab. 6G - Roln i ochrona środ.'!E50</f>
        <v>5960282</v>
      </c>
      <c r="D14" s="1508">
        <f>+'Tab. 6G - Roln i ochrona środ.'!F50</f>
        <v>3712693</v>
      </c>
      <c r="E14" s="1508">
        <f>+'Tab. 6G - Roln i ochrona środ.'!G50</f>
        <v>5500000</v>
      </c>
      <c r="F14" s="1508">
        <f>+'Tab. 6G - Roln i ochrona środ.'!H50</f>
        <v>6500000</v>
      </c>
      <c r="G14" s="1508">
        <f>+'Tab. 6G - Roln i ochrona środ.'!I50</f>
        <v>6000000</v>
      </c>
      <c r="H14" s="1508">
        <f>+'Tab. 6G - Roln i ochrona środ.'!J50</f>
        <v>1883242</v>
      </c>
      <c r="I14" s="1508">
        <f>+'Tab. 6G - Roln i ochrona środ.'!K50</f>
        <v>1607578</v>
      </c>
      <c r="J14" s="1508">
        <f>+'Tab. 6G - Roln i ochrona środ.'!L50</f>
        <v>1547513</v>
      </c>
      <c r="K14" s="1508">
        <f>+C14+D14+E14+F14+G14+H14+I14+J14</f>
        <v>32711308</v>
      </c>
      <c r="L14" s="1509" t="s">
        <v>61</v>
      </c>
      <c r="M14" s="1509" t="s">
        <v>61</v>
      </c>
      <c r="N14" s="2312"/>
      <c r="O14" s="2312"/>
      <c r="P14" s="1507">
        <f>'[2]projekty UE'!$K$14+'[2]projekty UE'!$N$14-C14</f>
        <v>0</v>
      </c>
      <c r="Q14" s="1140"/>
      <c r="R14" s="1140"/>
    </row>
    <row r="15" spans="1:19" s="1116" customFormat="1" ht="24.75" hidden="1" customHeight="1" thickBot="1">
      <c r="A15" s="3164" t="s">
        <v>185</v>
      </c>
      <c r="B15" s="3165"/>
      <c r="C15" s="1505"/>
      <c r="D15" s="1505"/>
      <c r="E15" s="1505"/>
      <c r="F15" s="1505"/>
      <c r="G15" s="1505"/>
      <c r="H15" s="1505"/>
      <c r="I15" s="1505"/>
      <c r="J15" s="1505"/>
      <c r="K15" s="1505">
        <f>C15+D15+E15+F15+G15+H15+I15+J15</f>
        <v>0</v>
      </c>
      <c r="L15" s="1506">
        <f>+D15+E15+F15+G15+H15+I15+J15</f>
        <v>0</v>
      </c>
      <c r="M15" s="1506">
        <f>+E15+F15+G15+H15+I15+J15</f>
        <v>0</v>
      </c>
      <c r="N15" s="2311"/>
      <c r="O15" s="2311"/>
      <c r="P15" s="1507"/>
      <c r="Q15" s="1140"/>
      <c r="R15" s="1140"/>
    </row>
    <row r="16" spans="1:19" s="1116" customFormat="1" ht="24.75" hidden="1" customHeight="1" thickBot="1">
      <c r="A16" s="3883" t="s">
        <v>186</v>
      </c>
      <c r="B16" s="3884"/>
      <c r="C16" s="1508"/>
      <c r="D16" s="1508"/>
      <c r="E16" s="1508"/>
      <c r="F16" s="1508"/>
      <c r="G16" s="1508"/>
      <c r="H16" s="1508"/>
      <c r="I16" s="1508"/>
      <c r="J16" s="1508"/>
      <c r="K16" s="1508"/>
      <c r="L16" s="1509" t="s">
        <v>61</v>
      </c>
      <c r="M16" s="1509" t="s">
        <v>61</v>
      </c>
      <c r="N16" s="2312"/>
      <c r="O16" s="2312"/>
      <c r="P16" s="1507"/>
      <c r="Q16" s="1140"/>
      <c r="R16" s="1140"/>
    </row>
    <row r="17" spans="1:19" s="1116" customFormat="1" ht="24.75" customHeight="1" thickBot="1">
      <c r="A17" s="3887" t="s">
        <v>187</v>
      </c>
      <c r="B17" s="3888"/>
      <c r="C17" s="1505">
        <f>+'Tab. 6G - Roln i ochrona środ.'!E33</f>
        <v>8982580</v>
      </c>
      <c r="D17" s="1505">
        <f>+'Tab. 6G - Roln i ochrona środ.'!F33</f>
        <v>3414399</v>
      </c>
      <c r="E17" s="1505">
        <f>+'Tab. 6G - Roln i ochrona środ.'!G33</f>
        <v>4305574</v>
      </c>
      <c r="F17" s="1505">
        <f>+'Tab. 6G - Roln i ochrona środ.'!H33</f>
        <v>3020670</v>
      </c>
      <c r="G17" s="1505">
        <f>+'Tab. 6G - Roln i ochrona środ.'!I33</f>
        <v>0</v>
      </c>
      <c r="H17" s="1505">
        <f>+'Tab. 6G - Roln i ochrona środ.'!J33</f>
        <v>0</v>
      </c>
      <c r="I17" s="1505">
        <f>+'Tab. 6G - Roln i ochrona środ.'!K33</f>
        <v>0</v>
      </c>
      <c r="J17" s="1505">
        <f>+'Tab. 6G - Roln i ochrona środ.'!L33</f>
        <v>0</v>
      </c>
      <c r="K17" s="1505">
        <f>C17+D17+E17+F17+G17+H17+I17+J17</f>
        <v>19723223</v>
      </c>
      <c r="L17" s="1506">
        <f>+D17+E17+F17+G17+H17+I17+J17</f>
        <v>10740643</v>
      </c>
      <c r="M17" s="1506">
        <f>+E17+F17+G17+H17+I17+J17</f>
        <v>7326244</v>
      </c>
      <c r="N17" s="2317">
        <f>E17/$E$45%</f>
        <v>0.73092432512237249</v>
      </c>
      <c r="O17" s="2317">
        <f>E17/$O$48%</f>
        <v>0.35985180718980614</v>
      </c>
      <c r="P17" s="1507">
        <f>'[2]projekty UE'!$K$17+'[2]projekty UE'!$N$17-C17</f>
        <v>0</v>
      </c>
      <c r="Q17" s="1140"/>
      <c r="R17" s="1140"/>
    </row>
    <row r="18" spans="1:19" s="1116" customFormat="1" ht="24.75" customHeight="1" thickBot="1">
      <c r="A18" s="3883" t="s">
        <v>188</v>
      </c>
      <c r="B18" s="3884"/>
      <c r="C18" s="1508">
        <f>+'Tab. 6G - Roln i ochrona środ.'!E38</f>
        <v>11297151</v>
      </c>
      <c r="D18" s="1508">
        <f>+'Tab. 6G - Roln i ochrona środ.'!F38</f>
        <v>3224124</v>
      </c>
      <c r="E18" s="1508">
        <f>+'Tab. 6G - Roln i ochrona środ.'!G38</f>
        <v>218416</v>
      </c>
      <c r="F18" s="1508">
        <f>+'Tab. 6G - Roln i ochrona środ.'!H38</f>
        <v>4983532</v>
      </c>
      <c r="G18" s="1508">
        <f>+'Tab. 6G - Roln i ochrona środ.'!I38</f>
        <v>0</v>
      </c>
      <c r="H18" s="1508">
        <f>+'Tab. 6G - Roln i ochrona środ.'!J38</f>
        <v>0</v>
      </c>
      <c r="I18" s="1508">
        <f>+'Tab. 6G - Roln i ochrona środ.'!K38</f>
        <v>0</v>
      </c>
      <c r="J18" s="1508">
        <f>+'Tab. 6G - Roln i ochrona środ.'!L38</f>
        <v>0</v>
      </c>
      <c r="K18" s="1508">
        <f>+C18+D18+E18+F18+G18+H18+I18+J18</f>
        <v>19723223</v>
      </c>
      <c r="L18" s="1509" t="s">
        <v>61</v>
      </c>
      <c r="M18" s="1509" t="s">
        <v>61</v>
      </c>
      <c r="N18" s="2312"/>
      <c r="O18" s="2312"/>
      <c r="P18" s="1507">
        <f>'[2]projekty UE'!$K$18+'[2]projekty UE'!$N$18-C18</f>
        <v>0</v>
      </c>
      <c r="Q18" s="1140"/>
      <c r="R18" s="1140"/>
    </row>
    <row r="19" spans="1:19" s="1116" customFormat="1" ht="24.75" customHeight="1" thickBot="1">
      <c r="A19" s="3881" t="s">
        <v>189</v>
      </c>
      <c r="B19" s="3882"/>
      <c r="C19" s="1505">
        <f>+'Tab. 6E - Administracja'!E72+'Tab. 6E - Administracja'!E83+'Tab. 6E - Administracja'!E215+'Tab. 6E - Administracja'!E216+'Tab. 6E - Administracja'!E219+'Tab. 6E - Administracja'!E226</f>
        <v>2763981</v>
      </c>
      <c r="D19" s="1505">
        <f>+'Tab. 6E - Administracja'!F72+'Tab. 6E - Administracja'!F83+'Tab. 6E - Administracja'!F215+'Tab. 6E - Administracja'!F216+'Tab. 6E - Administracja'!F219+'Tab. 6E - Administracja'!F226</f>
        <v>2489362</v>
      </c>
      <c r="E19" s="1505">
        <f>+'Tab. 6E - Administracja'!G72+'Tab. 6E - Administracja'!G83+'Tab. 6E - Administracja'!G215+'Tab. 6E - Administracja'!G216+'Tab. 6E - Administracja'!G219+'Tab. 6E - Administracja'!G226</f>
        <v>6139204</v>
      </c>
      <c r="F19" s="1505">
        <f>+'Tab. 6E - Administracja'!H72+'Tab. 6E - Administracja'!H83+'Tab. 6E - Administracja'!H215+'Tab. 6E - Administracja'!H216+'Tab. 6E - Administracja'!H219+'Tab. 6E - Administracja'!H226</f>
        <v>1500000</v>
      </c>
      <c r="G19" s="1505">
        <f>+'Tab. 6E - Administracja'!I72+'Tab. 6E - Administracja'!I83+'Tab. 6E - Administracja'!I215+'Tab. 6E - Administracja'!I216+'Tab. 6E - Administracja'!I219+'Tab. 6E - Administracja'!I226</f>
        <v>1400000</v>
      </c>
      <c r="H19" s="1505">
        <f>+'Tab. 6E - Administracja'!J72+'Tab. 6E - Administracja'!J83+'Tab. 6E - Administracja'!J215+'Tab. 6E - Administracja'!J216+'Tab. 6E - Administracja'!J219+'Tab. 6E - Administracja'!J226</f>
        <v>0</v>
      </c>
      <c r="I19" s="1505">
        <f>+'Tab. 6E - Administracja'!K72+'Tab. 6E - Administracja'!K83+'Tab. 6E - Administracja'!K215+'Tab. 6E - Administracja'!K216+'Tab. 6E - Administracja'!K219+'Tab. 6E - Administracja'!K226</f>
        <v>0</v>
      </c>
      <c r="J19" s="1505">
        <f>+'Tab. 6E - Administracja'!L72+'Tab. 6E - Administracja'!L83+'Tab. 6E - Administracja'!L215+'Tab. 6E - Administracja'!L216+'Tab. 6E - Administracja'!L219+'Tab. 6E - Administracja'!L226</f>
        <v>0</v>
      </c>
      <c r="K19" s="1505">
        <f>C19+D19+E19+F19+G19+H19+I19+J19</f>
        <v>14292547</v>
      </c>
      <c r="L19" s="1506">
        <f>+D19+E19+F19+G19+H19+I19+J19</f>
        <v>11528566</v>
      </c>
      <c r="M19" s="1506">
        <f>+E19+F19+G19+H19+I19+J19</f>
        <v>9039204</v>
      </c>
      <c r="N19" s="2317">
        <f>E19/$E$45%</f>
        <v>1.0422056479550856</v>
      </c>
      <c r="O19" s="2317">
        <f>E19/$O$48%</f>
        <v>0.51310316675706569</v>
      </c>
      <c r="P19" s="1507">
        <f>'[2]projekty UE'!$K$19+'[2]projekty UE'!$N$19-C19</f>
        <v>0</v>
      </c>
      <c r="Q19" s="1140"/>
      <c r="R19" s="1140"/>
    </row>
    <row r="20" spans="1:19" s="1116" customFormat="1" ht="24.75" customHeight="1" thickBot="1">
      <c r="A20" s="3883" t="s">
        <v>190</v>
      </c>
      <c r="B20" s="3884"/>
      <c r="C20" s="1508">
        <f>+'Tab. 6E - Administracja'!E77+'Tab. 6E - Administracja'!E88+'Tab. 6E - Administracja'!E220+'Tab. 6E - Administracja'!E231</f>
        <v>2753370</v>
      </c>
      <c r="D20" s="1508">
        <f>+'Tab. 6E - Administracja'!F77+'Tab. 6E - Administracja'!F88+'Tab. 6E - Administracja'!F220+'Tab. 6E - Administracja'!F231</f>
        <v>2463831</v>
      </c>
      <c r="E20" s="1508">
        <f>+'Tab. 6E - Administracja'!G77+'Tab. 6E - Administracja'!G88+'Tab. 6E - Administracja'!G220+'Tab. 6E - Administracja'!G231</f>
        <v>6075346</v>
      </c>
      <c r="F20" s="1508">
        <f>+'Tab. 6E - Administracja'!H77+'Tab. 6E - Administracja'!H88+'Tab. 6E - Administracja'!H220+'Tab. 6E - Administracja'!H231</f>
        <v>1500000</v>
      </c>
      <c r="G20" s="1508">
        <f>+'Tab. 6E - Administracja'!I77+'Tab. 6E - Administracja'!I88+'Tab. 6E - Administracja'!I220+'Tab. 6E - Administracja'!I231</f>
        <v>1400000</v>
      </c>
      <c r="H20" s="1508">
        <f>+'Tab. 6E - Administracja'!J77+'Tab. 6E - Administracja'!J88+'Tab. 6E - Administracja'!J220+'Tab. 6E - Administracja'!J231</f>
        <v>0</v>
      </c>
      <c r="I20" s="1508">
        <f>+'Tab. 6E - Administracja'!K77+'Tab. 6E - Administracja'!K88+'Tab. 6E - Administracja'!K220+'Tab. 6E - Administracja'!K231</f>
        <v>0</v>
      </c>
      <c r="J20" s="1508">
        <f>+'Tab. 6E - Administracja'!L77+'Tab. 6E - Administracja'!L88+'Tab. 6E - Administracja'!L220+'Tab. 6E - Administracja'!L231</f>
        <v>0</v>
      </c>
      <c r="K20" s="1508">
        <f>+C20+D20+E20+F20+G20+H20+I20+J20</f>
        <v>14192547</v>
      </c>
      <c r="L20" s="1509" t="s">
        <v>61</v>
      </c>
      <c r="M20" s="1509" t="s">
        <v>61</v>
      </c>
      <c r="N20" s="2312"/>
      <c r="O20" s="2312"/>
      <c r="P20" s="1507">
        <f>'[2]projekty UE'!$K$20+'[2]projekty UE'!$N$20-C20</f>
        <v>0</v>
      </c>
      <c r="Q20" s="1140"/>
      <c r="R20" s="1140"/>
    </row>
    <row r="21" spans="1:19" s="1116" customFormat="1" ht="24.75" hidden="1" customHeight="1" thickBot="1">
      <c r="A21" s="3881" t="s">
        <v>191</v>
      </c>
      <c r="B21" s="3882"/>
      <c r="C21" s="1505"/>
      <c r="D21" s="1505"/>
      <c r="E21" s="1505"/>
      <c r="F21" s="1505"/>
      <c r="G21" s="1505"/>
      <c r="H21" s="1505"/>
      <c r="I21" s="1505"/>
      <c r="J21" s="1505"/>
      <c r="K21" s="1505">
        <f>C21+D21+E21+F21+G21+H21+I21+J21</f>
        <v>0</v>
      </c>
      <c r="L21" s="1506">
        <f>+D21+E21+F21+G21+H21+I21+J21</f>
        <v>0</v>
      </c>
      <c r="M21" s="1506">
        <f>+E21+F21+G21+H21+I21+J21</f>
        <v>0</v>
      </c>
      <c r="N21" s="2317">
        <f>E21/$E$45%</f>
        <v>0</v>
      </c>
      <c r="O21" s="2317">
        <f>E21/$O$48%</f>
        <v>0</v>
      </c>
      <c r="P21" s="1507"/>
      <c r="Q21" s="1140"/>
      <c r="R21" s="1140"/>
    </row>
    <row r="22" spans="1:19" s="1116" customFormat="1" ht="22.5" hidden="1" customHeight="1" thickBot="1">
      <c r="A22" s="3865" t="s">
        <v>192</v>
      </c>
      <c r="B22" s="3866"/>
      <c r="C22" s="1508"/>
      <c r="D22" s="1508"/>
      <c r="E22" s="1508"/>
      <c r="F22" s="1508"/>
      <c r="G22" s="1508"/>
      <c r="H22" s="1508"/>
      <c r="I22" s="1508"/>
      <c r="J22" s="1508"/>
      <c r="K22" s="1508"/>
      <c r="L22" s="1509" t="s">
        <v>61</v>
      </c>
      <c r="M22" s="1509" t="s">
        <v>61</v>
      </c>
      <c r="N22" s="2312"/>
      <c r="O22" s="2312"/>
      <c r="P22" s="1507"/>
      <c r="Q22" s="1140"/>
      <c r="R22" s="1140"/>
    </row>
    <row r="23" spans="1:19" s="1116" customFormat="1" ht="23.25" customHeight="1" thickBot="1">
      <c r="A23" s="3881" t="s">
        <v>535</v>
      </c>
      <c r="B23" s="3882"/>
      <c r="C23" s="1505">
        <f>'Tab. 6B Polit społ i rozwój prz'!E61+'Tab. 6B Polit społ i rozwój prz'!E73+'Tab. 6B Polit społ i rozwój prz'!E192</f>
        <v>1759846</v>
      </c>
      <c r="D23" s="1505">
        <f>'Tab. 6B Polit społ i rozwój prz'!F61+'Tab. 6B Polit społ i rozwój prz'!F73+'Tab. 6B Polit społ i rozwój prz'!F192</f>
        <v>1284123</v>
      </c>
      <c r="E23" s="1505">
        <f>'Tab. 6B Polit społ i rozwój prz'!G61+'Tab. 6B Polit społ i rozwój prz'!G73+'Tab. 6B Polit społ i rozwój prz'!G192</f>
        <v>2580017</v>
      </c>
      <c r="F23" s="1505">
        <f>'Tab. 6B Polit społ i rozwój prz'!H61+'Tab. 6B Polit społ i rozwój prz'!H73+'Tab. 6B Polit społ i rozwój prz'!H192</f>
        <v>6007694</v>
      </c>
      <c r="G23" s="1505">
        <f>'Tab. 6B Polit społ i rozwój prz'!I61+'Tab. 6B Polit społ i rozwój prz'!I73+'Tab. 6B Polit społ i rozwój prz'!I192</f>
        <v>4624712</v>
      </c>
      <c r="H23" s="1505">
        <f>'Tab. 6B Polit społ i rozwój prz'!J61+'Tab. 6B Polit społ i rozwój prz'!J73+'Tab. 6B Polit społ i rozwój prz'!J192</f>
        <v>4182769</v>
      </c>
      <c r="I23" s="1505">
        <f>'Tab. 6B Polit społ i rozwój prz'!K61+'Tab. 6B Polit społ i rozwój prz'!K73+'Tab. 6B Polit społ i rozwój prz'!K192</f>
        <v>1323384</v>
      </c>
      <c r="J23" s="1505">
        <f>'Tab. 6B Polit społ i rozwój prz'!L61+'Tab. 6B Polit społ i rozwój prz'!L73+'Tab. 6B Polit społ i rozwój prz'!L192</f>
        <v>886135</v>
      </c>
      <c r="K23" s="1505">
        <f>C23+D23+E23+F23+G23+H23+I23+J23</f>
        <v>22648680</v>
      </c>
      <c r="L23" s="1506">
        <f>+D23+E23+F23+G23+H23+I23+J23</f>
        <v>20888834</v>
      </c>
      <c r="M23" s="1506">
        <f>+E23+F23+G23+H23+I23+J23</f>
        <v>19604711</v>
      </c>
      <c r="N23" s="2317">
        <f>E23/$E$45%</f>
        <v>0.43798972785724927</v>
      </c>
      <c r="O23" s="2317">
        <f>E23/$O$48%</f>
        <v>0.21563298645672377</v>
      </c>
      <c r="P23" s="1507">
        <f>'[2]projekty UE'!$K$23+'[2]projekty UE'!$N$23-C23</f>
        <v>0</v>
      </c>
      <c r="Q23" s="1140"/>
      <c r="R23" s="1140"/>
    </row>
    <row r="24" spans="1:19" s="1116" customFormat="1" ht="25.5" customHeight="1" thickBot="1">
      <c r="A24" s="3883" t="s">
        <v>534</v>
      </c>
      <c r="B24" s="3884"/>
      <c r="C24" s="1508">
        <f>'Tab. 6B Polit społ i rozwój prz'!E67+'Tab. 6B Polit społ i rozwój prz'!E79+'Tab. 6B Polit społ i rozwój prz'!E201</f>
        <v>1483198</v>
      </c>
      <c r="D24" s="1508">
        <f>'Tab. 6B Polit społ i rozwój prz'!F67+'Tab. 6B Polit społ i rozwój prz'!F79+'Tab. 6B Polit społ i rozwój prz'!F201</f>
        <v>1082259</v>
      </c>
      <c r="E24" s="1508">
        <f>'Tab. 6B Polit społ i rozwój prz'!G67+'Tab. 6B Polit społ i rozwój prz'!G79+'Tab. 6B Polit społ i rozwój prz'!G201</f>
        <v>2260898</v>
      </c>
      <c r="F24" s="1508">
        <f>'Tab. 6B Polit społ i rozwój prz'!H67+'Tab. 6B Polit społ i rozwój prz'!H79+'Tab. 6B Polit społ i rozwój prz'!H201</f>
        <v>5711312</v>
      </c>
      <c r="G24" s="1508">
        <f>'Tab. 6B Polit społ i rozwój prz'!I67+'Tab. 6B Polit społ i rozwój prz'!I79+'Tab. 6B Polit społ i rozwój prz'!I201</f>
        <v>4328330</v>
      </c>
      <c r="H24" s="1508">
        <f>'Tab. 6B Polit społ i rozwój prz'!J67+'Tab. 6B Polit społ i rozwój prz'!J79+'Tab. 6B Polit społ i rozwój prz'!J201</f>
        <v>3891050</v>
      </c>
      <c r="I24" s="1508">
        <f>'Tab. 6B Polit społ i rozwój prz'!K67+'Tab. 6B Polit społ i rozwój prz'!K79+'Tab. 6B Polit społ i rozwój prz'!K201</f>
        <v>1184084</v>
      </c>
      <c r="J24" s="1508">
        <f>'Tab. 6B Polit społ i rozwój prz'!L67+'Tab. 6B Polit społ i rozwój prz'!L79+'Tab. 6B Polit społ i rozwój prz'!L201</f>
        <v>746835</v>
      </c>
      <c r="K24" s="1508">
        <f>+C24+D24+E24+F24+G24+H24+I24+J24</f>
        <v>20687966</v>
      </c>
      <c r="L24" s="1509" t="s">
        <v>61</v>
      </c>
      <c r="M24" s="1509" t="s">
        <v>61</v>
      </c>
      <c r="N24" s="2312"/>
      <c r="O24" s="2312"/>
      <c r="P24" s="1507">
        <f>'[2]projekty UE'!$K$24+'[2]projekty UE'!$N$24-C24</f>
        <v>0</v>
      </c>
      <c r="Q24" s="1140"/>
      <c r="R24" s="1140"/>
    </row>
    <row r="25" spans="1:19" s="1168" customFormat="1" ht="24" customHeight="1" thickBot="1">
      <c r="A25" s="3881" t="s">
        <v>193</v>
      </c>
      <c r="B25" s="3882"/>
      <c r="C25" s="1505">
        <f>C28+C30+C32+C34+C36+C38</f>
        <v>2087387</v>
      </c>
      <c r="D25" s="1505">
        <f t="shared" ref="D25:J25" si="0">D28+D30+D32+D34+D36+D38</f>
        <v>9273391</v>
      </c>
      <c r="E25" s="1505">
        <f t="shared" si="0"/>
        <v>18889169</v>
      </c>
      <c r="F25" s="1505">
        <f t="shared" si="0"/>
        <v>33275643</v>
      </c>
      <c r="G25" s="1505">
        <f t="shared" si="0"/>
        <v>6011329</v>
      </c>
      <c r="H25" s="1505">
        <f t="shared" si="0"/>
        <v>280970</v>
      </c>
      <c r="I25" s="1505">
        <f t="shared" si="0"/>
        <v>430035</v>
      </c>
      <c r="J25" s="1505">
        <f t="shared" si="0"/>
        <v>0</v>
      </c>
      <c r="K25" s="1505">
        <f>C25+D25+E25+F25+G25+H25+I25+J25</f>
        <v>70247924</v>
      </c>
      <c r="L25" s="1506">
        <f>+D25+E25+F25+G25+H25+I25+J25</f>
        <v>68160537</v>
      </c>
      <c r="M25" s="1506">
        <f>+E25+F25+G25+H25+I25+J25</f>
        <v>58887146</v>
      </c>
      <c r="N25" s="2317">
        <f>E25/$E$45%</f>
        <v>3.2066695644872065</v>
      </c>
      <c r="O25" s="2317">
        <f>E25/$O$48%</f>
        <v>1.5787213507336451</v>
      </c>
      <c r="P25" s="1510"/>
      <c r="Q25" s="1167"/>
      <c r="R25" s="1167"/>
    </row>
    <row r="26" spans="1:19" s="1168" customFormat="1" ht="24" customHeight="1" thickBot="1">
      <c r="A26" s="3865" t="s">
        <v>194</v>
      </c>
      <c r="B26" s="3866"/>
      <c r="C26" s="1508">
        <f>C29+C31+C33+C35+C37+C39</f>
        <v>177003</v>
      </c>
      <c r="D26" s="1508">
        <f t="shared" ref="D26:J26" si="1">D29+D31+D33+D35+D37+D39</f>
        <v>567500</v>
      </c>
      <c r="E26" s="1508">
        <f t="shared" si="1"/>
        <v>10458510</v>
      </c>
      <c r="F26" s="1508">
        <f t="shared" si="1"/>
        <v>21611085</v>
      </c>
      <c r="G26" s="1508">
        <f t="shared" si="1"/>
        <v>16935605</v>
      </c>
      <c r="H26" s="1508">
        <f t="shared" si="1"/>
        <v>3854351</v>
      </c>
      <c r="I26" s="1508">
        <f t="shared" si="1"/>
        <v>280770</v>
      </c>
      <c r="J26" s="1508">
        <f t="shared" si="1"/>
        <v>361035</v>
      </c>
      <c r="K26" s="1508">
        <f>+C26+D26+E26+F26+G26+H26+I26+J26</f>
        <v>54245859</v>
      </c>
      <c r="L26" s="1509" t="s">
        <v>61</v>
      </c>
      <c r="M26" s="1509" t="s">
        <v>61</v>
      </c>
      <c r="N26" s="2312"/>
      <c r="O26" s="2312"/>
      <c r="P26" s="1510"/>
      <c r="Q26" s="1167"/>
      <c r="R26" s="1167"/>
      <c r="S26" s="1510"/>
    </row>
    <row r="27" spans="1:19" s="1168" customFormat="1" ht="15">
      <c r="A27" s="3885" t="s">
        <v>149</v>
      </c>
      <c r="B27" s="3886"/>
      <c r="C27" s="1511"/>
      <c r="D27" s="1511"/>
      <c r="E27" s="1511"/>
      <c r="F27" s="1511"/>
      <c r="G27" s="1511"/>
      <c r="H27" s="1511"/>
      <c r="I27" s="1511"/>
      <c r="J27" s="1511"/>
      <c r="K27" s="1511"/>
      <c r="L27" s="1512"/>
      <c r="M27" s="1512"/>
      <c r="N27" s="2313"/>
      <c r="O27" s="2313"/>
      <c r="P27" s="1507"/>
      <c r="Q27" s="1167"/>
      <c r="R27" s="1167"/>
    </row>
    <row r="28" spans="1:19" s="1168" customFormat="1" ht="17.25" customHeight="1">
      <c r="A28" s="3867" t="s">
        <v>366</v>
      </c>
      <c r="B28" s="3868"/>
      <c r="C28" s="1513">
        <f>'Tab. 6A -Drogi'!E327-'Tab. 6A -Drogi'!E406-'Tab. 6A -Drogi'!E421</f>
        <v>794741</v>
      </c>
      <c r="D28" s="1513">
        <f>'Tab. 6A -Drogi'!F327-'Tab. 6A -Drogi'!F406-'Tab. 6A -Drogi'!F421</f>
        <v>7544995</v>
      </c>
      <c r="E28" s="1513">
        <f>'Tab. 6A -Drogi'!G327-'Tab. 6A -Drogi'!G406-'Tab. 6A -Drogi'!G421</f>
        <v>13314668</v>
      </c>
      <c r="F28" s="1513">
        <f>'Tab. 6A -Drogi'!H327-'Tab. 6A -Drogi'!H406-'Tab. 6A -Drogi'!H421</f>
        <v>24437314</v>
      </c>
      <c r="G28" s="1513">
        <f>'Tab. 6A -Drogi'!I327-'Tab. 6A -Drogi'!I406-'Tab. 6A -Drogi'!I421</f>
        <v>0</v>
      </c>
      <c r="H28" s="1513">
        <f>'Tab. 6A -Drogi'!J327-'Tab. 6A -Drogi'!J406</f>
        <v>0</v>
      </c>
      <c r="I28" s="1513">
        <f>'Tab. 6A -Drogi'!K327-'Tab. 6A -Drogi'!K406</f>
        <v>0</v>
      </c>
      <c r="J28" s="1513">
        <f>'Tab. 6A -Drogi'!L327-'Tab. 6A -Drogi'!L406</f>
        <v>0</v>
      </c>
      <c r="K28" s="1513">
        <f>C28+D28+E28+F28+G28+H28+I28+J28</f>
        <v>46091718</v>
      </c>
      <c r="L28" s="1514">
        <f>+D28+E28+F28+G28+H28+I28</f>
        <v>45296977</v>
      </c>
      <c r="M28" s="1514">
        <f>+E28+F28+G28+H28+I28+J28</f>
        <v>37751982</v>
      </c>
      <c r="N28" s="2314"/>
      <c r="O28" s="2314"/>
      <c r="P28" s="1507"/>
      <c r="Q28" s="1167"/>
      <c r="R28" s="1167"/>
    </row>
    <row r="29" spans="1:19" s="1168" customFormat="1" ht="17.25" customHeight="1">
      <c r="A29" s="3869" t="s">
        <v>367</v>
      </c>
      <c r="B29" s="3870"/>
      <c r="C29" s="1515">
        <f>'Tab. 6A -Drogi'!E333-'Tab. 6A -Drogi'!E417-'Tab. 6A -Drogi'!E432</f>
        <v>57003</v>
      </c>
      <c r="D29" s="1515">
        <f>'Tab. 6A -Drogi'!F333-'Tab. 6A -Drogi'!F417-'Tab. 6A -Drogi'!F432</f>
        <v>0</v>
      </c>
      <c r="E29" s="1515">
        <f>'Tab. 6A -Drogi'!G333-'Tab. 6A -Drogi'!G417-'Tab. 6A -Drogi'!G432</f>
        <v>7507058</v>
      </c>
      <c r="F29" s="1515">
        <f>'Tab. 6A -Drogi'!H333-'Tab. 6A -Drogi'!H417-'Tab. 6A -Drogi'!H432</f>
        <v>16608759</v>
      </c>
      <c r="G29" s="1515">
        <f>'Tab. 6A -Drogi'!I333-'Tab. 6A -Drogi'!I417-'Tab. 6A -Drogi'!I432</f>
        <v>9151380</v>
      </c>
      <c r="H29" s="1515">
        <f>'Tab. 6A -Drogi'!J333-'Tab. 6A -Drogi'!J417-'Tab. 6A -Drogi'!J432</f>
        <v>0</v>
      </c>
      <c r="I29" s="1515">
        <f>'Tab. 6A -Drogi'!K333-'Tab. 6A -Drogi'!K417-'Tab. 6A -Drogi'!K432</f>
        <v>0</v>
      </c>
      <c r="J29" s="1515">
        <f>'Tab. 6A -Drogi'!L333-'Tab. 6A -Drogi'!L417-'Tab. 6A -Drogi'!L432</f>
        <v>0</v>
      </c>
      <c r="K29" s="1515">
        <f>+C29+D29+E29+F29+G29+H29+I29+J29</f>
        <v>33324200</v>
      </c>
      <c r="L29" s="1516" t="s">
        <v>61</v>
      </c>
      <c r="M29" s="1516" t="s">
        <v>61</v>
      </c>
      <c r="N29" s="2315"/>
      <c r="O29" s="2315"/>
      <c r="P29" s="1507"/>
      <c r="Q29" s="1167"/>
      <c r="R29" s="1167"/>
    </row>
    <row r="30" spans="1:19" s="1168" customFormat="1" ht="24" customHeight="1">
      <c r="A30" s="3871" t="s">
        <v>420</v>
      </c>
      <c r="B30" s="3872"/>
      <c r="C30" s="1517">
        <f>'Tab. 6E - Administracja'!E27+'Tab.6I - Planow. przestrz.'!E54+'Tab.6I - Planow. przestrz.'!E72+'Tab. 6E - Administracja'!E39+'Tab. 6E - Administracja'!E60</f>
        <v>364772</v>
      </c>
      <c r="D30" s="1517">
        <f>'Tab. 6E - Administracja'!F27+'Tab.6I - Planow. przestrz.'!F54+'Tab.6I - Planow. przestrz.'!F72+'Tab. 6E - Administracja'!F39+'Tab. 6E - Administracja'!F60</f>
        <v>552828</v>
      </c>
      <c r="E30" s="1517">
        <f>'Tab. 6E - Administracja'!G27+'Tab.6I - Planow. przestrz.'!G54+'Tab.6I - Planow. przestrz.'!G72+'Tab. 6E - Administracja'!G39+'Tab. 6E - Administracja'!G60</f>
        <v>847801</v>
      </c>
      <c r="F30" s="1517">
        <f>'Tab. 6E - Administracja'!H27+'Tab.6I - Planow. przestrz.'!H54+'Tab.6I - Planow. przestrz.'!H72+'Tab. 6E - Administracja'!H39+'Tab. 6E - Administracja'!H60</f>
        <v>617328</v>
      </c>
      <c r="G30" s="1517">
        <f>'Tab. 6E - Administracja'!I27+'Tab.6I - Planow. przestrz.'!I54+'Tab.6I - Planow. przestrz.'!I72+'Tab. 6E - Administracja'!I39+'Tab. 6E - Administracja'!I60</f>
        <v>617218</v>
      </c>
      <c r="H30" s="1517">
        <f>'Tab. 6E - Administracja'!J27+'Tab.6I - Planow. przestrz.'!J54+'Tab.6I - Planow. przestrz.'!J72+'Tab. 6E - Administracja'!J39+'Tab. 6E - Administracja'!J60</f>
        <v>280970</v>
      </c>
      <c r="I30" s="1517">
        <f>'Tab. 6E - Administracja'!K27+'Tab.6I - Planow. przestrz.'!K54+'Tab.6I - Planow. przestrz.'!K72+'Tab. 6E - Administracja'!K39+'Tab. 6E - Administracja'!K60</f>
        <v>430035</v>
      </c>
      <c r="J30" s="1517">
        <f>'Tab. 6E - Administracja'!L27+'Tab.6I - Planow. przestrz.'!L54+'Tab.6I - Planow. przestrz.'!L72+'Tab. 6E - Administracja'!L39+'Tab. 6E - Administracja'!L60</f>
        <v>0</v>
      </c>
      <c r="K30" s="1513">
        <f>C30+D30+E30+F30+G30+H30+I30+J30</f>
        <v>3710952</v>
      </c>
      <c r="L30" s="1514">
        <f>+D30+E30+F30+G30+H30+I30</f>
        <v>3346180</v>
      </c>
      <c r="M30" s="1514">
        <f>+E30+F30+G30+H30+I30+J30</f>
        <v>2793352</v>
      </c>
      <c r="N30" s="2314"/>
      <c r="O30" s="2314"/>
      <c r="P30" s="1507"/>
      <c r="Q30" s="1167"/>
      <c r="R30" s="1167"/>
    </row>
    <row r="31" spans="1:19" s="1168" customFormat="1" ht="24" customHeight="1">
      <c r="A31" s="3873" t="s">
        <v>421</v>
      </c>
      <c r="B31" s="3874"/>
      <c r="C31" s="1515">
        <f>'Tab. 6E - Administracja'!E35+'Tab.6I - Planow. przestrz.'!E66+'Tab.6I - Planow. przestrz.'!E77+'Tab. 6E - Administracja'!E54+'Tab. 6E - Administracja'!E66</f>
        <v>0</v>
      </c>
      <c r="D31" s="1515">
        <f>'Tab. 6E - Administracja'!F35+'Tab.6I - Planow. przestrz.'!F66+'Tab.6I - Planow. przestrz.'!F77+'Tab. 6E - Administracja'!F54+'Tab. 6E - Administracja'!F66</f>
        <v>113638</v>
      </c>
      <c r="E31" s="1515">
        <f>'Tab. 6E - Administracja'!G35+'Tab.6I - Planow. przestrz.'!G66+'Tab.6I - Planow. przestrz.'!G77+'Tab. 6E - Administracja'!G54+'Tab. 6E - Administracja'!G66</f>
        <v>1115141</v>
      </c>
      <c r="F31" s="1515">
        <f>'Tab. 6E - Administracja'!H35+'Tab.6I - Planow. przestrz.'!H66+'Tab.6I - Planow. przestrz.'!H77+'Tab. 6E - Administracja'!H54+'Tab. 6E - Administracja'!H66</f>
        <v>706341</v>
      </c>
      <c r="G31" s="1515">
        <f>'Tab. 6E - Administracja'!I35+'Tab.6I - Planow. przestrz.'!I66+'Tab.6I - Planow. przestrz.'!I77+'Tab. 6E - Administracja'!I54+'Tab. 6E - Administracja'!I66</f>
        <v>603014</v>
      </c>
      <c r="H31" s="1515">
        <f>'Tab. 6E - Administracja'!J35+'Tab.6I - Planow. przestrz.'!J66+'Tab.6I - Planow. przestrz.'!J77+'Tab. 6E - Administracja'!J54+'Tab. 6E - Administracja'!J66</f>
        <v>459211</v>
      </c>
      <c r="I31" s="1515">
        <f>'Tab. 6E - Administracja'!K35+'Tab.6I - Planow. przestrz.'!K66+'Tab.6I - Planow. przestrz.'!K77+'Tab. 6E - Administracja'!K54+'Tab. 6E - Administracja'!K66</f>
        <v>280770</v>
      </c>
      <c r="J31" s="1515">
        <f>'Tab. 6E - Administracja'!L35+'Tab.6I - Planow. przestrz.'!L66+'Tab.6I - Planow. przestrz.'!L77+'Tab. 6E - Administracja'!L54+'Tab. 6E - Administracja'!L66</f>
        <v>361035</v>
      </c>
      <c r="K31" s="1515">
        <f>+C31+D31+E31+F31+G31+H31+I31+J31</f>
        <v>3639150</v>
      </c>
      <c r="L31" s="1516" t="s">
        <v>61</v>
      </c>
      <c r="M31" s="1516" t="s">
        <v>61</v>
      </c>
      <c r="N31" s="2315"/>
      <c r="O31" s="2315"/>
      <c r="P31" s="1507"/>
      <c r="Q31" s="1167"/>
      <c r="R31" s="1167"/>
    </row>
    <row r="32" spans="1:19" s="1168" customFormat="1" ht="24" customHeight="1">
      <c r="A32" s="3871" t="s">
        <v>417</v>
      </c>
      <c r="B32" s="3872"/>
      <c r="C32" s="1517">
        <f>'Tab. 6A -Drogi'!E406+'Tab. 6A -Drogi'!E421</f>
        <v>48374</v>
      </c>
      <c r="D32" s="1517">
        <f>'Tab. 6A -Drogi'!F406+'Tab. 6A -Drogi'!F421</f>
        <v>150710</v>
      </c>
      <c r="E32" s="1517">
        <f>'Tab. 6A -Drogi'!G406+'Tab. 6A -Drogi'!G421</f>
        <v>467096</v>
      </c>
      <c r="F32" s="1517">
        <f>'Tab. 6A -Drogi'!H406+'Tab. 6A -Drogi'!H421</f>
        <v>196235</v>
      </c>
      <c r="G32" s="1517">
        <f>'Tab. 6A -Drogi'!I406+'Tab. 6A -Drogi'!I421</f>
        <v>82172</v>
      </c>
      <c r="H32" s="1517">
        <f>'Tab. 6A -Drogi'!J406+'Tab. 6A -Drogi'!J421</f>
        <v>0</v>
      </c>
      <c r="I32" s="1517">
        <f>'Tab. 6A -Drogi'!K406+'Tab. 6A -Drogi'!K421</f>
        <v>0</v>
      </c>
      <c r="J32" s="1517">
        <f>'Tab. 6A -Drogi'!L406</f>
        <v>0</v>
      </c>
      <c r="K32" s="1513">
        <f>C32+D32+E32+F32+G32+H32+I32+J32</f>
        <v>944587</v>
      </c>
      <c r="L32" s="1514">
        <f>+D32+E32+F32+G32+H32+I32</f>
        <v>896213</v>
      </c>
      <c r="M32" s="1514">
        <f>+E32+F32+G32+H32+I32+J32</f>
        <v>745503</v>
      </c>
      <c r="N32" s="2314"/>
      <c r="O32" s="2314"/>
      <c r="P32" s="1510"/>
      <c r="Q32" s="1167"/>
      <c r="R32" s="1167"/>
      <c r="S32" s="1181"/>
    </row>
    <row r="33" spans="1:18" s="1168" customFormat="1" ht="28.5" customHeight="1">
      <c r="A33" s="3873" t="s">
        <v>418</v>
      </c>
      <c r="B33" s="3874"/>
      <c r="C33" s="1515">
        <f>'Tab. 6A -Drogi'!E417+'Tab. 6A -Drogi'!E432</f>
        <v>0</v>
      </c>
      <c r="D33" s="1515">
        <f>'Tab. 6A -Drogi'!F417+'Tab. 6A -Drogi'!F432</f>
        <v>45734</v>
      </c>
      <c r="E33" s="1515">
        <f>'Tab. 6A -Drogi'!G417+'Tab. 6A -Drogi'!G432</f>
        <v>259104</v>
      </c>
      <c r="F33" s="1515">
        <f>'Tab. 6A -Drogi'!H417+'Tab. 6A -Drogi'!H432</f>
        <v>341780</v>
      </c>
      <c r="G33" s="1515">
        <f>'Tab. 6A -Drogi'!I417+'Tab. 6A -Drogi'!I432</f>
        <v>152504</v>
      </c>
      <c r="H33" s="1515">
        <f>'Tab. 6A -Drogi'!J417+'Tab. 6A -Drogi'!J432</f>
        <v>0</v>
      </c>
      <c r="I33" s="1515">
        <f>'Tab. 6A -Drogi'!K417+'Tab. 6A -Drogi'!K432</f>
        <v>0</v>
      </c>
      <c r="J33" s="1515">
        <f>'Tab. 6A -Drogi'!L417</f>
        <v>0</v>
      </c>
      <c r="K33" s="1515">
        <f>+C33+D33+E33+F33+G33+H33+I33+J33</f>
        <v>799122</v>
      </c>
      <c r="L33" s="1516" t="s">
        <v>61</v>
      </c>
      <c r="M33" s="1516" t="s">
        <v>61</v>
      </c>
      <c r="N33" s="2315"/>
      <c r="O33" s="2315"/>
      <c r="P33" s="1510"/>
      <c r="Q33" s="1167"/>
      <c r="R33" s="1167"/>
    </row>
    <row r="34" spans="1:18" s="1168" customFormat="1" ht="17.25" customHeight="1">
      <c r="A34" s="3875" t="s">
        <v>368</v>
      </c>
      <c r="B34" s="3876"/>
      <c r="C34" s="1517">
        <f>'Tab. 6B Polit społ i rozwój prz'!E24</f>
        <v>53431</v>
      </c>
      <c r="D34" s="1517">
        <f>'Tab. 6B Polit społ i rozwój prz'!F24</f>
        <v>203738</v>
      </c>
      <c r="E34" s="1517">
        <f>'Tab. 6B Polit społ i rozwój prz'!G24</f>
        <v>171857</v>
      </c>
      <c r="F34" s="1517">
        <f>'Tab. 6B Polit społ i rozwój prz'!H24</f>
        <v>53703</v>
      </c>
      <c r="G34" s="1517">
        <f>'Tab. 6B Polit społ i rozwój prz'!I24</f>
        <v>16350</v>
      </c>
      <c r="H34" s="1517">
        <f>'Tab. 6B Polit społ i rozwój prz'!J24</f>
        <v>0</v>
      </c>
      <c r="I34" s="1517">
        <f>'Tab. 6B Polit społ i rozwój prz'!K24</f>
        <v>0</v>
      </c>
      <c r="J34" s="1517">
        <f>'Tab. 6B Polit społ i rozwój prz'!L24</f>
        <v>0</v>
      </c>
      <c r="K34" s="1513">
        <f>C34+D34+E34+F34+G34+H34+I34+J34</f>
        <v>499079</v>
      </c>
      <c r="L34" s="1514">
        <f>+D34+E34+F34+G34+H34+I34</f>
        <v>445648</v>
      </c>
      <c r="M34" s="1514">
        <f>+E34+F34+G34+H34+I34+J34</f>
        <v>241910</v>
      </c>
      <c r="N34" s="2314"/>
      <c r="O34" s="2314"/>
      <c r="P34" s="1510"/>
      <c r="Q34" s="1167"/>
      <c r="R34" s="1167"/>
    </row>
    <row r="35" spans="1:18" s="1168" customFormat="1" ht="17.25" customHeight="1">
      <c r="A35" s="3877" t="s">
        <v>369</v>
      </c>
      <c r="B35" s="3878"/>
      <c r="C35" s="1515">
        <f>'Tab. 6B Polit społ i rozwój prz'!E37</f>
        <v>0</v>
      </c>
      <c r="D35" s="1515">
        <f>'Tab. 6B Polit społ i rozwój prz'!F37</f>
        <v>84212</v>
      </c>
      <c r="E35" s="1515">
        <f>'Tab. 6B Polit społ i rozwój prz'!G37</f>
        <v>168662</v>
      </c>
      <c r="F35" s="1515">
        <f>'Tab. 6B Polit społ i rozwój prz'!H37</f>
        <v>119784</v>
      </c>
      <c r="G35" s="1515">
        <f>'Tab. 6B Polit społ i rozwój prz'!I37</f>
        <v>48159</v>
      </c>
      <c r="H35" s="1515">
        <f>'Tab. 6B Polit społ i rozwój prz'!J37</f>
        <v>0</v>
      </c>
      <c r="I35" s="1515">
        <f>'Tab. 6B Polit społ i rozwój prz'!K37</f>
        <v>0</v>
      </c>
      <c r="J35" s="1515">
        <f>'Tab. 6B Polit społ i rozwój prz'!L37</f>
        <v>0</v>
      </c>
      <c r="K35" s="1515">
        <f>+C35+D35+E35+F35+G35+H35+I35+J35</f>
        <v>420817</v>
      </c>
      <c r="L35" s="1516" t="s">
        <v>61</v>
      </c>
      <c r="M35" s="1516" t="s">
        <v>61</v>
      </c>
      <c r="N35" s="2315"/>
      <c r="O35" s="2315"/>
      <c r="P35" s="1510"/>
      <c r="Q35" s="1167"/>
      <c r="R35" s="1167"/>
    </row>
    <row r="36" spans="1:18" s="1539" customFormat="1" ht="23.25" customHeight="1">
      <c r="A36" s="3871" t="s">
        <v>419</v>
      </c>
      <c r="B36" s="3872"/>
      <c r="C36" s="1517">
        <f>'Tab. 6H - Kultura fiz. i turyst'!E101+'Tab. 6H - Kultura fiz. i turyst'!E114+'Tab. 6H - Kultura fiz. i turyst'!E123+'Tab.6I - Planow. przestrz.'!E25+'Tab.6I - Planow. przestrz.'!E34+'Tab. 6H - Kultura fiz. i turyst'!E154+'Tab. 6H - Kultura fiz. i turyst'!E167+'Tab. 6H - Kultura fiz. i turyst'!E176</f>
        <v>349775</v>
      </c>
      <c r="D36" s="1517">
        <f>'Tab. 6H - Kultura fiz. i turyst'!F101+'Tab. 6H - Kultura fiz. i turyst'!F114+'Tab. 6H - Kultura fiz. i turyst'!F123+'Tab.6I - Planow. przestrz.'!F25+'Tab.6I - Planow. przestrz.'!F34+'Tab. 6H - Kultura fiz. i turyst'!F154+'Tab. 6H - Kultura fiz. i turyst'!F167+'Tab. 6H - Kultura fiz. i turyst'!F176</f>
        <v>791120</v>
      </c>
      <c r="E36" s="1517">
        <f>'Tab. 6H - Kultura fiz. i turyst'!G101+'Tab. 6H - Kultura fiz. i turyst'!G114+'Tab. 6H - Kultura fiz. i turyst'!G123+'Tab.6I - Planow. przestrz.'!G25+'Tab.6I - Planow. przestrz.'!G34+'Tab. 6H - Kultura fiz. i turyst'!G154+'Tab. 6H - Kultura fiz. i turyst'!G167+'Tab. 6H - Kultura fiz. i turyst'!G176</f>
        <v>2281905</v>
      </c>
      <c r="F36" s="1517">
        <f>'Tab. 6H - Kultura fiz. i turyst'!H101+'Tab. 6H - Kultura fiz. i turyst'!H114+'Tab. 6H - Kultura fiz. i turyst'!H123+'Tab.6I - Planow. przestrz.'!H25+'Tab.6I - Planow. przestrz.'!H34+'Tab. 6H - Kultura fiz. i turyst'!H154+'Tab. 6H - Kultura fiz. i turyst'!H167+'Tab. 6H - Kultura fiz. i turyst'!H176</f>
        <v>1571384</v>
      </c>
      <c r="G36" s="1517">
        <f>'Tab. 6H - Kultura fiz. i turyst'!I101+'Tab. 6H - Kultura fiz. i turyst'!I114+'Tab. 6H - Kultura fiz. i turyst'!I123+'Tab.6I - Planow. przestrz.'!I25+'Tab.6I - Planow. przestrz.'!I34+'Tab. 6H - Kultura fiz. i turyst'!I154+'Tab. 6H - Kultura fiz. i turyst'!I167+'Tab. 6H - Kultura fiz. i turyst'!I176</f>
        <v>156028</v>
      </c>
      <c r="H36" s="1517">
        <f>'Tab. 6H - Kultura fiz. i turyst'!J101+'Tab. 6H - Kultura fiz. i turyst'!J114+'Tab. 6H - Kultura fiz. i turyst'!J123+'Tab.6I - Planow. przestrz.'!J25+'Tab.6I - Planow. przestrz.'!J34+'Tab. 6H - Kultura fiz. i turyst'!J154+'Tab. 6H - Kultura fiz. i turyst'!J167+'Tab. 6H - Kultura fiz. i turyst'!J176</f>
        <v>0</v>
      </c>
      <c r="I36" s="1517">
        <f>'Tab. 6H - Kultura fiz. i turyst'!K101+'Tab. 6H - Kultura fiz. i turyst'!K114+'Tab. 6H - Kultura fiz. i turyst'!K123+'Tab.6I - Planow. przestrz.'!K25+'Tab.6I - Planow. przestrz.'!K34+'Tab. 6H - Kultura fiz. i turyst'!K154+'Tab. 6H - Kultura fiz. i turyst'!K167+'Tab. 6H - Kultura fiz. i turyst'!K176</f>
        <v>0</v>
      </c>
      <c r="J36" s="1517">
        <f>'Tab. 6H - Kultura fiz. i turyst'!L101+'Tab. 6H - Kultura fiz. i turyst'!L114+'Tab. 6H - Kultura fiz. i turyst'!L123+'Tab.6I - Planow. przestrz.'!L25+'Tab.6I - Planow. przestrz.'!L34+'Tab. 6H - Kultura fiz. i turyst'!L154+'Tab. 6H - Kultura fiz. i turyst'!L167+'Tab. 6H - Kultura fiz. i turyst'!L176</f>
        <v>0</v>
      </c>
      <c r="K36" s="1513">
        <f>C36+D36+E36+F36+G36+H36+I36+J36</f>
        <v>5150212</v>
      </c>
      <c r="L36" s="1514">
        <f>+D36+E36+F36+G36+H36+I36</f>
        <v>4800437</v>
      </c>
      <c r="M36" s="1514">
        <f>+E36+F36+G36+H36+I36+J36</f>
        <v>4009317</v>
      </c>
      <c r="N36" s="2314"/>
      <c r="O36" s="2314"/>
      <c r="P36" s="1537"/>
      <c r="Q36" s="1538"/>
      <c r="R36" s="1538"/>
    </row>
    <row r="37" spans="1:18" s="1539" customFormat="1" ht="26.25" customHeight="1">
      <c r="A37" s="3873" t="s">
        <v>422</v>
      </c>
      <c r="B37" s="3874"/>
      <c r="C37" s="1515">
        <f>'Tab. 6H - Kultura fiz. i turyst'!E110+'Tab. 6H - Kultura fiz. i turyst'!E119+'Tab. 6H - Kultura fiz. i turyst'!E132+'Tab.6I - Planow. przestrz.'!E30+'Tab.6I - Planow. przestrz.'!E39+'Tab. 6H - Kultura fiz. i turyst'!E163+'Tab. 6H - Kultura fiz. i turyst'!E172+'Tab. 6H - Kultura fiz. i turyst'!E185</f>
        <v>0</v>
      </c>
      <c r="D37" s="1515">
        <f>'Tab. 6H - Kultura fiz. i turyst'!F110+'Tab. 6H - Kultura fiz. i turyst'!F119+'Tab. 6H - Kultura fiz. i turyst'!F132+'Tab.6I - Planow. przestrz.'!F30+'Tab.6I - Planow. przestrz.'!F39+'Tab. 6H - Kultura fiz. i turyst'!F163+'Tab. 6H - Kultura fiz. i turyst'!F172+'Tab. 6H - Kultura fiz. i turyst'!F185</f>
        <v>293916</v>
      </c>
      <c r="E37" s="1515">
        <f>'Tab. 6H - Kultura fiz. i turyst'!G110+'Tab. 6H - Kultura fiz. i turyst'!G119+'Tab. 6H - Kultura fiz. i turyst'!G132+'Tab.6I - Planow. przestrz.'!G30+'Tab.6I - Planow. przestrz.'!G39+'Tab. 6H - Kultura fiz. i turyst'!G163+'Tab. 6H - Kultura fiz. i turyst'!G172+'Tab. 6H - Kultura fiz. i turyst'!G185</f>
        <v>1189142</v>
      </c>
      <c r="F37" s="1515">
        <f>'Tab. 6H - Kultura fiz. i turyst'!H110+'Tab. 6H - Kultura fiz. i turyst'!H119+'Tab. 6H - Kultura fiz. i turyst'!H132+'Tab.6I - Planow. przestrz.'!H30+'Tab.6I - Planow. przestrz.'!H39+'Tab. 6H - Kultura fiz. i turyst'!H163+'Tab. 6H - Kultura fiz. i turyst'!H172+'Tab. 6H - Kultura fiz. i turyst'!H185</f>
        <v>2035413</v>
      </c>
      <c r="G37" s="1515">
        <f>'Tab. 6H - Kultura fiz. i turyst'!I110+'Tab. 6H - Kultura fiz. i turyst'!I119+'Tab. 6H - Kultura fiz. i turyst'!I132+'Tab.6I - Planow. przestrz.'!I30+'Tab.6I - Planow. przestrz.'!I39+'Tab. 6H - Kultura fiz. i turyst'!I163+'Tab. 6H - Kultura fiz. i turyst'!I172+'Tab. 6H - Kultura fiz. i turyst'!I185</f>
        <v>796062</v>
      </c>
      <c r="H37" s="1515">
        <f>'Tab. 6H - Kultura fiz. i turyst'!J110+'Tab. 6H - Kultura fiz. i turyst'!J119+'Tab. 6H - Kultura fiz. i turyst'!J132+'Tab.6I - Planow. przestrz.'!J30+'Tab.6I - Planow. przestrz.'!J39+'Tab. 6H - Kultura fiz. i turyst'!J163+'Tab. 6H - Kultura fiz. i turyst'!J172+'Tab. 6H - Kultura fiz. i turyst'!J185</f>
        <v>47352</v>
      </c>
      <c r="I37" s="1515">
        <f>'Tab. 6H - Kultura fiz. i turyst'!K110+'Tab. 6H - Kultura fiz. i turyst'!K119+'Tab. 6H - Kultura fiz. i turyst'!K132+'Tab.6I - Planow. przestrz.'!K30+'Tab.6I - Planow. przestrz.'!K39+'Tab. 6H - Kultura fiz. i turyst'!K163+'Tab. 6H - Kultura fiz. i turyst'!K172+'Tab. 6H - Kultura fiz. i turyst'!K185</f>
        <v>0</v>
      </c>
      <c r="J37" s="1515">
        <f>'Tab. 6H - Kultura fiz. i turyst'!L110+'Tab. 6H - Kultura fiz. i turyst'!L119+'Tab. 6H - Kultura fiz. i turyst'!L132+'Tab.6I - Planow. przestrz.'!L30+'Tab.6I - Planow. przestrz.'!L39+'Tab. 6H - Kultura fiz. i turyst'!L163+'Tab. 6H - Kultura fiz. i turyst'!L172+'Tab. 6H - Kultura fiz. i turyst'!L185</f>
        <v>0</v>
      </c>
      <c r="K37" s="1728">
        <f>+C37+D37+E37+F37+G37+H37+I37+J37</f>
        <v>4361885</v>
      </c>
      <c r="L37" s="1518" t="s">
        <v>61</v>
      </c>
      <c r="M37" s="1518" t="s">
        <v>61</v>
      </c>
      <c r="N37" s="2316"/>
      <c r="O37" s="2316"/>
      <c r="P37" s="1537"/>
      <c r="Q37" s="1538"/>
      <c r="R37" s="1538"/>
    </row>
    <row r="38" spans="1:18" s="1539" customFormat="1" ht="26.25" customHeight="1">
      <c r="A38" s="3871" t="s">
        <v>494</v>
      </c>
      <c r="B38" s="3872"/>
      <c r="C38" s="1517">
        <f>'Tab. 6H - Kultura fiz. i turyst'!E189+'Tab. 6H - Kultura fiz. i turyst'!E198+'Tab. 6H - Kultura fiz. i turyst'!E210+'Tab. 6H - Kultura fiz. i turyst'!E219</f>
        <v>476294</v>
      </c>
      <c r="D38" s="1517">
        <f>'Tab. 6H - Kultura fiz. i turyst'!F189+'Tab. 6H - Kultura fiz. i turyst'!F198+'Tab. 6H - Kultura fiz. i turyst'!F210+'Tab. 6H - Kultura fiz. i turyst'!F219</f>
        <v>30000</v>
      </c>
      <c r="E38" s="1517">
        <f>'Tab. 6H - Kultura fiz. i turyst'!G189+'Tab. 6H - Kultura fiz. i turyst'!G198+'Tab. 6H - Kultura fiz. i turyst'!G210+'Tab. 6H - Kultura fiz. i turyst'!G219</f>
        <v>1805842</v>
      </c>
      <c r="F38" s="1517">
        <f>'Tab. 6H - Kultura fiz. i turyst'!H189+'Tab. 6H - Kultura fiz. i turyst'!H198+'Tab. 6H - Kultura fiz. i turyst'!H210+'Tab. 6H - Kultura fiz. i turyst'!H219</f>
        <v>6399679</v>
      </c>
      <c r="G38" s="1517">
        <f>'Tab. 6H - Kultura fiz. i turyst'!I189+'Tab. 6H - Kultura fiz. i turyst'!I198+'Tab. 6H - Kultura fiz. i turyst'!I210+'Tab. 6H - Kultura fiz. i turyst'!I219</f>
        <v>5139561</v>
      </c>
      <c r="H38" s="1517">
        <f>'Tab. 6H - Kultura fiz. i turyst'!J189+'Tab. 6H - Kultura fiz. i turyst'!J198+'Tab. 6H - Kultura fiz. i turyst'!J210+'Tab. 6H - Kultura fiz. i turyst'!J219</f>
        <v>0</v>
      </c>
      <c r="I38" s="1517">
        <f>'Tab. 6H - Kultura fiz. i turyst'!K189+'Tab. 6H - Kultura fiz. i turyst'!K198+'Tab. 6H - Kultura fiz. i turyst'!K210+'Tab. 6H - Kultura fiz. i turyst'!K219</f>
        <v>0</v>
      </c>
      <c r="J38" s="1517">
        <f>'Tab. 6H - Kultura fiz. i turyst'!L189+'Tab. 6H - Kultura fiz. i turyst'!L198+'Tab. 6H - Kultura fiz. i turyst'!L210+'Tab. 6H - Kultura fiz. i turyst'!L219</f>
        <v>0</v>
      </c>
      <c r="K38" s="1513">
        <f>C38+D38+E38+F38+G38+H38+I38+J38</f>
        <v>13851376</v>
      </c>
      <c r="L38" s="1514">
        <f>+D38+E38+F38+G38+H38+I38</f>
        <v>13375082</v>
      </c>
      <c r="M38" s="1514">
        <f>+E38+F38+G38+H38+I38+J38</f>
        <v>13345082</v>
      </c>
      <c r="N38" s="2314"/>
      <c r="O38" s="2314"/>
      <c r="P38" s="1537"/>
      <c r="Q38" s="1538"/>
      <c r="R38" s="1538"/>
    </row>
    <row r="39" spans="1:18" s="1539" customFormat="1" ht="26.25" customHeight="1" thickBot="1">
      <c r="A39" s="3873" t="s">
        <v>495</v>
      </c>
      <c r="B39" s="3874"/>
      <c r="C39" s="1515">
        <f>'Tab. 6H - Kultura fiz. i turyst'!E194+'Tab. 6H - Kultura fiz. i turyst'!E204+'Tab. 6H - Kultura fiz. i turyst'!E215+'Tab. 6H - Kultura fiz. i turyst'!E225</f>
        <v>120000</v>
      </c>
      <c r="D39" s="1515">
        <f>'Tab. 6H - Kultura fiz. i turyst'!F194+'Tab. 6H - Kultura fiz. i turyst'!F204+'Tab. 6H - Kultura fiz. i turyst'!F215+'Tab. 6H - Kultura fiz. i turyst'!F225</f>
        <v>30000</v>
      </c>
      <c r="E39" s="1515">
        <f>'Tab. 6H - Kultura fiz. i turyst'!G194+'Tab. 6H - Kultura fiz. i turyst'!G204+'Tab. 6H - Kultura fiz. i turyst'!G215+'Tab. 6H - Kultura fiz. i turyst'!G225</f>
        <v>219403</v>
      </c>
      <c r="F39" s="1515">
        <f>'Tab. 6H - Kultura fiz. i turyst'!H194+'Tab. 6H - Kultura fiz. i turyst'!H204+'Tab. 6H - Kultura fiz. i turyst'!H215+'Tab. 6H - Kultura fiz. i turyst'!H225</f>
        <v>1799008</v>
      </c>
      <c r="G39" s="1515">
        <f>'Tab. 6H - Kultura fiz. i turyst'!I194+'Tab. 6H - Kultura fiz. i turyst'!I204+'Tab. 6H - Kultura fiz. i turyst'!I215+'Tab. 6H - Kultura fiz. i turyst'!I225</f>
        <v>6184486</v>
      </c>
      <c r="H39" s="1515">
        <f>'Tab. 6H - Kultura fiz. i turyst'!J194+'Tab. 6H - Kultura fiz. i turyst'!J204+'Tab. 6H - Kultura fiz. i turyst'!J215+'Tab. 6H - Kultura fiz. i turyst'!J225</f>
        <v>3347788</v>
      </c>
      <c r="I39" s="1515">
        <f>'Tab. 6H - Kultura fiz. i turyst'!K194+'Tab. 6H - Kultura fiz. i turyst'!K204+'Tab. 6H - Kultura fiz. i turyst'!K215+'Tab. 6H - Kultura fiz. i turyst'!K225</f>
        <v>0</v>
      </c>
      <c r="J39" s="1515">
        <f>'Tab. 6H - Kultura fiz. i turyst'!L194+'Tab. 6H - Kultura fiz. i turyst'!L204+'Tab. 6H - Kultura fiz. i turyst'!L215+'Tab. 6H - Kultura fiz. i turyst'!L225</f>
        <v>0</v>
      </c>
      <c r="K39" s="1728">
        <f>+C39+D39+E39+F39+G39+H39+I39+J39</f>
        <v>11700685</v>
      </c>
      <c r="L39" s="1518" t="s">
        <v>61</v>
      </c>
      <c r="M39" s="1518" t="s">
        <v>61</v>
      </c>
      <c r="N39" s="2316"/>
      <c r="O39" s="2316"/>
      <c r="P39" s="1537"/>
      <c r="Q39" s="1538"/>
      <c r="R39" s="1538"/>
    </row>
    <row r="40" spans="1:18" s="1116" customFormat="1" ht="48" customHeight="1" thickBot="1">
      <c r="A40" s="3879" t="s">
        <v>409</v>
      </c>
      <c r="B40" s="3880"/>
      <c r="C40" s="1519">
        <f>+'Tab. 6D - Oświata'!E22+'Tab. 6D - Oświata'!E33+'Tab. 6D - Oświata'!E44</f>
        <v>593887</v>
      </c>
      <c r="D40" s="1519">
        <f>+'Tab. 6D - Oświata'!F22+'Tab. 6D - Oświata'!F33+'Tab. 6D - Oświata'!F44</f>
        <v>152213</v>
      </c>
      <c r="E40" s="1519">
        <f>+'Tab. 6D - Oświata'!G22+'Tab. 6D - Oświata'!G33+'Tab. 6D - Oświata'!G44</f>
        <v>199080</v>
      </c>
      <c r="F40" s="1519">
        <f>+'Tab. 6D - Oświata'!H22+'Tab. 6D - Oświata'!H33+'Tab. 6D - Oświata'!H44</f>
        <v>199080</v>
      </c>
      <c r="G40" s="1519">
        <f>+'Tab. 6D - Oświata'!I22+'Tab. 6D - Oświata'!I33+'Tab. 6D - Oświata'!I44</f>
        <v>199080</v>
      </c>
      <c r="H40" s="1519">
        <f>+'Tab. 6D - Oświata'!J22+'Tab. 6D - Oświata'!J33+'Tab. 6D - Oświata'!J44</f>
        <v>0</v>
      </c>
      <c r="I40" s="1519">
        <f>+'Tab. 6D - Oświata'!K22+'Tab. 6D - Oświata'!K33+'Tab. 6D - Oświata'!K44</f>
        <v>0</v>
      </c>
      <c r="J40" s="1519">
        <f>+'Tab. 6D - Oświata'!L22+'Tab. 6D - Oświata'!L33+'Tab. 6D - Oświata'!L44</f>
        <v>0</v>
      </c>
      <c r="K40" s="1505">
        <f>C40+D40+E40+F40+G40+H40+I40+J40</f>
        <v>1343340</v>
      </c>
      <c r="L40" s="1506">
        <f>+D40+E40+F40+G40+H40+I40+J40</f>
        <v>749453</v>
      </c>
      <c r="M40" s="1506">
        <f>+E40+F40+G40+H40+I40+J40</f>
        <v>597240</v>
      </c>
      <c r="N40" s="2317">
        <f>E40/$E$45%</f>
        <v>3.3796287009667449E-2</v>
      </c>
      <c r="O40" s="2317">
        <f>E40/$O$48%</f>
        <v>1.6638733366409822E-2</v>
      </c>
      <c r="P40" s="1507"/>
      <c r="Q40" s="1140"/>
      <c r="R40" s="1140"/>
    </row>
    <row r="41" spans="1:18" s="1116" customFormat="1" ht="48" customHeight="1" thickBot="1">
      <c r="A41" s="3865" t="s">
        <v>410</v>
      </c>
      <c r="B41" s="3866"/>
      <c r="C41" s="1508">
        <f>+'Tab. 6D - Oświata'!E27+'Tab. 6D - Oświata'!E38+'Tab. 6D - Oświata'!E47</f>
        <v>291312</v>
      </c>
      <c r="D41" s="1508">
        <f>+'Tab. 6D - Oświata'!F27+'Tab. 6D - Oświata'!F38+'Tab. 6D - Oświata'!F47</f>
        <v>80296</v>
      </c>
      <c r="E41" s="1508">
        <f>+'Tab. 6D - Oświata'!G27+'Tab. 6D - Oświata'!G38+'Tab. 6D - Oświata'!G47</f>
        <v>94755</v>
      </c>
      <c r="F41" s="1508">
        <f>+'Tab. 6D - Oświata'!H27+'Tab. 6D - Oświata'!H38+'Tab. 6D - Oświata'!H47</f>
        <v>99540</v>
      </c>
      <c r="G41" s="1508">
        <f>+'Tab. 6D - Oświata'!I27+'Tab. 6D - Oświata'!I38+'Tab. 6D - Oświata'!I47</f>
        <v>99540</v>
      </c>
      <c r="H41" s="1508">
        <f>+'Tab. 6D - Oświata'!J27+'Tab. 6D - Oświata'!J38+'Tab. 6D - Oświata'!J47</f>
        <v>29862</v>
      </c>
      <c r="I41" s="1508">
        <f>+'Tab. 6D - Oświata'!K27+'Tab. 6D - Oświata'!K38+'Tab. 6D - Oświata'!K47</f>
        <v>0</v>
      </c>
      <c r="J41" s="1508">
        <f>+'Tab. 6D - Oświata'!L27+'Tab. 6D - Oświata'!L38+'Tab. 6D - Oświata'!L47</f>
        <v>0</v>
      </c>
      <c r="K41" s="1508">
        <f>+C41+D41+E41+F41+G41+H41+I41+J41</f>
        <v>695305</v>
      </c>
      <c r="L41" s="1509" t="s">
        <v>61</v>
      </c>
      <c r="M41" s="1509" t="s">
        <v>61</v>
      </c>
      <c r="N41" s="2312"/>
      <c r="O41" s="2312"/>
      <c r="P41" s="1507"/>
      <c r="Q41" s="1140"/>
      <c r="R41" s="1140"/>
    </row>
    <row r="42" spans="1:18" s="1116" customFormat="1" ht="35.25" customHeight="1" thickBot="1">
      <c r="A42" s="3879" t="s">
        <v>219</v>
      </c>
      <c r="B42" s="3880"/>
      <c r="C42" s="1519">
        <f>'Tab. 6D - Oświata'!E51+'Tab. 6A -Drogi'!E479+'Tab. 6D - Oświata'!E65+'Tab. 6D - Oświata'!E60</f>
        <v>803</v>
      </c>
      <c r="D42" s="1519">
        <f>'Tab. 6D - Oświata'!F51+'Tab. 6A -Drogi'!F479+'Tab. 6D - Oświata'!F65+'Tab. 6D - Oświata'!F60</f>
        <v>20291</v>
      </c>
      <c r="E42" s="1519">
        <f>'Tab. 6D - Oświata'!G51+'Tab. 6A -Drogi'!G479+'Tab. 6D - Oświata'!G65+'Tab. 6D - Oświata'!G60</f>
        <v>29639</v>
      </c>
      <c r="F42" s="1519">
        <f>'Tab. 6D - Oświata'!H51+'Tab. 6A -Drogi'!H479+'Tab. 6D - Oświata'!H65+'Tab. 6D - Oświata'!H60</f>
        <v>0</v>
      </c>
      <c r="G42" s="1519">
        <f>'Tab. 6D - Oświata'!I51+'Tab. 6A -Drogi'!I479+'Tab. 6D - Oświata'!I65+'Tab. 6D - Oświata'!I60</f>
        <v>0</v>
      </c>
      <c r="H42" s="1519">
        <f>'Tab. 6D - Oświata'!J51+'Tab. 6A -Drogi'!J479+'Tab. 6D - Oświata'!J65+'Tab. 6D - Oświata'!J60</f>
        <v>0</v>
      </c>
      <c r="I42" s="1519">
        <f>'Tab. 6D - Oświata'!K51+'Tab. 6A -Drogi'!K479+'Tab. 6D - Oświata'!K65+'Tab. 6D - Oświata'!K60</f>
        <v>0</v>
      </c>
      <c r="J42" s="1519">
        <f>'Tab. 6D - Oświata'!L51+'Tab. 6A -Drogi'!L479+'Tab. 6D - Oświata'!L65+'Tab. 6D - Oświata'!L60</f>
        <v>0</v>
      </c>
      <c r="K42" s="1505">
        <f>C42+D42+E42+F42+G42+H42+I42+J42</f>
        <v>50733</v>
      </c>
      <c r="L42" s="1506">
        <f>+D42+E42+F42+G42+H42+I42+J42</f>
        <v>49930</v>
      </c>
      <c r="M42" s="1506">
        <f>+E42+F42+G42+H42+I42+J42</f>
        <v>29639</v>
      </c>
      <c r="N42" s="2317">
        <f>E42/$E$45%</f>
        <v>5.031586049224099E-3</v>
      </c>
      <c r="O42" s="2317">
        <f>E42/$O$48%</f>
        <v>2.4771720828160575E-3</v>
      </c>
      <c r="P42" s="1507"/>
      <c r="Q42" s="1140"/>
      <c r="R42" s="1140"/>
    </row>
    <row r="43" spans="1:18" s="1116" customFormat="1" ht="35.25" customHeight="1" thickBot="1">
      <c r="A43" s="3865" t="s">
        <v>220</v>
      </c>
      <c r="B43" s="3866"/>
      <c r="C43" s="1508">
        <f>'Tab. 6D - Oświata'!E54+'Tab. 6A -Drogi'!E484+'Tab. 6D - Oświata'!E68+'Tab. 6D - Oświata'!E61</f>
        <v>803</v>
      </c>
      <c r="D43" s="1508">
        <f>'Tab. 6D - Oświata'!F54+'Tab. 6A -Drogi'!F484+'Tab. 6D - Oświata'!F68+'Tab. 6D - Oświata'!F61</f>
        <v>28048</v>
      </c>
      <c r="E43" s="1508">
        <f>'Tab. 6D - Oświata'!G54+'Tab. 6A -Drogi'!G484+'Tab. 6D - Oświata'!G68+'Tab. 6D - Oświata'!G61</f>
        <v>21882</v>
      </c>
      <c r="F43" s="1508">
        <f>'Tab. 6D - Oświata'!H54+'Tab. 6A -Drogi'!H484+'Tab. 6D - Oświata'!H68+'Tab. 6D - Oświata'!H61</f>
        <v>0</v>
      </c>
      <c r="G43" s="1508">
        <f>'Tab. 6D - Oświata'!I54+'Tab. 6A -Drogi'!I484+'Tab. 6D - Oświata'!I68+'Tab. 6D - Oświata'!I61</f>
        <v>0</v>
      </c>
      <c r="H43" s="1508">
        <f>'Tab. 6D - Oświata'!J54+'Tab. 6A -Drogi'!J484+'Tab. 6D - Oświata'!J68+'Tab. 6D - Oświata'!J61</f>
        <v>0</v>
      </c>
      <c r="I43" s="1508">
        <f>'Tab. 6D - Oświata'!K54+'Tab. 6A -Drogi'!K484+'Tab. 6D - Oświata'!K68+'Tab. 6D - Oświata'!K61</f>
        <v>0</v>
      </c>
      <c r="J43" s="1508">
        <f>'Tab. 6D - Oświata'!L54+'Tab. 6A -Drogi'!L484+'Tab. 6D - Oświata'!L68+'Tab. 6D - Oświata'!L61</f>
        <v>0</v>
      </c>
      <c r="K43" s="1508">
        <f>+C43+D43+E43+F43+G43+H43+I43+J43</f>
        <v>50733</v>
      </c>
      <c r="L43" s="1509" t="s">
        <v>61</v>
      </c>
      <c r="M43" s="1509" t="s">
        <v>61</v>
      </c>
      <c r="N43" s="2312"/>
      <c r="O43" s="2312"/>
      <c r="P43" s="1507"/>
      <c r="Q43" s="1140"/>
      <c r="R43" s="1140"/>
    </row>
    <row r="44" spans="1:18" ht="13.5" thickBot="1">
      <c r="B44" s="1082"/>
      <c r="K44" s="1082"/>
      <c r="L44" s="1082"/>
      <c r="M44" s="1082"/>
      <c r="N44" s="1082"/>
      <c r="O44" s="1082"/>
    </row>
    <row r="45" spans="1:18" s="1116" customFormat="1" ht="21.75" customHeight="1" thickBot="1">
      <c r="A45" s="3881" t="s">
        <v>195</v>
      </c>
      <c r="B45" s="3882"/>
      <c r="C45" s="1505">
        <f t="shared" ref="C45:J45" si="2">C7+C9+C11+C13+C15+C17+C19+C21+C25+C40+C23+C42</f>
        <v>100304624</v>
      </c>
      <c r="D45" s="1505">
        <f t="shared" si="2"/>
        <v>275149029</v>
      </c>
      <c r="E45" s="1505">
        <f t="shared" si="2"/>
        <v>589058792</v>
      </c>
      <c r="F45" s="1505">
        <f t="shared" si="2"/>
        <v>222025076</v>
      </c>
      <c r="G45" s="1505">
        <f t="shared" si="2"/>
        <v>98577883</v>
      </c>
      <c r="H45" s="1505">
        <f t="shared" si="2"/>
        <v>42681799</v>
      </c>
      <c r="I45" s="1505">
        <f t="shared" si="2"/>
        <v>37881641</v>
      </c>
      <c r="J45" s="1505">
        <f t="shared" si="2"/>
        <v>36052136</v>
      </c>
      <c r="K45" s="1505">
        <f>K7+K9+K11+K13+K15+K17+K19+K21+K25+K40+K23+K42</f>
        <v>1401730980</v>
      </c>
      <c r="L45" s="1506">
        <f>+D45+E45+F45+G45+H45+I45+J45</f>
        <v>1301426356</v>
      </c>
      <c r="M45" s="1506">
        <f>+E45+F45+G45+H45+I45+J45</f>
        <v>1026277327</v>
      </c>
      <c r="N45" s="2317">
        <f>E45/$E$45%</f>
        <v>100</v>
      </c>
      <c r="O45" s="2317"/>
      <c r="P45" s="1141"/>
      <c r="Q45" s="1140"/>
      <c r="R45" s="1140"/>
    </row>
    <row r="46" spans="1:18" s="1116" customFormat="1" ht="21.75" customHeight="1" thickBot="1">
      <c r="A46" s="3865" t="s">
        <v>196</v>
      </c>
      <c r="B46" s="3866"/>
      <c r="C46" s="1508">
        <f t="shared" ref="C46:I46" si="3">C8+C10+C12+C14+C16+C18+C20+C22+C26+C41+C24+C43</f>
        <v>79176360</v>
      </c>
      <c r="D46" s="1508">
        <f t="shared" si="3"/>
        <v>225073816</v>
      </c>
      <c r="E46" s="1508">
        <f>E8+E10+E12+E14+E16+E18+E20+E22+E26+E41+E24+E43</f>
        <v>491114270</v>
      </c>
      <c r="F46" s="1508">
        <f t="shared" si="3"/>
        <v>183778706</v>
      </c>
      <c r="G46" s="1508">
        <f t="shared" si="3"/>
        <v>89565442</v>
      </c>
      <c r="H46" s="1508">
        <f t="shared" si="3"/>
        <v>40130367</v>
      </c>
      <c r="I46" s="1508">
        <f t="shared" si="3"/>
        <v>33272974</v>
      </c>
      <c r="J46" s="1508">
        <f>J8+J10+J12+J14+J16+J18+J20+J22+J26+J41+J24+J43</f>
        <v>31999081</v>
      </c>
      <c r="K46" s="1508">
        <f>K8+K10+K12+K14+K16+K18+K20+K22+K26+K41+K24+K43</f>
        <v>1181505647</v>
      </c>
      <c r="L46" s="1509" t="s">
        <v>61</v>
      </c>
      <c r="M46" s="1509" t="s">
        <v>61</v>
      </c>
      <c r="N46" s="2312"/>
      <c r="O46" s="2312"/>
      <c r="P46" s="1141"/>
      <c r="Q46" s="1140"/>
      <c r="R46" s="1140"/>
    </row>
    <row r="47" spans="1:18">
      <c r="B47" s="1082"/>
      <c r="K47" s="1082"/>
      <c r="L47" s="1082"/>
      <c r="M47" s="1082"/>
      <c r="N47" s="1082"/>
      <c r="O47" s="1082"/>
    </row>
    <row r="48" spans="1:18" hidden="1">
      <c r="A48" s="1082" t="s">
        <v>197</v>
      </c>
      <c r="C48" s="1522">
        <f>+'Tabela nr 6'!B48</f>
        <v>100304624.3</v>
      </c>
      <c r="D48" s="1089">
        <f>+'Tabela nr 6'!C48</f>
        <v>275149029</v>
      </c>
      <c r="E48" s="1089">
        <f>+'Tabela nr 6'!D48</f>
        <v>589058792</v>
      </c>
      <c r="F48" s="1089">
        <f>+'Tabela nr 6'!E48</f>
        <v>222025076</v>
      </c>
      <c r="G48" s="1089">
        <f>+'Tabela nr 6'!F48</f>
        <v>98577883</v>
      </c>
      <c r="H48" s="1089">
        <f>+'Tabela nr 6'!G48</f>
        <v>42681799</v>
      </c>
      <c r="I48" s="1089">
        <f>+'Tabela nr 6'!H48</f>
        <v>37881641</v>
      </c>
      <c r="J48" s="1089">
        <f>+'Tabela nr 6'!I48</f>
        <v>36052136</v>
      </c>
      <c r="K48" s="1089">
        <f>+'Tabela nr 6'!J48</f>
        <v>1401730980.3</v>
      </c>
      <c r="L48" s="1089">
        <f>'Tabela nr 6'!K12</f>
        <v>1301426356</v>
      </c>
      <c r="M48" s="1089">
        <f>'Tabela nr 6'!L48</f>
        <v>1026277327</v>
      </c>
      <c r="N48" s="2318">
        <f>E45/O48%</f>
        <v>49.232430064433714</v>
      </c>
      <c r="O48" s="1089">
        <v>1196485307</v>
      </c>
    </row>
    <row r="49" spans="1:18" hidden="1">
      <c r="A49" s="1082" t="s">
        <v>198</v>
      </c>
      <c r="C49" s="1522">
        <f>+'Tabela nr 6'!B49</f>
        <v>79176360</v>
      </c>
      <c r="D49" s="1089">
        <f>+'Tabela nr 6'!C49</f>
        <v>225073816</v>
      </c>
      <c r="E49" s="1089">
        <f>+'Tabela nr 6'!D49</f>
        <v>491114270</v>
      </c>
      <c r="F49" s="1089">
        <f>+'Tabela nr 6'!E49</f>
        <v>183778706</v>
      </c>
      <c r="G49" s="1089">
        <f>+'Tabela nr 6'!F49</f>
        <v>89565442</v>
      </c>
      <c r="H49" s="1089">
        <f>+'Tabela nr 6'!G49</f>
        <v>40130367</v>
      </c>
      <c r="I49" s="1089">
        <f>+'Tabela nr 6'!H49</f>
        <v>33272974</v>
      </c>
      <c r="J49" s="1089">
        <f>+'Tabela nr 6'!I49</f>
        <v>31999081</v>
      </c>
      <c r="K49" s="1089">
        <f>+'Tabela nr 6'!J49</f>
        <v>1181505647</v>
      </c>
      <c r="L49" s="1523"/>
      <c r="M49" s="1523"/>
      <c r="N49" s="1089"/>
      <c r="O49" s="1089"/>
    </row>
    <row r="50" spans="1:18" hidden="1">
      <c r="B50" s="1691" t="s">
        <v>199</v>
      </c>
      <c r="K50" s="1082"/>
      <c r="L50" s="1082"/>
      <c r="M50" s="1082"/>
      <c r="N50" s="1082"/>
      <c r="O50" s="1082"/>
    </row>
    <row r="51" spans="1:18" hidden="1">
      <c r="B51" s="1689" t="s">
        <v>446</v>
      </c>
      <c r="C51" s="1522">
        <f>+C45-C48</f>
        <v>-0.29999999701976776</v>
      </c>
      <c r="D51" s="1089">
        <f t="shared" ref="D51:M51" si="4">+D45-D48</f>
        <v>0</v>
      </c>
      <c r="E51" s="1089">
        <f t="shared" si="4"/>
        <v>0</v>
      </c>
      <c r="F51" s="1089">
        <f t="shared" si="4"/>
        <v>0</v>
      </c>
      <c r="G51" s="1089">
        <f t="shared" si="4"/>
        <v>0</v>
      </c>
      <c r="H51" s="1089">
        <f t="shared" si="4"/>
        <v>0</v>
      </c>
      <c r="I51" s="1089">
        <f t="shared" si="4"/>
        <v>0</v>
      </c>
      <c r="J51" s="1089">
        <f t="shared" si="4"/>
        <v>0</v>
      </c>
      <c r="K51" s="1089">
        <f>+K45-K48</f>
        <v>-0.29999995231628418</v>
      </c>
      <c r="L51" s="1089">
        <f>+L45-L48</f>
        <v>0</v>
      </c>
      <c r="M51" s="1089">
        <f t="shared" si="4"/>
        <v>0</v>
      </c>
      <c r="N51" s="1089"/>
      <c r="O51" s="1089"/>
    </row>
    <row r="52" spans="1:18" hidden="1">
      <c r="B52" s="1690" t="s">
        <v>447</v>
      </c>
      <c r="C52" s="1522">
        <f>+C46-C49</f>
        <v>0</v>
      </c>
      <c r="D52" s="1089">
        <f t="shared" ref="D52:J52" si="5">+D46-D49</f>
        <v>0</v>
      </c>
      <c r="E52" s="1089">
        <f>+E46-E49</f>
        <v>0</v>
      </c>
      <c r="F52" s="1089">
        <f t="shared" si="5"/>
        <v>0</v>
      </c>
      <c r="G52" s="1089">
        <f t="shared" si="5"/>
        <v>0</v>
      </c>
      <c r="H52" s="1089">
        <f t="shared" si="5"/>
        <v>0</v>
      </c>
      <c r="I52" s="1089">
        <f t="shared" si="5"/>
        <v>0</v>
      </c>
      <c r="J52" s="1089">
        <f t="shared" si="5"/>
        <v>0</v>
      </c>
      <c r="K52" s="1089">
        <f>+K46-K49</f>
        <v>0</v>
      </c>
      <c r="L52" s="1089">
        <v>0</v>
      </c>
      <c r="M52" s="1089">
        <v>0</v>
      </c>
      <c r="N52" s="1089"/>
      <c r="O52" s="1089"/>
    </row>
    <row r="53" spans="1:18" hidden="1">
      <c r="B53" s="1082"/>
      <c r="C53" s="1522"/>
      <c r="K53" s="1082"/>
      <c r="L53" s="1082"/>
      <c r="M53" s="1082"/>
      <c r="N53" s="1082"/>
      <c r="O53" s="1082"/>
      <c r="P53" s="1081"/>
      <c r="Q53" s="1081"/>
      <c r="R53" s="1081"/>
    </row>
    <row r="54" spans="1:18">
      <c r="B54" s="1082"/>
      <c r="C54" s="1522"/>
      <c r="K54" s="1082"/>
      <c r="L54" s="1082"/>
      <c r="M54" s="1082"/>
      <c r="N54" s="1082"/>
      <c r="O54" s="1082"/>
      <c r="P54" s="1081"/>
      <c r="Q54" s="1081"/>
      <c r="R54" s="1081"/>
    </row>
    <row r="55" spans="1:18">
      <c r="A55" s="1524"/>
      <c r="B55" s="1082"/>
      <c r="C55" s="1522"/>
      <c r="F55" s="1089"/>
      <c r="K55" s="1082"/>
      <c r="L55" s="1082"/>
      <c r="M55" s="1082"/>
      <c r="N55" s="1082"/>
      <c r="O55" s="1082"/>
      <c r="P55" s="1081"/>
      <c r="Q55" s="1081"/>
      <c r="R55" s="1081"/>
    </row>
    <row r="56" spans="1:18" ht="23.25" customHeight="1">
      <c r="B56" s="1525"/>
      <c r="C56" s="1522"/>
      <c r="E56" s="1089"/>
      <c r="K56" s="1082"/>
      <c r="L56" s="1082"/>
      <c r="M56" s="1082"/>
      <c r="N56" s="1082"/>
      <c r="O56" s="1082"/>
      <c r="P56" s="1081"/>
      <c r="Q56" s="1081"/>
      <c r="R56" s="1081"/>
    </row>
    <row r="57" spans="1:18">
      <c r="B57" s="1082"/>
      <c r="C57" s="1522"/>
      <c r="K57" s="1082"/>
      <c r="L57" s="1082"/>
      <c r="M57" s="1082"/>
      <c r="N57" s="1082"/>
      <c r="O57" s="1082"/>
      <c r="P57" s="1081"/>
      <c r="Q57" s="1081"/>
      <c r="R57" s="1081"/>
    </row>
    <row r="58" spans="1:18">
      <c r="A58" s="1526"/>
      <c r="B58" s="1082"/>
      <c r="C58" s="1522"/>
      <c r="K58" s="1082"/>
      <c r="L58" s="1082"/>
      <c r="M58" s="1082"/>
      <c r="N58" s="1082"/>
      <c r="O58" s="1082"/>
      <c r="P58" s="1081"/>
      <c r="Q58" s="1081"/>
      <c r="R58" s="1081"/>
    </row>
    <row r="59" spans="1:18">
      <c r="B59" s="1082"/>
      <c r="C59" s="1522"/>
      <c r="K59" s="1082"/>
      <c r="L59" s="1082"/>
      <c r="M59" s="1082"/>
      <c r="N59" s="1082"/>
      <c r="O59" s="1082"/>
      <c r="P59" s="1081"/>
      <c r="Q59" s="1081"/>
      <c r="R59" s="1081"/>
    </row>
    <row r="60" spans="1:18">
      <c r="B60" s="1082"/>
      <c r="K60" s="1082"/>
      <c r="L60" s="1082"/>
      <c r="M60" s="1082"/>
      <c r="N60" s="1082"/>
      <c r="O60" s="1082"/>
      <c r="P60" s="1081"/>
      <c r="Q60" s="1081"/>
      <c r="R60" s="1081"/>
    </row>
    <row r="61" spans="1:18">
      <c r="B61" s="1082"/>
      <c r="K61" s="1082"/>
      <c r="L61" s="1082"/>
      <c r="M61" s="1082"/>
      <c r="N61" s="1082"/>
      <c r="O61" s="1082"/>
      <c r="P61" s="1081"/>
      <c r="Q61" s="1081"/>
      <c r="R61" s="1081"/>
    </row>
    <row r="62" spans="1:18">
      <c r="B62" s="1082"/>
      <c r="K62" s="1082"/>
      <c r="L62" s="1082"/>
      <c r="M62" s="1082"/>
      <c r="N62" s="1082"/>
      <c r="O62" s="1082"/>
      <c r="P62" s="1081"/>
      <c r="Q62" s="1081"/>
      <c r="R62" s="1081"/>
    </row>
    <row r="63" spans="1:18">
      <c r="A63" s="1526"/>
      <c r="B63" s="1082"/>
      <c r="K63" s="1082"/>
      <c r="L63" s="1082"/>
      <c r="M63" s="1082"/>
      <c r="N63" s="1082"/>
      <c r="O63" s="1082"/>
      <c r="P63" s="1081"/>
      <c r="Q63" s="1081"/>
      <c r="R63" s="1081"/>
    </row>
    <row r="64" spans="1:18">
      <c r="B64" s="1525"/>
      <c r="K64" s="1082"/>
      <c r="L64" s="1082"/>
      <c r="M64" s="1082"/>
      <c r="N64" s="1082"/>
      <c r="O64" s="1082"/>
      <c r="P64" s="1081"/>
      <c r="Q64" s="1081"/>
      <c r="R64" s="1081"/>
    </row>
    <row r="65" spans="1:18">
      <c r="B65" s="1082"/>
      <c r="K65" s="1082"/>
      <c r="L65" s="1082"/>
      <c r="M65" s="1082"/>
      <c r="N65" s="1082"/>
      <c r="O65" s="1082"/>
      <c r="P65" s="1081"/>
      <c r="Q65" s="1081"/>
      <c r="R65" s="1081"/>
    </row>
    <row r="66" spans="1:18">
      <c r="B66" s="1082"/>
      <c r="K66" s="1082"/>
      <c r="L66" s="1082"/>
      <c r="M66" s="1082"/>
      <c r="N66" s="1082"/>
      <c r="O66" s="1082"/>
      <c r="P66" s="1081"/>
      <c r="Q66" s="1081"/>
      <c r="R66" s="1081"/>
    </row>
    <row r="67" spans="1:18">
      <c r="A67" s="1081"/>
      <c r="B67" s="1082"/>
      <c r="K67" s="1082"/>
      <c r="L67" s="1082"/>
      <c r="M67" s="1082"/>
      <c r="N67" s="1082"/>
      <c r="O67" s="1082"/>
      <c r="P67" s="1081"/>
      <c r="Q67" s="1081"/>
      <c r="R67" s="1081"/>
    </row>
    <row r="68" spans="1:18">
      <c r="A68" s="1081"/>
      <c r="B68" s="1082"/>
      <c r="K68" s="1082"/>
      <c r="L68" s="1082"/>
      <c r="M68" s="1082"/>
      <c r="N68" s="1082"/>
      <c r="O68" s="1082"/>
      <c r="P68" s="1081"/>
      <c r="Q68" s="1081"/>
      <c r="R68" s="1081"/>
    </row>
    <row r="69" spans="1:18">
      <c r="A69" s="1081"/>
      <c r="B69" s="1082"/>
      <c r="K69" s="1082"/>
      <c r="L69" s="1082"/>
      <c r="M69" s="1082"/>
      <c r="N69" s="1082"/>
      <c r="O69" s="1082"/>
      <c r="P69" s="1081"/>
      <c r="Q69" s="1081"/>
      <c r="R69" s="1081"/>
    </row>
    <row r="70" spans="1:18">
      <c r="A70" s="1081"/>
      <c r="B70" s="1082"/>
      <c r="K70" s="1082"/>
      <c r="L70" s="1082"/>
      <c r="M70" s="1082"/>
      <c r="N70" s="1082"/>
      <c r="O70" s="1082"/>
      <c r="P70" s="1081"/>
      <c r="Q70" s="1081"/>
      <c r="R70" s="1081"/>
    </row>
    <row r="71" spans="1:18">
      <c r="A71" s="1081"/>
      <c r="B71" s="1082"/>
      <c r="K71" s="1082"/>
      <c r="L71" s="1082"/>
      <c r="M71" s="1082"/>
      <c r="N71" s="1082"/>
      <c r="O71" s="1082"/>
      <c r="P71" s="1081"/>
      <c r="Q71" s="1081"/>
      <c r="R71" s="1081"/>
    </row>
    <row r="72" spans="1:18">
      <c r="A72" s="1081"/>
      <c r="B72" s="1082"/>
      <c r="K72" s="1082"/>
      <c r="L72" s="1082"/>
      <c r="M72" s="1082"/>
      <c r="N72" s="1082"/>
      <c r="O72" s="1082"/>
      <c r="P72" s="1081"/>
      <c r="Q72" s="1081"/>
      <c r="R72" s="1081"/>
    </row>
    <row r="73" spans="1:18">
      <c r="A73" s="1081"/>
      <c r="B73" s="1082"/>
      <c r="K73" s="1082"/>
      <c r="L73" s="1082"/>
      <c r="M73" s="1082"/>
      <c r="N73" s="1082"/>
      <c r="O73" s="1082"/>
      <c r="P73" s="1081"/>
      <c r="Q73" s="1081"/>
      <c r="R73" s="1081"/>
    </row>
    <row r="74" spans="1:18">
      <c r="A74" s="1081"/>
      <c r="B74" s="1082"/>
      <c r="K74" s="1082"/>
      <c r="L74" s="1082"/>
      <c r="M74" s="1082"/>
      <c r="N74" s="1082"/>
      <c r="O74" s="1082"/>
      <c r="P74" s="1081"/>
      <c r="Q74" s="1081"/>
      <c r="R74" s="1081"/>
    </row>
    <row r="75" spans="1:18">
      <c r="A75" s="1081"/>
      <c r="B75" s="1082"/>
      <c r="K75" s="1082"/>
      <c r="L75" s="1082"/>
      <c r="M75" s="1082"/>
      <c r="N75" s="1082"/>
      <c r="O75" s="1082"/>
      <c r="P75" s="1081"/>
      <c r="Q75" s="1081"/>
      <c r="R75" s="1081"/>
    </row>
    <row r="76" spans="1:18">
      <c r="A76" s="1081"/>
      <c r="B76" s="1082"/>
      <c r="K76" s="1082"/>
      <c r="L76" s="1082"/>
      <c r="M76" s="1082"/>
      <c r="N76" s="1082"/>
      <c r="O76" s="1082"/>
      <c r="P76" s="1081"/>
      <c r="Q76" s="1081"/>
      <c r="R76" s="1081"/>
    </row>
    <row r="77" spans="1:18" ht="13.5" customHeight="1">
      <c r="A77" s="1081"/>
      <c r="B77" s="1082"/>
      <c r="K77" s="1082"/>
      <c r="L77" s="1082"/>
      <c r="M77" s="1082"/>
      <c r="N77" s="1082"/>
      <c r="O77" s="1082"/>
      <c r="P77" s="1081"/>
      <c r="Q77" s="1081"/>
      <c r="R77" s="1081"/>
    </row>
    <row r="78" spans="1:18">
      <c r="A78" s="1081"/>
      <c r="B78" s="1082"/>
      <c r="K78" s="1082"/>
      <c r="L78" s="1082"/>
      <c r="M78" s="1082"/>
      <c r="N78" s="1082"/>
      <c r="O78" s="1082"/>
      <c r="P78" s="1081"/>
      <c r="Q78" s="1081"/>
      <c r="R78" s="1081"/>
    </row>
    <row r="79" spans="1:18">
      <c r="A79" s="1081"/>
      <c r="B79" s="1082"/>
      <c r="K79" s="1082"/>
      <c r="L79" s="1082"/>
      <c r="M79" s="1082"/>
      <c r="N79" s="1082"/>
      <c r="O79" s="1082"/>
      <c r="P79" s="1081"/>
      <c r="Q79" s="1081"/>
      <c r="R79" s="1081"/>
    </row>
    <row r="80" spans="1:18">
      <c r="A80" s="1081"/>
      <c r="B80" s="1082"/>
      <c r="K80" s="1082"/>
      <c r="L80" s="1082"/>
      <c r="M80" s="1082"/>
      <c r="N80" s="1082"/>
      <c r="O80" s="1082"/>
      <c r="P80" s="1081"/>
      <c r="Q80" s="1081"/>
      <c r="R80" s="1081"/>
    </row>
    <row r="81" spans="1:18">
      <c r="A81" s="1081"/>
      <c r="B81" s="1082"/>
      <c r="K81" s="1082"/>
      <c r="L81" s="1082"/>
      <c r="M81" s="1082"/>
      <c r="N81" s="1082"/>
      <c r="O81" s="1082"/>
      <c r="P81" s="1081"/>
      <c r="Q81" s="1081"/>
      <c r="R81" s="1081"/>
    </row>
    <row r="82" spans="1:18">
      <c r="A82" s="1081"/>
      <c r="B82" s="1082"/>
      <c r="K82" s="1082"/>
      <c r="L82" s="1082"/>
      <c r="M82" s="1082"/>
      <c r="N82" s="1082"/>
      <c r="O82" s="1082"/>
      <c r="P82" s="1081"/>
      <c r="Q82" s="1081"/>
      <c r="R82" s="1081"/>
    </row>
    <row r="83" spans="1:18">
      <c r="A83" s="1081"/>
      <c r="B83" s="1082"/>
      <c r="K83" s="1082"/>
      <c r="L83" s="1082"/>
      <c r="M83" s="1082"/>
      <c r="N83" s="1082"/>
      <c r="O83" s="1082"/>
      <c r="P83" s="1081"/>
      <c r="Q83" s="1081"/>
      <c r="R83" s="1081"/>
    </row>
    <row r="84" spans="1:18">
      <c r="A84" s="1081"/>
      <c r="B84" s="1082"/>
      <c r="K84" s="1082"/>
      <c r="L84" s="1082"/>
      <c r="M84" s="1082"/>
      <c r="N84" s="1082"/>
      <c r="O84" s="1082"/>
      <c r="P84" s="1081"/>
      <c r="Q84" s="1081"/>
      <c r="R84" s="1081"/>
    </row>
    <row r="85" spans="1:18">
      <c r="A85" s="1081"/>
      <c r="B85" s="1082"/>
      <c r="K85" s="1082"/>
      <c r="L85" s="1082"/>
      <c r="M85" s="1082"/>
      <c r="N85" s="1082"/>
      <c r="O85" s="1082"/>
      <c r="P85" s="1081"/>
      <c r="Q85" s="1081"/>
      <c r="R85" s="1081"/>
    </row>
    <row r="86" spans="1:18">
      <c r="A86" s="1081"/>
      <c r="B86" s="1082"/>
      <c r="K86" s="1082"/>
      <c r="L86" s="1082"/>
      <c r="M86" s="1082"/>
      <c r="N86" s="1082"/>
      <c r="O86" s="1082"/>
      <c r="P86" s="1081"/>
      <c r="Q86" s="1081"/>
      <c r="R86" s="1081"/>
    </row>
    <row r="87" spans="1:18">
      <c r="A87" s="1081"/>
      <c r="B87" s="1082"/>
      <c r="K87" s="1082"/>
      <c r="L87" s="1082"/>
      <c r="M87" s="1082"/>
      <c r="N87" s="1082"/>
      <c r="O87" s="1082"/>
      <c r="P87" s="1081"/>
      <c r="Q87" s="1081"/>
      <c r="R87" s="1081"/>
    </row>
    <row r="88" spans="1:18">
      <c r="A88" s="1081"/>
      <c r="B88" s="1082"/>
      <c r="K88" s="1082"/>
      <c r="L88" s="1082"/>
      <c r="M88" s="1082"/>
      <c r="N88" s="1082"/>
      <c r="O88" s="1082"/>
      <c r="P88" s="1081"/>
      <c r="Q88" s="1081"/>
      <c r="R88" s="1081"/>
    </row>
    <row r="89" spans="1:18">
      <c r="A89" s="1081"/>
      <c r="B89" s="1082"/>
      <c r="K89" s="1082"/>
      <c r="L89" s="1082"/>
      <c r="M89" s="1082"/>
      <c r="N89" s="1082"/>
      <c r="O89" s="1082"/>
      <c r="P89" s="1081"/>
      <c r="Q89" s="1081"/>
      <c r="R89" s="1081"/>
    </row>
    <row r="90" spans="1:18">
      <c r="A90" s="1081"/>
      <c r="B90" s="1082"/>
      <c r="K90" s="1082"/>
      <c r="L90" s="1082"/>
      <c r="M90" s="1082"/>
      <c r="N90" s="1082"/>
      <c r="O90" s="1082"/>
      <c r="P90" s="1081"/>
      <c r="Q90" s="1081"/>
      <c r="R90" s="1081"/>
    </row>
    <row r="91" spans="1:18">
      <c r="A91" s="1081"/>
      <c r="B91" s="1082"/>
      <c r="K91" s="1082"/>
      <c r="L91" s="1082"/>
      <c r="M91" s="1082"/>
      <c r="N91" s="1082"/>
      <c r="O91" s="1082"/>
      <c r="P91" s="1081"/>
      <c r="Q91" s="1081"/>
      <c r="R91" s="1081"/>
    </row>
    <row r="92" spans="1:18">
      <c r="A92" s="1081"/>
      <c r="B92" s="1082"/>
      <c r="K92" s="1082"/>
      <c r="L92" s="1082"/>
      <c r="M92" s="1082"/>
      <c r="N92" s="1082"/>
      <c r="O92" s="1082"/>
      <c r="P92" s="1081"/>
      <c r="Q92" s="1081"/>
      <c r="R92" s="1081"/>
    </row>
    <row r="93" spans="1:18">
      <c r="A93" s="1081"/>
      <c r="B93" s="1082"/>
      <c r="K93" s="1082"/>
      <c r="L93" s="1082"/>
      <c r="M93" s="1082"/>
      <c r="N93" s="1082"/>
      <c r="O93" s="1082"/>
      <c r="P93" s="1081"/>
      <c r="Q93" s="1081"/>
      <c r="R93" s="1081"/>
    </row>
    <row r="94" spans="1:18">
      <c r="A94" s="1081"/>
      <c r="B94" s="1082"/>
      <c r="K94" s="1082"/>
      <c r="L94" s="1082"/>
      <c r="M94" s="1082"/>
      <c r="N94" s="1082"/>
      <c r="O94" s="1082"/>
      <c r="P94" s="1081"/>
      <c r="Q94" s="1081"/>
      <c r="R94" s="1081"/>
    </row>
    <row r="95" spans="1:18">
      <c r="A95" s="1081"/>
      <c r="B95" s="1082"/>
      <c r="K95" s="1082"/>
      <c r="L95" s="1082"/>
      <c r="M95" s="1082"/>
      <c r="N95" s="1082"/>
      <c r="O95" s="1082"/>
      <c r="P95" s="1081"/>
      <c r="Q95" s="1081"/>
      <c r="R95" s="1081"/>
    </row>
    <row r="96" spans="1:18">
      <c r="A96" s="1081"/>
      <c r="B96" s="1082"/>
      <c r="K96" s="1082"/>
      <c r="L96" s="1082"/>
      <c r="M96" s="1082"/>
      <c r="N96" s="1082"/>
      <c r="O96" s="1082"/>
      <c r="P96" s="1081"/>
      <c r="Q96" s="1081"/>
      <c r="R96" s="1081"/>
    </row>
    <row r="97" spans="1:18">
      <c r="A97" s="1081"/>
      <c r="B97" s="1082"/>
      <c r="K97" s="1082"/>
      <c r="L97" s="1082"/>
      <c r="M97" s="1082"/>
      <c r="N97" s="1082"/>
      <c r="O97" s="1082"/>
      <c r="P97" s="1081"/>
      <c r="Q97" s="1081"/>
      <c r="R97" s="1081"/>
    </row>
    <row r="98" spans="1:18">
      <c r="A98" s="1081"/>
      <c r="B98" s="1082"/>
      <c r="K98" s="1082"/>
      <c r="L98" s="1082"/>
      <c r="M98" s="1082"/>
      <c r="N98" s="1082"/>
      <c r="O98" s="1082"/>
      <c r="P98" s="1081"/>
      <c r="Q98" s="1081"/>
      <c r="R98" s="1081"/>
    </row>
    <row r="99" spans="1:18">
      <c r="A99" s="1081"/>
      <c r="B99" s="1082"/>
      <c r="K99" s="1082"/>
      <c r="L99" s="1082"/>
      <c r="M99" s="1082"/>
      <c r="N99" s="1082"/>
      <c r="O99" s="1082"/>
      <c r="P99" s="1081"/>
      <c r="Q99" s="1081"/>
      <c r="R99" s="1081"/>
    </row>
    <row r="100" spans="1:18">
      <c r="A100" s="1081"/>
      <c r="B100" s="1082"/>
      <c r="K100" s="1082"/>
      <c r="L100" s="1082"/>
      <c r="M100" s="1082"/>
      <c r="N100" s="1082"/>
      <c r="O100" s="1082"/>
      <c r="P100" s="1081"/>
      <c r="Q100" s="1081"/>
      <c r="R100" s="1081"/>
    </row>
    <row r="101" spans="1:18">
      <c r="A101" s="1081"/>
      <c r="B101" s="1082"/>
      <c r="K101" s="1082"/>
      <c r="L101" s="1082"/>
      <c r="M101" s="1082"/>
      <c r="N101" s="1082"/>
      <c r="O101" s="1082"/>
      <c r="P101" s="1081"/>
      <c r="Q101" s="1081"/>
      <c r="R101" s="1081"/>
    </row>
    <row r="102" spans="1:18">
      <c r="A102" s="1081"/>
      <c r="B102" s="1082"/>
      <c r="K102" s="1082"/>
      <c r="L102" s="1082"/>
      <c r="M102" s="1082"/>
      <c r="N102" s="1082"/>
      <c r="O102" s="1082"/>
      <c r="P102" s="1081"/>
      <c r="Q102" s="1081"/>
      <c r="R102" s="1081"/>
    </row>
    <row r="103" spans="1:18">
      <c r="A103" s="1081"/>
      <c r="B103" s="1082"/>
      <c r="K103" s="1082"/>
      <c r="L103" s="1082"/>
      <c r="M103" s="1082"/>
      <c r="N103" s="1082"/>
      <c r="O103" s="1082"/>
      <c r="P103" s="1081"/>
      <c r="Q103" s="1081"/>
      <c r="R103" s="1081"/>
    </row>
    <row r="104" spans="1:18">
      <c r="A104" s="1081"/>
      <c r="B104" s="1082"/>
      <c r="K104" s="1082"/>
      <c r="L104" s="1082"/>
      <c r="M104" s="1082"/>
      <c r="N104" s="1082"/>
      <c r="O104" s="1082"/>
      <c r="P104" s="1081"/>
      <c r="Q104" s="1081"/>
      <c r="R104" s="1081"/>
    </row>
    <row r="105" spans="1:18">
      <c r="A105" s="1081"/>
      <c r="B105" s="1082"/>
      <c r="K105" s="1082"/>
      <c r="L105" s="1082"/>
      <c r="M105" s="1082"/>
      <c r="N105" s="1082"/>
      <c r="O105" s="1082"/>
      <c r="P105" s="1081"/>
      <c r="Q105" s="1081"/>
      <c r="R105" s="1081"/>
    </row>
    <row r="106" spans="1:18">
      <c r="A106" s="1081"/>
      <c r="B106" s="1082"/>
      <c r="K106" s="1082"/>
      <c r="L106" s="1082"/>
      <c r="M106" s="1082"/>
      <c r="N106" s="1082"/>
      <c r="O106" s="1082"/>
      <c r="P106" s="1081"/>
      <c r="Q106" s="1081"/>
      <c r="R106" s="1081"/>
    </row>
    <row r="107" spans="1:18">
      <c r="A107" s="1081"/>
      <c r="B107" s="1082"/>
      <c r="K107" s="1082"/>
      <c r="L107" s="1082"/>
      <c r="M107" s="1082"/>
      <c r="N107" s="1082"/>
      <c r="O107" s="1082"/>
      <c r="P107" s="1081"/>
      <c r="Q107" s="1081"/>
      <c r="R107" s="1081"/>
    </row>
    <row r="108" spans="1:18">
      <c r="A108" s="1081"/>
      <c r="B108" s="1082"/>
      <c r="K108" s="1082"/>
      <c r="L108" s="1082"/>
      <c r="M108" s="1082"/>
      <c r="N108" s="1082"/>
      <c r="O108" s="1082"/>
      <c r="P108" s="1081"/>
      <c r="Q108" s="1081"/>
      <c r="R108" s="1081"/>
    </row>
    <row r="109" spans="1:18">
      <c r="A109" s="1081"/>
      <c r="B109" s="1082"/>
      <c r="K109" s="1082"/>
      <c r="L109" s="1082"/>
      <c r="M109" s="1082"/>
      <c r="N109" s="1082"/>
      <c r="O109" s="1082"/>
      <c r="P109" s="1081"/>
      <c r="Q109" s="1081"/>
      <c r="R109" s="1081"/>
    </row>
    <row r="110" spans="1:18">
      <c r="A110" s="1081"/>
      <c r="B110" s="1082"/>
      <c r="K110" s="1082"/>
      <c r="L110" s="1082"/>
      <c r="M110" s="1082"/>
      <c r="N110" s="1082"/>
      <c r="O110" s="1082"/>
      <c r="P110" s="1081"/>
      <c r="Q110" s="1081"/>
      <c r="R110" s="1081"/>
    </row>
    <row r="111" spans="1:18">
      <c r="A111" s="1081"/>
      <c r="B111" s="1082"/>
      <c r="K111" s="1082"/>
      <c r="L111" s="1082"/>
      <c r="M111" s="1082"/>
      <c r="N111" s="1082"/>
      <c r="O111" s="1082"/>
      <c r="P111" s="1081"/>
      <c r="Q111" s="1081"/>
      <c r="R111" s="1081"/>
    </row>
    <row r="112" spans="1:18">
      <c r="A112" s="1081"/>
      <c r="B112" s="1082"/>
      <c r="K112" s="1082"/>
      <c r="L112" s="1082"/>
      <c r="M112" s="1082"/>
      <c r="N112" s="1082"/>
      <c r="O112" s="1082"/>
      <c r="P112" s="1081"/>
      <c r="Q112" s="1081"/>
      <c r="R112" s="1081"/>
    </row>
    <row r="113" spans="1:18">
      <c r="A113" s="1081"/>
      <c r="B113" s="1082"/>
      <c r="K113" s="1082"/>
      <c r="L113" s="1082"/>
      <c r="M113" s="1082"/>
      <c r="N113" s="1082"/>
      <c r="O113" s="1082"/>
      <c r="P113" s="1081"/>
      <c r="Q113" s="1081"/>
      <c r="R113" s="1081"/>
    </row>
    <row r="114" spans="1:18">
      <c r="A114" s="1081"/>
      <c r="B114" s="1082"/>
      <c r="K114" s="1082"/>
      <c r="L114" s="1082"/>
      <c r="M114" s="1082"/>
      <c r="N114" s="1082"/>
      <c r="O114" s="1082"/>
      <c r="P114" s="1081"/>
      <c r="Q114" s="1081"/>
      <c r="R114" s="1081"/>
    </row>
    <row r="115" spans="1:18">
      <c r="A115" s="1081"/>
      <c r="B115" s="1082"/>
      <c r="K115" s="1082"/>
      <c r="L115" s="1082"/>
      <c r="M115" s="1082"/>
      <c r="N115" s="1082"/>
      <c r="O115" s="1082"/>
      <c r="P115" s="1081"/>
      <c r="Q115" s="1081"/>
      <c r="R115" s="1081"/>
    </row>
    <row r="116" spans="1:18">
      <c r="A116" s="1081"/>
      <c r="B116" s="1082"/>
      <c r="K116" s="1082"/>
      <c r="L116" s="1082"/>
      <c r="M116" s="1082"/>
      <c r="N116" s="1082"/>
      <c r="O116" s="1082"/>
      <c r="P116" s="1081"/>
      <c r="Q116" s="1081"/>
      <c r="R116" s="1081"/>
    </row>
    <row r="117" spans="1:18">
      <c r="A117" s="1081"/>
      <c r="B117" s="1082"/>
      <c r="K117" s="1082"/>
      <c r="L117" s="1082"/>
      <c r="M117" s="1082"/>
      <c r="N117" s="1082"/>
      <c r="O117" s="1082"/>
      <c r="P117" s="1081"/>
      <c r="Q117" s="1081"/>
      <c r="R117" s="1081"/>
    </row>
    <row r="118" spans="1:18">
      <c r="A118" s="1081"/>
      <c r="B118" s="1082"/>
      <c r="K118" s="1082"/>
      <c r="L118" s="1082"/>
      <c r="M118" s="1082"/>
      <c r="N118" s="1082"/>
      <c r="O118" s="1082"/>
      <c r="P118" s="1081"/>
      <c r="Q118" s="1081"/>
      <c r="R118" s="1081"/>
    </row>
    <row r="119" spans="1:18">
      <c r="A119" s="1081"/>
      <c r="B119" s="1082"/>
      <c r="K119" s="1082"/>
      <c r="L119" s="1082"/>
      <c r="M119" s="1082"/>
      <c r="N119" s="1082"/>
      <c r="O119" s="1082"/>
      <c r="P119" s="1081"/>
      <c r="Q119" s="1081"/>
      <c r="R119" s="1081"/>
    </row>
    <row r="120" spans="1:18">
      <c r="A120" s="1081"/>
      <c r="B120" s="1082"/>
      <c r="K120" s="1082"/>
      <c r="L120" s="1082"/>
      <c r="M120" s="1082"/>
      <c r="N120" s="1082"/>
      <c r="O120" s="1082"/>
      <c r="P120" s="1081"/>
      <c r="Q120" s="1081"/>
      <c r="R120" s="1081"/>
    </row>
    <row r="121" spans="1:18">
      <c r="A121" s="1081"/>
      <c r="B121" s="1082"/>
      <c r="K121" s="1082"/>
      <c r="L121" s="1082"/>
      <c r="M121" s="1082"/>
      <c r="N121" s="1082"/>
      <c r="O121" s="1082"/>
      <c r="P121" s="1081"/>
      <c r="Q121" s="1081"/>
      <c r="R121" s="1081"/>
    </row>
    <row r="122" spans="1:18">
      <c r="A122" s="1081"/>
      <c r="B122" s="1082"/>
      <c r="K122" s="1082"/>
      <c r="L122" s="1082"/>
      <c r="M122" s="1082"/>
      <c r="N122" s="1082"/>
      <c r="O122" s="1082"/>
      <c r="P122" s="1081"/>
      <c r="Q122" s="1081"/>
      <c r="R122" s="1081"/>
    </row>
    <row r="123" spans="1:18">
      <c r="A123" s="1081"/>
      <c r="B123" s="1082"/>
      <c r="K123" s="1082"/>
      <c r="L123" s="1082"/>
      <c r="M123" s="1082"/>
      <c r="N123" s="1082"/>
      <c r="O123" s="1082"/>
      <c r="P123" s="1081"/>
      <c r="Q123" s="1081"/>
      <c r="R123" s="1081"/>
    </row>
    <row r="124" spans="1:18">
      <c r="A124" s="1081"/>
      <c r="B124" s="1082"/>
      <c r="K124" s="1082"/>
      <c r="L124" s="1082"/>
      <c r="M124" s="1082"/>
      <c r="N124" s="1082"/>
      <c r="O124" s="1082"/>
      <c r="P124" s="1081"/>
      <c r="Q124" s="1081"/>
      <c r="R124" s="1081"/>
    </row>
    <row r="125" spans="1:18">
      <c r="A125" s="1081"/>
      <c r="B125" s="1082"/>
      <c r="K125" s="1082"/>
      <c r="L125" s="1082"/>
      <c r="M125" s="1082"/>
      <c r="N125" s="1082"/>
      <c r="O125" s="1082"/>
      <c r="P125" s="1081"/>
      <c r="Q125" s="1081"/>
      <c r="R125" s="1081"/>
    </row>
    <row r="126" spans="1:18">
      <c r="A126" s="1081"/>
      <c r="B126" s="1082"/>
      <c r="K126" s="1082"/>
      <c r="L126" s="1082"/>
      <c r="M126" s="1082"/>
      <c r="N126" s="1082"/>
      <c r="O126" s="1082"/>
      <c r="P126" s="1081"/>
      <c r="Q126" s="1081"/>
      <c r="R126" s="1081"/>
    </row>
    <row r="127" spans="1:18">
      <c r="A127" s="1081"/>
      <c r="B127" s="1082"/>
      <c r="K127" s="1082"/>
      <c r="L127" s="1082"/>
      <c r="M127" s="1082"/>
      <c r="N127" s="1082"/>
      <c r="O127" s="1082"/>
      <c r="P127" s="1081"/>
      <c r="Q127" s="1081"/>
      <c r="R127" s="1081"/>
    </row>
    <row r="128" spans="1:18">
      <c r="A128" s="1081"/>
      <c r="B128" s="1082"/>
      <c r="K128" s="1082"/>
      <c r="L128" s="1082"/>
      <c r="M128" s="1082"/>
      <c r="N128" s="1082"/>
      <c r="O128" s="1082"/>
      <c r="P128" s="1081"/>
      <c r="Q128" s="1081"/>
      <c r="R128" s="1081"/>
    </row>
    <row r="129" spans="1:18">
      <c r="A129" s="1081"/>
      <c r="B129" s="1082"/>
      <c r="K129" s="1082"/>
      <c r="L129" s="1082"/>
      <c r="M129" s="1082"/>
      <c r="N129" s="1082"/>
      <c r="O129" s="1082"/>
      <c r="P129" s="1081"/>
      <c r="Q129" s="1081"/>
      <c r="R129" s="1081"/>
    </row>
    <row r="130" spans="1:18">
      <c r="A130" s="1081"/>
      <c r="B130" s="1082"/>
      <c r="K130" s="1082"/>
      <c r="L130" s="1082"/>
      <c r="M130" s="1082"/>
      <c r="N130" s="1082"/>
      <c r="O130" s="1082"/>
      <c r="P130" s="1081"/>
      <c r="Q130" s="1081"/>
      <c r="R130" s="1081"/>
    </row>
    <row r="131" spans="1:18">
      <c r="A131" s="1081"/>
      <c r="B131" s="1082"/>
      <c r="K131" s="1082"/>
      <c r="L131" s="1082"/>
      <c r="M131" s="1082"/>
      <c r="N131" s="1082"/>
      <c r="O131" s="1082"/>
      <c r="P131" s="1081"/>
      <c r="Q131" s="1081"/>
      <c r="R131" s="1081"/>
    </row>
    <row r="132" spans="1:18">
      <c r="A132" s="1081"/>
      <c r="B132" s="1082"/>
      <c r="K132" s="1082"/>
      <c r="L132" s="1082"/>
      <c r="M132" s="1082"/>
      <c r="N132" s="1082"/>
      <c r="O132" s="1082"/>
      <c r="P132" s="1081"/>
      <c r="Q132" s="1081"/>
      <c r="R132" s="1081"/>
    </row>
    <row r="133" spans="1:18">
      <c r="A133" s="1081"/>
      <c r="B133" s="1082"/>
      <c r="K133" s="1082"/>
      <c r="L133" s="1082"/>
      <c r="M133" s="1082"/>
      <c r="N133" s="1082"/>
      <c r="O133" s="1082"/>
      <c r="P133" s="1081"/>
      <c r="Q133" s="1081"/>
      <c r="R133" s="1081"/>
    </row>
    <row r="134" spans="1:18">
      <c r="A134" s="1081"/>
      <c r="B134" s="1082"/>
      <c r="K134" s="1082"/>
      <c r="L134" s="1082"/>
      <c r="M134" s="1082"/>
      <c r="N134" s="1082"/>
      <c r="O134" s="1082"/>
      <c r="P134" s="1081"/>
      <c r="Q134" s="1081"/>
      <c r="R134" s="1081"/>
    </row>
    <row r="135" spans="1:18">
      <c r="A135" s="1081"/>
      <c r="B135" s="1082"/>
      <c r="K135" s="1082"/>
      <c r="L135" s="1082"/>
      <c r="M135" s="1082"/>
      <c r="N135" s="1082"/>
      <c r="O135" s="1082"/>
      <c r="P135" s="1081"/>
      <c r="Q135" s="1081"/>
      <c r="R135" s="1081"/>
    </row>
    <row r="136" spans="1:18">
      <c r="A136" s="1081"/>
      <c r="B136" s="1082"/>
      <c r="K136" s="1082"/>
      <c r="L136" s="1082"/>
      <c r="M136" s="1082"/>
      <c r="N136" s="1082"/>
      <c r="O136" s="1082"/>
      <c r="P136" s="1081"/>
      <c r="Q136" s="1081"/>
      <c r="R136" s="1081"/>
    </row>
    <row r="137" spans="1:18">
      <c r="A137" s="1081"/>
      <c r="B137" s="1082"/>
      <c r="K137" s="1082"/>
      <c r="L137" s="1082"/>
      <c r="M137" s="1082"/>
      <c r="N137" s="1082"/>
      <c r="O137" s="1082"/>
      <c r="P137" s="1081"/>
      <c r="Q137" s="1081"/>
      <c r="R137" s="1081"/>
    </row>
    <row r="138" spans="1:18">
      <c r="A138" s="1081"/>
      <c r="B138" s="1082"/>
      <c r="K138" s="1082"/>
      <c r="L138" s="1082"/>
      <c r="M138" s="1082"/>
      <c r="N138" s="1082"/>
      <c r="O138" s="1082"/>
      <c r="P138" s="1081"/>
      <c r="Q138" s="1081"/>
      <c r="R138" s="1081"/>
    </row>
    <row r="139" spans="1:18">
      <c r="A139" s="1081"/>
      <c r="B139" s="1082"/>
      <c r="K139" s="1082"/>
      <c r="L139" s="1082"/>
      <c r="M139" s="1082"/>
      <c r="N139" s="1082"/>
      <c r="O139" s="1082"/>
      <c r="P139" s="1081"/>
      <c r="Q139" s="1081"/>
      <c r="R139" s="1081"/>
    </row>
    <row r="140" spans="1:18">
      <c r="A140" s="1081"/>
      <c r="B140" s="1082"/>
      <c r="K140" s="1082"/>
      <c r="L140" s="1082"/>
      <c r="M140" s="1082"/>
      <c r="N140" s="1082"/>
      <c r="O140" s="1082"/>
      <c r="P140" s="1081"/>
      <c r="Q140" s="1081"/>
      <c r="R140" s="1081"/>
    </row>
    <row r="141" spans="1:18">
      <c r="A141" s="1081"/>
      <c r="B141" s="1082"/>
      <c r="K141" s="1082"/>
      <c r="L141" s="1082"/>
      <c r="M141" s="1082"/>
      <c r="N141" s="1082"/>
      <c r="O141" s="1082"/>
      <c r="P141" s="1081"/>
      <c r="Q141" s="1081"/>
      <c r="R141" s="1081"/>
    </row>
    <row r="142" spans="1:18">
      <c r="A142" s="1081"/>
      <c r="B142" s="1082"/>
      <c r="K142" s="1082"/>
      <c r="L142" s="1082"/>
      <c r="M142" s="1082"/>
      <c r="N142" s="1082"/>
      <c r="O142" s="1082"/>
      <c r="P142" s="1081"/>
      <c r="Q142" s="1081"/>
      <c r="R142" s="1081"/>
    </row>
    <row r="143" spans="1:18">
      <c r="A143" s="1081"/>
      <c r="B143" s="1082"/>
      <c r="K143" s="1082"/>
      <c r="L143" s="1082"/>
      <c r="M143" s="1082"/>
      <c r="N143" s="1082"/>
      <c r="O143" s="1082"/>
      <c r="P143" s="1081"/>
      <c r="Q143" s="1081"/>
      <c r="R143" s="1081"/>
    </row>
    <row r="144" spans="1:18">
      <c r="A144" s="1081"/>
      <c r="B144" s="1082"/>
      <c r="K144" s="1082"/>
      <c r="L144" s="1082"/>
      <c r="M144" s="1082"/>
      <c r="N144" s="1082"/>
      <c r="O144" s="1082"/>
      <c r="P144" s="1081"/>
      <c r="Q144" s="1081"/>
      <c r="R144" s="1081"/>
    </row>
    <row r="145" spans="1:18">
      <c r="A145" s="1081"/>
      <c r="B145" s="1082"/>
      <c r="K145" s="1082"/>
      <c r="L145" s="1082"/>
      <c r="M145" s="1082"/>
      <c r="N145" s="1082"/>
      <c r="O145" s="1082"/>
      <c r="P145" s="1081"/>
      <c r="Q145" s="1081"/>
      <c r="R145" s="1081"/>
    </row>
    <row r="146" spans="1:18">
      <c r="A146" s="1081"/>
      <c r="B146" s="1082"/>
      <c r="K146" s="1082"/>
      <c r="L146" s="1082"/>
      <c r="M146" s="1082"/>
      <c r="N146" s="1082"/>
      <c r="O146" s="1082"/>
      <c r="P146" s="1081"/>
      <c r="Q146" s="1081"/>
      <c r="R146" s="1081"/>
    </row>
    <row r="147" spans="1:18">
      <c r="A147" s="1081"/>
      <c r="B147" s="1082"/>
      <c r="K147" s="1082"/>
      <c r="L147" s="1082"/>
      <c r="M147" s="1082"/>
      <c r="N147" s="1082"/>
      <c r="O147" s="1082"/>
      <c r="P147" s="1081"/>
      <c r="Q147" s="1081"/>
      <c r="R147" s="1081"/>
    </row>
    <row r="148" spans="1:18">
      <c r="A148" s="1081"/>
      <c r="B148" s="1082"/>
      <c r="K148" s="1082"/>
      <c r="L148" s="1082"/>
      <c r="M148" s="1082"/>
      <c r="N148" s="1082"/>
      <c r="O148" s="1082"/>
      <c r="P148" s="1081"/>
      <c r="Q148" s="1081"/>
      <c r="R148" s="1081"/>
    </row>
    <row r="149" spans="1:18">
      <c r="A149" s="1081"/>
      <c r="B149" s="1082"/>
      <c r="K149" s="1082"/>
      <c r="L149" s="1082"/>
      <c r="M149" s="1082"/>
      <c r="N149" s="1082"/>
      <c r="O149" s="1082"/>
      <c r="P149" s="1081"/>
      <c r="Q149" s="1081"/>
      <c r="R149" s="1081"/>
    </row>
    <row r="150" spans="1:18">
      <c r="A150" s="1081"/>
      <c r="B150" s="1082"/>
      <c r="K150" s="1082"/>
      <c r="L150" s="1082"/>
      <c r="M150" s="1082"/>
      <c r="N150" s="1082"/>
      <c r="O150" s="1082"/>
      <c r="P150" s="1081"/>
      <c r="Q150" s="1081"/>
      <c r="R150" s="1081"/>
    </row>
    <row r="151" spans="1:18">
      <c r="A151" s="1081"/>
      <c r="B151" s="1082"/>
      <c r="K151" s="1082"/>
      <c r="L151" s="1082"/>
      <c r="M151" s="1082"/>
      <c r="N151" s="1082"/>
      <c r="O151" s="1082"/>
      <c r="P151" s="1081"/>
      <c r="Q151" s="1081"/>
      <c r="R151" s="1081"/>
    </row>
    <row r="152" spans="1:18">
      <c r="A152" s="1081"/>
      <c r="B152" s="1082"/>
      <c r="K152" s="1082"/>
      <c r="L152" s="1082"/>
      <c r="M152" s="1082"/>
      <c r="N152" s="1082"/>
      <c r="O152" s="1082"/>
      <c r="P152" s="1081"/>
      <c r="Q152" s="1081"/>
      <c r="R152" s="1081"/>
    </row>
    <row r="153" spans="1:18">
      <c r="A153" s="1081"/>
      <c r="B153" s="1082"/>
      <c r="K153" s="1082"/>
      <c r="L153" s="1082"/>
      <c r="M153" s="1082"/>
      <c r="N153" s="1082"/>
      <c r="O153" s="1082"/>
      <c r="P153" s="1081"/>
      <c r="Q153" s="1081"/>
      <c r="R153" s="1081"/>
    </row>
    <row r="154" spans="1:18">
      <c r="A154" s="1081"/>
      <c r="B154" s="1082"/>
      <c r="K154" s="1082"/>
      <c r="L154" s="1082"/>
      <c r="M154" s="1082"/>
      <c r="N154" s="1082"/>
      <c r="O154" s="1082"/>
      <c r="P154" s="1081"/>
      <c r="Q154" s="1081"/>
      <c r="R154" s="1081"/>
    </row>
    <row r="155" spans="1:18">
      <c r="A155" s="1081"/>
      <c r="B155" s="1082"/>
      <c r="K155" s="1082"/>
      <c r="L155" s="1082"/>
      <c r="M155" s="1082"/>
      <c r="N155" s="1082"/>
      <c r="O155" s="1082"/>
      <c r="P155" s="1081"/>
      <c r="Q155" s="1081"/>
      <c r="R155" s="1081"/>
    </row>
    <row r="156" spans="1:18">
      <c r="A156" s="1081"/>
      <c r="B156" s="1082"/>
      <c r="K156" s="1082"/>
      <c r="L156" s="1082"/>
      <c r="M156" s="1082"/>
      <c r="N156" s="1082"/>
      <c r="O156" s="1082"/>
      <c r="P156" s="1081"/>
      <c r="Q156" s="1081"/>
      <c r="R156" s="1081"/>
    </row>
    <row r="157" spans="1:18">
      <c r="A157" s="1081"/>
      <c r="B157" s="1082"/>
      <c r="K157" s="1082"/>
      <c r="L157" s="1082"/>
      <c r="M157" s="1082"/>
      <c r="N157" s="1082"/>
      <c r="O157" s="1082"/>
      <c r="P157" s="1081"/>
      <c r="Q157" s="1081"/>
      <c r="R157" s="1081"/>
    </row>
    <row r="158" spans="1:18">
      <c r="A158" s="1081"/>
      <c r="B158" s="1082"/>
      <c r="K158" s="1082"/>
      <c r="L158" s="1082"/>
      <c r="M158" s="1082"/>
      <c r="N158" s="1082"/>
      <c r="O158" s="1082"/>
      <c r="P158" s="1081"/>
      <c r="Q158" s="1081"/>
      <c r="R158" s="1081"/>
    </row>
    <row r="159" spans="1:18">
      <c r="A159" s="1081"/>
      <c r="B159" s="1082"/>
      <c r="K159" s="1082"/>
      <c r="L159" s="1082"/>
      <c r="M159" s="1082"/>
      <c r="N159" s="1082"/>
      <c r="O159" s="1082"/>
      <c r="P159" s="1081"/>
      <c r="Q159" s="1081"/>
      <c r="R159" s="1081"/>
    </row>
    <row r="160" spans="1:18">
      <c r="A160" s="1081"/>
      <c r="B160" s="1082"/>
      <c r="K160" s="1082"/>
      <c r="L160" s="1082"/>
      <c r="M160" s="1082"/>
      <c r="N160" s="1082"/>
      <c r="O160" s="1082"/>
      <c r="P160" s="1081"/>
      <c r="Q160" s="1081"/>
      <c r="R160" s="1081"/>
    </row>
    <row r="161" spans="1:18">
      <c r="A161" s="1081"/>
      <c r="B161" s="1082"/>
      <c r="K161" s="1082"/>
      <c r="L161" s="1082"/>
      <c r="M161" s="1082"/>
      <c r="N161" s="1082"/>
      <c r="O161" s="1082"/>
      <c r="P161" s="1081"/>
      <c r="Q161" s="1081"/>
      <c r="R161" s="1081"/>
    </row>
    <row r="162" spans="1:18">
      <c r="A162" s="1081"/>
      <c r="B162" s="1082"/>
      <c r="K162" s="1082"/>
      <c r="L162" s="1082"/>
      <c r="M162" s="1082"/>
      <c r="N162" s="1082"/>
      <c r="O162" s="1082"/>
      <c r="P162" s="1081"/>
      <c r="Q162" s="1081"/>
      <c r="R162" s="1081"/>
    </row>
    <row r="163" spans="1:18">
      <c r="A163" s="1081"/>
      <c r="B163" s="1082"/>
      <c r="K163" s="1082"/>
      <c r="L163" s="1082"/>
      <c r="M163" s="1082"/>
      <c r="N163" s="1082"/>
      <c r="O163" s="1082"/>
      <c r="P163" s="1081"/>
      <c r="Q163" s="1081"/>
      <c r="R163" s="1081"/>
    </row>
    <row r="164" spans="1:18">
      <c r="A164" s="1081"/>
      <c r="B164" s="1082"/>
      <c r="K164" s="1082"/>
      <c r="L164" s="1082"/>
      <c r="M164" s="1082"/>
      <c r="N164" s="1082"/>
      <c r="O164" s="1082"/>
      <c r="P164" s="1081"/>
      <c r="Q164" s="1081"/>
      <c r="R164" s="1081"/>
    </row>
    <row r="165" spans="1:18">
      <c r="A165" s="1081"/>
      <c r="B165" s="1082"/>
      <c r="K165" s="1082"/>
      <c r="L165" s="1082"/>
      <c r="M165" s="1082"/>
      <c r="N165" s="1082"/>
      <c r="O165" s="1082"/>
      <c r="P165" s="1081"/>
      <c r="Q165" s="1081"/>
      <c r="R165" s="1081"/>
    </row>
    <row r="166" spans="1:18">
      <c r="A166" s="1081"/>
      <c r="B166" s="1082"/>
      <c r="K166" s="1082"/>
      <c r="L166" s="1082"/>
      <c r="M166" s="1082"/>
      <c r="N166" s="1082"/>
      <c r="O166" s="1082"/>
      <c r="P166" s="1081"/>
      <c r="Q166" s="1081"/>
      <c r="R166" s="1081"/>
    </row>
    <row r="167" spans="1:18">
      <c r="A167" s="1081"/>
      <c r="B167" s="1082"/>
      <c r="K167" s="1082"/>
      <c r="L167" s="1082"/>
      <c r="M167" s="1082"/>
      <c r="N167" s="1082"/>
      <c r="O167" s="1082"/>
      <c r="P167" s="1081"/>
      <c r="Q167" s="1081"/>
      <c r="R167" s="1081"/>
    </row>
    <row r="168" spans="1:18">
      <c r="A168" s="1081"/>
      <c r="B168" s="1082"/>
      <c r="K168" s="1082"/>
      <c r="L168" s="1082"/>
      <c r="M168" s="1082"/>
      <c r="N168" s="1082"/>
      <c r="O168" s="1082"/>
      <c r="P168" s="1081"/>
      <c r="Q168" s="1081"/>
      <c r="R168" s="1081"/>
    </row>
    <row r="169" spans="1:18">
      <c r="A169" s="1081"/>
      <c r="B169" s="1082"/>
      <c r="K169" s="1082"/>
      <c r="L169" s="1082"/>
      <c r="M169" s="1082"/>
      <c r="N169" s="1082"/>
      <c r="O169" s="1082"/>
      <c r="P169" s="1081"/>
      <c r="Q169" s="1081"/>
      <c r="R169" s="1081"/>
    </row>
    <row r="170" spans="1:18">
      <c r="A170" s="1081"/>
      <c r="B170" s="1082"/>
      <c r="K170" s="1082"/>
      <c r="L170" s="1082"/>
      <c r="M170" s="1082"/>
      <c r="N170" s="1082"/>
      <c r="O170" s="1082"/>
      <c r="P170" s="1081"/>
      <c r="Q170" s="1081"/>
      <c r="R170" s="1081"/>
    </row>
    <row r="171" spans="1:18">
      <c r="A171" s="1081"/>
      <c r="B171" s="1082"/>
      <c r="K171" s="1082"/>
      <c r="L171" s="1082"/>
      <c r="M171" s="1082"/>
      <c r="N171" s="1082"/>
      <c r="O171" s="1082"/>
      <c r="P171" s="1081"/>
      <c r="Q171" s="1081"/>
      <c r="R171" s="1081"/>
    </row>
    <row r="172" spans="1:18">
      <c r="A172" s="1081"/>
      <c r="B172" s="1082"/>
      <c r="K172" s="1082"/>
      <c r="L172" s="1082"/>
      <c r="M172" s="1082"/>
      <c r="N172" s="1082"/>
      <c r="O172" s="1082"/>
      <c r="P172" s="1081"/>
      <c r="Q172" s="1081"/>
      <c r="R172" s="1081"/>
    </row>
    <row r="173" spans="1:18">
      <c r="A173" s="1081"/>
      <c r="B173" s="1082"/>
      <c r="K173" s="1082"/>
      <c r="L173" s="1082"/>
      <c r="M173" s="1082"/>
      <c r="N173" s="1082"/>
      <c r="O173" s="1082"/>
      <c r="P173" s="1081"/>
      <c r="Q173" s="1081"/>
      <c r="R173" s="1081"/>
    </row>
    <row r="174" spans="1:18">
      <c r="A174" s="1081"/>
      <c r="B174" s="1082"/>
      <c r="K174" s="1082"/>
      <c r="L174" s="1082"/>
      <c r="M174" s="1082"/>
      <c r="N174" s="1082"/>
      <c r="O174" s="1082"/>
      <c r="P174" s="1081"/>
      <c r="Q174" s="1081"/>
      <c r="R174" s="1081"/>
    </row>
    <row r="175" spans="1:18">
      <c r="A175" s="1081"/>
      <c r="B175" s="1082"/>
      <c r="K175" s="1082"/>
      <c r="L175" s="1082"/>
      <c r="M175" s="1082"/>
      <c r="N175" s="1082"/>
      <c r="O175" s="1082"/>
      <c r="P175" s="1081"/>
      <c r="Q175" s="1081"/>
      <c r="R175" s="1081"/>
    </row>
    <row r="176" spans="1:18">
      <c r="A176" s="1081"/>
      <c r="B176" s="1082"/>
      <c r="K176" s="1082"/>
      <c r="L176" s="1082"/>
      <c r="M176" s="1082"/>
      <c r="N176" s="1082"/>
      <c r="O176" s="1082"/>
      <c r="P176" s="1081"/>
      <c r="Q176" s="1081"/>
      <c r="R176" s="1081"/>
    </row>
    <row r="177" spans="1:18">
      <c r="A177" s="1081"/>
      <c r="B177" s="1082"/>
      <c r="K177" s="1082"/>
      <c r="L177" s="1082"/>
      <c r="M177" s="1082"/>
      <c r="N177" s="1082"/>
      <c r="O177" s="1082"/>
      <c r="P177" s="1081"/>
      <c r="Q177" s="1081"/>
      <c r="R177" s="1081"/>
    </row>
    <row r="178" spans="1:18">
      <c r="A178" s="1081"/>
      <c r="B178" s="1082"/>
      <c r="K178" s="1082"/>
      <c r="L178" s="1082"/>
      <c r="M178" s="1082"/>
      <c r="N178" s="1082"/>
      <c r="O178" s="1082"/>
      <c r="P178" s="1081"/>
      <c r="Q178" s="1081"/>
      <c r="R178" s="1081"/>
    </row>
    <row r="179" spans="1:18">
      <c r="A179" s="1081"/>
      <c r="B179" s="1082"/>
      <c r="K179" s="1082"/>
      <c r="L179" s="1082"/>
      <c r="M179" s="1082"/>
      <c r="N179" s="1082"/>
      <c r="O179" s="1082"/>
      <c r="P179" s="1081"/>
      <c r="Q179" s="1081"/>
      <c r="R179" s="1081"/>
    </row>
    <row r="180" spans="1:18">
      <c r="A180" s="1081"/>
      <c r="B180" s="1082"/>
      <c r="K180" s="1082"/>
      <c r="L180" s="1082"/>
      <c r="M180" s="1082"/>
      <c r="N180" s="1082"/>
      <c r="O180" s="1082"/>
      <c r="P180" s="1081"/>
      <c r="Q180" s="1081"/>
      <c r="R180" s="1081"/>
    </row>
    <row r="181" spans="1:18">
      <c r="A181" s="1081"/>
      <c r="B181" s="1082"/>
      <c r="K181" s="1082"/>
      <c r="L181" s="1082"/>
      <c r="M181" s="1082"/>
      <c r="N181" s="1082"/>
      <c r="O181" s="1082"/>
      <c r="P181" s="1081"/>
      <c r="Q181" s="1081"/>
      <c r="R181" s="1081"/>
    </row>
    <row r="182" spans="1:18">
      <c r="A182" s="1081"/>
      <c r="B182" s="1082"/>
      <c r="K182" s="1082"/>
      <c r="L182" s="1082"/>
      <c r="M182" s="1082"/>
      <c r="N182" s="1082"/>
      <c r="O182" s="1082"/>
      <c r="P182" s="1081"/>
      <c r="Q182" s="1081"/>
      <c r="R182" s="1081"/>
    </row>
    <row r="183" spans="1:18">
      <c r="A183" s="1081"/>
      <c r="B183" s="1082"/>
      <c r="K183" s="1082"/>
      <c r="L183" s="1082"/>
      <c r="M183" s="1082"/>
      <c r="N183" s="1082"/>
      <c r="O183" s="1082"/>
      <c r="P183" s="1081"/>
      <c r="Q183" s="1081"/>
      <c r="R183" s="1081"/>
    </row>
    <row r="184" spans="1:18">
      <c r="A184" s="1081"/>
      <c r="B184" s="1082"/>
      <c r="K184" s="1082"/>
      <c r="L184" s="1082"/>
      <c r="M184" s="1082"/>
      <c r="N184" s="1082"/>
      <c r="O184" s="1082"/>
      <c r="P184" s="1081"/>
      <c r="Q184" s="1081"/>
      <c r="R184" s="1081"/>
    </row>
    <row r="185" spans="1:18">
      <c r="A185" s="1081"/>
      <c r="B185" s="1082"/>
      <c r="K185" s="1082"/>
      <c r="L185" s="1082"/>
      <c r="M185" s="1082"/>
      <c r="N185" s="1082"/>
      <c r="O185" s="1082"/>
      <c r="P185" s="1081"/>
      <c r="Q185" s="1081"/>
      <c r="R185" s="1081"/>
    </row>
    <row r="186" spans="1:18">
      <c r="A186" s="1081"/>
      <c r="B186" s="1082"/>
      <c r="K186" s="1082"/>
      <c r="L186" s="1082"/>
      <c r="M186" s="1082"/>
      <c r="N186" s="1082"/>
      <c r="O186" s="1082"/>
      <c r="P186" s="1081"/>
      <c r="Q186" s="1081"/>
      <c r="R186" s="1081"/>
    </row>
    <row r="187" spans="1:18">
      <c r="A187" s="1081"/>
      <c r="B187" s="1082"/>
      <c r="K187" s="1082"/>
      <c r="L187" s="1082"/>
      <c r="M187" s="1082"/>
      <c r="N187" s="1082"/>
      <c r="O187" s="1082"/>
      <c r="P187" s="1081"/>
      <c r="Q187" s="1081"/>
      <c r="R187" s="1081"/>
    </row>
    <row r="188" spans="1:18">
      <c r="A188" s="1081"/>
      <c r="B188" s="1082"/>
      <c r="K188" s="1082"/>
      <c r="L188" s="1082"/>
      <c r="M188" s="1082"/>
      <c r="N188" s="1082"/>
      <c r="O188" s="1082"/>
      <c r="P188" s="1081"/>
      <c r="Q188" s="1081"/>
      <c r="R188" s="1081"/>
    </row>
    <row r="189" spans="1:18">
      <c r="A189" s="1081"/>
      <c r="B189" s="1082"/>
      <c r="K189" s="1082"/>
      <c r="L189" s="1082"/>
      <c r="M189" s="1082"/>
      <c r="N189" s="1082"/>
      <c r="O189" s="1082"/>
      <c r="P189" s="1081"/>
      <c r="Q189" s="1081"/>
      <c r="R189" s="1081"/>
    </row>
    <row r="190" spans="1:18">
      <c r="A190" s="1081"/>
      <c r="B190" s="1082"/>
      <c r="K190" s="1082"/>
      <c r="L190" s="1082"/>
      <c r="M190" s="1082"/>
      <c r="N190" s="1082"/>
      <c r="O190" s="1082"/>
      <c r="P190" s="1081"/>
      <c r="Q190" s="1081"/>
      <c r="R190" s="1081"/>
    </row>
    <row r="191" spans="1:18">
      <c r="A191" s="1081"/>
      <c r="B191" s="1082"/>
      <c r="K191" s="1082"/>
      <c r="L191" s="1082"/>
      <c r="M191" s="1082"/>
      <c r="N191" s="1082"/>
      <c r="O191" s="1082"/>
      <c r="P191" s="1081"/>
      <c r="Q191" s="1081"/>
      <c r="R191" s="1081"/>
    </row>
    <row r="192" spans="1:18">
      <c r="A192" s="1081"/>
      <c r="B192" s="1082"/>
      <c r="K192" s="1082"/>
      <c r="L192" s="1082"/>
      <c r="M192" s="1082"/>
      <c r="N192" s="1082"/>
      <c r="O192" s="1082"/>
      <c r="P192" s="1081"/>
      <c r="Q192" s="1081"/>
      <c r="R192" s="1081"/>
    </row>
    <row r="193" spans="1:18">
      <c r="A193" s="1081"/>
      <c r="B193" s="1082"/>
      <c r="K193" s="1082"/>
      <c r="L193" s="1082"/>
      <c r="M193" s="1082"/>
      <c r="N193" s="1082"/>
      <c r="O193" s="1082"/>
      <c r="P193" s="1081"/>
      <c r="Q193" s="1081"/>
      <c r="R193" s="1081"/>
    </row>
    <row r="194" spans="1:18">
      <c r="A194" s="1081"/>
      <c r="B194" s="1082"/>
      <c r="K194" s="1082"/>
      <c r="L194" s="1082"/>
      <c r="M194" s="1082"/>
      <c r="N194" s="1082"/>
      <c r="O194" s="1082"/>
      <c r="P194" s="1081"/>
      <c r="Q194" s="1081"/>
      <c r="R194" s="1081"/>
    </row>
    <row r="195" spans="1:18">
      <c r="A195" s="1081"/>
      <c r="B195" s="1082"/>
      <c r="K195" s="1082"/>
      <c r="L195" s="1082"/>
      <c r="M195" s="1082"/>
      <c r="N195" s="1082"/>
      <c r="O195" s="1082"/>
      <c r="P195" s="1081"/>
      <c r="Q195" s="1081"/>
      <c r="R195" s="1081"/>
    </row>
    <row r="196" spans="1:18">
      <c r="A196" s="1081"/>
      <c r="B196" s="1082"/>
      <c r="K196" s="1082"/>
      <c r="L196" s="1082"/>
      <c r="M196" s="1082"/>
      <c r="N196" s="1082"/>
      <c r="O196" s="1082"/>
      <c r="P196" s="1081"/>
      <c r="Q196" s="1081"/>
      <c r="R196" s="1081"/>
    </row>
    <row r="197" spans="1:18">
      <c r="A197" s="1081"/>
      <c r="B197" s="1082"/>
      <c r="K197" s="1082"/>
      <c r="L197" s="1082"/>
      <c r="M197" s="1082"/>
      <c r="N197" s="1082"/>
      <c r="O197" s="1082"/>
      <c r="P197" s="1081"/>
      <c r="Q197" s="1081"/>
      <c r="R197" s="1081"/>
    </row>
    <row r="198" spans="1:18">
      <c r="A198" s="1081"/>
      <c r="B198" s="1082"/>
      <c r="K198" s="1082"/>
      <c r="L198" s="1082"/>
      <c r="M198" s="1082"/>
      <c r="N198" s="1082"/>
      <c r="O198" s="1082"/>
      <c r="P198" s="1081"/>
      <c r="Q198" s="1081"/>
      <c r="R198" s="1081"/>
    </row>
    <row r="199" spans="1:18">
      <c r="A199" s="1081"/>
      <c r="B199" s="1082"/>
      <c r="K199" s="1082"/>
      <c r="L199" s="1082"/>
      <c r="M199" s="1082"/>
      <c r="N199" s="1082"/>
      <c r="O199" s="1082"/>
      <c r="P199" s="1081"/>
      <c r="Q199" s="1081"/>
      <c r="R199" s="1081"/>
    </row>
    <row r="200" spans="1:18">
      <c r="A200" s="1081"/>
      <c r="B200" s="1082"/>
      <c r="K200" s="1082"/>
      <c r="L200" s="1082"/>
      <c r="M200" s="1082"/>
      <c r="N200" s="1082"/>
      <c r="O200" s="1082"/>
      <c r="P200" s="1081"/>
      <c r="Q200" s="1081"/>
      <c r="R200" s="1081"/>
    </row>
    <row r="201" spans="1:18">
      <c r="A201" s="1081"/>
      <c r="B201" s="1082"/>
      <c r="K201" s="1082"/>
      <c r="L201" s="1082"/>
      <c r="M201" s="1082"/>
      <c r="N201" s="1082"/>
      <c r="O201" s="1082"/>
      <c r="P201" s="1081"/>
      <c r="Q201" s="1081"/>
      <c r="R201" s="1081"/>
    </row>
    <row r="202" spans="1:18">
      <c r="A202" s="1081"/>
      <c r="B202" s="1082"/>
      <c r="K202" s="1082"/>
      <c r="L202" s="1082"/>
      <c r="M202" s="1082"/>
      <c r="N202" s="1082"/>
      <c r="O202" s="1082"/>
      <c r="P202" s="1081"/>
      <c r="Q202" s="1081"/>
      <c r="R202" s="1081"/>
    </row>
    <row r="203" spans="1:18">
      <c r="A203" s="1081"/>
      <c r="B203" s="1082"/>
      <c r="K203" s="1082"/>
      <c r="L203" s="1082"/>
      <c r="M203" s="1082"/>
      <c r="N203" s="1082"/>
      <c r="O203" s="1082"/>
      <c r="P203" s="1081"/>
      <c r="Q203" s="1081"/>
      <c r="R203" s="1081"/>
    </row>
    <row r="204" spans="1:18">
      <c r="A204" s="1081"/>
      <c r="B204" s="1082"/>
      <c r="K204" s="1082"/>
      <c r="L204" s="1082"/>
      <c r="M204" s="1082"/>
      <c r="N204" s="1082"/>
      <c r="O204" s="1082"/>
      <c r="P204" s="1081"/>
      <c r="Q204" s="1081"/>
      <c r="R204" s="1081"/>
    </row>
    <row r="205" spans="1:18">
      <c r="A205" s="1081"/>
      <c r="B205" s="1082"/>
      <c r="K205" s="1082"/>
      <c r="L205" s="1082"/>
      <c r="M205" s="1082"/>
      <c r="N205" s="1082"/>
      <c r="O205" s="1082"/>
      <c r="P205" s="1081"/>
      <c r="Q205" s="1081"/>
      <c r="R205" s="1081"/>
    </row>
    <row r="206" spans="1:18">
      <c r="A206" s="1081"/>
      <c r="B206" s="1082"/>
      <c r="K206" s="1082"/>
      <c r="L206" s="1082"/>
      <c r="M206" s="1082"/>
      <c r="N206" s="1082"/>
      <c r="O206" s="1082"/>
      <c r="P206" s="1081"/>
      <c r="Q206" s="1081"/>
      <c r="R206" s="1081"/>
    </row>
    <row r="207" spans="1:18">
      <c r="A207" s="1081"/>
      <c r="B207" s="1082"/>
      <c r="K207" s="1082"/>
      <c r="L207" s="1082"/>
      <c r="M207" s="1082"/>
      <c r="N207" s="1082"/>
      <c r="O207" s="1082"/>
      <c r="P207" s="1081"/>
      <c r="Q207" s="1081"/>
      <c r="R207" s="1081"/>
    </row>
    <row r="208" spans="1:18">
      <c r="A208" s="1081"/>
      <c r="B208" s="1082"/>
      <c r="K208" s="1082"/>
      <c r="L208" s="1082"/>
      <c r="M208" s="1082"/>
      <c r="N208" s="1082"/>
      <c r="O208" s="1082"/>
      <c r="P208" s="1081"/>
      <c r="Q208" s="1081"/>
      <c r="R208" s="1081"/>
    </row>
    <row r="209" spans="1:18">
      <c r="A209" s="1081"/>
      <c r="B209" s="1082"/>
      <c r="K209" s="1082"/>
      <c r="L209" s="1082"/>
      <c r="M209" s="1082"/>
      <c r="N209" s="1082"/>
      <c r="O209" s="1082"/>
      <c r="P209" s="1081"/>
      <c r="Q209" s="1081"/>
      <c r="R209" s="1081"/>
    </row>
    <row r="210" spans="1:18">
      <c r="A210" s="1081"/>
      <c r="B210" s="1082"/>
      <c r="K210" s="1082"/>
      <c r="L210" s="1082"/>
      <c r="M210" s="1082"/>
      <c r="N210" s="1082"/>
      <c r="O210" s="1082"/>
      <c r="P210" s="1081"/>
      <c r="Q210" s="1081"/>
      <c r="R210" s="1081"/>
    </row>
    <row r="211" spans="1:18">
      <c r="A211" s="1081"/>
      <c r="B211" s="1082"/>
      <c r="K211" s="1082"/>
      <c r="L211" s="1082"/>
      <c r="M211" s="1082"/>
      <c r="N211" s="1082"/>
      <c r="O211" s="1082"/>
      <c r="P211" s="1081"/>
      <c r="Q211" s="1081"/>
      <c r="R211" s="1081"/>
    </row>
    <row r="212" spans="1:18">
      <c r="A212" s="1081"/>
      <c r="B212" s="1082"/>
      <c r="K212" s="1082"/>
      <c r="L212" s="1082"/>
      <c r="M212" s="1082"/>
      <c r="N212" s="1082"/>
      <c r="O212" s="1082"/>
      <c r="P212" s="1081"/>
      <c r="Q212" s="1081"/>
      <c r="R212" s="1081"/>
    </row>
    <row r="213" spans="1:18">
      <c r="A213" s="1081"/>
      <c r="B213" s="1082"/>
      <c r="K213" s="1082"/>
      <c r="L213" s="1082"/>
      <c r="M213" s="1082"/>
      <c r="N213" s="1082"/>
      <c r="O213" s="1082"/>
      <c r="P213" s="1081"/>
      <c r="Q213" s="1081"/>
      <c r="R213" s="1081"/>
    </row>
    <row r="214" spans="1:18">
      <c r="A214" s="1081"/>
      <c r="B214" s="1082"/>
      <c r="K214" s="1082"/>
      <c r="L214" s="1082"/>
      <c r="M214" s="1082"/>
      <c r="N214" s="1082"/>
      <c r="O214" s="1082"/>
      <c r="P214" s="1081"/>
      <c r="Q214" s="1081"/>
      <c r="R214" s="1081"/>
    </row>
    <row r="215" spans="1:18">
      <c r="A215" s="1081"/>
      <c r="B215" s="1082"/>
      <c r="K215" s="1082"/>
      <c r="L215" s="1082"/>
      <c r="M215" s="1082"/>
      <c r="N215" s="1082"/>
      <c r="O215" s="1082"/>
      <c r="P215" s="1081"/>
      <c r="Q215" s="1081"/>
      <c r="R215" s="1081"/>
    </row>
    <row r="216" spans="1:18">
      <c r="A216" s="1081"/>
      <c r="B216" s="1082"/>
      <c r="K216" s="1082"/>
      <c r="L216" s="1082"/>
      <c r="M216" s="1082"/>
      <c r="N216" s="1082"/>
      <c r="O216" s="1082"/>
      <c r="P216" s="1081"/>
      <c r="Q216" s="1081"/>
      <c r="R216" s="1081"/>
    </row>
    <row r="217" spans="1:18">
      <c r="A217" s="1081"/>
      <c r="B217" s="1082"/>
      <c r="K217" s="1082"/>
      <c r="L217" s="1082"/>
      <c r="M217" s="1082"/>
      <c r="N217" s="1082"/>
      <c r="O217" s="1082"/>
      <c r="P217" s="1081"/>
      <c r="Q217" s="1081"/>
      <c r="R217" s="1081"/>
    </row>
    <row r="218" spans="1:18">
      <c r="A218" s="1081"/>
      <c r="B218" s="1082"/>
      <c r="K218" s="1082"/>
      <c r="L218" s="1082"/>
      <c r="M218" s="1082"/>
      <c r="N218" s="1082"/>
      <c r="O218" s="1082"/>
      <c r="P218" s="1081"/>
      <c r="Q218" s="1081"/>
      <c r="R218" s="1081"/>
    </row>
    <row r="219" spans="1:18">
      <c r="A219" s="1081"/>
      <c r="B219" s="1082"/>
      <c r="K219" s="1082"/>
      <c r="L219" s="1082"/>
      <c r="M219" s="1082"/>
      <c r="N219" s="1082"/>
      <c r="O219" s="1082"/>
      <c r="P219" s="1081"/>
      <c r="Q219" s="1081"/>
      <c r="R219" s="1081"/>
    </row>
    <row r="220" spans="1:18">
      <c r="A220" s="1081"/>
      <c r="B220" s="1082"/>
      <c r="K220" s="1082"/>
      <c r="L220" s="1082"/>
      <c r="M220" s="1082"/>
      <c r="N220" s="1082"/>
      <c r="O220" s="1082"/>
      <c r="P220" s="1081"/>
      <c r="Q220" s="1081"/>
      <c r="R220" s="1081"/>
    </row>
    <row r="221" spans="1:18">
      <c r="A221" s="1081"/>
      <c r="B221" s="1082"/>
      <c r="K221" s="1082"/>
      <c r="L221" s="1082"/>
      <c r="M221" s="1082"/>
      <c r="N221" s="1082"/>
      <c r="O221" s="1082"/>
      <c r="P221" s="1081"/>
      <c r="Q221" s="1081"/>
      <c r="R221" s="1081"/>
    </row>
    <row r="222" spans="1:18">
      <c r="A222" s="1081"/>
      <c r="B222" s="1082"/>
      <c r="K222" s="1082"/>
      <c r="L222" s="1082"/>
      <c r="M222" s="1082"/>
      <c r="N222" s="1082"/>
      <c r="O222" s="1082"/>
      <c r="P222" s="1081"/>
      <c r="Q222" s="1081"/>
      <c r="R222" s="1081"/>
    </row>
    <row r="223" spans="1:18">
      <c r="A223" s="1081"/>
      <c r="B223" s="1082"/>
      <c r="K223" s="1082"/>
      <c r="L223" s="1082"/>
      <c r="M223" s="1082"/>
      <c r="N223" s="1082"/>
      <c r="O223" s="1082"/>
      <c r="P223" s="1081"/>
      <c r="Q223" s="1081"/>
      <c r="R223" s="1081"/>
    </row>
    <row r="224" spans="1:18">
      <c r="A224" s="1081"/>
      <c r="B224" s="1082"/>
      <c r="K224" s="1082"/>
      <c r="L224" s="1082"/>
      <c r="M224" s="1082"/>
      <c r="N224" s="1082"/>
      <c r="O224" s="1082"/>
      <c r="P224" s="1081"/>
      <c r="Q224" s="1081"/>
      <c r="R224" s="1081"/>
    </row>
    <row r="225" spans="1:18">
      <c r="A225" s="1081"/>
      <c r="B225" s="1082"/>
      <c r="K225" s="1082"/>
      <c r="L225" s="1082"/>
      <c r="M225" s="1082"/>
      <c r="N225" s="1082"/>
      <c r="O225" s="1082"/>
      <c r="P225" s="1081"/>
      <c r="Q225" s="1081"/>
      <c r="R225" s="1081"/>
    </row>
    <row r="226" spans="1:18">
      <c r="A226" s="1081"/>
      <c r="B226" s="1082"/>
      <c r="K226" s="1082"/>
      <c r="L226" s="1082"/>
      <c r="M226" s="1082"/>
      <c r="N226" s="1082"/>
      <c r="O226" s="1082"/>
      <c r="P226" s="1081"/>
      <c r="Q226" s="1081"/>
      <c r="R226" s="1081"/>
    </row>
    <row r="227" spans="1:18">
      <c r="A227" s="1081"/>
      <c r="B227" s="1082"/>
      <c r="K227" s="1082"/>
      <c r="L227" s="1082"/>
      <c r="M227" s="1082"/>
      <c r="N227" s="1082"/>
      <c r="O227" s="1082"/>
      <c r="P227" s="1081"/>
      <c r="Q227" s="1081"/>
      <c r="R227" s="1081"/>
    </row>
    <row r="228" spans="1:18">
      <c r="A228" s="1081"/>
      <c r="B228" s="1082"/>
      <c r="K228" s="1082"/>
      <c r="L228" s="1082"/>
      <c r="M228" s="1082"/>
      <c r="N228" s="1082"/>
      <c r="O228" s="1082"/>
      <c r="P228" s="1081"/>
      <c r="Q228" s="1081"/>
      <c r="R228" s="1081"/>
    </row>
    <row r="229" spans="1:18">
      <c r="A229" s="1081"/>
      <c r="B229" s="1082"/>
      <c r="K229" s="1082"/>
      <c r="L229" s="1082"/>
      <c r="M229" s="1082"/>
      <c r="N229" s="1082"/>
      <c r="O229" s="1082"/>
      <c r="P229" s="1081"/>
      <c r="Q229" s="1081"/>
      <c r="R229" s="1081"/>
    </row>
    <row r="230" spans="1:18">
      <c r="A230" s="1081"/>
      <c r="B230" s="1082"/>
      <c r="K230" s="1082"/>
      <c r="L230" s="1082"/>
      <c r="M230" s="1082"/>
      <c r="N230" s="1082"/>
      <c r="O230" s="1082"/>
      <c r="P230" s="1081"/>
      <c r="Q230" s="1081"/>
      <c r="R230" s="1081"/>
    </row>
    <row r="231" spans="1:18">
      <c r="A231" s="1081"/>
      <c r="B231" s="1082"/>
      <c r="K231" s="1082"/>
      <c r="L231" s="1082"/>
      <c r="M231" s="1082"/>
      <c r="N231" s="1082"/>
      <c r="O231" s="1082"/>
      <c r="P231" s="1081"/>
      <c r="Q231" s="1081"/>
      <c r="R231" s="1081"/>
    </row>
    <row r="232" spans="1:18">
      <c r="A232" s="1081"/>
      <c r="B232" s="1082"/>
      <c r="K232" s="1082"/>
      <c r="L232" s="1082"/>
      <c r="M232" s="1082"/>
      <c r="N232" s="1082"/>
      <c r="O232" s="1082"/>
      <c r="P232" s="1081"/>
      <c r="Q232" s="1081"/>
      <c r="R232" s="1081"/>
    </row>
    <row r="233" spans="1:18">
      <c r="A233" s="1081"/>
      <c r="B233" s="1082"/>
      <c r="K233" s="1082"/>
      <c r="L233" s="1082"/>
      <c r="M233" s="1082"/>
      <c r="N233" s="1082"/>
      <c r="O233" s="1082"/>
      <c r="P233" s="1081"/>
      <c r="Q233" s="1081"/>
      <c r="R233" s="1081"/>
    </row>
    <row r="234" spans="1:18">
      <c r="A234" s="1081"/>
      <c r="B234" s="1082"/>
      <c r="K234" s="1082"/>
      <c r="L234" s="1082"/>
      <c r="M234" s="1082"/>
      <c r="N234" s="1082"/>
      <c r="O234" s="1082"/>
      <c r="P234" s="1081"/>
      <c r="Q234" s="1081"/>
      <c r="R234" s="1081"/>
    </row>
    <row r="235" spans="1:18">
      <c r="A235" s="1081"/>
      <c r="B235" s="1082"/>
      <c r="K235" s="1082"/>
      <c r="L235" s="1082"/>
      <c r="M235" s="1082"/>
      <c r="N235" s="1082"/>
      <c r="O235" s="1082"/>
      <c r="P235" s="1081"/>
      <c r="Q235" s="1081"/>
      <c r="R235" s="1081"/>
    </row>
    <row r="236" spans="1:18">
      <c r="A236" s="1081"/>
      <c r="B236" s="1082"/>
      <c r="K236" s="1082"/>
      <c r="L236" s="1082"/>
      <c r="M236" s="1082"/>
      <c r="N236" s="1082"/>
      <c r="O236" s="1082"/>
      <c r="P236" s="1081"/>
      <c r="Q236" s="1081"/>
      <c r="R236" s="1081"/>
    </row>
    <row r="237" spans="1:18">
      <c r="A237" s="1081"/>
      <c r="B237" s="1082"/>
      <c r="K237" s="1082"/>
      <c r="L237" s="1082"/>
      <c r="M237" s="1082"/>
      <c r="N237" s="1082"/>
      <c r="O237" s="1082"/>
      <c r="P237" s="1081"/>
      <c r="Q237" s="1081"/>
      <c r="R237" s="1081"/>
    </row>
    <row r="238" spans="1:18">
      <c r="A238" s="1081"/>
      <c r="B238" s="1082"/>
      <c r="K238" s="1082"/>
      <c r="L238" s="1082"/>
      <c r="M238" s="1082"/>
      <c r="N238" s="1082"/>
      <c r="O238" s="1082"/>
      <c r="P238" s="1081"/>
      <c r="Q238" s="1081"/>
      <c r="R238" s="1081"/>
    </row>
    <row r="239" spans="1:18">
      <c r="A239" s="1081"/>
      <c r="B239" s="1082"/>
      <c r="K239" s="1082"/>
      <c r="L239" s="1082"/>
      <c r="M239" s="1082"/>
      <c r="N239" s="1082"/>
      <c r="O239" s="1082"/>
      <c r="P239" s="1081"/>
      <c r="Q239" s="1081"/>
      <c r="R239" s="1081"/>
    </row>
    <row r="240" spans="1:18">
      <c r="A240" s="1081"/>
      <c r="B240" s="1082"/>
      <c r="K240" s="1082"/>
      <c r="L240" s="1082"/>
      <c r="M240" s="1082"/>
      <c r="N240" s="1082"/>
      <c r="O240" s="1082"/>
      <c r="P240" s="1081"/>
      <c r="Q240" s="1081"/>
      <c r="R240" s="1081"/>
    </row>
    <row r="241" spans="1:18">
      <c r="A241" s="1081"/>
      <c r="B241" s="1082"/>
      <c r="K241" s="1082"/>
      <c r="L241" s="1082"/>
      <c r="M241" s="1082"/>
      <c r="N241" s="1082"/>
      <c r="O241" s="1082"/>
      <c r="P241" s="1081"/>
      <c r="Q241" s="1081"/>
      <c r="R241" s="1081"/>
    </row>
    <row r="242" spans="1:18">
      <c r="A242" s="1081"/>
      <c r="B242" s="1082"/>
      <c r="K242" s="1082"/>
      <c r="L242" s="1082"/>
      <c r="M242" s="1082"/>
      <c r="N242" s="1082"/>
      <c r="O242" s="1082"/>
      <c r="P242" s="1081"/>
      <c r="Q242" s="1081"/>
      <c r="R242" s="1081"/>
    </row>
    <row r="243" spans="1:18">
      <c r="A243" s="1081"/>
      <c r="B243" s="1082"/>
      <c r="K243" s="1082"/>
      <c r="L243" s="1082"/>
      <c r="M243" s="1082"/>
      <c r="N243" s="1082"/>
      <c r="O243" s="1082"/>
      <c r="P243" s="1081"/>
      <c r="Q243" s="1081"/>
      <c r="R243" s="1081"/>
    </row>
    <row r="244" spans="1:18">
      <c r="A244" s="1081"/>
      <c r="B244" s="1082"/>
      <c r="K244" s="1082"/>
      <c r="L244" s="1082"/>
      <c r="M244" s="1082"/>
      <c r="N244" s="1082"/>
      <c r="O244" s="1082"/>
      <c r="P244" s="1081"/>
      <c r="Q244" s="1081"/>
      <c r="R244" s="1081"/>
    </row>
    <row r="245" spans="1:18">
      <c r="A245" s="1081"/>
      <c r="B245" s="1082"/>
      <c r="K245" s="1082"/>
      <c r="L245" s="1082"/>
      <c r="M245" s="1082"/>
      <c r="N245" s="1082"/>
      <c r="O245" s="1082"/>
      <c r="P245" s="1081"/>
      <c r="Q245" s="1081"/>
      <c r="R245" s="1081"/>
    </row>
    <row r="246" spans="1:18">
      <c r="A246" s="1081"/>
      <c r="B246" s="1082"/>
      <c r="K246" s="1082"/>
      <c r="L246" s="1082"/>
      <c r="M246" s="1082"/>
      <c r="N246" s="1082"/>
      <c r="O246" s="1082"/>
      <c r="P246" s="1081"/>
      <c r="Q246" s="1081"/>
      <c r="R246" s="1081"/>
    </row>
    <row r="247" spans="1:18">
      <c r="A247" s="1081"/>
      <c r="B247" s="1082"/>
      <c r="K247" s="1082"/>
      <c r="L247" s="1082"/>
      <c r="M247" s="1082"/>
      <c r="N247" s="1082"/>
      <c r="O247" s="1082"/>
      <c r="P247" s="1081"/>
      <c r="Q247" s="1081"/>
      <c r="R247" s="1081"/>
    </row>
    <row r="248" spans="1:18">
      <c r="A248" s="1081"/>
      <c r="B248" s="1082"/>
      <c r="K248" s="1082"/>
      <c r="L248" s="1082"/>
      <c r="M248" s="1082"/>
      <c r="N248" s="1082"/>
      <c r="O248" s="1082"/>
      <c r="P248" s="1081"/>
      <c r="Q248" s="1081"/>
      <c r="R248" s="1081"/>
    </row>
    <row r="249" spans="1:18">
      <c r="A249" s="1081"/>
      <c r="B249" s="1082"/>
      <c r="K249" s="1082"/>
      <c r="L249" s="1082"/>
      <c r="M249" s="1082"/>
      <c r="N249" s="1082"/>
      <c r="O249" s="1082"/>
      <c r="P249" s="1081"/>
      <c r="Q249" s="1081"/>
      <c r="R249" s="1081"/>
    </row>
    <row r="250" spans="1:18">
      <c r="A250" s="1081"/>
      <c r="B250" s="1082"/>
      <c r="K250" s="1082"/>
      <c r="L250" s="1082"/>
      <c r="M250" s="1082"/>
      <c r="N250" s="1082"/>
      <c r="O250" s="1082"/>
      <c r="P250" s="1081"/>
      <c r="Q250" s="1081"/>
      <c r="R250" s="1081"/>
    </row>
    <row r="251" spans="1:18">
      <c r="A251" s="1081"/>
      <c r="B251" s="1082"/>
      <c r="K251" s="1082"/>
      <c r="L251" s="1082"/>
      <c r="M251" s="1082"/>
      <c r="N251" s="1082"/>
      <c r="O251" s="1082"/>
      <c r="P251" s="1081"/>
      <c r="Q251" s="1081"/>
      <c r="R251" s="1081"/>
    </row>
    <row r="252" spans="1:18">
      <c r="A252" s="1081"/>
      <c r="B252" s="1082"/>
      <c r="K252" s="1082"/>
      <c r="L252" s="1082"/>
      <c r="M252" s="1082"/>
      <c r="N252" s="1082"/>
      <c r="O252" s="1082"/>
      <c r="P252" s="1081"/>
      <c r="Q252" s="1081"/>
      <c r="R252" s="1081"/>
    </row>
    <row r="253" spans="1:18">
      <c r="A253" s="1081"/>
      <c r="B253" s="1082"/>
      <c r="K253" s="1082"/>
      <c r="L253" s="1082"/>
      <c r="M253" s="1082"/>
      <c r="N253" s="1082"/>
      <c r="O253" s="1082"/>
      <c r="P253" s="1081"/>
      <c r="Q253" s="1081"/>
      <c r="R253" s="1081"/>
    </row>
    <row r="254" spans="1:18">
      <c r="A254" s="1081"/>
      <c r="B254" s="1082"/>
      <c r="K254" s="1082"/>
      <c r="L254" s="1082"/>
      <c r="M254" s="1082"/>
      <c r="N254" s="1082"/>
      <c r="O254" s="1082"/>
      <c r="P254" s="1081"/>
      <c r="Q254" s="1081"/>
      <c r="R254" s="1081"/>
    </row>
    <row r="255" spans="1:18">
      <c r="A255" s="1081"/>
      <c r="B255" s="1082"/>
      <c r="K255" s="1082"/>
      <c r="L255" s="1082"/>
      <c r="M255" s="1082"/>
      <c r="N255" s="1082"/>
      <c r="O255" s="1082"/>
      <c r="P255" s="1081"/>
      <c r="Q255" s="1081"/>
      <c r="R255" s="1081"/>
    </row>
    <row r="256" spans="1:18">
      <c r="A256" s="1081"/>
      <c r="B256" s="1082"/>
      <c r="K256" s="1082"/>
      <c r="L256" s="1082"/>
      <c r="M256" s="1082"/>
      <c r="N256" s="1082"/>
      <c r="O256" s="1082"/>
      <c r="P256" s="1081"/>
      <c r="Q256" s="1081"/>
      <c r="R256" s="1081"/>
    </row>
    <row r="257" spans="1:18">
      <c r="A257" s="1081"/>
      <c r="B257" s="1082"/>
      <c r="K257" s="1082"/>
      <c r="L257" s="1082"/>
      <c r="M257" s="1082"/>
      <c r="N257" s="1082"/>
      <c r="O257" s="1082"/>
      <c r="P257" s="1081"/>
      <c r="Q257" s="1081"/>
      <c r="R257" s="1081"/>
    </row>
    <row r="258" spans="1:18">
      <c r="A258" s="1081"/>
      <c r="B258" s="1082"/>
      <c r="K258" s="1082"/>
      <c r="L258" s="1082"/>
      <c r="M258" s="1082"/>
      <c r="N258" s="1082"/>
      <c r="O258" s="1082"/>
      <c r="P258" s="1081"/>
      <c r="Q258" s="1081"/>
      <c r="R258" s="1081"/>
    </row>
    <row r="259" spans="1:18">
      <c r="A259" s="1081"/>
      <c r="B259" s="1082"/>
      <c r="K259" s="1082"/>
      <c r="L259" s="1082"/>
      <c r="M259" s="1082"/>
      <c r="N259" s="1082"/>
      <c r="O259" s="1082"/>
      <c r="P259" s="1081"/>
      <c r="Q259" s="1081"/>
      <c r="R259" s="1081"/>
    </row>
    <row r="260" spans="1:18">
      <c r="A260" s="1081"/>
      <c r="B260" s="1082"/>
      <c r="K260" s="1082"/>
      <c r="L260" s="1082"/>
      <c r="M260" s="1082"/>
      <c r="N260" s="1082"/>
      <c r="O260" s="1082"/>
      <c r="P260" s="1081"/>
      <c r="Q260" s="1081"/>
      <c r="R260" s="1081"/>
    </row>
    <row r="261" spans="1:18">
      <c r="A261" s="1081"/>
      <c r="B261" s="1082"/>
      <c r="K261" s="1082"/>
      <c r="L261" s="1082"/>
      <c r="M261" s="1082"/>
      <c r="N261" s="1082"/>
      <c r="O261" s="1082"/>
      <c r="P261" s="1081"/>
      <c r="Q261" s="1081"/>
      <c r="R261" s="1081"/>
    </row>
    <row r="262" spans="1:18">
      <c r="A262" s="1081"/>
      <c r="B262" s="1082"/>
      <c r="K262" s="1082"/>
      <c r="L262" s="1082"/>
      <c r="M262" s="1082"/>
      <c r="N262" s="1082"/>
      <c r="O262" s="1082"/>
      <c r="P262" s="1081"/>
      <c r="Q262" s="1081"/>
      <c r="R262" s="1081"/>
    </row>
    <row r="263" spans="1:18">
      <c r="A263" s="1081"/>
      <c r="B263" s="1082"/>
      <c r="K263" s="1082"/>
      <c r="L263" s="1082"/>
      <c r="M263" s="1082"/>
      <c r="N263" s="1082"/>
      <c r="O263" s="1082"/>
      <c r="P263" s="1081"/>
      <c r="Q263" s="1081"/>
      <c r="R263" s="1081"/>
    </row>
    <row r="264" spans="1:18">
      <c r="A264" s="1081"/>
      <c r="B264" s="1082"/>
      <c r="K264" s="1082"/>
      <c r="L264" s="1082"/>
      <c r="M264" s="1082"/>
      <c r="N264" s="1082"/>
      <c r="O264" s="1082"/>
      <c r="P264" s="1081"/>
      <c r="Q264" s="1081"/>
      <c r="R264" s="1081"/>
    </row>
    <row r="265" spans="1:18">
      <c r="A265" s="1081"/>
      <c r="B265" s="1082"/>
      <c r="K265" s="1082"/>
      <c r="L265" s="1082"/>
      <c r="M265" s="1082"/>
      <c r="N265" s="1082"/>
      <c r="O265" s="1082"/>
      <c r="P265" s="1081"/>
      <c r="Q265" s="1081"/>
      <c r="R265" s="1081"/>
    </row>
    <row r="266" spans="1:18">
      <c r="A266" s="1081"/>
      <c r="B266" s="1082"/>
      <c r="K266" s="1082"/>
      <c r="L266" s="1082"/>
      <c r="M266" s="1082"/>
      <c r="N266" s="1082"/>
      <c r="O266" s="1082"/>
      <c r="P266" s="1081"/>
      <c r="Q266" s="1081"/>
      <c r="R266" s="1081"/>
    </row>
    <row r="267" spans="1:18">
      <c r="A267" s="1081"/>
      <c r="B267" s="1082"/>
      <c r="K267" s="1082"/>
      <c r="L267" s="1082"/>
      <c r="M267" s="1082"/>
      <c r="N267" s="1082"/>
      <c r="O267" s="1082"/>
      <c r="P267" s="1081"/>
      <c r="Q267" s="1081"/>
      <c r="R267" s="1081"/>
    </row>
    <row r="268" spans="1:18">
      <c r="A268" s="1081"/>
      <c r="B268" s="1082"/>
      <c r="K268" s="1082"/>
      <c r="L268" s="1082"/>
      <c r="M268" s="1082"/>
      <c r="N268" s="1082"/>
      <c r="O268" s="1082"/>
      <c r="P268" s="1081"/>
      <c r="Q268" s="1081"/>
      <c r="R268" s="1081"/>
    </row>
    <row r="269" spans="1:18">
      <c r="A269" s="1081"/>
      <c r="B269" s="1082"/>
      <c r="K269" s="1082"/>
      <c r="L269" s="1082"/>
      <c r="M269" s="1082"/>
      <c r="N269" s="1082"/>
      <c r="O269" s="1082"/>
      <c r="P269" s="1081"/>
      <c r="Q269" s="1081"/>
      <c r="R269" s="1081"/>
    </row>
    <row r="270" spans="1:18">
      <c r="A270" s="1081"/>
      <c r="B270" s="1082"/>
      <c r="K270" s="1082"/>
      <c r="L270" s="1082"/>
      <c r="M270" s="1082"/>
      <c r="N270" s="1082"/>
      <c r="O270" s="1082"/>
      <c r="P270" s="1081"/>
      <c r="Q270" s="1081"/>
      <c r="R270" s="1081"/>
    </row>
    <row r="271" spans="1:18">
      <c r="A271" s="1081"/>
      <c r="B271" s="1082"/>
      <c r="K271" s="1082"/>
      <c r="L271" s="1082"/>
      <c r="M271" s="1082"/>
      <c r="N271" s="1082"/>
      <c r="O271" s="1082"/>
      <c r="P271" s="1081"/>
      <c r="Q271" s="1081"/>
      <c r="R271" s="1081"/>
    </row>
    <row r="272" spans="1:18">
      <c r="A272" s="1081"/>
      <c r="B272" s="1082"/>
      <c r="K272" s="1082"/>
      <c r="L272" s="1082"/>
      <c r="M272" s="1082"/>
      <c r="N272" s="1082"/>
      <c r="O272" s="1082"/>
      <c r="P272" s="1081"/>
      <c r="Q272" s="1081"/>
      <c r="R272" s="1081"/>
    </row>
    <row r="273" spans="1:18">
      <c r="A273" s="1081"/>
      <c r="B273" s="1082"/>
      <c r="K273" s="1082"/>
      <c r="L273" s="1082"/>
      <c r="M273" s="1082"/>
      <c r="N273" s="1082"/>
      <c r="O273" s="1082"/>
      <c r="P273" s="1081"/>
      <c r="Q273" s="1081"/>
      <c r="R273" s="1081"/>
    </row>
    <row r="274" spans="1:18">
      <c r="A274" s="1081"/>
      <c r="B274" s="1082"/>
      <c r="K274" s="1082"/>
      <c r="L274" s="1082"/>
      <c r="M274" s="1082"/>
      <c r="N274" s="1082"/>
      <c r="O274" s="1082"/>
      <c r="P274" s="1081"/>
      <c r="Q274" s="1081"/>
      <c r="R274" s="1081"/>
    </row>
    <row r="275" spans="1:18">
      <c r="A275" s="1081"/>
      <c r="B275" s="1082"/>
      <c r="K275" s="1082"/>
      <c r="L275" s="1082"/>
      <c r="M275" s="1082"/>
      <c r="N275" s="1082"/>
      <c r="O275" s="1082"/>
      <c r="P275" s="1081"/>
      <c r="Q275" s="1081"/>
      <c r="R275" s="1081"/>
    </row>
    <row r="276" spans="1:18">
      <c r="A276" s="1081"/>
      <c r="B276" s="1082"/>
      <c r="K276" s="1082"/>
      <c r="L276" s="1082"/>
      <c r="M276" s="1082"/>
      <c r="N276" s="1082"/>
      <c r="O276" s="1082"/>
      <c r="P276" s="1081"/>
      <c r="Q276" s="1081"/>
      <c r="R276" s="1081"/>
    </row>
    <row r="277" spans="1:18">
      <c r="A277" s="1081"/>
      <c r="B277" s="1082"/>
      <c r="K277" s="1082"/>
      <c r="L277" s="1082"/>
      <c r="M277" s="1082"/>
      <c r="N277" s="1082"/>
      <c r="O277" s="1082"/>
      <c r="P277" s="1081"/>
      <c r="Q277" s="1081"/>
      <c r="R277" s="1081"/>
    </row>
    <row r="278" spans="1:18">
      <c r="A278" s="1081"/>
      <c r="B278" s="1082"/>
      <c r="K278" s="1082"/>
      <c r="L278" s="1082"/>
      <c r="M278" s="1082"/>
      <c r="N278" s="1082"/>
      <c r="O278" s="1082"/>
      <c r="P278" s="1081"/>
      <c r="Q278" s="1081"/>
      <c r="R278" s="1081"/>
    </row>
    <row r="279" spans="1:18">
      <c r="A279" s="1081"/>
      <c r="B279" s="1082"/>
      <c r="K279" s="1082"/>
      <c r="L279" s="1082"/>
      <c r="M279" s="1082"/>
      <c r="N279" s="1082"/>
      <c r="O279" s="1082"/>
      <c r="P279" s="1081"/>
      <c r="Q279" s="1081"/>
      <c r="R279" s="1081"/>
    </row>
    <row r="280" spans="1:18">
      <c r="A280" s="1081"/>
      <c r="B280" s="1082"/>
      <c r="K280" s="1082"/>
      <c r="L280" s="1082"/>
      <c r="M280" s="1082"/>
      <c r="N280" s="1082"/>
      <c r="O280" s="1082"/>
      <c r="P280" s="1081"/>
      <c r="Q280" s="1081"/>
      <c r="R280" s="1081"/>
    </row>
    <row r="281" spans="1:18">
      <c r="A281" s="1081"/>
      <c r="B281" s="1082"/>
      <c r="K281" s="1082"/>
      <c r="L281" s="1082"/>
      <c r="M281" s="1082"/>
      <c r="N281" s="1082"/>
      <c r="O281" s="1082"/>
      <c r="P281" s="1081"/>
      <c r="Q281" s="1081"/>
      <c r="R281" s="1081"/>
    </row>
    <row r="282" spans="1:18">
      <c r="A282" s="1081"/>
      <c r="B282" s="1082"/>
      <c r="K282" s="1082"/>
      <c r="L282" s="1082"/>
      <c r="M282" s="1082"/>
      <c r="N282" s="1082"/>
      <c r="O282" s="1082"/>
      <c r="P282" s="1081"/>
      <c r="Q282" s="1081"/>
      <c r="R282" s="1081"/>
    </row>
    <row r="283" spans="1:18">
      <c r="A283" s="1081"/>
      <c r="B283" s="1082"/>
      <c r="K283" s="1082"/>
      <c r="L283" s="1082"/>
      <c r="M283" s="1082"/>
      <c r="N283" s="1082"/>
      <c r="O283" s="1082"/>
      <c r="P283" s="1081"/>
      <c r="Q283" s="1081"/>
      <c r="R283" s="1081"/>
    </row>
    <row r="284" spans="1:18">
      <c r="A284" s="1081"/>
      <c r="B284" s="1082"/>
      <c r="K284" s="1082"/>
      <c r="L284" s="1082"/>
      <c r="M284" s="1082"/>
      <c r="N284" s="1082"/>
      <c r="O284" s="1082"/>
      <c r="P284" s="1081"/>
      <c r="Q284" s="1081"/>
      <c r="R284" s="1081"/>
    </row>
    <row r="285" spans="1:18">
      <c r="A285" s="1081"/>
      <c r="B285" s="1082"/>
      <c r="K285" s="1082"/>
      <c r="L285" s="1082"/>
      <c r="M285" s="1082"/>
      <c r="N285" s="1082"/>
      <c r="O285" s="1082"/>
      <c r="P285" s="1081"/>
      <c r="Q285" s="1081"/>
      <c r="R285" s="1081"/>
    </row>
    <row r="286" spans="1:18">
      <c r="A286" s="1081"/>
      <c r="B286" s="1082"/>
      <c r="K286" s="1082"/>
      <c r="L286" s="1082"/>
      <c r="M286" s="1082"/>
      <c r="N286" s="1082"/>
      <c r="O286" s="1082"/>
      <c r="P286" s="1081"/>
      <c r="Q286" s="1081"/>
      <c r="R286" s="1081"/>
    </row>
    <row r="287" spans="1:18">
      <c r="A287" s="1081"/>
      <c r="B287" s="1082"/>
      <c r="K287" s="1082"/>
      <c r="L287" s="1082"/>
      <c r="M287" s="1082"/>
      <c r="N287" s="1082"/>
      <c r="O287" s="1082"/>
      <c r="P287" s="1081"/>
      <c r="Q287" s="1081"/>
      <c r="R287" s="1081"/>
    </row>
    <row r="288" spans="1:18">
      <c r="A288" s="1081"/>
      <c r="B288" s="1082"/>
      <c r="K288" s="1082"/>
      <c r="L288" s="1082"/>
      <c r="M288" s="1082"/>
      <c r="N288" s="1082"/>
      <c r="O288" s="1082"/>
      <c r="P288" s="1081"/>
      <c r="Q288" s="1081"/>
      <c r="R288" s="1081"/>
    </row>
    <row r="289" spans="1:18">
      <c r="A289" s="1081"/>
      <c r="B289" s="1082"/>
      <c r="K289" s="1082"/>
      <c r="L289" s="1082"/>
      <c r="M289" s="1082"/>
      <c r="N289" s="1082"/>
      <c r="O289" s="1082"/>
      <c r="P289" s="1081"/>
      <c r="Q289" s="1081"/>
      <c r="R289" s="1081"/>
    </row>
    <row r="290" spans="1:18">
      <c r="A290" s="1081"/>
      <c r="B290" s="1082"/>
      <c r="K290" s="1082"/>
      <c r="L290" s="1082"/>
      <c r="M290" s="1082"/>
      <c r="N290" s="1082"/>
      <c r="O290" s="1082"/>
      <c r="P290" s="1081"/>
      <c r="Q290" s="1081"/>
      <c r="R290" s="1081"/>
    </row>
    <row r="291" spans="1:18">
      <c r="A291" s="1081"/>
      <c r="B291" s="1082"/>
      <c r="K291" s="1082"/>
      <c r="L291" s="1082"/>
      <c r="M291" s="1082"/>
      <c r="N291" s="1082"/>
      <c r="O291" s="1082"/>
      <c r="P291" s="1081"/>
      <c r="Q291" s="1081"/>
      <c r="R291" s="1081"/>
    </row>
    <row r="292" spans="1:18">
      <c r="A292" s="1081"/>
      <c r="B292" s="1082"/>
      <c r="K292" s="1082"/>
      <c r="L292" s="1082"/>
      <c r="M292" s="1082"/>
      <c r="N292" s="1082"/>
      <c r="O292" s="1082"/>
      <c r="P292" s="1081"/>
      <c r="Q292" s="1081"/>
      <c r="R292" s="1081"/>
    </row>
    <row r="293" spans="1:18">
      <c r="A293" s="1081"/>
      <c r="B293" s="1082"/>
      <c r="K293" s="1082"/>
      <c r="L293" s="1082"/>
      <c r="M293" s="1082"/>
      <c r="N293" s="1082"/>
      <c r="O293" s="1082"/>
      <c r="P293" s="1081"/>
      <c r="Q293" s="1081"/>
      <c r="R293" s="1081"/>
    </row>
    <row r="294" spans="1:18">
      <c r="A294" s="1081"/>
      <c r="B294" s="1082"/>
      <c r="K294" s="1082"/>
      <c r="L294" s="1082"/>
      <c r="M294" s="1082"/>
      <c r="N294" s="1082"/>
      <c r="O294" s="1082"/>
      <c r="P294" s="1081"/>
      <c r="Q294" s="1081"/>
      <c r="R294" s="1081"/>
    </row>
    <row r="295" spans="1:18">
      <c r="A295" s="1081"/>
      <c r="B295" s="1082"/>
      <c r="K295" s="1082"/>
      <c r="L295" s="1082"/>
      <c r="M295" s="1082"/>
      <c r="N295" s="1082"/>
      <c r="O295" s="1082"/>
      <c r="P295" s="1081"/>
      <c r="Q295" s="1081"/>
      <c r="R295" s="1081"/>
    </row>
    <row r="296" spans="1:18">
      <c r="A296" s="1081"/>
      <c r="B296" s="1082"/>
      <c r="K296" s="1082"/>
      <c r="L296" s="1082"/>
      <c r="M296" s="1082"/>
      <c r="N296" s="1082"/>
      <c r="O296" s="1082"/>
      <c r="P296" s="1081"/>
      <c r="Q296" s="1081"/>
      <c r="R296" s="1081"/>
    </row>
    <row r="297" spans="1:18">
      <c r="A297" s="1081"/>
      <c r="B297" s="1082"/>
      <c r="K297" s="1082"/>
      <c r="L297" s="1082"/>
      <c r="M297" s="1082"/>
      <c r="N297" s="1082"/>
      <c r="O297" s="1082"/>
      <c r="P297" s="1081"/>
      <c r="Q297" s="1081"/>
      <c r="R297" s="1081"/>
    </row>
    <row r="298" spans="1:18">
      <c r="A298" s="1081"/>
      <c r="B298" s="1082"/>
      <c r="K298" s="1082"/>
      <c r="L298" s="1082"/>
      <c r="M298" s="1082"/>
      <c r="N298" s="1082"/>
      <c r="O298" s="1082"/>
      <c r="P298" s="1081"/>
      <c r="Q298" s="1081"/>
      <c r="R298" s="1081"/>
    </row>
    <row r="299" spans="1:18">
      <c r="A299" s="1081"/>
      <c r="B299" s="1082"/>
      <c r="K299" s="1082"/>
      <c r="L299" s="1082"/>
      <c r="M299" s="1082"/>
      <c r="N299" s="1082"/>
      <c r="O299" s="1082"/>
      <c r="P299" s="1081"/>
      <c r="Q299" s="1081"/>
      <c r="R299" s="1081"/>
    </row>
    <row r="300" spans="1:18">
      <c r="A300" s="1081"/>
      <c r="B300" s="1082"/>
      <c r="K300" s="1082"/>
      <c r="L300" s="1082"/>
      <c r="M300" s="1082"/>
      <c r="N300" s="1082"/>
      <c r="O300" s="1082"/>
      <c r="P300" s="1081"/>
      <c r="Q300" s="1081"/>
      <c r="R300" s="1081"/>
    </row>
    <row r="301" spans="1:18">
      <c r="A301" s="1081"/>
      <c r="B301" s="1082"/>
      <c r="K301" s="1082"/>
      <c r="L301" s="1082"/>
      <c r="M301" s="1082"/>
      <c r="N301" s="1082"/>
      <c r="O301" s="1082"/>
      <c r="P301" s="1081"/>
      <c r="Q301" s="1081"/>
      <c r="R301" s="1081"/>
    </row>
    <row r="302" spans="1:18">
      <c r="A302" s="1081"/>
      <c r="B302" s="1082"/>
      <c r="K302" s="1082"/>
      <c r="L302" s="1082"/>
      <c r="M302" s="1082"/>
      <c r="N302" s="1082"/>
      <c r="O302" s="1082"/>
      <c r="P302" s="1081"/>
      <c r="Q302" s="1081"/>
      <c r="R302" s="1081"/>
    </row>
    <row r="303" spans="1:18">
      <c r="A303" s="1081"/>
      <c r="B303" s="1082"/>
      <c r="K303" s="1082"/>
      <c r="L303" s="1082"/>
      <c r="M303" s="1082"/>
      <c r="N303" s="1082"/>
      <c r="O303" s="1082"/>
      <c r="P303" s="1081"/>
      <c r="Q303" s="1081"/>
      <c r="R303" s="1081"/>
    </row>
    <row r="304" spans="1:18">
      <c r="A304" s="1081"/>
      <c r="B304" s="1082"/>
      <c r="K304" s="1082"/>
      <c r="L304" s="1082"/>
      <c r="M304" s="1082"/>
      <c r="N304" s="1082"/>
      <c r="O304" s="1082"/>
      <c r="P304" s="1081"/>
      <c r="Q304" s="1081"/>
      <c r="R304" s="1081"/>
    </row>
    <row r="305" spans="1:18">
      <c r="A305" s="1081"/>
      <c r="B305" s="1082"/>
      <c r="K305" s="1082"/>
      <c r="L305" s="1082"/>
      <c r="M305" s="1082"/>
      <c r="N305" s="1082"/>
      <c r="O305" s="1082"/>
      <c r="P305" s="1081"/>
      <c r="Q305" s="1081"/>
      <c r="R305" s="1081"/>
    </row>
    <row r="306" spans="1:18">
      <c r="A306" s="1081"/>
      <c r="B306" s="1082"/>
      <c r="K306" s="1082"/>
      <c r="L306" s="1082"/>
      <c r="M306" s="1082"/>
      <c r="N306" s="1082"/>
      <c r="O306" s="1082"/>
      <c r="P306" s="1081"/>
      <c r="Q306" s="1081"/>
      <c r="R306" s="1081"/>
    </row>
    <row r="307" spans="1:18">
      <c r="A307" s="1081"/>
      <c r="B307" s="1082"/>
      <c r="K307" s="1082"/>
      <c r="L307" s="1082"/>
      <c r="M307" s="1082"/>
      <c r="N307" s="1082"/>
      <c r="O307" s="1082"/>
      <c r="P307" s="1081"/>
      <c r="Q307" s="1081"/>
      <c r="R307" s="1081"/>
    </row>
    <row r="308" spans="1:18">
      <c r="A308" s="1081"/>
      <c r="B308" s="1082"/>
      <c r="K308" s="1082"/>
      <c r="L308" s="1082"/>
      <c r="M308" s="1082"/>
      <c r="N308" s="1082"/>
      <c r="O308" s="1082"/>
      <c r="P308" s="1081"/>
      <c r="Q308" s="1081"/>
      <c r="R308" s="1081"/>
    </row>
    <row r="309" spans="1:18">
      <c r="A309" s="1081"/>
      <c r="B309" s="1082"/>
      <c r="K309" s="1082"/>
      <c r="L309" s="1082"/>
      <c r="M309" s="1082"/>
      <c r="N309" s="1082"/>
      <c r="O309" s="1082"/>
      <c r="P309" s="1081"/>
      <c r="Q309" s="1081"/>
      <c r="R309" s="1081"/>
    </row>
    <row r="310" spans="1:18">
      <c r="A310" s="1081"/>
      <c r="B310" s="1082"/>
      <c r="K310" s="1082"/>
      <c r="L310" s="1082"/>
      <c r="M310" s="1082"/>
      <c r="N310" s="1082"/>
      <c r="O310" s="1082"/>
      <c r="P310" s="1081"/>
      <c r="Q310" s="1081"/>
      <c r="R310" s="1081"/>
    </row>
    <row r="311" spans="1:18">
      <c r="A311" s="1081"/>
      <c r="B311" s="1082"/>
      <c r="K311" s="1082"/>
      <c r="L311" s="1082"/>
      <c r="M311" s="1082"/>
      <c r="N311" s="1082"/>
      <c r="O311" s="1082"/>
      <c r="P311" s="1081"/>
      <c r="Q311" s="1081"/>
      <c r="R311" s="1081"/>
    </row>
    <row r="312" spans="1:18">
      <c r="A312" s="1081"/>
      <c r="B312" s="1082"/>
      <c r="K312" s="1082"/>
      <c r="L312" s="1082"/>
      <c r="M312" s="1082"/>
      <c r="N312" s="1082"/>
      <c r="O312" s="1082"/>
      <c r="P312" s="1081"/>
      <c r="Q312" s="1081"/>
      <c r="R312" s="1081"/>
    </row>
    <row r="313" spans="1:18">
      <c r="A313" s="1081"/>
      <c r="B313" s="1082"/>
      <c r="K313" s="1082"/>
      <c r="L313" s="1082"/>
      <c r="M313" s="1082"/>
      <c r="N313" s="1082"/>
      <c r="O313" s="1082"/>
      <c r="P313" s="1081"/>
      <c r="Q313" s="1081"/>
      <c r="R313" s="1081"/>
    </row>
    <row r="314" spans="1:18">
      <c r="A314" s="1081"/>
      <c r="B314" s="1082"/>
      <c r="K314" s="1082"/>
      <c r="L314" s="1082"/>
      <c r="M314" s="1082"/>
      <c r="N314" s="1082"/>
      <c r="O314" s="1082"/>
      <c r="P314" s="1081"/>
      <c r="Q314" s="1081"/>
      <c r="R314" s="1081"/>
    </row>
    <row r="315" spans="1:18">
      <c r="A315" s="1081"/>
      <c r="B315" s="1082"/>
      <c r="K315" s="1082"/>
      <c r="L315" s="1082"/>
      <c r="M315" s="1082"/>
      <c r="N315" s="1082"/>
      <c r="O315" s="1082"/>
      <c r="P315" s="1081"/>
      <c r="Q315" s="1081"/>
      <c r="R315" s="1081"/>
    </row>
    <row r="316" spans="1:18">
      <c r="A316" s="1081"/>
      <c r="B316" s="1082"/>
      <c r="K316" s="1082"/>
      <c r="L316" s="1082"/>
      <c r="M316" s="1082"/>
      <c r="N316" s="1082"/>
      <c r="O316" s="1082"/>
      <c r="P316" s="1081"/>
      <c r="Q316" s="1081"/>
      <c r="R316" s="1081"/>
    </row>
    <row r="317" spans="1:18">
      <c r="A317" s="1081"/>
      <c r="B317" s="1082"/>
      <c r="K317" s="1082"/>
      <c r="L317" s="1082"/>
      <c r="M317" s="1082"/>
      <c r="N317" s="1082"/>
      <c r="O317" s="1082"/>
      <c r="P317" s="1081"/>
      <c r="Q317" s="1081"/>
      <c r="R317" s="1081"/>
    </row>
    <row r="318" spans="1:18">
      <c r="A318" s="1081"/>
      <c r="B318" s="1082"/>
      <c r="K318" s="1082"/>
      <c r="L318" s="1082"/>
      <c r="M318" s="1082"/>
      <c r="N318" s="1082"/>
      <c r="O318" s="1082"/>
      <c r="P318" s="1081"/>
      <c r="Q318" s="1081"/>
      <c r="R318" s="1081"/>
    </row>
    <row r="319" spans="1:18">
      <c r="A319" s="1081"/>
      <c r="B319" s="1082"/>
      <c r="K319" s="1082"/>
      <c r="L319" s="1082"/>
      <c r="M319" s="1082"/>
      <c r="N319" s="1082"/>
      <c r="O319" s="1082"/>
      <c r="P319" s="1081"/>
      <c r="Q319" s="1081"/>
      <c r="R319" s="1081"/>
    </row>
    <row r="320" spans="1:18">
      <c r="A320" s="1081"/>
      <c r="B320" s="1082"/>
      <c r="K320" s="1082"/>
      <c r="L320" s="1082"/>
      <c r="M320" s="1082"/>
      <c r="N320" s="1082"/>
      <c r="O320" s="1082"/>
      <c r="P320" s="1081"/>
      <c r="Q320" s="1081"/>
      <c r="R320" s="1081"/>
    </row>
    <row r="321" spans="1:18">
      <c r="A321" s="1081"/>
      <c r="B321" s="1082"/>
      <c r="K321" s="1082"/>
      <c r="L321" s="1082"/>
      <c r="M321" s="1082"/>
      <c r="N321" s="1082"/>
      <c r="O321" s="1082"/>
      <c r="P321" s="1081"/>
      <c r="Q321" s="1081"/>
      <c r="R321" s="1081"/>
    </row>
    <row r="322" spans="1:18">
      <c r="A322" s="1081"/>
      <c r="B322" s="1082"/>
      <c r="K322" s="1082"/>
      <c r="L322" s="1082"/>
      <c r="M322" s="1082"/>
      <c r="N322" s="1082"/>
      <c r="O322" s="1082"/>
      <c r="P322" s="1081"/>
      <c r="Q322" s="1081"/>
      <c r="R322" s="1081"/>
    </row>
    <row r="323" spans="1:18">
      <c r="A323" s="1081"/>
      <c r="B323" s="1082"/>
      <c r="K323" s="1082"/>
      <c r="L323" s="1082"/>
      <c r="M323" s="1082"/>
      <c r="N323" s="1082"/>
      <c r="O323" s="1082"/>
      <c r="P323" s="1081"/>
      <c r="Q323" s="1081"/>
      <c r="R323" s="1081"/>
    </row>
    <row r="324" spans="1:18">
      <c r="A324" s="1081"/>
      <c r="B324" s="1082"/>
      <c r="K324" s="1082"/>
      <c r="L324" s="1082"/>
      <c r="M324" s="1082"/>
      <c r="N324" s="1082"/>
      <c r="O324" s="1082"/>
      <c r="P324" s="1081"/>
      <c r="Q324" s="1081"/>
      <c r="R324" s="1081"/>
    </row>
    <row r="325" spans="1:18">
      <c r="A325" s="1081"/>
      <c r="B325" s="1082"/>
      <c r="K325" s="1082"/>
      <c r="L325" s="1082"/>
      <c r="M325" s="1082"/>
      <c r="N325" s="1082"/>
      <c r="O325" s="1082"/>
      <c r="P325" s="1081"/>
      <c r="Q325" s="1081"/>
      <c r="R325" s="1081"/>
    </row>
    <row r="326" spans="1:18">
      <c r="A326" s="1081"/>
      <c r="B326" s="1082"/>
      <c r="K326" s="1082"/>
      <c r="L326" s="1082"/>
      <c r="M326" s="1082"/>
      <c r="N326" s="1082"/>
      <c r="O326" s="1082"/>
      <c r="P326" s="1081"/>
      <c r="Q326" s="1081"/>
      <c r="R326" s="1081"/>
    </row>
    <row r="327" spans="1:18">
      <c r="A327" s="1081"/>
      <c r="B327" s="1082"/>
      <c r="K327" s="1082"/>
      <c r="L327" s="1082"/>
      <c r="M327" s="1082"/>
      <c r="N327" s="1082"/>
      <c r="O327" s="1082"/>
      <c r="P327" s="1081"/>
      <c r="Q327" s="1081"/>
      <c r="R327" s="1081"/>
    </row>
    <row r="328" spans="1:18">
      <c r="A328" s="1081"/>
      <c r="B328" s="1082"/>
      <c r="K328" s="1082"/>
      <c r="L328" s="1082"/>
      <c r="M328" s="1082"/>
      <c r="N328" s="1082"/>
      <c r="O328" s="1082"/>
      <c r="P328" s="1081"/>
      <c r="Q328" s="1081"/>
      <c r="R328" s="1081"/>
    </row>
    <row r="329" spans="1:18">
      <c r="A329" s="1081"/>
      <c r="B329" s="1082"/>
      <c r="K329" s="1082"/>
      <c r="L329" s="1082"/>
      <c r="M329" s="1082"/>
      <c r="N329" s="1082"/>
      <c r="O329" s="1082"/>
      <c r="P329" s="1081"/>
      <c r="Q329" s="1081"/>
      <c r="R329" s="1081"/>
    </row>
    <row r="330" spans="1:18">
      <c r="A330" s="1081"/>
      <c r="B330" s="1082"/>
      <c r="K330" s="1082"/>
      <c r="L330" s="1082"/>
      <c r="M330" s="1082"/>
      <c r="N330" s="1082"/>
      <c r="O330" s="1082"/>
      <c r="P330" s="1081"/>
      <c r="Q330" s="1081"/>
      <c r="R330" s="1081"/>
    </row>
    <row r="331" spans="1:18">
      <c r="A331" s="1081"/>
      <c r="B331" s="1082"/>
      <c r="K331" s="1082"/>
      <c r="L331" s="1082"/>
      <c r="M331" s="1082"/>
      <c r="N331" s="1082"/>
      <c r="O331" s="1082"/>
      <c r="P331" s="1081"/>
      <c r="Q331" s="1081"/>
      <c r="R331" s="1081"/>
    </row>
    <row r="332" spans="1:18">
      <c r="A332" s="1081"/>
      <c r="B332" s="1082"/>
      <c r="K332" s="1082"/>
      <c r="L332" s="1082"/>
      <c r="M332" s="1082"/>
      <c r="N332" s="1082"/>
      <c r="O332" s="1082"/>
      <c r="P332" s="1081"/>
      <c r="Q332" s="1081"/>
      <c r="R332" s="1081"/>
    </row>
    <row r="333" spans="1:18">
      <c r="A333" s="1081"/>
      <c r="B333" s="1082"/>
      <c r="K333" s="1082"/>
      <c r="L333" s="1082"/>
      <c r="M333" s="1082"/>
      <c r="N333" s="1082"/>
      <c r="O333" s="1082"/>
      <c r="P333" s="1081"/>
      <c r="Q333" s="1081"/>
      <c r="R333" s="1081"/>
    </row>
    <row r="334" spans="1:18">
      <c r="A334" s="1081"/>
      <c r="B334" s="1082"/>
      <c r="K334" s="1082"/>
      <c r="L334" s="1082"/>
      <c r="M334" s="1082"/>
      <c r="N334" s="1082"/>
      <c r="O334" s="1082"/>
      <c r="P334" s="1081"/>
      <c r="Q334" s="1081"/>
      <c r="R334" s="1081"/>
    </row>
    <row r="335" spans="1:18">
      <c r="A335" s="1081"/>
      <c r="B335" s="1082"/>
      <c r="K335" s="1082"/>
      <c r="L335" s="1082"/>
      <c r="M335" s="1082"/>
      <c r="N335" s="1082"/>
      <c r="O335" s="1082"/>
      <c r="P335" s="1081"/>
      <c r="Q335" s="1081"/>
      <c r="R335" s="1081"/>
    </row>
    <row r="336" spans="1:18">
      <c r="A336" s="1081"/>
      <c r="B336" s="1082"/>
      <c r="K336" s="1082"/>
      <c r="L336" s="1082"/>
      <c r="M336" s="1082"/>
      <c r="N336" s="1082"/>
      <c r="O336" s="1082"/>
      <c r="P336" s="1081"/>
      <c r="Q336" s="1081"/>
      <c r="R336" s="1081"/>
    </row>
    <row r="337" spans="1:18">
      <c r="A337" s="1081"/>
      <c r="B337" s="1082"/>
      <c r="K337" s="1082"/>
      <c r="L337" s="1082"/>
      <c r="M337" s="1082"/>
      <c r="N337" s="1082"/>
      <c r="O337" s="1082"/>
      <c r="P337" s="1081"/>
      <c r="Q337" s="1081"/>
      <c r="R337" s="1081"/>
    </row>
    <row r="338" spans="1:18">
      <c r="A338" s="1081"/>
      <c r="B338" s="1082"/>
      <c r="K338" s="1082"/>
      <c r="L338" s="1082"/>
      <c r="M338" s="1082"/>
      <c r="N338" s="1082"/>
      <c r="O338" s="1082"/>
      <c r="P338" s="1081"/>
      <c r="Q338" s="1081"/>
      <c r="R338" s="1081"/>
    </row>
    <row r="339" spans="1:18">
      <c r="A339" s="1081"/>
      <c r="B339" s="1082"/>
      <c r="K339" s="1082"/>
      <c r="L339" s="1082"/>
      <c r="M339" s="1082"/>
      <c r="N339" s="1082"/>
      <c r="O339" s="1082"/>
      <c r="P339" s="1081"/>
      <c r="Q339" s="1081"/>
      <c r="R339" s="1081"/>
    </row>
    <row r="340" spans="1:18">
      <c r="A340" s="1081"/>
      <c r="B340" s="1082"/>
      <c r="K340" s="1082"/>
      <c r="L340" s="1082"/>
      <c r="M340" s="1082"/>
      <c r="N340" s="1082"/>
      <c r="O340" s="1082"/>
      <c r="P340" s="1081"/>
      <c r="Q340" s="1081"/>
      <c r="R340" s="1081"/>
    </row>
    <row r="341" spans="1:18">
      <c r="A341" s="1081"/>
      <c r="B341" s="1082"/>
      <c r="K341" s="1082"/>
      <c r="L341" s="1082"/>
      <c r="M341" s="1082"/>
      <c r="N341" s="1082"/>
      <c r="O341" s="1082"/>
      <c r="P341" s="1081"/>
      <c r="Q341" s="1081"/>
      <c r="R341" s="1081"/>
    </row>
    <row r="342" spans="1:18">
      <c r="A342" s="1081"/>
      <c r="B342" s="1082"/>
      <c r="K342" s="1082"/>
      <c r="L342" s="1082"/>
      <c r="M342" s="1082"/>
      <c r="N342" s="1082"/>
      <c r="O342" s="1082"/>
      <c r="P342" s="1081"/>
      <c r="Q342" s="1081"/>
      <c r="R342" s="1081"/>
    </row>
    <row r="343" spans="1:18">
      <c r="A343" s="1081"/>
      <c r="B343" s="1082"/>
      <c r="K343" s="1082"/>
      <c r="L343" s="1082"/>
      <c r="M343" s="1082"/>
      <c r="N343" s="1082"/>
      <c r="O343" s="1082"/>
      <c r="P343" s="1081"/>
      <c r="Q343" s="1081"/>
      <c r="R343" s="1081"/>
    </row>
    <row r="344" spans="1:18">
      <c r="A344" s="1081"/>
      <c r="B344" s="1082"/>
      <c r="K344" s="1082"/>
      <c r="L344" s="1082"/>
      <c r="M344" s="1082"/>
      <c r="N344" s="1082"/>
      <c r="O344" s="1082"/>
      <c r="P344" s="1081"/>
      <c r="Q344" s="1081"/>
      <c r="R344" s="1081"/>
    </row>
    <row r="345" spans="1:18">
      <c r="A345" s="1081"/>
      <c r="B345" s="1082"/>
      <c r="K345" s="1082"/>
      <c r="L345" s="1082"/>
      <c r="M345" s="1082"/>
      <c r="N345" s="1082"/>
      <c r="O345" s="1082"/>
      <c r="P345" s="1081"/>
      <c r="Q345" s="1081"/>
      <c r="R345" s="1081"/>
    </row>
    <row r="346" spans="1:18">
      <c r="A346" s="1081"/>
      <c r="B346" s="1082"/>
      <c r="K346" s="1082"/>
      <c r="L346" s="1082"/>
      <c r="M346" s="1082"/>
      <c r="N346" s="1082"/>
      <c r="O346" s="1082"/>
      <c r="P346" s="1081"/>
      <c r="Q346" s="1081"/>
      <c r="R346" s="1081"/>
    </row>
    <row r="347" spans="1:18">
      <c r="A347" s="1081"/>
      <c r="B347" s="1082"/>
      <c r="K347" s="1082"/>
      <c r="L347" s="1082"/>
      <c r="M347" s="1082"/>
      <c r="N347" s="1082"/>
      <c r="O347" s="1082"/>
      <c r="P347" s="1081"/>
      <c r="Q347" s="1081"/>
      <c r="R347" s="1081"/>
    </row>
    <row r="348" spans="1:18">
      <c r="A348" s="1081"/>
      <c r="B348" s="1082"/>
      <c r="K348" s="1082"/>
      <c r="L348" s="1082"/>
      <c r="M348" s="1082"/>
      <c r="N348" s="1082"/>
      <c r="O348" s="1082"/>
      <c r="P348" s="1081"/>
      <c r="Q348" s="1081"/>
      <c r="R348" s="1081"/>
    </row>
    <row r="349" spans="1:18">
      <c r="A349" s="1081"/>
      <c r="B349" s="1082"/>
      <c r="K349" s="1082"/>
      <c r="L349" s="1082"/>
      <c r="M349" s="1082"/>
      <c r="N349" s="1082"/>
      <c r="O349" s="1082"/>
      <c r="P349" s="1081"/>
      <c r="Q349" s="1081"/>
      <c r="R349" s="1081"/>
    </row>
    <row r="350" spans="1:18">
      <c r="A350" s="1081"/>
      <c r="B350" s="1082"/>
      <c r="K350" s="1082"/>
      <c r="L350" s="1082"/>
      <c r="M350" s="1082"/>
      <c r="N350" s="1082"/>
      <c r="O350" s="1082"/>
      <c r="P350" s="1081"/>
      <c r="Q350" s="1081"/>
      <c r="R350" s="1081"/>
    </row>
    <row r="351" spans="1:18">
      <c r="A351" s="1081"/>
      <c r="B351" s="1082"/>
      <c r="K351" s="1082"/>
      <c r="L351" s="1082"/>
      <c r="M351" s="1082"/>
      <c r="N351" s="1082"/>
      <c r="O351" s="1082"/>
      <c r="P351" s="1081"/>
      <c r="Q351" s="1081"/>
      <c r="R351" s="1081"/>
    </row>
    <row r="352" spans="1:18">
      <c r="A352" s="1081"/>
      <c r="B352" s="1082"/>
      <c r="K352" s="1082"/>
      <c r="L352" s="1082"/>
      <c r="M352" s="1082"/>
      <c r="N352" s="1082"/>
      <c r="O352" s="1082"/>
      <c r="P352" s="1081"/>
      <c r="Q352" s="1081"/>
      <c r="R352" s="1081"/>
    </row>
    <row r="353" spans="1:18">
      <c r="A353" s="1081"/>
      <c r="B353" s="1082"/>
      <c r="K353" s="1082"/>
      <c r="L353" s="1082"/>
      <c r="M353" s="1082"/>
      <c r="N353" s="1082"/>
      <c r="O353" s="1082"/>
      <c r="P353" s="1081"/>
      <c r="Q353" s="1081"/>
      <c r="R353" s="1081"/>
    </row>
    <row r="354" spans="1:18">
      <c r="A354" s="1081"/>
      <c r="B354" s="1082"/>
      <c r="K354" s="1082"/>
      <c r="L354" s="1082"/>
      <c r="M354" s="1082"/>
      <c r="N354" s="1082"/>
      <c r="O354" s="1082"/>
      <c r="P354" s="1081"/>
      <c r="Q354" s="1081"/>
      <c r="R354" s="1081"/>
    </row>
    <row r="355" spans="1:18">
      <c r="B355" s="1082"/>
      <c r="K355" s="1082"/>
      <c r="L355" s="1082"/>
      <c r="M355" s="1082"/>
      <c r="N355" s="1082"/>
      <c r="O355" s="1082"/>
    </row>
    <row r="356" spans="1:18" ht="13.5" thickBot="1">
      <c r="B356" s="1082"/>
      <c r="K356" s="1082"/>
      <c r="L356" s="1082"/>
      <c r="M356" s="1082"/>
      <c r="N356" s="1082"/>
      <c r="O356" s="1082"/>
    </row>
    <row r="357" spans="1:18">
      <c r="A357" s="1527"/>
      <c r="B357" s="1324"/>
      <c r="C357" s="1528"/>
      <c r="D357" s="1325"/>
      <c r="E357" s="1325"/>
      <c r="F357" s="1325"/>
      <c r="G357" s="1325"/>
      <c r="H357" s="1325"/>
      <c r="I357" s="1325"/>
      <c r="J357" s="1325"/>
      <c r="K357" s="1325"/>
      <c r="L357" s="1325"/>
      <c r="M357" s="1325"/>
      <c r="N357" s="1325"/>
      <c r="O357" s="1325"/>
      <c r="P357" s="1529"/>
      <c r="Q357" s="1326"/>
      <c r="R357" s="1326"/>
    </row>
    <row r="358" spans="1:18">
      <c r="A358" s="1530"/>
      <c r="B358" s="1082"/>
      <c r="K358" s="1082"/>
      <c r="L358" s="1082"/>
      <c r="M358" s="1082"/>
      <c r="N358" s="1082"/>
      <c r="O358" s="1082"/>
      <c r="P358" s="1531"/>
      <c r="Q358" s="1834"/>
      <c r="R358" s="1834"/>
    </row>
    <row r="359" spans="1:18">
      <c r="A359" s="1530"/>
      <c r="B359" s="1082"/>
      <c r="K359" s="1082"/>
      <c r="L359" s="1082"/>
      <c r="M359" s="1082"/>
      <c r="N359" s="1082"/>
      <c r="O359" s="1082"/>
      <c r="P359" s="1531"/>
      <c r="Q359" s="1834"/>
      <c r="R359" s="1834"/>
    </row>
    <row r="360" spans="1:18">
      <c r="A360" s="1530"/>
      <c r="B360" s="1082"/>
      <c r="K360" s="1082"/>
      <c r="L360" s="1082"/>
      <c r="M360" s="1082"/>
      <c r="N360" s="1082"/>
      <c r="O360" s="1082"/>
      <c r="P360" s="1531"/>
      <c r="Q360" s="1834"/>
      <c r="R360" s="1834"/>
    </row>
    <row r="361" spans="1:18">
      <c r="A361" s="1530"/>
      <c r="B361" s="1082"/>
      <c r="K361" s="1082"/>
      <c r="L361" s="1082"/>
      <c r="M361" s="1082"/>
      <c r="N361" s="1082"/>
      <c r="O361" s="1082"/>
      <c r="P361" s="1531"/>
      <c r="Q361" s="1834"/>
      <c r="R361" s="1834"/>
    </row>
    <row r="362" spans="1:18">
      <c r="A362" s="1530"/>
      <c r="B362" s="1082"/>
      <c r="K362" s="1082"/>
      <c r="L362" s="1082"/>
      <c r="M362" s="1082"/>
      <c r="N362" s="1082"/>
      <c r="O362" s="1082"/>
      <c r="P362" s="1531"/>
      <c r="Q362" s="1834"/>
      <c r="R362" s="1834"/>
    </row>
    <row r="363" spans="1:18">
      <c r="A363" s="1530"/>
      <c r="B363" s="1082"/>
      <c r="K363" s="1082"/>
      <c r="L363" s="1082"/>
      <c r="M363" s="1082"/>
      <c r="N363" s="1082"/>
      <c r="O363" s="1082"/>
      <c r="P363" s="1531"/>
      <c r="Q363" s="1834"/>
      <c r="R363" s="1834"/>
    </row>
    <row r="364" spans="1:18">
      <c r="A364" s="1530"/>
      <c r="B364" s="1082"/>
      <c r="K364" s="1082"/>
      <c r="L364" s="1082"/>
      <c r="M364" s="1082"/>
      <c r="N364" s="1082"/>
      <c r="O364" s="1082"/>
      <c r="P364" s="1531"/>
      <c r="Q364" s="1834"/>
      <c r="R364" s="1834"/>
    </row>
    <row r="365" spans="1:18">
      <c r="A365" s="1530"/>
      <c r="B365" s="1082"/>
      <c r="K365" s="1082"/>
      <c r="L365" s="1082"/>
      <c r="M365" s="1082"/>
      <c r="N365" s="1082"/>
      <c r="O365" s="1082"/>
      <c r="P365" s="1531"/>
      <c r="Q365" s="1834"/>
      <c r="R365" s="1834"/>
    </row>
    <row r="366" spans="1:18">
      <c r="A366" s="1530"/>
      <c r="B366" s="1082"/>
      <c r="K366" s="1082"/>
      <c r="L366" s="1082"/>
      <c r="M366" s="1082"/>
      <c r="N366" s="1082"/>
      <c r="O366" s="1082"/>
      <c r="P366" s="1531"/>
      <c r="Q366" s="1834"/>
      <c r="R366" s="1834"/>
    </row>
    <row r="367" spans="1:18">
      <c r="A367" s="1530"/>
      <c r="B367" s="1082"/>
      <c r="K367" s="1082"/>
      <c r="L367" s="1082"/>
      <c r="M367" s="1082"/>
      <c r="N367" s="1082"/>
      <c r="O367" s="1082"/>
      <c r="P367" s="1531"/>
      <c r="Q367" s="1834"/>
      <c r="R367" s="1834"/>
    </row>
    <row r="368" spans="1:18" ht="13.5" thickBot="1">
      <c r="A368" s="1532"/>
      <c r="B368" s="1327"/>
      <c r="C368" s="1533"/>
      <c r="D368" s="1327"/>
      <c r="E368" s="1327"/>
      <c r="F368" s="1327"/>
      <c r="G368" s="1327"/>
      <c r="H368" s="1327"/>
      <c r="I368" s="1327"/>
      <c r="J368" s="1327"/>
      <c r="K368" s="1327"/>
      <c r="L368" s="1327"/>
      <c r="M368" s="1327"/>
      <c r="N368" s="1327"/>
      <c r="O368" s="1327"/>
      <c r="P368" s="1534"/>
      <c r="Q368" s="639"/>
      <c r="R368" s="639"/>
    </row>
    <row r="369" spans="1:18">
      <c r="B369" s="1082"/>
      <c r="K369" s="1082"/>
      <c r="L369" s="1082"/>
      <c r="M369" s="1082"/>
      <c r="N369" s="1082"/>
      <c r="O369" s="1082"/>
    </row>
    <row r="370" spans="1:18">
      <c r="B370" s="1082"/>
      <c r="K370" s="1082"/>
      <c r="L370" s="1082"/>
      <c r="M370" s="1082"/>
      <c r="N370" s="1082"/>
      <c r="O370" s="1082"/>
    </row>
    <row r="371" spans="1:18">
      <c r="A371" s="1081"/>
      <c r="B371" s="1082"/>
      <c r="K371" s="1082"/>
      <c r="L371" s="1082"/>
      <c r="M371" s="1082"/>
      <c r="N371" s="1082"/>
      <c r="O371" s="1082"/>
      <c r="P371" s="1081"/>
      <c r="Q371" s="1081"/>
      <c r="R371" s="1081"/>
    </row>
    <row r="372" spans="1:18">
      <c r="A372" s="1081"/>
      <c r="B372" s="1082"/>
      <c r="K372" s="1082"/>
      <c r="L372" s="1082"/>
      <c r="M372" s="1082"/>
      <c r="N372" s="1082"/>
      <c r="O372" s="1082"/>
      <c r="P372" s="1081"/>
      <c r="Q372" s="1081"/>
      <c r="R372" s="1081"/>
    </row>
    <row r="373" spans="1:18">
      <c r="A373" s="1081"/>
      <c r="B373" s="1082"/>
      <c r="K373" s="1082"/>
      <c r="L373" s="1082"/>
      <c r="M373" s="1082"/>
      <c r="N373" s="1082"/>
      <c r="O373" s="1082"/>
      <c r="P373" s="1081"/>
      <c r="Q373" s="1081"/>
      <c r="R373" s="1081"/>
    </row>
    <row r="374" spans="1:18">
      <c r="A374" s="1081"/>
      <c r="B374" s="1082"/>
      <c r="K374" s="1082"/>
      <c r="L374" s="1082"/>
      <c r="M374" s="1082"/>
      <c r="N374" s="1082"/>
      <c r="O374" s="1082"/>
      <c r="P374" s="1081"/>
      <c r="Q374" s="1081"/>
      <c r="R374" s="1081"/>
    </row>
    <row r="375" spans="1:18">
      <c r="A375" s="1081"/>
      <c r="B375" s="1082"/>
      <c r="K375" s="1082"/>
      <c r="L375" s="1082"/>
      <c r="M375" s="1082"/>
      <c r="N375" s="1082"/>
      <c r="O375" s="1082"/>
      <c r="P375" s="1081"/>
      <c r="Q375" s="1081"/>
      <c r="R375" s="1081"/>
    </row>
    <row r="376" spans="1:18">
      <c r="A376" s="1081"/>
      <c r="B376" s="1082"/>
      <c r="K376" s="1082"/>
      <c r="L376" s="1082"/>
      <c r="M376" s="1082"/>
      <c r="N376" s="1082"/>
      <c r="O376" s="1082"/>
      <c r="P376" s="1081"/>
      <c r="Q376" s="1081"/>
      <c r="R376" s="1081"/>
    </row>
    <row r="377" spans="1:18">
      <c r="A377" s="1081"/>
      <c r="B377" s="1082"/>
      <c r="K377" s="1082"/>
      <c r="L377" s="1082"/>
      <c r="M377" s="1082"/>
      <c r="N377" s="1082"/>
      <c r="O377" s="1082"/>
      <c r="P377" s="1081"/>
      <c r="Q377" s="1081"/>
      <c r="R377" s="1081"/>
    </row>
    <row r="378" spans="1:18">
      <c r="A378" s="1081"/>
      <c r="B378" s="1082"/>
      <c r="K378" s="1082"/>
      <c r="L378" s="1082"/>
      <c r="M378" s="1082"/>
      <c r="N378" s="1082"/>
      <c r="O378" s="1082"/>
      <c r="P378" s="1081"/>
      <c r="Q378" s="1081"/>
      <c r="R378" s="1081"/>
    </row>
    <row r="379" spans="1:18">
      <c r="A379" s="1081"/>
      <c r="B379" s="1082"/>
      <c r="K379" s="1082"/>
      <c r="L379" s="1082"/>
      <c r="M379" s="1082"/>
      <c r="N379" s="1082"/>
      <c r="O379" s="1082"/>
      <c r="P379" s="1081"/>
      <c r="Q379" s="1081"/>
      <c r="R379" s="1081"/>
    </row>
    <row r="380" spans="1:18">
      <c r="A380" s="1081"/>
      <c r="B380" s="1082"/>
      <c r="K380" s="1082"/>
      <c r="L380" s="1082"/>
      <c r="M380" s="1082"/>
      <c r="N380" s="1082"/>
      <c r="O380" s="1082"/>
      <c r="P380" s="1081"/>
      <c r="Q380" s="1081"/>
      <c r="R380" s="1081"/>
    </row>
    <row r="381" spans="1:18">
      <c r="A381" s="1081"/>
      <c r="B381" s="1082"/>
      <c r="K381" s="1082"/>
      <c r="L381" s="1082"/>
      <c r="M381" s="1082"/>
      <c r="N381" s="1082"/>
      <c r="O381" s="1082"/>
      <c r="P381" s="1081"/>
      <c r="Q381" s="1081"/>
      <c r="R381" s="1081"/>
    </row>
    <row r="382" spans="1:18">
      <c r="A382" s="1081"/>
      <c r="B382" s="1082"/>
      <c r="K382" s="1082"/>
      <c r="L382" s="1082"/>
      <c r="M382" s="1082"/>
      <c r="N382" s="1082"/>
      <c r="O382" s="1082"/>
      <c r="P382" s="1081"/>
      <c r="Q382" s="1081"/>
      <c r="R382" s="1081"/>
    </row>
    <row r="383" spans="1:18">
      <c r="A383" s="1081"/>
      <c r="B383" s="1082"/>
      <c r="K383" s="1082"/>
      <c r="L383" s="1082"/>
      <c r="M383" s="1082"/>
      <c r="N383" s="1082"/>
      <c r="O383" s="1082"/>
      <c r="P383" s="1081"/>
      <c r="Q383" s="1081"/>
      <c r="R383" s="1081"/>
    </row>
    <row r="384" spans="1:18">
      <c r="A384" s="1081"/>
      <c r="B384" s="1082"/>
      <c r="K384" s="1082"/>
      <c r="L384" s="1082"/>
      <c r="M384" s="1082"/>
      <c r="N384" s="1082"/>
      <c r="O384" s="1082"/>
      <c r="P384" s="1081"/>
      <c r="Q384" s="1081"/>
      <c r="R384" s="1081"/>
    </row>
    <row r="385" spans="1:18">
      <c r="A385" s="1081"/>
      <c r="B385" s="1082"/>
      <c r="K385" s="1082"/>
      <c r="L385" s="1082"/>
      <c r="M385" s="1082"/>
      <c r="N385" s="1082"/>
      <c r="O385" s="1082"/>
      <c r="P385" s="1081"/>
      <c r="Q385" s="1081"/>
      <c r="R385" s="1081"/>
    </row>
    <row r="386" spans="1:18">
      <c r="A386" s="1081"/>
      <c r="B386" s="1082"/>
      <c r="K386" s="1082"/>
      <c r="L386" s="1082"/>
      <c r="M386" s="1082"/>
      <c r="N386" s="1082"/>
      <c r="O386" s="1082"/>
      <c r="P386" s="1081"/>
      <c r="Q386" s="1081"/>
      <c r="R386" s="1081"/>
    </row>
    <row r="387" spans="1:18">
      <c r="A387" s="1081"/>
      <c r="B387" s="1082"/>
      <c r="K387" s="1082"/>
      <c r="L387" s="1082"/>
      <c r="M387" s="1082"/>
      <c r="N387" s="1082"/>
      <c r="O387" s="1082"/>
      <c r="P387" s="1081"/>
      <c r="Q387" s="1081"/>
      <c r="R387" s="1081"/>
    </row>
    <row r="388" spans="1:18">
      <c r="A388" s="1081"/>
      <c r="B388" s="1082"/>
      <c r="K388" s="1082"/>
      <c r="L388" s="1082"/>
      <c r="M388" s="1082"/>
      <c r="N388" s="1082"/>
      <c r="O388" s="1082"/>
      <c r="P388" s="1081"/>
      <c r="Q388" s="1081"/>
      <c r="R388" s="1081"/>
    </row>
    <row r="389" spans="1:18">
      <c r="A389" s="1081"/>
      <c r="B389" s="1082"/>
      <c r="K389" s="1082"/>
      <c r="L389" s="1082"/>
      <c r="M389" s="1082"/>
      <c r="N389" s="1082"/>
      <c r="O389" s="1082"/>
      <c r="P389" s="1081"/>
      <c r="Q389" s="1081"/>
      <c r="R389" s="1081"/>
    </row>
    <row r="390" spans="1:18">
      <c r="A390" s="1081"/>
      <c r="B390" s="1082"/>
      <c r="K390" s="1082"/>
      <c r="L390" s="1082"/>
      <c r="M390" s="1082"/>
      <c r="N390" s="1082"/>
      <c r="O390" s="1082"/>
      <c r="P390" s="1081"/>
      <c r="Q390" s="1081"/>
      <c r="R390" s="1081"/>
    </row>
    <row r="391" spans="1:18">
      <c r="A391" s="1081"/>
      <c r="B391" s="1082"/>
      <c r="K391" s="1082"/>
      <c r="L391" s="1082"/>
      <c r="M391" s="1082"/>
      <c r="N391" s="1082"/>
      <c r="O391" s="1082"/>
      <c r="P391" s="1081"/>
      <c r="Q391" s="1081"/>
      <c r="R391" s="1081"/>
    </row>
    <row r="392" spans="1:18">
      <c r="A392" s="1081"/>
      <c r="B392" s="1082"/>
      <c r="K392" s="1082"/>
      <c r="L392" s="1082"/>
      <c r="M392" s="1082"/>
      <c r="N392" s="1082"/>
      <c r="O392" s="1082"/>
      <c r="P392" s="1081"/>
      <c r="Q392" s="1081"/>
      <c r="R392" s="1081"/>
    </row>
    <row r="393" spans="1:18">
      <c r="A393" s="1081"/>
      <c r="B393" s="1082"/>
      <c r="K393" s="1082"/>
      <c r="L393" s="1082"/>
      <c r="M393" s="1082"/>
      <c r="N393" s="1082"/>
      <c r="O393" s="1082"/>
      <c r="P393" s="1081"/>
      <c r="Q393" s="1081"/>
      <c r="R393" s="1081"/>
    </row>
    <row r="394" spans="1:18">
      <c r="A394" s="1081"/>
      <c r="B394" s="1082"/>
      <c r="K394" s="1082"/>
      <c r="L394" s="1082"/>
      <c r="M394" s="1082"/>
      <c r="N394" s="1082"/>
      <c r="O394" s="1082"/>
      <c r="P394" s="1081"/>
      <c r="Q394" s="1081"/>
      <c r="R394" s="1081"/>
    </row>
    <row r="395" spans="1:18">
      <c r="A395" s="1081"/>
      <c r="B395" s="1082"/>
      <c r="K395" s="1082"/>
      <c r="L395" s="1082"/>
      <c r="M395" s="1082"/>
      <c r="N395" s="1082"/>
      <c r="O395" s="1082"/>
      <c r="P395" s="1081"/>
      <c r="Q395" s="1081"/>
      <c r="R395" s="1081"/>
    </row>
    <row r="396" spans="1:18">
      <c r="A396" s="1081"/>
      <c r="B396" s="1082"/>
      <c r="K396" s="1082"/>
      <c r="L396" s="1082"/>
      <c r="M396" s="1082"/>
      <c r="N396" s="1082"/>
      <c r="O396" s="1082"/>
      <c r="P396" s="1081"/>
      <c r="Q396" s="1081"/>
      <c r="R396" s="1081"/>
    </row>
    <row r="397" spans="1:18">
      <c r="A397" s="1081"/>
      <c r="B397" s="1082"/>
      <c r="K397" s="1082"/>
      <c r="L397" s="1082"/>
      <c r="M397" s="1082"/>
      <c r="N397" s="1082"/>
      <c r="O397" s="1082"/>
      <c r="P397" s="1081"/>
      <c r="Q397" s="1081"/>
      <c r="R397" s="1081"/>
    </row>
    <row r="398" spans="1:18">
      <c r="A398" s="1081"/>
      <c r="B398" s="1082"/>
      <c r="K398" s="1082"/>
      <c r="L398" s="1082"/>
      <c r="M398" s="1082"/>
      <c r="N398" s="1082"/>
      <c r="O398" s="1082"/>
      <c r="P398" s="1081"/>
      <c r="Q398" s="1081"/>
      <c r="R398" s="1081"/>
    </row>
    <row r="399" spans="1:18">
      <c r="A399" s="1081"/>
      <c r="B399" s="1082"/>
      <c r="K399" s="1082"/>
      <c r="L399" s="1082"/>
      <c r="M399" s="1082"/>
      <c r="N399" s="1082"/>
      <c r="O399" s="1082"/>
      <c r="P399" s="1081"/>
      <c r="Q399" s="1081"/>
      <c r="R399" s="1081"/>
    </row>
    <row r="400" spans="1:18">
      <c r="A400" s="1081"/>
      <c r="B400" s="1082"/>
      <c r="K400" s="1082"/>
      <c r="L400" s="1082"/>
      <c r="M400" s="1082"/>
      <c r="N400" s="1082"/>
      <c r="O400" s="1082"/>
      <c r="P400" s="1081"/>
      <c r="Q400" s="1081"/>
      <c r="R400" s="1081"/>
    </row>
    <row r="401" spans="1:18">
      <c r="A401" s="1081"/>
      <c r="B401" s="1082"/>
      <c r="K401" s="1082"/>
      <c r="L401" s="1082"/>
      <c r="M401" s="1082"/>
      <c r="N401" s="1082"/>
      <c r="O401" s="1082"/>
      <c r="P401" s="1081"/>
      <c r="Q401" s="1081"/>
      <c r="R401" s="1081"/>
    </row>
    <row r="402" spans="1:18">
      <c r="A402" s="1081"/>
      <c r="B402" s="1082"/>
      <c r="K402" s="1082"/>
      <c r="L402" s="1082"/>
      <c r="M402" s="1082"/>
      <c r="N402" s="1082"/>
      <c r="O402" s="1082"/>
      <c r="P402" s="1081"/>
      <c r="Q402" s="1081"/>
      <c r="R402" s="1081"/>
    </row>
    <row r="403" spans="1:18">
      <c r="A403" s="1081"/>
      <c r="B403" s="1082"/>
      <c r="K403" s="1082"/>
      <c r="L403" s="1082"/>
      <c r="M403" s="1082"/>
      <c r="N403" s="1082"/>
      <c r="O403" s="1082"/>
      <c r="P403" s="1081"/>
      <c r="Q403" s="1081"/>
      <c r="R403" s="1081"/>
    </row>
    <row r="404" spans="1:18">
      <c r="A404" s="1081"/>
      <c r="B404" s="1082"/>
      <c r="K404" s="1082"/>
      <c r="L404" s="1082"/>
      <c r="M404" s="1082"/>
      <c r="N404" s="1082"/>
      <c r="O404" s="1082"/>
      <c r="P404" s="1081"/>
      <c r="Q404" s="1081"/>
      <c r="R404" s="1081"/>
    </row>
    <row r="405" spans="1:18">
      <c r="A405" s="1081"/>
      <c r="B405" s="1082"/>
      <c r="K405" s="1082"/>
      <c r="L405" s="1082"/>
      <c r="M405" s="1082"/>
      <c r="N405" s="1082"/>
      <c r="O405" s="1082"/>
      <c r="P405" s="1081"/>
      <c r="Q405" s="1081"/>
      <c r="R405" s="1081"/>
    </row>
    <row r="406" spans="1:18">
      <c r="A406" s="1081"/>
      <c r="B406" s="1082"/>
      <c r="K406" s="1082"/>
      <c r="L406" s="1082"/>
      <c r="M406" s="1082"/>
      <c r="N406" s="1082"/>
      <c r="O406" s="1082"/>
      <c r="P406" s="1081"/>
      <c r="Q406" s="1081"/>
      <c r="R406" s="1081"/>
    </row>
    <row r="407" spans="1:18">
      <c r="A407" s="1081"/>
      <c r="B407" s="1082"/>
      <c r="K407" s="1082"/>
      <c r="L407" s="1082"/>
      <c r="M407" s="1082"/>
      <c r="N407" s="1082"/>
      <c r="O407" s="1082"/>
      <c r="P407" s="1081"/>
      <c r="Q407" s="1081"/>
      <c r="R407" s="1081"/>
    </row>
    <row r="408" spans="1:18">
      <c r="A408" s="1081"/>
      <c r="B408" s="1082"/>
      <c r="K408" s="1082"/>
      <c r="L408" s="1082"/>
      <c r="M408" s="1082"/>
      <c r="N408" s="1082"/>
      <c r="O408" s="1082"/>
      <c r="P408" s="1081"/>
      <c r="Q408" s="1081"/>
      <c r="R408" s="1081"/>
    </row>
    <row r="409" spans="1:18">
      <c r="A409" s="1081"/>
      <c r="B409" s="1082"/>
      <c r="K409" s="1082"/>
      <c r="L409" s="1082"/>
      <c r="M409" s="1082"/>
      <c r="N409" s="1082"/>
      <c r="O409" s="1082"/>
      <c r="P409" s="1081"/>
      <c r="Q409" s="1081"/>
      <c r="R409" s="1081"/>
    </row>
    <row r="410" spans="1:18">
      <c r="A410" s="1081"/>
      <c r="B410" s="1082"/>
      <c r="K410" s="1082"/>
      <c r="L410" s="1082"/>
      <c r="M410" s="1082"/>
      <c r="N410" s="1082"/>
      <c r="O410" s="1082"/>
      <c r="P410" s="1081"/>
      <c r="Q410" s="1081"/>
      <c r="R410" s="1081"/>
    </row>
    <row r="411" spans="1:18">
      <c r="A411" s="1081"/>
      <c r="B411" s="1082"/>
      <c r="K411" s="1082"/>
      <c r="L411" s="1082"/>
      <c r="M411" s="1082"/>
      <c r="N411" s="1082"/>
      <c r="O411" s="1082"/>
      <c r="P411" s="1081"/>
      <c r="Q411" s="1081"/>
      <c r="R411" s="1081"/>
    </row>
    <row r="412" spans="1:18">
      <c r="A412" s="1081"/>
      <c r="B412" s="1082"/>
      <c r="K412" s="1082"/>
      <c r="L412" s="1082"/>
      <c r="M412" s="1082"/>
      <c r="N412" s="1082"/>
      <c r="O412" s="1082"/>
      <c r="P412" s="1081"/>
      <c r="Q412" s="1081"/>
      <c r="R412" s="1081"/>
    </row>
    <row r="413" spans="1:18">
      <c r="A413" s="1081"/>
      <c r="B413" s="1082"/>
      <c r="K413" s="1082"/>
      <c r="L413" s="1082"/>
      <c r="M413" s="1082"/>
      <c r="N413" s="1082"/>
      <c r="O413" s="1082"/>
      <c r="P413" s="1081"/>
      <c r="Q413" s="1081"/>
      <c r="R413" s="1081"/>
    </row>
    <row r="414" spans="1:18">
      <c r="A414" s="1081"/>
      <c r="B414" s="1082"/>
      <c r="K414" s="1082"/>
      <c r="L414" s="1082"/>
      <c r="M414" s="1082"/>
      <c r="N414" s="1082"/>
      <c r="O414" s="1082"/>
      <c r="P414" s="1081"/>
      <c r="Q414" s="1081"/>
      <c r="R414" s="1081"/>
    </row>
    <row r="415" spans="1:18">
      <c r="A415" s="1081"/>
      <c r="B415" s="1082"/>
      <c r="K415" s="1082"/>
      <c r="L415" s="1082"/>
      <c r="M415" s="1082"/>
      <c r="N415" s="1082"/>
      <c r="O415" s="1082"/>
      <c r="P415" s="1081"/>
      <c r="Q415" s="1081"/>
      <c r="R415" s="1081"/>
    </row>
    <row r="416" spans="1:18">
      <c r="A416" s="1081"/>
      <c r="B416" s="1082"/>
      <c r="K416" s="1082"/>
      <c r="L416" s="1082"/>
      <c r="M416" s="1082"/>
      <c r="N416" s="1082"/>
      <c r="O416" s="1082"/>
      <c r="P416" s="1081"/>
      <c r="Q416" s="1081"/>
      <c r="R416" s="1081"/>
    </row>
    <row r="417" spans="1:18">
      <c r="A417" s="1081"/>
      <c r="B417" s="1082"/>
      <c r="K417" s="1082"/>
      <c r="L417" s="1082"/>
      <c r="M417" s="1082"/>
      <c r="N417" s="1082"/>
      <c r="O417" s="1082"/>
      <c r="P417" s="1081"/>
      <c r="Q417" s="1081"/>
      <c r="R417" s="1081"/>
    </row>
    <row r="418" spans="1:18">
      <c r="A418" s="1081"/>
      <c r="B418" s="1082"/>
      <c r="K418" s="1082"/>
      <c r="L418" s="1082"/>
      <c r="M418" s="1082"/>
      <c r="N418" s="1082"/>
      <c r="O418" s="1082"/>
      <c r="P418" s="1081"/>
      <c r="Q418" s="1081"/>
      <c r="R418" s="1081"/>
    </row>
    <row r="419" spans="1:18">
      <c r="A419" s="1081"/>
      <c r="B419" s="1082"/>
      <c r="K419" s="1082"/>
      <c r="L419" s="1082"/>
      <c r="M419" s="1082"/>
      <c r="N419" s="1082"/>
      <c r="O419" s="1082"/>
      <c r="P419" s="1081"/>
      <c r="Q419" s="1081"/>
      <c r="R419" s="1081"/>
    </row>
    <row r="420" spans="1:18">
      <c r="A420" s="1081"/>
      <c r="B420" s="1082"/>
      <c r="K420" s="1082"/>
      <c r="L420" s="1082"/>
      <c r="M420" s="1082"/>
      <c r="N420" s="1082"/>
      <c r="O420" s="1082"/>
      <c r="P420" s="1081"/>
      <c r="Q420" s="1081"/>
      <c r="R420" s="1081"/>
    </row>
    <row r="421" spans="1:18">
      <c r="A421" s="1081"/>
      <c r="B421" s="1082"/>
      <c r="K421" s="1082"/>
      <c r="L421" s="1082"/>
      <c r="M421" s="1082"/>
      <c r="N421" s="1082"/>
      <c r="O421" s="1082"/>
      <c r="P421" s="1081"/>
      <c r="Q421" s="1081"/>
      <c r="R421" s="1081"/>
    </row>
    <row r="422" spans="1:18">
      <c r="A422" s="1081"/>
      <c r="B422" s="1082"/>
      <c r="K422" s="1082"/>
      <c r="L422" s="1082"/>
      <c r="M422" s="1082"/>
      <c r="N422" s="1082"/>
      <c r="O422" s="1082"/>
      <c r="P422" s="1081"/>
      <c r="Q422" s="1081"/>
      <c r="R422" s="1081"/>
    </row>
    <row r="423" spans="1:18">
      <c r="A423" s="1081"/>
      <c r="B423" s="1082"/>
      <c r="K423" s="1082"/>
      <c r="L423" s="1082"/>
      <c r="M423" s="1082"/>
      <c r="N423" s="1082"/>
      <c r="O423" s="1082"/>
      <c r="P423" s="1081"/>
      <c r="Q423" s="1081"/>
      <c r="R423" s="1081"/>
    </row>
    <row r="424" spans="1:18">
      <c r="A424" s="1081"/>
      <c r="B424" s="1082"/>
      <c r="K424" s="1082"/>
      <c r="L424" s="1082"/>
      <c r="M424" s="1082"/>
      <c r="N424" s="1082"/>
      <c r="O424" s="1082"/>
      <c r="P424" s="1081"/>
      <c r="Q424" s="1081"/>
      <c r="R424" s="1081"/>
    </row>
    <row r="425" spans="1:18">
      <c r="A425" s="1081"/>
      <c r="B425" s="1082"/>
      <c r="K425" s="1082"/>
      <c r="L425" s="1082"/>
      <c r="M425" s="1082"/>
      <c r="N425" s="1082"/>
      <c r="O425" s="1082"/>
      <c r="P425" s="1081"/>
      <c r="Q425" s="1081"/>
      <c r="R425" s="1081"/>
    </row>
    <row r="426" spans="1:18">
      <c r="A426" s="1081"/>
      <c r="B426" s="1082"/>
      <c r="K426" s="1082"/>
      <c r="L426" s="1082"/>
      <c r="M426" s="1082"/>
      <c r="N426" s="1082"/>
      <c r="O426" s="1082"/>
      <c r="P426" s="1081"/>
      <c r="Q426" s="1081"/>
      <c r="R426" s="1081"/>
    </row>
    <row r="427" spans="1:18">
      <c r="A427" s="1081"/>
      <c r="B427" s="1082"/>
      <c r="K427" s="1082"/>
      <c r="L427" s="1082"/>
      <c r="M427" s="1082"/>
      <c r="N427" s="1082"/>
      <c r="O427" s="1082"/>
      <c r="P427" s="1081"/>
      <c r="Q427" s="1081"/>
      <c r="R427" s="1081"/>
    </row>
    <row r="428" spans="1:18">
      <c r="A428" s="1081"/>
      <c r="B428" s="1082"/>
      <c r="K428" s="1082"/>
      <c r="L428" s="1082"/>
      <c r="M428" s="1082"/>
      <c r="N428" s="1082"/>
      <c r="O428" s="1082"/>
      <c r="P428" s="1081"/>
      <c r="Q428" s="1081"/>
      <c r="R428" s="1081"/>
    </row>
    <row r="429" spans="1:18">
      <c r="A429" s="1081"/>
      <c r="B429" s="1082"/>
      <c r="K429" s="1082"/>
      <c r="L429" s="1082"/>
      <c r="M429" s="1082"/>
      <c r="N429" s="1082"/>
      <c r="O429" s="1082"/>
      <c r="P429" s="1081"/>
      <c r="Q429" s="1081"/>
      <c r="R429" s="1081"/>
    </row>
    <row r="430" spans="1:18">
      <c r="A430" s="1081"/>
      <c r="B430" s="1082"/>
      <c r="K430" s="1082"/>
      <c r="L430" s="1082"/>
      <c r="M430" s="1082"/>
      <c r="N430" s="1082"/>
      <c r="O430" s="1082"/>
      <c r="P430" s="1081"/>
      <c r="Q430" s="1081"/>
      <c r="R430" s="1081"/>
    </row>
    <row r="431" spans="1:18">
      <c r="A431" s="1081"/>
      <c r="B431" s="1082"/>
      <c r="K431" s="1082"/>
      <c r="L431" s="1082"/>
      <c r="M431" s="1082"/>
      <c r="N431" s="1082"/>
      <c r="O431" s="1082"/>
      <c r="P431" s="1081"/>
      <c r="Q431" s="1081"/>
      <c r="R431" s="1081"/>
    </row>
    <row r="432" spans="1:18">
      <c r="A432" s="1081"/>
      <c r="B432" s="1082"/>
      <c r="K432" s="1082"/>
      <c r="L432" s="1082"/>
      <c r="M432" s="1082"/>
      <c r="N432" s="1082"/>
      <c r="O432" s="1082"/>
      <c r="P432" s="1081"/>
      <c r="Q432" s="1081"/>
      <c r="R432" s="1081"/>
    </row>
    <row r="433" spans="1:18">
      <c r="A433" s="1081"/>
      <c r="B433" s="1082"/>
      <c r="K433" s="1082"/>
      <c r="L433" s="1082"/>
      <c r="M433" s="1082"/>
      <c r="N433" s="1082"/>
      <c r="O433" s="1082"/>
      <c r="P433" s="1081"/>
      <c r="Q433" s="1081"/>
      <c r="R433" s="1081"/>
    </row>
    <row r="434" spans="1:18">
      <c r="A434" s="1081"/>
      <c r="B434" s="1082"/>
      <c r="K434" s="1082"/>
      <c r="L434" s="1082"/>
      <c r="M434" s="1082"/>
      <c r="N434" s="1082"/>
      <c r="O434" s="1082"/>
      <c r="P434" s="1081"/>
      <c r="Q434" s="1081"/>
      <c r="R434" s="1081"/>
    </row>
    <row r="435" spans="1:18">
      <c r="A435" s="1081"/>
      <c r="B435" s="1082"/>
      <c r="K435" s="1082"/>
      <c r="L435" s="1082"/>
      <c r="M435" s="1082"/>
      <c r="N435" s="1082"/>
      <c r="O435" s="1082"/>
      <c r="P435" s="1081"/>
      <c r="Q435" s="1081"/>
      <c r="R435" s="1081"/>
    </row>
    <row r="436" spans="1:18">
      <c r="A436" s="1081"/>
      <c r="B436" s="1082"/>
      <c r="K436" s="1082"/>
      <c r="L436" s="1082"/>
      <c r="M436" s="1082"/>
      <c r="N436" s="1082"/>
      <c r="O436" s="1082"/>
      <c r="P436" s="1081"/>
      <c r="Q436" s="1081"/>
      <c r="R436" s="1081"/>
    </row>
    <row r="437" spans="1:18">
      <c r="A437" s="1081"/>
      <c r="B437" s="1082"/>
      <c r="K437" s="1082"/>
      <c r="L437" s="1082"/>
      <c r="M437" s="1082"/>
      <c r="N437" s="1082"/>
      <c r="O437" s="1082"/>
      <c r="P437" s="1081"/>
      <c r="Q437" s="1081"/>
      <c r="R437" s="1081"/>
    </row>
    <row r="438" spans="1:18">
      <c r="A438" s="1081"/>
      <c r="B438" s="1082"/>
      <c r="K438" s="1082"/>
      <c r="L438" s="1082"/>
      <c r="M438" s="1082"/>
      <c r="N438" s="1082"/>
      <c r="O438" s="1082"/>
      <c r="P438" s="1081"/>
      <c r="Q438" s="1081"/>
      <c r="R438" s="1081"/>
    </row>
    <row r="439" spans="1:18">
      <c r="A439" s="1081"/>
      <c r="B439" s="1082"/>
      <c r="K439" s="1082"/>
      <c r="L439" s="1082"/>
      <c r="M439" s="1082"/>
      <c r="N439" s="1082"/>
      <c r="O439" s="1082"/>
      <c r="P439" s="1081"/>
      <c r="Q439" s="1081"/>
      <c r="R439" s="1081"/>
    </row>
    <row r="440" spans="1:18">
      <c r="A440" s="1081"/>
      <c r="B440" s="1082"/>
      <c r="K440" s="1082"/>
      <c r="L440" s="1082"/>
      <c r="M440" s="1082"/>
      <c r="N440" s="1082"/>
      <c r="O440" s="1082"/>
      <c r="P440" s="1081"/>
      <c r="Q440" s="1081"/>
      <c r="R440" s="1081"/>
    </row>
    <row r="441" spans="1:18">
      <c r="A441" s="1081"/>
      <c r="B441" s="1082"/>
      <c r="K441" s="1082"/>
      <c r="L441" s="1082"/>
      <c r="M441" s="1082"/>
      <c r="N441" s="1082"/>
      <c r="O441" s="1082"/>
      <c r="P441" s="1081"/>
      <c r="Q441" s="1081"/>
      <c r="R441" s="1081"/>
    </row>
    <row r="442" spans="1:18">
      <c r="A442" s="1081"/>
      <c r="B442" s="1082"/>
      <c r="K442" s="1082"/>
      <c r="L442" s="1082"/>
      <c r="M442" s="1082"/>
      <c r="N442" s="1082"/>
      <c r="O442" s="1082"/>
      <c r="P442" s="1081"/>
      <c r="Q442" s="1081"/>
      <c r="R442" s="1081"/>
    </row>
    <row r="443" spans="1:18">
      <c r="A443" s="1081"/>
      <c r="B443" s="1082"/>
      <c r="K443" s="1082"/>
      <c r="L443" s="1082"/>
      <c r="M443" s="1082"/>
      <c r="N443" s="1082"/>
      <c r="O443" s="1082"/>
      <c r="P443" s="1081"/>
      <c r="Q443" s="1081"/>
      <c r="R443" s="1081"/>
    </row>
    <row r="444" spans="1:18">
      <c r="A444" s="1081"/>
      <c r="B444" s="1082"/>
      <c r="K444" s="1082"/>
      <c r="L444" s="1082"/>
      <c r="M444" s="1082"/>
      <c r="N444" s="1082"/>
      <c r="O444" s="1082"/>
      <c r="P444" s="1081"/>
      <c r="Q444" s="1081"/>
      <c r="R444" s="1081"/>
    </row>
    <row r="445" spans="1:18">
      <c r="A445" s="1081"/>
      <c r="B445" s="1082"/>
      <c r="K445" s="1082"/>
      <c r="L445" s="1082"/>
      <c r="M445" s="1082"/>
      <c r="N445" s="1082"/>
      <c r="O445" s="1082"/>
      <c r="P445" s="1081"/>
      <c r="Q445" s="1081"/>
      <c r="R445" s="1081"/>
    </row>
    <row r="446" spans="1:18">
      <c r="A446" s="1081"/>
      <c r="B446" s="1082"/>
      <c r="K446" s="1082"/>
      <c r="L446" s="1082"/>
      <c r="M446" s="1082"/>
      <c r="N446" s="1082"/>
      <c r="O446" s="1082"/>
      <c r="P446" s="1081"/>
      <c r="Q446" s="1081"/>
      <c r="R446" s="1081"/>
    </row>
    <row r="447" spans="1:18">
      <c r="A447" s="1081"/>
      <c r="B447" s="1082"/>
      <c r="K447" s="1082"/>
      <c r="L447" s="1082"/>
      <c r="M447" s="1082"/>
      <c r="N447" s="1082"/>
      <c r="O447" s="1082"/>
      <c r="P447" s="1081"/>
      <c r="Q447" s="1081"/>
      <c r="R447" s="1081"/>
    </row>
    <row r="448" spans="1:18">
      <c r="A448" s="1081"/>
      <c r="B448" s="1082"/>
      <c r="K448" s="1082"/>
      <c r="L448" s="1082"/>
      <c r="M448" s="1082"/>
      <c r="N448" s="1082"/>
      <c r="O448" s="1082"/>
      <c r="P448" s="1081"/>
      <c r="Q448" s="1081"/>
      <c r="R448" s="1081"/>
    </row>
    <row r="449" spans="1:18">
      <c r="A449" s="1081"/>
      <c r="B449" s="1082"/>
      <c r="K449" s="1082"/>
      <c r="L449" s="1082"/>
      <c r="M449" s="1082"/>
      <c r="N449" s="1082"/>
      <c r="O449" s="1082"/>
      <c r="P449" s="1081"/>
      <c r="Q449" s="1081"/>
      <c r="R449" s="1081"/>
    </row>
    <row r="450" spans="1:18">
      <c r="A450" s="1081"/>
      <c r="B450" s="1082"/>
      <c r="K450" s="1082"/>
      <c r="L450" s="1082"/>
      <c r="M450" s="1082"/>
      <c r="N450" s="1082"/>
      <c r="O450" s="1082"/>
      <c r="P450" s="1081"/>
      <c r="Q450" s="1081"/>
      <c r="R450" s="1081"/>
    </row>
    <row r="451" spans="1:18">
      <c r="A451" s="1081"/>
      <c r="B451" s="1082"/>
      <c r="K451" s="1082"/>
      <c r="L451" s="1082"/>
      <c r="M451" s="1082"/>
      <c r="N451" s="1082"/>
      <c r="O451" s="1082"/>
      <c r="P451" s="1081"/>
      <c r="Q451" s="1081"/>
      <c r="R451" s="1081"/>
    </row>
    <row r="452" spans="1:18">
      <c r="A452" s="1081"/>
      <c r="B452" s="1082"/>
      <c r="K452" s="1082"/>
      <c r="L452" s="1082"/>
      <c r="M452" s="1082"/>
      <c r="N452" s="1082"/>
      <c r="O452" s="1082"/>
      <c r="P452" s="1081"/>
      <c r="Q452" s="1081"/>
      <c r="R452" s="1081"/>
    </row>
    <row r="453" spans="1:18">
      <c r="A453" s="1081"/>
      <c r="B453" s="1082"/>
      <c r="K453" s="1082"/>
      <c r="L453" s="1082"/>
      <c r="M453" s="1082"/>
      <c r="N453" s="1082"/>
      <c r="O453" s="1082"/>
      <c r="P453" s="1081"/>
      <c r="Q453" s="1081"/>
      <c r="R453" s="1081"/>
    </row>
    <row r="454" spans="1:18">
      <c r="A454" s="1081"/>
      <c r="B454" s="1082"/>
      <c r="K454" s="1082"/>
      <c r="L454" s="1082"/>
      <c r="M454" s="1082"/>
      <c r="N454" s="1082"/>
      <c r="O454" s="1082"/>
      <c r="P454" s="1081"/>
      <c r="Q454" s="1081"/>
      <c r="R454" s="1081"/>
    </row>
    <row r="455" spans="1:18">
      <c r="A455" s="1081"/>
      <c r="B455" s="1082"/>
      <c r="K455" s="1082"/>
      <c r="L455" s="1082"/>
      <c r="M455" s="1082"/>
      <c r="N455" s="1082"/>
      <c r="O455" s="1082"/>
      <c r="P455" s="1081"/>
      <c r="Q455" s="1081"/>
      <c r="R455" s="1081"/>
    </row>
    <row r="456" spans="1:18">
      <c r="A456" s="1081"/>
      <c r="B456" s="1082"/>
      <c r="K456" s="1082"/>
      <c r="L456" s="1082"/>
      <c r="M456" s="1082"/>
      <c r="N456" s="1082"/>
      <c r="O456" s="1082"/>
      <c r="P456" s="1081"/>
      <c r="Q456" s="1081"/>
      <c r="R456" s="1081"/>
    </row>
    <row r="457" spans="1:18">
      <c r="A457" s="1081"/>
      <c r="B457" s="1082"/>
      <c r="K457" s="1082"/>
      <c r="L457" s="1082"/>
      <c r="M457" s="1082"/>
      <c r="N457" s="1082"/>
      <c r="O457" s="1082"/>
      <c r="P457" s="1081"/>
      <c r="Q457" s="1081"/>
      <c r="R457" s="1081"/>
    </row>
    <row r="458" spans="1:18">
      <c r="A458" s="1081"/>
      <c r="B458" s="1082"/>
      <c r="K458" s="1082"/>
      <c r="L458" s="1082"/>
      <c r="M458" s="1082"/>
      <c r="N458" s="1082"/>
      <c r="O458" s="1082"/>
      <c r="P458" s="1081"/>
      <c r="Q458" s="1081"/>
      <c r="R458" s="1081"/>
    </row>
    <row r="459" spans="1:18">
      <c r="A459" s="1081"/>
      <c r="B459" s="1082"/>
      <c r="K459" s="1082"/>
      <c r="L459" s="1082"/>
      <c r="M459" s="1082"/>
      <c r="N459" s="1082"/>
      <c r="O459" s="1082"/>
      <c r="P459" s="1081"/>
      <c r="Q459" s="1081"/>
      <c r="R459" s="1081"/>
    </row>
    <row r="460" spans="1:18">
      <c r="A460" s="1081"/>
      <c r="B460" s="1082"/>
      <c r="K460" s="1082"/>
      <c r="L460" s="1082"/>
      <c r="M460" s="1082"/>
      <c r="N460" s="1082"/>
      <c r="O460" s="1082"/>
      <c r="P460" s="1081"/>
      <c r="Q460" s="1081"/>
      <c r="R460" s="1081"/>
    </row>
    <row r="461" spans="1:18">
      <c r="A461" s="1081"/>
      <c r="B461" s="1082"/>
      <c r="K461" s="1082"/>
      <c r="L461" s="1082"/>
      <c r="M461" s="1082"/>
      <c r="N461" s="1082"/>
      <c r="O461" s="1082"/>
      <c r="P461" s="1081"/>
      <c r="Q461" s="1081"/>
      <c r="R461" s="1081"/>
    </row>
    <row r="462" spans="1:18">
      <c r="A462" s="1081"/>
      <c r="B462" s="1082"/>
      <c r="K462" s="1082"/>
      <c r="L462" s="1082"/>
      <c r="M462" s="1082"/>
      <c r="N462" s="1082"/>
      <c r="O462" s="1082"/>
      <c r="P462" s="1081"/>
      <c r="Q462" s="1081"/>
      <c r="R462" s="1081"/>
    </row>
    <row r="463" spans="1:18">
      <c r="A463" s="1081"/>
      <c r="B463" s="1082"/>
      <c r="K463" s="1082"/>
      <c r="L463" s="1082"/>
      <c r="M463" s="1082"/>
      <c r="N463" s="1082"/>
      <c r="O463" s="1082"/>
      <c r="P463" s="1081"/>
      <c r="Q463" s="1081"/>
      <c r="R463" s="1081"/>
    </row>
    <row r="464" spans="1:18">
      <c r="A464" s="1081"/>
      <c r="B464" s="1082"/>
      <c r="K464" s="1082"/>
      <c r="L464" s="1082"/>
      <c r="M464" s="1082"/>
      <c r="N464" s="1082"/>
      <c r="O464" s="1082"/>
      <c r="P464" s="1081"/>
      <c r="Q464" s="1081"/>
      <c r="R464" s="1081"/>
    </row>
    <row r="465" spans="1:18">
      <c r="A465" s="1081"/>
      <c r="B465" s="1082"/>
      <c r="K465" s="1082"/>
      <c r="L465" s="1082"/>
      <c r="M465" s="1082"/>
      <c r="N465" s="1082"/>
      <c r="O465" s="1082"/>
      <c r="P465" s="1081"/>
      <c r="Q465" s="1081"/>
      <c r="R465" s="1081"/>
    </row>
    <row r="466" spans="1:18">
      <c r="A466" s="1081"/>
      <c r="B466" s="1082"/>
      <c r="K466" s="1082"/>
      <c r="L466" s="1082"/>
      <c r="M466" s="1082"/>
      <c r="N466" s="1082"/>
      <c r="O466" s="1082"/>
      <c r="P466" s="1081"/>
      <c r="Q466" s="1081"/>
      <c r="R466" s="1081"/>
    </row>
    <row r="467" spans="1:18">
      <c r="A467" s="1081"/>
      <c r="B467" s="1082"/>
      <c r="K467" s="1082"/>
      <c r="L467" s="1082"/>
      <c r="M467" s="1082"/>
      <c r="N467" s="1082"/>
      <c r="O467" s="1082"/>
      <c r="P467" s="1081"/>
      <c r="Q467" s="1081"/>
      <c r="R467" s="1081"/>
    </row>
    <row r="468" spans="1:18">
      <c r="A468" s="1081"/>
      <c r="B468" s="1082"/>
      <c r="K468" s="1082"/>
      <c r="L468" s="1082"/>
      <c r="M468" s="1082"/>
      <c r="N468" s="1082"/>
      <c r="O468" s="1082"/>
      <c r="P468" s="1081"/>
      <c r="Q468" s="1081"/>
      <c r="R468" s="1081"/>
    </row>
    <row r="469" spans="1:18">
      <c r="A469" s="1081"/>
      <c r="B469" s="1082"/>
      <c r="K469" s="1082"/>
      <c r="L469" s="1082"/>
      <c r="M469" s="1082"/>
      <c r="N469" s="1082"/>
      <c r="O469" s="1082"/>
      <c r="P469" s="1081"/>
      <c r="Q469" s="1081"/>
      <c r="R469" s="1081"/>
    </row>
    <row r="470" spans="1:18">
      <c r="A470" s="1081"/>
      <c r="B470" s="1082"/>
      <c r="K470" s="1082"/>
      <c r="L470" s="1082"/>
      <c r="M470" s="1082"/>
      <c r="N470" s="1082"/>
      <c r="O470" s="1082"/>
      <c r="P470" s="1081"/>
      <c r="Q470" s="1081"/>
      <c r="R470" s="1081"/>
    </row>
    <row r="471" spans="1:18">
      <c r="A471" s="1081"/>
      <c r="B471" s="1082"/>
      <c r="K471" s="1082"/>
      <c r="L471" s="1082"/>
      <c r="M471" s="1082"/>
      <c r="N471" s="1082"/>
      <c r="O471" s="1082"/>
      <c r="P471" s="1081"/>
      <c r="Q471" s="1081"/>
      <c r="R471" s="1081"/>
    </row>
    <row r="472" spans="1:18">
      <c r="A472" s="1081"/>
      <c r="B472" s="1082"/>
      <c r="K472" s="1082"/>
      <c r="L472" s="1082"/>
      <c r="M472" s="1082"/>
      <c r="N472" s="1082"/>
      <c r="O472" s="1082"/>
      <c r="P472" s="1081"/>
      <c r="Q472" s="1081"/>
      <c r="R472" s="1081"/>
    </row>
    <row r="473" spans="1:18">
      <c r="A473" s="1081"/>
      <c r="B473" s="1082"/>
      <c r="K473" s="1082"/>
      <c r="L473" s="1082"/>
      <c r="M473" s="1082"/>
      <c r="N473" s="1082"/>
      <c r="O473" s="1082"/>
      <c r="P473" s="1081"/>
      <c r="Q473" s="1081"/>
      <c r="R473" s="1081"/>
    </row>
    <row r="474" spans="1:18">
      <c r="A474" s="1081"/>
      <c r="B474" s="1082"/>
      <c r="K474" s="1082"/>
      <c r="L474" s="1082"/>
      <c r="M474" s="1082"/>
      <c r="N474" s="1082"/>
      <c r="O474" s="1082"/>
      <c r="P474" s="1081"/>
      <c r="Q474" s="1081"/>
      <c r="R474" s="1081"/>
    </row>
    <row r="475" spans="1:18">
      <c r="A475" s="1081"/>
      <c r="B475" s="1082"/>
      <c r="K475" s="1082"/>
      <c r="L475" s="1082"/>
      <c r="M475" s="1082"/>
      <c r="N475" s="1082"/>
      <c r="O475" s="1082"/>
      <c r="P475" s="1081"/>
      <c r="Q475" s="1081"/>
      <c r="R475" s="1081"/>
    </row>
    <row r="476" spans="1:18">
      <c r="A476" s="1081"/>
      <c r="B476" s="1082"/>
      <c r="K476" s="1082"/>
      <c r="L476" s="1082"/>
      <c r="M476" s="1082"/>
      <c r="N476" s="1082"/>
      <c r="O476" s="1082"/>
      <c r="P476" s="1081"/>
      <c r="Q476" s="1081"/>
      <c r="R476" s="1081"/>
    </row>
    <row r="477" spans="1:18">
      <c r="A477" s="1081"/>
      <c r="B477" s="1082"/>
      <c r="K477" s="1082"/>
      <c r="L477" s="1082"/>
      <c r="M477" s="1082"/>
      <c r="N477" s="1082"/>
      <c r="O477" s="1082"/>
      <c r="P477" s="1081"/>
      <c r="Q477" s="1081"/>
      <c r="R477" s="1081"/>
    </row>
    <row r="478" spans="1:18">
      <c r="A478" s="1081"/>
      <c r="B478" s="1082"/>
      <c r="K478" s="1082"/>
      <c r="L478" s="1082"/>
      <c r="M478" s="1082"/>
      <c r="N478" s="1082"/>
      <c r="O478" s="1082"/>
      <c r="P478" s="1081"/>
      <c r="Q478" s="1081"/>
      <c r="R478" s="1081"/>
    </row>
    <row r="479" spans="1:18">
      <c r="A479" s="1081"/>
      <c r="B479" s="1082"/>
      <c r="K479" s="1082"/>
      <c r="L479" s="1082"/>
      <c r="M479" s="1082"/>
      <c r="N479" s="1082"/>
      <c r="O479" s="1082"/>
      <c r="P479" s="1081"/>
      <c r="Q479" s="1081"/>
      <c r="R479" s="1081"/>
    </row>
    <row r="480" spans="1:18">
      <c r="A480" s="1081"/>
      <c r="B480" s="1082"/>
      <c r="K480" s="1082"/>
      <c r="L480" s="1082"/>
      <c r="M480" s="1082"/>
      <c r="N480" s="1082"/>
      <c r="O480" s="1082"/>
      <c r="P480" s="1081"/>
      <c r="Q480" s="1081"/>
      <c r="R480" s="1081"/>
    </row>
    <row r="481" spans="1:18">
      <c r="A481" s="1081"/>
      <c r="B481" s="1082"/>
      <c r="K481" s="1082"/>
      <c r="L481" s="1082"/>
      <c r="M481" s="1082"/>
      <c r="N481" s="1082"/>
      <c r="O481" s="1082"/>
      <c r="P481" s="1081"/>
      <c r="Q481" s="1081"/>
      <c r="R481" s="1081"/>
    </row>
    <row r="482" spans="1:18">
      <c r="A482" s="1081"/>
      <c r="B482" s="1082"/>
      <c r="K482" s="1082"/>
      <c r="L482" s="1082"/>
      <c r="M482" s="1082"/>
      <c r="N482" s="1082"/>
      <c r="O482" s="1082"/>
      <c r="P482" s="1081"/>
      <c r="Q482" s="1081"/>
      <c r="R482" s="1081"/>
    </row>
    <row r="483" spans="1:18">
      <c r="A483" s="1081"/>
      <c r="B483" s="1082"/>
      <c r="K483" s="1082"/>
      <c r="L483" s="1082"/>
      <c r="M483" s="1082"/>
      <c r="N483" s="1082"/>
      <c r="O483" s="1082"/>
      <c r="P483" s="1081"/>
      <c r="Q483" s="1081"/>
      <c r="R483" s="1081"/>
    </row>
    <row r="484" spans="1:18">
      <c r="A484" s="1081"/>
      <c r="B484" s="1082"/>
      <c r="K484" s="1082"/>
      <c r="L484" s="1082"/>
      <c r="M484" s="1082"/>
      <c r="N484" s="1082"/>
      <c r="O484" s="1082"/>
      <c r="P484" s="1081"/>
      <c r="Q484" s="1081"/>
      <c r="R484" s="1081"/>
    </row>
    <row r="485" spans="1:18">
      <c r="A485" s="1081"/>
      <c r="B485" s="1082"/>
      <c r="K485" s="1082"/>
      <c r="L485" s="1082"/>
      <c r="M485" s="1082"/>
      <c r="N485" s="1082"/>
      <c r="O485" s="1082"/>
      <c r="P485" s="1081"/>
      <c r="Q485" s="1081"/>
      <c r="R485" s="1081"/>
    </row>
    <row r="486" spans="1:18">
      <c r="A486" s="1081"/>
      <c r="B486" s="1082"/>
      <c r="K486" s="1082"/>
      <c r="L486" s="1082"/>
      <c r="M486" s="1082"/>
      <c r="N486" s="1082"/>
      <c r="O486" s="1082"/>
      <c r="P486" s="1081"/>
      <c r="Q486" s="1081"/>
      <c r="R486" s="1081"/>
    </row>
    <row r="487" spans="1:18">
      <c r="A487" s="1081"/>
      <c r="B487" s="1082"/>
      <c r="K487" s="1082"/>
      <c r="L487" s="1082"/>
      <c r="M487" s="1082"/>
      <c r="N487" s="1082"/>
      <c r="O487" s="1082"/>
      <c r="P487" s="1081"/>
      <c r="Q487" s="1081"/>
      <c r="R487" s="1081"/>
    </row>
    <row r="488" spans="1:18">
      <c r="A488" s="1081"/>
      <c r="B488" s="1082"/>
      <c r="K488" s="1082"/>
      <c r="L488" s="1082"/>
      <c r="M488" s="1082"/>
      <c r="N488" s="1082"/>
      <c r="O488" s="1082"/>
      <c r="P488" s="1081"/>
      <c r="Q488" s="1081"/>
      <c r="R488" s="1081"/>
    </row>
    <row r="489" spans="1:18">
      <c r="A489" s="1081"/>
      <c r="B489" s="1082"/>
      <c r="K489" s="1082"/>
      <c r="L489" s="1082"/>
      <c r="M489" s="1082"/>
      <c r="N489" s="1082"/>
      <c r="O489" s="1082"/>
      <c r="P489" s="1081"/>
      <c r="Q489" s="1081"/>
      <c r="R489" s="1081"/>
    </row>
    <row r="490" spans="1:18">
      <c r="A490" s="1081"/>
      <c r="B490" s="1082"/>
      <c r="K490" s="1082"/>
      <c r="L490" s="1082"/>
      <c r="M490" s="1082"/>
      <c r="N490" s="1082"/>
      <c r="O490" s="1082"/>
      <c r="P490" s="1081"/>
      <c r="Q490" s="1081"/>
      <c r="R490" s="1081"/>
    </row>
    <row r="491" spans="1:18">
      <c r="A491" s="1081"/>
      <c r="B491" s="1082"/>
      <c r="K491" s="1082"/>
      <c r="L491" s="1082"/>
      <c r="M491" s="1082"/>
      <c r="N491" s="1082"/>
      <c r="O491" s="1082"/>
      <c r="P491" s="1081"/>
      <c r="Q491" s="1081"/>
      <c r="R491" s="1081"/>
    </row>
    <row r="492" spans="1:18">
      <c r="A492" s="1081"/>
      <c r="B492" s="1082"/>
      <c r="K492" s="1082"/>
      <c r="L492" s="1082"/>
      <c r="M492" s="1082"/>
      <c r="N492" s="1082"/>
      <c r="O492" s="1082"/>
      <c r="P492" s="1081"/>
      <c r="Q492" s="1081"/>
      <c r="R492" s="1081"/>
    </row>
    <row r="493" spans="1:18">
      <c r="A493" s="1081"/>
      <c r="B493" s="1082"/>
      <c r="K493" s="1082"/>
      <c r="L493" s="1082"/>
      <c r="M493" s="1082"/>
      <c r="N493" s="1082"/>
      <c r="O493" s="1082"/>
      <c r="P493" s="1081"/>
      <c r="Q493" s="1081"/>
      <c r="R493" s="1081"/>
    </row>
    <row r="494" spans="1:18">
      <c r="A494" s="1081"/>
      <c r="B494" s="1082"/>
      <c r="K494" s="1082"/>
      <c r="L494" s="1082"/>
      <c r="M494" s="1082"/>
      <c r="N494" s="1082"/>
      <c r="O494" s="1082"/>
      <c r="P494" s="1081"/>
      <c r="Q494" s="1081"/>
      <c r="R494" s="1081"/>
    </row>
    <row r="495" spans="1:18">
      <c r="A495" s="1081"/>
      <c r="B495" s="1082"/>
      <c r="K495" s="1082"/>
      <c r="L495" s="1082"/>
      <c r="M495" s="1082"/>
      <c r="N495" s="1082"/>
      <c r="O495" s="1082"/>
      <c r="P495" s="1081"/>
      <c r="Q495" s="1081"/>
      <c r="R495" s="1081"/>
    </row>
    <row r="496" spans="1:18">
      <c r="A496" s="1081"/>
      <c r="B496" s="1082"/>
      <c r="K496" s="1082"/>
      <c r="L496" s="1082"/>
      <c r="M496" s="1082"/>
      <c r="N496" s="1082"/>
      <c r="O496" s="1082"/>
      <c r="P496" s="1081"/>
      <c r="Q496" s="1081"/>
      <c r="R496" s="1081"/>
    </row>
    <row r="497" spans="1:18">
      <c r="A497" s="1081"/>
      <c r="B497" s="1082"/>
      <c r="K497" s="1082"/>
      <c r="L497" s="1082"/>
      <c r="M497" s="1082"/>
      <c r="N497" s="1082"/>
      <c r="O497" s="1082"/>
      <c r="P497" s="1081"/>
      <c r="Q497" s="1081"/>
      <c r="R497" s="1081"/>
    </row>
    <row r="498" spans="1:18">
      <c r="A498" s="1081"/>
      <c r="B498" s="1082"/>
      <c r="K498" s="1082"/>
      <c r="L498" s="1082"/>
      <c r="M498" s="1082"/>
      <c r="N498" s="1082"/>
      <c r="O498" s="1082"/>
      <c r="P498" s="1081"/>
      <c r="Q498" s="1081"/>
      <c r="R498" s="1081"/>
    </row>
    <row r="499" spans="1:18">
      <c r="A499" s="1081"/>
      <c r="B499" s="1082"/>
      <c r="K499" s="1082"/>
      <c r="L499" s="1082"/>
      <c r="M499" s="1082"/>
      <c r="N499" s="1082"/>
      <c r="O499" s="1082"/>
      <c r="P499" s="1081"/>
      <c r="Q499" s="1081"/>
      <c r="R499" s="1081"/>
    </row>
    <row r="500" spans="1:18">
      <c r="A500" s="1081"/>
      <c r="B500" s="1082"/>
      <c r="K500" s="1082"/>
      <c r="L500" s="1082"/>
      <c r="M500" s="1082"/>
      <c r="N500" s="1082"/>
      <c r="O500" s="1082"/>
      <c r="P500" s="1081"/>
      <c r="Q500" s="1081"/>
      <c r="R500" s="1081"/>
    </row>
    <row r="501" spans="1:18">
      <c r="A501" s="1081"/>
      <c r="B501" s="1082"/>
      <c r="K501" s="1082"/>
      <c r="L501" s="1082"/>
      <c r="M501" s="1082"/>
      <c r="N501" s="1082"/>
      <c r="O501" s="1082"/>
      <c r="P501" s="1081"/>
      <c r="Q501" s="1081"/>
      <c r="R501" s="1081"/>
    </row>
    <row r="502" spans="1:18">
      <c r="A502" s="1081"/>
      <c r="B502" s="1082"/>
      <c r="K502" s="1082"/>
      <c r="L502" s="1082"/>
      <c r="M502" s="1082"/>
      <c r="N502" s="1082"/>
      <c r="O502" s="1082"/>
      <c r="P502" s="1081"/>
      <c r="Q502" s="1081"/>
      <c r="R502" s="1081"/>
    </row>
    <row r="503" spans="1:18">
      <c r="A503" s="1081"/>
      <c r="B503" s="1082"/>
      <c r="K503" s="1082"/>
      <c r="L503" s="1082"/>
      <c r="M503" s="1082"/>
      <c r="N503" s="1082"/>
      <c r="O503" s="1082"/>
      <c r="P503" s="1081"/>
      <c r="Q503" s="1081"/>
      <c r="R503" s="1081"/>
    </row>
    <row r="504" spans="1:18">
      <c r="A504" s="1081"/>
      <c r="B504" s="1082"/>
      <c r="K504" s="1082"/>
      <c r="L504" s="1082"/>
      <c r="M504" s="1082"/>
      <c r="N504" s="1082"/>
      <c r="O504" s="1082"/>
      <c r="P504" s="1081"/>
      <c r="Q504" s="1081"/>
      <c r="R504" s="1081"/>
    </row>
    <row r="505" spans="1:18">
      <c r="A505" s="1081"/>
      <c r="B505" s="1082"/>
      <c r="K505" s="1082"/>
      <c r="L505" s="1082"/>
      <c r="M505" s="1082"/>
      <c r="N505" s="1082"/>
      <c r="O505" s="1082"/>
      <c r="P505" s="1081"/>
      <c r="Q505" s="1081"/>
      <c r="R505" s="1081"/>
    </row>
    <row r="506" spans="1:18">
      <c r="A506" s="1081"/>
      <c r="B506" s="1082"/>
      <c r="K506" s="1082"/>
      <c r="L506" s="1082"/>
      <c r="M506" s="1082"/>
      <c r="N506" s="1082"/>
      <c r="O506" s="1082"/>
      <c r="P506" s="1081"/>
      <c r="Q506" s="1081"/>
      <c r="R506" s="1081"/>
    </row>
    <row r="507" spans="1:18">
      <c r="A507" s="1081"/>
      <c r="B507" s="1082"/>
      <c r="K507" s="1082"/>
      <c r="L507" s="1082"/>
      <c r="M507" s="1082"/>
      <c r="N507" s="1082"/>
      <c r="O507" s="1082"/>
      <c r="P507" s="1081"/>
      <c r="Q507" s="1081"/>
      <c r="R507" s="1081"/>
    </row>
    <row r="508" spans="1:18">
      <c r="A508" s="1081"/>
      <c r="B508" s="1082"/>
      <c r="K508" s="1082"/>
      <c r="L508" s="1082"/>
      <c r="M508" s="1082"/>
      <c r="N508" s="1082"/>
      <c r="O508" s="1082"/>
      <c r="P508" s="1081"/>
      <c r="Q508" s="1081"/>
      <c r="R508" s="1081"/>
    </row>
    <row r="509" spans="1:18">
      <c r="A509" s="1081"/>
      <c r="B509" s="1082"/>
      <c r="K509" s="1082"/>
      <c r="L509" s="1082"/>
      <c r="M509" s="1082"/>
      <c r="N509" s="1082"/>
      <c r="O509" s="1082"/>
      <c r="P509" s="1081"/>
      <c r="Q509" s="1081"/>
      <c r="R509" s="1081"/>
    </row>
    <row r="510" spans="1:18">
      <c r="A510" s="1081"/>
      <c r="B510" s="1082"/>
      <c r="K510" s="1082"/>
      <c r="L510" s="1082"/>
      <c r="M510" s="1082"/>
      <c r="N510" s="1082"/>
      <c r="O510" s="1082"/>
      <c r="P510" s="1081"/>
      <c r="Q510" s="1081"/>
      <c r="R510" s="1081"/>
    </row>
    <row r="511" spans="1:18">
      <c r="A511" s="1081"/>
      <c r="B511" s="1082"/>
      <c r="K511" s="1082"/>
      <c r="L511" s="1082"/>
      <c r="M511" s="1082"/>
      <c r="N511" s="1082"/>
      <c r="O511" s="1082"/>
      <c r="P511" s="1081"/>
      <c r="Q511" s="1081"/>
      <c r="R511" s="1081"/>
    </row>
    <row r="512" spans="1:18">
      <c r="A512" s="1081"/>
      <c r="B512" s="1082"/>
      <c r="K512" s="1082"/>
      <c r="L512" s="1082"/>
      <c r="M512" s="1082"/>
      <c r="N512" s="1082"/>
      <c r="O512" s="1082"/>
      <c r="P512" s="1081"/>
      <c r="Q512" s="1081"/>
      <c r="R512" s="1081"/>
    </row>
    <row r="513" spans="1:18">
      <c r="A513" s="1081"/>
      <c r="B513" s="1082"/>
      <c r="K513" s="1082"/>
      <c r="L513" s="1082"/>
      <c r="M513" s="1082"/>
      <c r="N513" s="1082"/>
      <c r="O513" s="1082"/>
      <c r="P513" s="1081"/>
      <c r="Q513" s="1081"/>
      <c r="R513" s="1081"/>
    </row>
    <row r="514" spans="1:18">
      <c r="A514" s="1081"/>
      <c r="B514" s="1082"/>
      <c r="K514" s="1082"/>
      <c r="L514" s="1082"/>
      <c r="M514" s="1082"/>
      <c r="N514" s="1082"/>
      <c r="O514" s="1082"/>
      <c r="P514" s="1081"/>
      <c r="Q514" s="1081"/>
      <c r="R514" s="1081"/>
    </row>
    <row r="515" spans="1:18">
      <c r="A515" s="1081"/>
      <c r="B515" s="1082"/>
      <c r="K515" s="1082"/>
      <c r="L515" s="1082"/>
      <c r="M515" s="1082"/>
      <c r="N515" s="1082"/>
      <c r="O515" s="1082"/>
      <c r="P515" s="1081"/>
      <c r="Q515" s="1081"/>
      <c r="R515" s="1081"/>
    </row>
    <row r="516" spans="1:18">
      <c r="A516" s="1081"/>
      <c r="B516" s="1082"/>
      <c r="K516" s="1082"/>
      <c r="L516" s="1082"/>
      <c r="M516" s="1082"/>
      <c r="N516" s="1082"/>
      <c r="O516" s="1082"/>
      <c r="P516" s="1081"/>
      <c r="Q516" s="1081"/>
      <c r="R516" s="1081"/>
    </row>
    <row r="517" spans="1:18">
      <c r="A517" s="1081"/>
      <c r="B517" s="1082"/>
      <c r="K517" s="1082"/>
      <c r="L517" s="1082"/>
      <c r="M517" s="1082"/>
      <c r="N517" s="1082"/>
      <c r="O517" s="1082"/>
      <c r="P517" s="1081"/>
      <c r="Q517" s="1081"/>
      <c r="R517" s="1081"/>
    </row>
    <row r="518" spans="1:18">
      <c r="A518" s="1081"/>
      <c r="B518" s="1082"/>
      <c r="K518" s="1082"/>
      <c r="L518" s="1082"/>
      <c r="M518" s="1082"/>
      <c r="N518" s="1082"/>
      <c r="O518" s="1082"/>
      <c r="P518" s="1081"/>
      <c r="Q518" s="1081"/>
      <c r="R518" s="1081"/>
    </row>
    <row r="519" spans="1:18">
      <c r="A519" s="1081"/>
      <c r="B519" s="1082"/>
      <c r="K519" s="1082"/>
      <c r="L519" s="1082"/>
      <c r="M519" s="1082"/>
      <c r="N519" s="1082"/>
      <c r="O519" s="1082"/>
      <c r="P519" s="1081"/>
      <c r="Q519" s="1081"/>
      <c r="R519" s="1081"/>
    </row>
    <row r="520" spans="1:18">
      <c r="A520" s="1081"/>
      <c r="B520" s="1082"/>
      <c r="K520" s="1082"/>
      <c r="L520" s="1082"/>
      <c r="M520" s="1082"/>
      <c r="N520" s="1082"/>
      <c r="O520" s="1082"/>
      <c r="P520" s="1081"/>
      <c r="Q520" s="1081"/>
      <c r="R520" s="1081"/>
    </row>
    <row r="521" spans="1:18">
      <c r="A521" s="1081"/>
      <c r="B521" s="1082"/>
      <c r="K521" s="1082"/>
      <c r="L521" s="1082"/>
      <c r="M521" s="1082"/>
      <c r="N521" s="1082"/>
      <c r="O521" s="1082"/>
      <c r="P521" s="1081"/>
      <c r="Q521" s="1081"/>
      <c r="R521" s="1081"/>
    </row>
    <row r="522" spans="1:18">
      <c r="A522" s="1081"/>
      <c r="B522" s="1082"/>
      <c r="K522" s="1082"/>
      <c r="L522" s="1082"/>
      <c r="M522" s="1082"/>
      <c r="N522" s="1082"/>
      <c r="O522" s="1082"/>
      <c r="P522" s="1081"/>
      <c r="Q522" s="1081"/>
      <c r="R522" s="1081"/>
    </row>
    <row r="523" spans="1:18">
      <c r="A523" s="1081"/>
      <c r="B523" s="1082"/>
      <c r="K523" s="1082"/>
      <c r="L523" s="1082"/>
      <c r="M523" s="1082"/>
      <c r="N523" s="1082"/>
      <c r="O523" s="1082"/>
      <c r="P523" s="1081"/>
      <c r="Q523" s="1081"/>
      <c r="R523" s="1081"/>
    </row>
    <row r="524" spans="1:18">
      <c r="A524" s="1081"/>
      <c r="B524" s="1082"/>
      <c r="K524" s="1082"/>
      <c r="L524" s="1082"/>
      <c r="M524" s="1082"/>
      <c r="N524" s="1082"/>
      <c r="O524" s="1082"/>
      <c r="P524" s="1081"/>
      <c r="Q524" s="1081"/>
      <c r="R524" s="1081"/>
    </row>
    <row r="525" spans="1:18">
      <c r="A525" s="1081"/>
      <c r="B525" s="1082"/>
      <c r="K525" s="1082"/>
      <c r="L525" s="1082"/>
      <c r="M525" s="1082"/>
      <c r="N525" s="1082"/>
      <c r="O525" s="1082"/>
      <c r="P525" s="1081"/>
      <c r="Q525" s="1081"/>
      <c r="R525" s="1081"/>
    </row>
    <row r="526" spans="1:18">
      <c r="A526" s="1081"/>
      <c r="B526" s="1082"/>
      <c r="K526" s="1082"/>
      <c r="L526" s="1082"/>
      <c r="M526" s="1082"/>
      <c r="N526" s="1082"/>
      <c r="O526" s="1082"/>
      <c r="P526" s="1081"/>
      <c r="Q526" s="1081"/>
      <c r="R526" s="1081"/>
    </row>
    <row r="527" spans="1:18">
      <c r="A527" s="1081"/>
      <c r="B527" s="1082"/>
      <c r="K527" s="1082"/>
      <c r="L527" s="1082"/>
      <c r="M527" s="1082"/>
      <c r="N527" s="1082"/>
      <c r="O527" s="1082"/>
      <c r="P527" s="1081"/>
      <c r="Q527" s="1081"/>
      <c r="R527" s="1081"/>
    </row>
    <row r="528" spans="1:18">
      <c r="A528" s="1081"/>
      <c r="B528" s="1082"/>
      <c r="K528" s="1082"/>
      <c r="L528" s="1082"/>
      <c r="M528" s="1082"/>
      <c r="N528" s="1082"/>
      <c r="O528" s="1082"/>
      <c r="P528" s="1081"/>
      <c r="Q528" s="1081"/>
      <c r="R528" s="1081"/>
    </row>
    <row r="529" spans="1:18">
      <c r="A529" s="1081"/>
      <c r="B529" s="1082"/>
      <c r="K529" s="1082"/>
      <c r="L529" s="1082"/>
      <c r="M529" s="1082"/>
      <c r="N529" s="1082"/>
      <c r="O529" s="1082"/>
      <c r="P529" s="1081"/>
      <c r="Q529" s="1081"/>
      <c r="R529" s="1081"/>
    </row>
    <row r="530" spans="1:18">
      <c r="A530" s="1081"/>
      <c r="B530" s="1082"/>
      <c r="K530" s="1082"/>
      <c r="L530" s="1082"/>
      <c r="M530" s="1082"/>
      <c r="N530" s="1082"/>
      <c r="O530" s="1082"/>
      <c r="P530" s="1081"/>
      <c r="Q530" s="1081"/>
      <c r="R530" s="1081"/>
    </row>
    <row r="531" spans="1:18">
      <c r="A531" s="1081"/>
      <c r="B531" s="1082"/>
      <c r="K531" s="1082"/>
      <c r="L531" s="1082"/>
      <c r="M531" s="1082"/>
      <c r="N531" s="1082"/>
      <c r="O531" s="1082"/>
      <c r="P531" s="1081"/>
      <c r="Q531" s="1081"/>
      <c r="R531" s="1081"/>
    </row>
    <row r="532" spans="1:18">
      <c r="A532" s="1081"/>
      <c r="B532" s="1082"/>
      <c r="K532" s="1082"/>
      <c r="L532" s="1082"/>
      <c r="M532" s="1082"/>
      <c r="N532" s="1082"/>
      <c r="O532" s="1082"/>
      <c r="P532" s="1081"/>
      <c r="Q532" s="1081"/>
      <c r="R532" s="1081"/>
    </row>
    <row r="533" spans="1:18">
      <c r="A533" s="1081"/>
      <c r="B533" s="1082"/>
      <c r="K533" s="1082"/>
      <c r="L533" s="1082"/>
      <c r="M533" s="1082"/>
      <c r="N533" s="1082"/>
      <c r="O533" s="1082"/>
      <c r="P533" s="1081"/>
      <c r="Q533" s="1081"/>
      <c r="R533" s="1081"/>
    </row>
    <row r="534" spans="1:18">
      <c r="A534" s="1081"/>
      <c r="B534" s="1082"/>
      <c r="K534" s="1082"/>
      <c r="L534" s="1082"/>
      <c r="M534" s="1082"/>
      <c r="N534" s="1082"/>
      <c r="O534" s="1082"/>
      <c r="P534" s="1081"/>
      <c r="Q534" s="1081"/>
      <c r="R534" s="1081"/>
    </row>
    <row r="535" spans="1:18">
      <c r="A535" s="1081"/>
      <c r="B535" s="1082"/>
      <c r="K535" s="1082"/>
      <c r="L535" s="1082"/>
      <c r="M535" s="1082"/>
      <c r="N535" s="1082"/>
      <c r="O535" s="1082"/>
      <c r="P535" s="1081"/>
      <c r="Q535" s="1081"/>
      <c r="R535" s="1081"/>
    </row>
    <row r="536" spans="1:18">
      <c r="A536" s="1081"/>
      <c r="B536" s="1082"/>
      <c r="K536" s="1082"/>
      <c r="L536" s="1082"/>
      <c r="M536" s="1082"/>
      <c r="N536" s="1082"/>
      <c r="O536" s="1082"/>
      <c r="P536" s="1081"/>
      <c r="Q536" s="1081"/>
      <c r="R536" s="1081"/>
    </row>
    <row r="537" spans="1:18">
      <c r="A537" s="1081"/>
      <c r="B537" s="1082"/>
      <c r="K537" s="1082"/>
      <c r="L537" s="1082"/>
      <c r="M537" s="1082"/>
      <c r="N537" s="1082"/>
      <c r="O537" s="1082"/>
      <c r="P537" s="1081"/>
      <c r="Q537" s="1081"/>
      <c r="R537" s="1081"/>
    </row>
    <row r="538" spans="1:18">
      <c r="A538" s="1081"/>
      <c r="B538" s="1082"/>
      <c r="K538" s="1082"/>
      <c r="L538" s="1082"/>
      <c r="M538" s="1082"/>
      <c r="N538" s="1082"/>
      <c r="O538" s="1082"/>
      <c r="P538" s="1081"/>
      <c r="Q538" s="1081"/>
      <c r="R538" s="1081"/>
    </row>
    <row r="539" spans="1:18">
      <c r="A539" s="1081"/>
      <c r="B539" s="1082"/>
      <c r="K539" s="1082"/>
      <c r="L539" s="1082"/>
      <c r="M539" s="1082"/>
      <c r="N539" s="1082"/>
      <c r="O539" s="1082"/>
      <c r="P539" s="1081"/>
      <c r="Q539" s="1081"/>
      <c r="R539" s="1081"/>
    </row>
    <row r="540" spans="1:18">
      <c r="A540" s="1081"/>
      <c r="B540" s="1082"/>
      <c r="K540" s="1082"/>
      <c r="L540" s="1082"/>
      <c r="M540" s="1082"/>
      <c r="N540" s="1082"/>
      <c r="O540" s="1082"/>
      <c r="P540" s="1081"/>
      <c r="Q540" s="1081"/>
      <c r="R540" s="1081"/>
    </row>
    <row r="541" spans="1:18">
      <c r="A541" s="1081"/>
      <c r="B541" s="1082"/>
      <c r="K541" s="1082"/>
      <c r="L541" s="1082"/>
      <c r="M541" s="1082"/>
      <c r="N541" s="1082"/>
      <c r="O541" s="1082"/>
      <c r="P541" s="1081"/>
      <c r="Q541" s="1081"/>
      <c r="R541" s="1081"/>
    </row>
    <row r="542" spans="1:18">
      <c r="A542" s="1081"/>
      <c r="B542" s="1082"/>
      <c r="K542" s="1082"/>
      <c r="L542" s="1082"/>
      <c r="M542" s="1082"/>
      <c r="N542" s="1082"/>
      <c r="O542" s="1082"/>
      <c r="P542" s="1081"/>
      <c r="Q542" s="1081"/>
      <c r="R542" s="1081"/>
    </row>
    <row r="543" spans="1:18">
      <c r="A543" s="1081"/>
      <c r="B543" s="1082"/>
      <c r="K543" s="1082"/>
      <c r="L543" s="1082"/>
      <c r="M543" s="1082"/>
      <c r="N543" s="1082"/>
      <c r="O543" s="1082"/>
      <c r="P543" s="1081"/>
      <c r="Q543" s="1081"/>
      <c r="R543" s="1081"/>
    </row>
    <row r="544" spans="1:18">
      <c r="A544" s="1081"/>
      <c r="B544" s="1082"/>
      <c r="K544" s="1082"/>
      <c r="L544" s="1082"/>
      <c r="M544" s="1082"/>
      <c r="N544" s="1082"/>
      <c r="O544" s="1082"/>
      <c r="P544" s="1081"/>
      <c r="Q544" s="1081"/>
      <c r="R544" s="1081"/>
    </row>
    <row r="545" spans="1:18">
      <c r="A545" s="1081"/>
      <c r="B545" s="1082"/>
      <c r="K545" s="1082"/>
      <c r="L545" s="1082"/>
      <c r="M545" s="1082"/>
      <c r="N545" s="1082"/>
      <c r="O545" s="1082"/>
      <c r="P545" s="1081"/>
      <c r="Q545" s="1081"/>
      <c r="R545" s="1081"/>
    </row>
    <row r="546" spans="1:18">
      <c r="A546" s="1081"/>
      <c r="B546" s="1082"/>
      <c r="K546" s="1082"/>
      <c r="L546" s="1082"/>
      <c r="M546" s="1082"/>
      <c r="N546" s="1082"/>
      <c r="O546" s="1082"/>
      <c r="P546" s="1081"/>
      <c r="Q546" s="1081"/>
      <c r="R546" s="1081"/>
    </row>
    <row r="547" spans="1:18">
      <c r="A547" s="1081"/>
      <c r="B547" s="1082"/>
      <c r="K547" s="1082"/>
      <c r="L547" s="1082"/>
      <c r="M547" s="1082"/>
      <c r="N547" s="1082"/>
      <c r="O547" s="1082"/>
      <c r="P547" s="1081"/>
      <c r="Q547" s="1081"/>
      <c r="R547" s="1081"/>
    </row>
    <row r="548" spans="1:18">
      <c r="A548" s="1081"/>
      <c r="B548" s="1082"/>
      <c r="K548" s="1082"/>
      <c r="L548" s="1082"/>
      <c r="M548" s="1082"/>
      <c r="N548" s="1082"/>
      <c r="O548" s="1082"/>
      <c r="P548" s="1081"/>
      <c r="Q548" s="1081"/>
      <c r="R548" s="1081"/>
    </row>
    <row r="549" spans="1:18">
      <c r="A549" s="1081"/>
      <c r="B549" s="1082"/>
      <c r="K549" s="1082"/>
      <c r="L549" s="1082"/>
      <c r="M549" s="1082"/>
      <c r="N549" s="1082"/>
      <c r="O549" s="1082"/>
      <c r="P549" s="1081"/>
      <c r="Q549" s="1081"/>
      <c r="R549" s="1081"/>
    </row>
    <row r="550" spans="1:18">
      <c r="A550" s="1081"/>
      <c r="B550" s="1082"/>
      <c r="K550" s="1082"/>
      <c r="L550" s="1082"/>
      <c r="M550" s="1082"/>
      <c r="N550" s="1082"/>
      <c r="O550" s="1082"/>
      <c r="P550" s="1081"/>
      <c r="Q550" s="1081"/>
      <c r="R550" s="1081"/>
    </row>
    <row r="551" spans="1:18">
      <c r="A551" s="1081"/>
      <c r="B551" s="1082"/>
      <c r="K551" s="1082"/>
      <c r="L551" s="1082"/>
      <c r="M551" s="1082"/>
      <c r="N551" s="1082"/>
      <c r="O551" s="1082"/>
      <c r="P551" s="1081"/>
      <c r="Q551" s="1081"/>
      <c r="R551" s="1081"/>
    </row>
    <row r="552" spans="1:18">
      <c r="A552" s="1081"/>
      <c r="B552" s="1082"/>
      <c r="K552" s="1082"/>
      <c r="L552" s="1082"/>
      <c r="M552" s="1082"/>
      <c r="N552" s="1082"/>
      <c r="O552" s="1082"/>
      <c r="P552" s="1081"/>
      <c r="Q552" s="1081"/>
      <c r="R552" s="1081"/>
    </row>
    <row r="553" spans="1:18">
      <c r="A553" s="1081"/>
      <c r="B553" s="1082"/>
      <c r="K553" s="1082"/>
      <c r="L553" s="1082"/>
      <c r="M553" s="1082"/>
      <c r="N553" s="1082"/>
      <c r="O553" s="1082"/>
      <c r="P553" s="1081"/>
      <c r="Q553" s="1081"/>
      <c r="R553" s="1081"/>
    </row>
    <row r="554" spans="1:18">
      <c r="A554" s="1081"/>
      <c r="B554" s="1082"/>
      <c r="K554" s="1082"/>
      <c r="L554" s="1082"/>
      <c r="M554" s="1082"/>
      <c r="N554" s="1082"/>
      <c r="O554" s="1082"/>
      <c r="P554" s="1081"/>
      <c r="Q554" s="1081"/>
      <c r="R554" s="1081"/>
    </row>
    <row r="555" spans="1:18">
      <c r="A555" s="1081"/>
      <c r="B555" s="1082"/>
      <c r="K555" s="1082"/>
      <c r="L555" s="1082"/>
      <c r="M555" s="1082"/>
      <c r="N555" s="1082"/>
      <c r="O555" s="1082"/>
      <c r="P555" s="1081"/>
      <c r="Q555" s="1081"/>
      <c r="R555" s="1081"/>
    </row>
    <row r="556" spans="1:18">
      <c r="A556" s="1081"/>
      <c r="B556" s="1082"/>
      <c r="K556" s="1082"/>
      <c r="L556" s="1082"/>
      <c r="M556" s="1082"/>
      <c r="N556" s="1082"/>
      <c r="O556" s="1082"/>
      <c r="P556" s="1081"/>
      <c r="Q556" s="1081"/>
      <c r="R556" s="1081"/>
    </row>
    <row r="557" spans="1:18">
      <c r="A557" s="1081"/>
      <c r="B557" s="1082"/>
      <c r="K557" s="1082"/>
      <c r="L557" s="1082"/>
      <c r="M557" s="1082"/>
      <c r="N557" s="1082"/>
      <c r="O557" s="1082"/>
      <c r="P557" s="1081"/>
      <c r="Q557" s="1081"/>
      <c r="R557" s="1081"/>
    </row>
    <row r="558" spans="1:18">
      <c r="A558" s="1081"/>
      <c r="B558" s="1082"/>
      <c r="K558" s="1082"/>
      <c r="L558" s="1082"/>
      <c r="M558" s="1082"/>
      <c r="N558" s="1082"/>
      <c r="O558" s="1082"/>
      <c r="P558" s="1081"/>
      <c r="Q558" s="1081"/>
      <c r="R558" s="1081"/>
    </row>
    <row r="559" spans="1:18">
      <c r="A559" s="1081"/>
      <c r="B559" s="1082"/>
      <c r="K559" s="1082"/>
      <c r="L559" s="1082"/>
      <c r="M559" s="1082"/>
      <c r="N559" s="1082"/>
      <c r="O559" s="1082"/>
      <c r="P559" s="1081"/>
      <c r="Q559" s="1081"/>
      <c r="R559" s="1081"/>
    </row>
    <row r="560" spans="1:18">
      <c r="A560" s="1081"/>
      <c r="B560" s="1082"/>
      <c r="K560" s="1082"/>
      <c r="L560" s="1082"/>
      <c r="M560" s="1082"/>
      <c r="N560" s="1082"/>
      <c r="O560" s="1082"/>
      <c r="P560" s="1081"/>
      <c r="Q560" s="1081"/>
      <c r="R560" s="1081"/>
    </row>
    <row r="561" spans="1:18">
      <c r="A561" s="1081"/>
      <c r="B561" s="1082"/>
      <c r="K561" s="1082"/>
      <c r="L561" s="1082"/>
      <c r="M561" s="1082"/>
      <c r="N561" s="1082"/>
      <c r="O561" s="1082"/>
      <c r="P561" s="1081"/>
      <c r="Q561" s="1081"/>
      <c r="R561" s="1081"/>
    </row>
    <row r="562" spans="1:18">
      <c r="A562" s="1081"/>
      <c r="B562" s="1082"/>
      <c r="K562" s="1082"/>
      <c r="L562" s="1082"/>
      <c r="M562" s="1082"/>
      <c r="N562" s="1082"/>
      <c r="O562" s="1082"/>
      <c r="P562" s="1081"/>
      <c r="Q562" s="1081"/>
      <c r="R562" s="1081"/>
    </row>
    <row r="563" spans="1:18">
      <c r="A563" s="1081"/>
      <c r="B563" s="1082"/>
      <c r="K563" s="1082"/>
      <c r="L563" s="1082"/>
      <c r="M563" s="1082"/>
      <c r="N563" s="1082"/>
      <c r="O563" s="1082"/>
      <c r="P563" s="1081"/>
      <c r="Q563" s="1081"/>
      <c r="R563" s="1081"/>
    </row>
    <row r="564" spans="1:18">
      <c r="A564" s="1081"/>
      <c r="B564" s="1082"/>
      <c r="K564" s="1082"/>
      <c r="L564" s="1082"/>
      <c r="M564" s="1082"/>
      <c r="N564" s="1082"/>
      <c r="O564" s="1082"/>
      <c r="P564" s="1081"/>
      <c r="Q564" s="1081"/>
      <c r="R564" s="1081"/>
    </row>
    <row r="565" spans="1:18">
      <c r="A565" s="1081"/>
      <c r="B565" s="1082"/>
      <c r="K565" s="1082"/>
      <c r="L565" s="1082"/>
      <c r="M565" s="1082"/>
      <c r="N565" s="1082"/>
      <c r="O565" s="1082"/>
      <c r="P565" s="1081"/>
      <c r="Q565" s="1081"/>
      <c r="R565" s="1081"/>
    </row>
    <row r="566" spans="1:18">
      <c r="A566" s="1081"/>
      <c r="B566" s="1082"/>
      <c r="K566" s="1082"/>
      <c r="L566" s="1082"/>
      <c r="M566" s="1082"/>
      <c r="N566" s="1082"/>
      <c r="O566" s="1082"/>
      <c r="P566" s="1081"/>
      <c r="Q566" s="1081"/>
      <c r="R566" s="1081"/>
    </row>
    <row r="567" spans="1:18">
      <c r="A567" s="1081"/>
      <c r="B567" s="1082"/>
      <c r="K567" s="1082"/>
      <c r="L567" s="1082"/>
      <c r="M567" s="1082"/>
      <c r="N567" s="1082"/>
      <c r="O567" s="1082"/>
      <c r="P567" s="1081"/>
      <c r="Q567" s="1081"/>
      <c r="R567" s="1081"/>
    </row>
    <row r="568" spans="1:18">
      <c r="A568" s="1081"/>
      <c r="B568" s="1082"/>
      <c r="K568" s="1082"/>
      <c r="L568" s="1082"/>
      <c r="M568" s="1082"/>
      <c r="N568" s="1082"/>
      <c r="O568" s="1082"/>
      <c r="P568" s="1081"/>
      <c r="Q568" s="1081"/>
      <c r="R568" s="1081"/>
    </row>
    <row r="569" spans="1:18">
      <c r="A569" s="1081"/>
      <c r="B569" s="1082"/>
      <c r="K569" s="1082"/>
      <c r="L569" s="1082"/>
      <c r="M569" s="1082"/>
      <c r="N569" s="1082"/>
      <c r="O569" s="1082"/>
      <c r="P569" s="1081"/>
      <c r="Q569" s="1081"/>
      <c r="R569" s="1081"/>
    </row>
    <row r="570" spans="1:18">
      <c r="A570" s="1081"/>
      <c r="B570" s="1082"/>
      <c r="K570" s="1082"/>
      <c r="L570" s="1082"/>
      <c r="M570" s="1082"/>
      <c r="N570" s="1082"/>
      <c r="O570" s="1082"/>
      <c r="P570" s="1081"/>
      <c r="Q570" s="1081"/>
      <c r="R570" s="1081"/>
    </row>
    <row r="571" spans="1:18">
      <c r="A571" s="1081"/>
      <c r="B571" s="1082"/>
      <c r="K571" s="1082"/>
      <c r="L571" s="1082"/>
      <c r="M571" s="1082"/>
      <c r="N571" s="1082"/>
      <c r="O571" s="1082"/>
      <c r="P571" s="1081"/>
      <c r="Q571" s="1081"/>
      <c r="R571" s="1081"/>
    </row>
    <row r="572" spans="1:18">
      <c r="A572" s="1081"/>
      <c r="B572" s="1082"/>
      <c r="K572" s="1082"/>
      <c r="L572" s="1082"/>
      <c r="M572" s="1082"/>
      <c r="N572" s="1082"/>
      <c r="O572" s="1082"/>
      <c r="P572" s="1081"/>
      <c r="Q572" s="1081"/>
      <c r="R572" s="1081"/>
    </row>
    <row r="573" spans="1:18">
      <c r="A573" s="1081"/>
      <c r="B573" s="1082"/>
      <c r="K573" s="1082"/>
      <c r="L573" s="1082"/>
      <c r="M573" s="1082"/>
      <c r="N573" s="1082"/>
      <c r="O573" s="1082"/>
      <c r="P573" s="1081"/>
      <c r="Q573" s="1081"/>
      <c r="R573" s="1081"/>
    </row>
    <row r="574" spans="1:18">
      <c r="A574" s="1081"/>
      <c r="B574" s="1082"/>
      <c r="K574" s="1082"/>
      <c r="L574" s="1082"/>
      <c r="M574" s="1082"/>
      <c r="N574" s="1082"/>
      <c r="O574" s="1082"/>
      <c r="P574" s="1081"/>
      <c r="Q574" s="1081"/>
      <c r="R574" s="1081"/>
    </row>
    <row r="575" spans="1:18">
      <c r="A575" s="1081"/>
      <c r="B575" s="1082"/>
      <c r="K575" s="1082"/>
      <c r="L575" s="1082"/>
      <c r="M575" s="1082"/>
      <c r="N575" s="1082"/>
      <c r="O575" s="1082"/>
      <c r="P575" s="1081"/>
      <c r="Q575" s="1081"/>
      <c r="R575" s="1081"/>
    </row>
    <row r="576" spans="1:18">
      <c r="A576" s="1081"/>
      <c r="B576" s="1082"/>
      <c r="K576" s="1082"/>
      <c r="L576" s="1082"/>
      <c r="M576" s="1082"/>
      <c r="N576" s="1082"/>
      <c r="O576" s="1082"/>
      <c r="P576" s="1081"/>
      <c r="Q576" s="1081"/>
      <c r="R576" s="1081"/>
    </row>
    <row r="577" spans="1:18">
      <c r="A577" s="1081"/>
      <c r="B577" s="1082"/>
      <c r="K577" s="1082"/>
      <c r="L577" s="1082"/>
      <c r="M577" s="1082"/>
      <c r="N577" s="1082"/>
      <c r="O577" s="1082"/>
      <c r="P577" s="1081"/>
      <c r="Q577" s="1081"/>
      <c r="R577" s="1081"/>
    </row>
    <row r="578" spans="1:18">
      <c r="A578" s="1081"/>
      <c r="B578" s="1082"/>
      <c r="K578" s="1082"/>
      <c r="L578" s="1082"/>
      <c r="M578" s="1082"/>
      <c r="N578" s="1082"/>
      <c r="O578" s="1082"/>
      <c r="P578" s="1081"/>
      <c r="Q578" s="1081"/>
      <c r="R578" s="1081"/>
    </row>
    <row r="579" spans="1:18">
      <c r="A579" s="1081"/>
      <c r="B579" s="1082"/>
      <c r="K579" s="1082"/>
      <c r="L579" s="1082"/>
      <c r="M579" s="1082"/>
      <c r="N579" s="1082"/>
      <c r="O579" s="1082"/>
      <c r="P579" s="1081"/>
      <c r="Q579" s="1081"/>
      <c r="R579" s="1081"/>
    </row>
    <row r="580" spans="1:18">
      <c r="A580" s="1081"/>
      <c r="B580" s="1082"/>
      <c r="K580" s="1082"/>
      <c r="L580" s="1082"/>
      <c r="M580" s="1082"/>
      <c r="N580" s="1082"/>
      <c r="O580" s="1082"/>
      <c r="P580" s="1081"/>
      <c r="Q580" s="1081"/>
      <c r="R580" s="1081"/>
    </row>
    <row r="581" spans="1:18">
      <c r="A581" s="1081"/>
      <c r="B581" s="1082"/>
      <c r="K581" s="1082"/>
      <c r="L581" s="1082"/>
      <c r="M581" s="1082"/>
      <c r="N581" s="1082"/>
      <c r="O581" s="1082"/>
      <c r="P581" s="1081"/>
      <c r="Q581" s="1081"/>
      <c r="R581" s="1081"/>
    </row>
    <row r="582" spans="1:18">
      <c r="A582" s="1081"/>
      <c r="B582" s="1082"/>
      <c r="K582" s="1082"/>
      <c r="L582" s="1082"/>
      <c r="M582" s="1082"/>
      <c r="N582" s="1082"/>
      <c r="O582" s="1082"/>
      <c r="P582" s="1081"/>
      <c r="Q582" s="1081"/>
      <c r="R582" s="1081"/>
    </row>
    <row r="583" spans="1:18">
      <c r="A583" s="1081"/>
      <c r="B583" s="1082"/>
      <c r="K583" s="1082"/>
      <c r="L583" s="1082"/>
      <c r="M583" s="1082"/>
      <c r="N583" s="1082"/>
      <c r="O583" s="1082"/>
      <c r="P583" s="1081"/>
      <c r="Q583" s="1081"/>
      <c r="R583" s="1081"/>
    </row>
    <row r="584" spans="1:18">
      <c r="A584" s="1081"/>
      <c r="B584" s="1082"/>
      <c r="K584" s="1082"/>
      <c r="L584" s="1082"/>
      <c r="M584" s="1082"/>
      <c r="N584" s="1082"/>
      <c r="O584" s="1082"/>
      <c r="P584" s="1081"/>
      <c r="Q584" s="1081"/>
      <c r="R584" s="1081"/>
    </row>
    <row r="585" spans="1:18">
      <c r="A585" s="1081"/>
      <c r="B585" s="1082"/>
      <c r="K585" s="1082"/>
      <c r="L585" s="1082"/>
      <c r="M585" s="1082"/>
      <c r="N585" s="1082"/>
      <c r="O585" s="1082"/>
      <c r="P585" s="1081"/>
      <c r="Q585" s="1081"/>
      <c r="R585" s="1081"/>
    </row>
    <row r="586" spans="1:18">
      <c r="A586" s="1081"/>
      <c r="B586" s="1082"/>
      <c r="K586" s="1082"/>
      <c r="L586" s="1082"/>
      <c r="M586" s="1082"/>
      <c r="N586" s="1082"/>
      <c r="O586" s="1082"/>
      <c r="P586" s="1081"/>
      <c r="Q586" s="1081"/>
      <c r="R586" s="1081"/>
    </row>
    <row r="587" spans="1:18">
      <c r="A587" s="1081"/>
      <c r="B587" s="1082"/>
      <c r="K587" s="1082"/>
      <c r="L587" s="1082"/>
      <c r="M587" s="1082"/>
      <c r="N587" s="1082"/>
      <c r="O587" s="1082"/>
      <c r="P587" s="1081"/>
      <c r="Q587" s="1081"/>
      <c r="R587" s="1081"/>
    </row>
    <row r="588" spans="1:18">
      <c r="A588" s="1081"/>
      <c r="B588" s="1082"/>
      <c r="K588" s="1082"/>
      <c r="L588" s="1082"/>
      <c r="M588" s="1082"/>
      <c r="N588" s="1082"/>
      <c r="O588" s="1082"/>
      <c r="P588" s="1081"/>
      <c r="Q588" s="1081"/>
      <c r="R588" s="1081"/>
    </row>
    <row r="589" spans="1:18">
      <c r="A589" s="1081"/>
      <c r="B589" s="1082"/>
      <c r="K589" s="1082"/>
      <c r="L589" s="1082"/>
      <c r="M589" s="1082"/>
      <c r="N589" s="1082"/>
      <c r="O589" s="1082"/>
      <c r="P589" s="1081"/>
      <c r="Q589" s="1081"/>
      <c r="R589" s="1081"/>
    </row>
    <row r="590" spans="1:18">
      <c r="A590" s="1081"/>
      <c r="B590" s="1082"/>
      <c r="K590" s="1082"/>
      <c r="L590" s="1082"/>
      <c r="M590" s="1082"/>
      <c r="N590" s="1082"/>
      <c r="O590" s="1082"/>
      <c r="P590" s="1081"/>
      <c r="Q590" s="1081"/>
      <c r="R590" s="1081"/>
    </row>
    <row r="591" spans="1:18">
      <c r="A591" s="1081"/>
      <c r="B591" s="1082"/>
      <c r="K591" s="1082"/>
      <c r="L591" s="1082"/>
      <c r="M591" s="1082"/>
      <c r="N591" s="1082"/>
      <c r="O591" s="1082"/>
      <c r="P591" s="1081"/>
      <c r="Q591" s="1081"/>
      <c r="R591" s="1081"/>
    </row>
    <row r="592" spans="1:18">
      <c r="A592" s="1081"/>
      <c r="B592" s="1082"/>
      <c r="K592" s="1082"/>
      <c r="L592" s="1082"/>
      <c r="M592" s="1082"/>
      <c r="N592" s="1082"/>
      <c r="O592" s="1082"/>
      <c r="P592" s="1081"/>
      <c r="Q592" s="1081"/>
      <c r="R592" s="1081"/>
    </row>
    <row r="593" spans="1:18">
      <c r="A593" s="1081"/>
      <c r="B593" s="1082"/>
      <c r="K593" s="1082"/>
      <c r="L593" s="1082"/>
      <c r="M593" s="1082"/>
      <c r="N593" s="1082"/>
      <c r="O593" s="1082"/>
      <c r="P593" s="1081"/>
      <c r="Q593" s="1081"/>
      <c r="R593" s="1081"/>
    </row>
    <row r="594" spans="1:18">
      <c r="A594" s="1081"/>
      <c r="B594" s="1082"/>
      <c r="K594" s="1082"/>
      <c r="L594" s="1082"/>
      <c r="M594" s="1082"/>
      <c r="N594" s="1082"/>
      <c r="O594" s="1082"/>
      <c r="P594" s="1081"/>
      <c r="Q594" s="1081"/>
      <c r="R594" s="1081"/>
    </row>
    <row r="595" spans="1:18">
      <c r="A595" s="1081"/>
      <c r="B595" s="1082"/>
      <c r="K595" s="1082"/>
      <c r="L595" s="1082"/>
      <c r="M595" s="1082"/>
      <c r="N595" s="1082"/>
      <c r="O595" s="1082"/>
      <c r="P595" s="1081"/>
      <c r="Q595" s="1081"/>
      <c r="R595" s="1081"/>
    </row>
    <row r="596" spans="1:18">
      <c r="A596" s="1081"/>
      <c r="B596" s="1082"/>
      <c r="K596" s="1082"/>
      <c r="L596" s="1082"/>
      <c r="M596" s="1082"/>
      <c r="N596" s="1082"/>
      <c r="O596" s="1082"/>
      <c r="P596" s="1081"/>
      <c r="Q596" s="1081"/>
      <c r="R596" s="1081"/>
    </row>
    <row r="597" spans="1:18">
      <c r="A597" s="1081"/>
      <c r="B597" s="1082"/>
      <c r="K597" s="1082"/>
      <c r="L597" s="1082"/>
      <c r="M597" s="1082"/>
      <c r="N597" s="1082"/>
      <c r="O597" s="1082"/>
      <c r="P597" s="1081"/>
      <c r="Q597" s="1081"/>
      <c r="R597" s="1081"/>
    </row>
    <row r="598" spans="1:18">
      <c r="A598" s="1081"/>
      <c r="B598" s="1082"/>
      <c r="K598" s="1082"/>
      <c r="L598" s="1082"/>
      <c r="M598" s="1082"/>
      <c r="N598" s="1082"/>
      <c r="O598" s="1082"/>
      <c r="P598" s="1081"/>
      <c r="Q598" s="1081"/>
      <c r="R598" s="1081"/>
    </row>
    <row r="599" spans="1:18">
      <c r="A599" s="1081"/>
      <c r="B599" s="1082"/>
      <c r="K599" s="1082"/>
      <c r="L599" s="1082"/>
      <c r="M599" s="1082"/>
      <c r="N599" s="1082"/>
      <c r="O599" s="1082"/>
      <c r="P599" s="1081"/>
      <c r="Q599" s="1081"/>
      <c r="R599" s="1081"/>
    </row>
    <row r="600" spans="1:18">
      <c r="A600" s="1081"/>
      <c r="B600" s="1082"/>
      <c r="K600" s="1082"/>
      <c r="L600" s="1082"/>
      <c r="M600" s="1082"/>
      <c r="N600" s="1082"/>
      <c r="O600" s="1082"/>
      <c r="P600" s="1081"/>
      <c r="Q600" s="1081"/>
      <c r="R600" s="1081"/>
    </row>
    <row r="601" spans="1:18">
      <c r="A601" s="1081"/>
      <c r="B601" s="1082"/>
      <c r="K601" s="1082"/>
      <c r="L601" s="1082"/>
      <c r="M601" s="1082"/>
      <c r="N601" s="1082"/>
      <c r="O601" s="1082"/>
      <c r="P601" s="1081"/>
      <c r="Q601" s="1081"/>
      <c r="R601" s="1081"/>
    </row>
    <row r="602" spans="1:18">
      <c r="A602" s="1081"/>
      <c r="B602" s="1082"/>
      <c r="K602" s="1082"/>
      <c r="L602" s="1082"/>
      <c r="M602" s="1082"/>
      <c r="N602" s="1082"/>
      <c r="O602" s="1082"/>
      <c r="P602" s="1081"/>
      <c r="Q602" s="1081"/>
      <c r="R602" s="1081"/>
    </row>
    <row r="603" spans="1:18">
      <c r="A603" s="1081"/>
      <c r="B603" s="1082"/>
      <c r="K603" s="1082"/>
      <c r="L603" s="1082"/>
      <c r="M603" s="1082"/>
      <c r="N603" s="1082"/>
      <c r="O603" s="1082"/>
      <c r="P603" s="1081"/>
      <c r="Q603" s="1081"/>
      <c r="R603" s="1081"/>
    </row>
    <row r="604" spans="1:18">
      <c r="A604" s="1081"/>
      <c r="B604" s="1082"/>
      <c r="K604" s="1082"/>
      <c r="L604" s="1082"/>
      <c r="M604" s="1082"/>
      <c r="N604" s="1082"/>
      <c r="O604" s="1082"/>
      <c r="P604" s="1081"/>
      <c r="Q604" s="1081"/>
      <c r="R604" s="1081"/>
    </row>
    <row r="605" spans="1:18">
      <c r="A605" s="1081"/>
      <c r="B605" s="1082"/>
      <c r="K605" s="1082"/>
      <c r="L605" s="1082"/>
      <c r="M605" s="1082"/>
      <c r="N605" s="1082"/>
      <c r="O605" s="1082"/>
      <c r="P605" s="1081"/>
      <c r="Q605" s="1081"/>
      <c r="R605" s="1081"/>
    </row>
    <row r="606" spans="1:18">
      <c r="A606" s="1081"/>
      <c r="B606" s="1082"/>
      <c r="K606" s="1082"/>
      <c r="L606" s="1082"/>
      <c r="M606" s="1082"/>
      <c r="N606" s="1082"/>
      <c r="O606" s="1082"/>
      <c r="P606" s="1081"/>
      <c r="Q606" s="1081"/>
      <c r="R606" s="1081"/>
    </row>
    <row r="607" spans="1:18">
      <c r="A607" s="1081"/>
      <c r="B607" s="1082"/>
      <c r="K607" s="1082"/>
      <c r="L607" s="1082"/>
      <c r="M607" s="1082"/>
      <c r="N607" s="1082"/>
      <c r="O607" s="1082"/>
      <c r="P607" s="1081"/>
      <c r="Q607" s="1081"/>
      <c r="R607" s="1081"/>
    </row>
    <row r="608" spans="1:18">
      <c r="A608" s="1081"/>
      <c r="B608" s="1082"/>
      <c r="K608" s="1082"/>
      <c r="L608" s="1082"/>
      <c r="M608" s="1082"/>
      <c r="N608" s="1082"/>
      <c r="O608" s="1082"/>
      <c r="P608" s="1081"/>
      <c r="Q608" s="1081"/>
      <c r="R608" s="1081"/>
    </row>
    <row r="609" spans="1:18">
      <c r="A609" s="1081"/>
      <c r="B609" s="1082"/>
      <c r="K609" s="1082"/>
      <c r="L609" s="1082"/>
      <c r="M609" s="1082"/>
      <c r="N609" s="1082"/>
      <c r="O609" s="1082"/>
      <c r="P609" s="1081"/>
      <c r="Q609" s="1081"/>
      <c r="R609" s="1081"/>
    </row>
    <row r="610" spans="1:18">
      <c r="A610" s="1081"/>
      <c r="B610" s="1082"/>
      <c r="K610" s="1082"/>
      <c r="L610" s="1082"/>
      <c r="M610" s="1082"/>
      <c r="N610" s="1082"/>
      <c r="O610" s="1082"/>
      <c r="P610" s="1081"/>
      <c r="Q610" s="1081"/>
      <c r="R610" s="1081"/>
    </row>
    <row r="611" spans="1:18">
      <c r="A611" s="1081"/>
      <c r="B611" s="1082"/>
      <c r="K611" s="1082"/>
      <c r="L611" s="1082"/>
      <c r="M611" s="1082"/>
      <c r="N611" s="1082"/>
      <c r="O611" s="1082"/>
      <c r="P611" s="1081"/>
      <c r="Q611" s="1081"/>
      <c r="R611" s="1081"/>
    </row>
    <row r="612" spans="1:18">
      <c r="A612" s="1081"/>
      <c r="B612" s="1082"/>
      <c r="K612" s="1082"/>
      <c r="L612" s="1082"/>
      <c r="M612" s="1082"/>
      <c r="N612" s="1082"/>
      <c r="O612" s="1082"/>
      <c r="P612" s="1081"/>
      <c r="Q612" s="1081"/>
      <c r="R612" s="1081"/>
    </row>
    <row r="613" spans="1:18">
      <c r="A613" s="1081"/>
      <c r="B613" s="1082"/>
      <c r="K613" s="1082"/>
      <c r="L613" s="1082"/>
      <c r="M613" s="1082"/>
      <c r="N613" s="1082"/>
      <c r="O613" s="1082"/>
      <c r="P613" s="1081"/>
      <c r="Q613" s="1081"/>
      <c r="R613" s="1081"/>
    </row>
    <row r="614" spans="1:18">
      <c r="A614" s="1081"/>
      <c r="B614" s="1082"/>
      <c r="K614" s="1082"/>
      <c r="L614" s="1082"/>
      <c r="M614" s="1082"/>
      <c r="N614" s="1082"/>
      <c r="O614" s="1082"/>
      <c r="P614" s="1081"/>
      <c r="Q614" s="1081"/>
      <c r="R614" s="1081"/>
    </row>
    <row r="615" spans="1:18">
      <c r="A615" s="1081"/>
      <c r="B615" s="1082"/>
      <c r="K615" s="1082"/>
      <c r="L615" s="1082"/>
      <c r="M615" s="1082"/>
      <c r="N615" s="1082"/>
      <c r="O615" s="1082"/>
      <c r="P615" s="1081"/>
      <c r="Q615" s="1081"/>
      <c r="R615" s="1081"/>
    </row>
    <row r="616" spans="1:18">
      <c r="A616" s="1081"/>
      <c r="B616" s="1082"/>
      <c r="K616" s="1082"/>
      <c r="L616" s="1082"/>
      <c r="M616" s="1082"/>
      <c r="N616" s="1082"/>
      <c r="O616" s="1082"/>
      <c r="P616" s="1081"/>
      <c r="Q616" s="1081"/>
      <c r="R616" s="1081"/>
    </row>
    <row r="617" spans="1:18">
      <c r="A617" s="1081"/>
      <c r="B617" s="1082"/>
      <c r="K617" s="1082"/>
      <c r="L617" s="1082"/>
      <c r="M617" s="1082"/>
      <c r="N617" s="1082"/>
      <c r="O617" s="1082"/>
      <c r="P617" s="1081"/>
      <c r="Q617" s="1081"/>
      <c r="R617" s="1081"/>
    </row>
    <row r="618" spans="1:18">
      <c r="A618" s="1081"/>
      <c r="B618" s="1082"/>
      <c r="K618" s="1082"/>
      <c r="L618" s="1082"/>
      <c r="M618" s="1082"/>
      <c r="N618" s="1082"/>
      <c r="O618" s="1082"/>
      <c r="P618" s="1081"/>
      <c r="Q618" s="1081"/>
      <c r="R618" s="1081"/>
    </row>
    <row r="619" spans="1:18">
      <c r="A619" s="1081"/>
      <c r="B619" s="1082"/>
      <c r="K619" s="1082"/>
      <c r="L619" s="1082"/>
      <c r="M619" s="1082"/>
      <c r="N619" s="1082"/>
      <c r="O619" s="1082"/>
      <c r="P619" s="1081"/>
      <c r="Q619" s="1081"/>
      <c r="R619" s="1081"/>
    </row>
    <row r="620" spans="1:18">
      <c r="A620" s="1081"/>
      <c r="B620" s="1082"/>
      <c r="K620" s="1082"/>
      <c r="L620" s="1082"/>
      <c r="M620" s="1082"/>
      <c r="N620" s="1082"/>
      <c r="O620" s="1082"/>
      <c r="P620" s="1081"/>
      <c r="Q620" s="1081"/>
      <c r="R620" s="1081"/>
    </row>
    <row r="621" spans="1:18">
      <c r="A621" s="1081"/>
      <c r="B621" s="1082"/>
      <c r="K621" s="1082"/>
      <c r="L621" s="1082"/>
      <c r="M621" s="1082"/>
      <c r="N621" s="1082"/>
      <c r="O621" s="1082"/>
      <c r="P621" s="1081"/>
      <c r="Q621" s="1081"/>
      <c r="R621" s="1081"/>
    </row>
    <row r="622" spans="1:18">
      <c r="A622" s="1081"/>
      <c r="B622" s="1082"/>
      <c r="K622" s="1082"/>
      <c r="L622" s="1082"/>
      <c r="M622" s="1082"/>
      <c r="N622" s="1082"/>
      <c r="O622" s="1082"/>
      <c r="P622" s="1081"/>
      <c r="Q622" s="1081"/>
      <c r="R622" s="1081"/>
    </row>
    <row r="623" spans="1:18">
      <c r="A623" s="1081"/>
      <c r="B623" s="1082"/>
      <c r="K623" s="1082"/>
      <c r="L623" s="1082"/>
      <c r="M623" s="1082"/>
      <c r="N623" s="1082"/>
      <c r="O623" s="1082"/>
      <c r="P623" s="1081"/>
      <c r="Q623" s="1081"/>
      <c r="R623" s="1081"/>
    </row>
    <row r="624" spans="1:18">
      <c r="A624" s="1081"/>
      <c r="B624" s="1082"/>
      <c r="K624" s="1082"/>
      <c r="L624" s="1082"/>
      <c r="M624" s="1082"/>
      <c r="N624" s="1082"/>
      <c r="O624" s="1082"/>
      <c r="P624" s="1081"/>
      <c r="Q624" s="1081"/>
      <c r="R624" s="1081"/>
    </row>
    <row r="625" spans="1:18">
      <c r="A625" s="1081"/>
      <c r="B625" s="1082"/>
      <c r="K625" s="1082"/>
      <c r="L625" s="1082"/>
      <c r="M625" s="1082"/>
      <c r="N625" s="1082"/>
      <c r="O625" s="1082"/>
      <c r="P625" s="1081"/>
      <c r="Q625" s="1081"/>
      <c r="R625" s="1081"/>
    </row>
    <row r="626" spans="1:18">
      <c r="A626" s="1081"/>
      <c r="B626" s="1082"/>
      <c r="K626" s="1082"/>
      <c r="L626" s="1082"/>
      <c r="M626" s="1082"/>
      <c r="N626" s="1082"/>
      <c r="O626" s="1082"/>
      <c r="P626" s="1081"/>
      <c r="Q626" s="1081"/>
      <c r="R626" s="1081"/>
    </row>
    <row r="627" spans="1:18">
      <c r="A627" s="1081"/>
      <c r="B627" s="1082"/>
      <c r="K627" s="1082"/>
      <c r="L627" s="1082"/>
      <c r="M627" s="1082"/>
      <c r="N627" s="1082"/>
      <c r="O627" s="1082"/>
      <c r="P627" s="1081"/>
      <c r="Q627" s="1081"/>
      <c r="R627" s="1081"/>
    </row>
    <row r="628" spans="1:18">
      <c r="A628" s="1081"/>
      <c r="B628" s="1082"/>
      <c r="K628" s="1082"/>
      <c r="L628" s="1082"/>
      <c r="M628" s="1082"/>
      <c r="N628" s="1082"/>
      <c r="O628" s="1082"/>
      <c r="P628" s="1081"/>
      <c r="Q628" s="1081"/>
      <c r="R628" s="1081"/>
    </row>
    <row r="629" spans="1:18">
      <c r="A629" s="1081"/>
      <c r="B629" s="1082"/>
      <c r="K629" s="1082"/>
      <c r="L629" s="1082"/>
      <c r="M629" s="1082"/>
      <c r="N629" s="1082"/>
      <c r="O629" s="1082"/>
      <c r="P629" s="1081"/>
      <c r="Q629" s="1081"/>
      <c r="R629" s="1081"/>
    </row>
    <row r="630" spans="1:18">
      <c r="A630" s="1081"/>
      <c r="B630" s="1082"/>
      <c r="K630" s="1082"/>
      <c r="L630" s="1082"/>
      <c r="M630" s="1082"/>
      <c r="N630" s="1082"/>
      <c r="O630" s="1082"/>
      <c r="P630" s="1081"/>
      <c r="Q630" s="1081"/>
      <c r="R630" s="1081"/>
    </row>
    <row r="631" spans="1:18">
      <c r="A631" s="1081"/>
      <c r="B631" s="1082"/>
      <c r="K631" s="1082"/>
      <c r="L631" s="1082"/>
      <c r="M631" s="1082"/>
      <c r="N631" s="1082"/>
      <c r="O631" s="1082"/>
      <c r="P631" s="1081"/>
      <c r="Q631" s="1081"/>
      <c r="R631" s="1081"/>
    </row>
    <row r="632" spans="1:18">
      <c r="A632" s="1081"/>
      <c r="B632" s="1082"/>
      <c r="K632" s="1082"/>
      <c r="L632" s="1082"/>
      <c r="M632" s="1082"/>
      <c r="N632" s="1082"/>
      <c r="O632" s="1082"/>
      <c r="P632" s="1081"/>
      <c r="Q632" s="1081"/>
      <c r="R632" s="1081"/>
    </row>
    <row r="633" spans="1:18">
      <c r="A633" s="1081"/>
      <c r="B633" s="1082"/>
      <c r="K633" s="1082"/>
      <c r="L633" s="1082"/>
      <c r="M633" s="1082"/>
      <c r="N633" s="1082"/>
      <c r="O633" s="1082"/>
      <c r="P633" s="1081"/>
      <c r="Q633" s="1081"/>
      <c r="R633" s="1081"/>
    </row>
    <row r="634" spans="1:18">
      <c r="A634" s="1081"/>
      <c r="B634" s="1082"/>
      <c r="K634" s="1082"/>
      <c r="L634" s="1082"/>
      <c r="M634" s="1082"/>
      <c r="N634" s="1082"/>
      <c r="O634" s="1082"/>
      <c r="P634" s="1081"/>
      <c r="Q634" s="1081"/>
      <c r="R634" s="1081"/>
    </row>
    <row r="635" spans="1:18">
      <c r="A635" s="1081"/>
      <c r="B635" s="1082"/>
      <c r="K635" s="1082"/>
      <c r="L635" s="1082"/>
      <c r="M635" s="1082"/>
      <c r="N635" s="1082"/>
      <c r="O635" s="1082"/>
      <c r="P635" s="1081"/>
      <c r="Q635" s="1081"/>
      <c r="R635" s="1081"/>
    </row>
    <row r="636" spans="1:18">
      <c r="A636" s="1081"/>
      <c r="B636" s="1082"/>
      <c r="K636" s="1082"/>
      <c r="L636" s="1082"/>
      <c r="M636" s="1082"/>
      <c r="N636" s="1082"/>
      <c r="O636" s="1082"/>
      <c r="P636" s="1081"/>
      <c r="Q636" s="1081"/>
      <c r="R636" s="1081"/>
    </row>
    <row r="637" spans="1:18">
      <c r="A637" s="1081"/>
      <c r="B637" s="1082"/>
      <c r="K637" s="1082"/>
      <c r="L637" s="1082"/>
      <c r="M637" s="1082"/>
      <c r="N637" s="1082"/>
      <c r="O637" s="1082"/>
      <c r="P637" s="1081"/>
      <c r="Q637" s="1081"/>
      <c r="R637" s="1081"/>
    </row>
    <row r="638" spans="1:18">
      <c r="A638" s="1081"/>
      <c r="B638" s="1082"/>
      <c r="K638" s="1082"/>
      <c r="L638" s="1082"/>
      <c r="M638" s="1082"/>
      <c r="N638" s="1082"/>
      <c r="O638" s="1082"/>
      <c r="P638" s="1081"/>
      <c r="Q638" s="1081"/>
      <c r="R638" s="1081"/>
    </row>
    <row r="639" spans="1:18">
      <c r="A639" s="1081"/>
      <c r="B639" s="1082"/>
      <c r="K639" s="1082"/>
      <c r="L639" s="1082"/>
      <c r="M639" s="1082"/>
      <c r="N639" s="1082"/>
      <c r="O639" s="1082"/>
      <c r="P639" s="1081"/>
      <c r="Q639" s="1081"/>
      <c r="R639" s="1081"/>
    </row>
    <row r="640" spans="1:18">
      <c r="A640" s="1081"/>
      <c r="B640" s="1082"/>
      <c r="K640" s="1082"/>
      <c r="L640" s="1082"/>
      <c r="M640" s="1082"/>
      <c r="N640" s="1082"/>
      <c r="O640" s="1082"/>
      <c r="P640" s="1081"/>
      <c r="Q640" s="1081"/>
      <c r="R640" s="1081"/>
    </row>
    <row r="641" spans="1:18">
      <c r="A641" s="1081"/>
      <c r="B641" s="1082"/>
      <c r="K641" s="1082"/>
      <c r="L641" s="1082"/>
      <c r="M641" s="1082"/>
      <c r="N641" s="1082"/>
      <c r="O641" s="1082"/>
      <c r="P641" s="1081"/>
      <c r="Q641" s="1081"/>
      <c r="R641" s="1081"/>
    </row>
    <row r="642" spans="1:18">
      <c r="A642" s="1081"/>
      <c r="B642" s="1082"/>
      <c r="K642" s="1082"/>
      <c r="L642" s="1082"/>
      <c r="M642" s="1082"/>
      <c r="N642" s="1082"/>
      <c r="O642" s="1082"/>
      <c r="P642" s="1081"/>
      <c r="Q642" s="1081"/>
      <c r="R642" s="1081"/>
    </row>
    <row r="643" spans="1:18">
      <c r="A643" s="1081"/>
      <c r="B643" s="1082"/>
      <c r="K643" s="1082"/>
      <c r="L643" s="1082"/>
      <c r="M643" s="1082"/>
      <c r="N643" s="1082"/>
      <c r="O643" s="1082"/>
      <c r="P643" s="1081"/>
      <c r="Q643" s="1081"/>
      <c r="R643" s="1081"/>
    </row>
    <row r="644" spans="1:18">
      <c r="A644" s="1081"/>
      <c r="B644" s="1082"/>
      <c r="K644" s="1082"/>
      <c r="L644" s="1082"/>
      <c r="M644" s="1082"/>
      <c r="N644" s="1082"/>
      <c r="O644" s="1082"/>
      <c r="P644" s="1081"/>
      <c r="Q644" s="1081"/>
      <c r="R644" s="1081"/>
    </row>
    <row r="645" spans="1:18">
      <c r="A645" s="1081"/>
      <c r="B645" s="1082"/>
      <c r="K645" s="1082"/>
      <c r="L645" s="1082"/>
      <c r="M645" s="1082"/>
      <c r="N645" s="1082"/>
      <c r="O645" s="1082"/>
      <c r="P645" s="1081"/>
      <c r="Q645" s="1081"/>
      <c r="R645" s="1081"/>
    </row>
    <row r="646" spans="1:18">
      <c r="A646" s="1081"/>
      <c r="B646" s="1082"/>
      <c r="K646" s="1082"/>
      <c r="L646" s="1082"/>
      <c r="M646" s="1082"/>
      <c r="N646" s="1082"/>
      <c r="O646" s="1082"/>
      <c r="P646" s="1081"/>
      <c r="Q646" s="1081"/>
      <c r="R646" s="1081"/>
    </row>
    <row r="647" spans="1:18">
      <c r="A647" s="1081"/>
      <c r="B647" s="1082"/>
      <c r="K647" s="1082"/>
      <c r="L647" s="1082"/>
      <c r="M647" s="1082"/>
      <c r="N647" s="1082"/>
      <c r="O647" s="1082"/>
      <c r="P647" s="1081"/>
      <c r="Q647" s="1081"/>
      <c r="R647" s="1081"/>
    </row>
    <row r="648" spans="1:18">
      <c r="A648" s="1081"/>
      <c r="B648" s="1082"/>
      <c r="K648" s="1082"/>
      <c r="L648" s="1082"/>
      <c r="M648" s="1082"/>
      <c r="N648" s="1082"/>
      <c r="O648" s="1082"/>
      <c r="P648" s="1081"/>
      <c r="Q648" s="1081"/>
      <c r="R648" s="1081"/>
    </row>
    <row r="649" spans="1:18">
      <c r="A649" s="1081"/>
      <c r="B649" s="1082"/>
      <c r="K649" s="1082"/>
      <c r="L649" s="1082"/>
      <c r="M649" s="1082"/>
      <c r="N649" s="1082"/>
      <c r="O649" s="1082"/>
      <c r="P649" s="1081"/>
      <c r="Q649" s="1081"/>
      <c r="R649" s="1081"/>
    </row>
    <row r="650" spans="1:18">
      <c r="A650" s="1081"/>
      <c r="B650" s="1082"/>
      <c r="K650" s="1082"/>
      <c r="L650" s="1082"/>
      <c r="M650" s="1082"/>
      <c r="N650" s="1082"/>
      <c r="O650" s="1082"/>
      <c r="P650" s="1081"/>
      <c r="Q650" s="1081"/>
      <c r="R650" s="1081"/>
    </row>
    <row r="651" spans="1:18">
      <c r="A651" s="1081"/>
      <c r="B651" s="1082"/>
      <c r="K651" s="1082"/>
      <c r="L651" s="1082"/>
      <c r="M651" s="1082"/>
      <c r="N651" s="1082"/>
      <c r="O651" s="1082"/>
      <c r="P651" s="1081"/>
      <c r="Q651" s="1081"/>
      <c r="R651" s="1081"/>
    </row>
    <row r="652" spans="1:18">
      <c r="A652" s="1081"/>
      <c r="B652" s="1082"/>
      <c r="K652" s="1082"/>
      <c r="L652" s="1082"/>
      <c r="M652" s="1082"/>
      <c r="N652" s="1082"/>
      <c r="O652" s="1082"/>
      <c r="P652" s="1081"/>
      <c r="Q652" s="1081"/>
      <c r="R652" s="1081"/>
    </row>
    <row r="653" spans="1:18">
      <c r="A653" s="1081"/>
      <c r="B653" s="1082"/>
      <c r="K653" s="1082"/>
      <c r="L653" s="1082"/>
      <c r="M653" s="1082"/>
      <c r="N653" s="1082"/>
      <c r="O653" s="1082"/>
      <c r="P653" s="1081"/>
      <c r="Q653" s="1081"/>
      <c r="R653" s="1081"/>
    </row>
    <row r="654" spans="1:18">
      <c r="A654" s="1081"/>
      <c r="B654" s="1082"/>
      <c r="K654" s="1082"/>
      <c r="L654" s="1082"/>
      <c r="M654" s="1082"/>
      <c r="N654" s="1082"/>
      <c r="O654" s="1082"/>
      <c r="P654" s="1081"/>
      <c r="Q654" s="1081"/>
      <c r="R654" s="1081"/>
    </row>
    <row r="655" spans="1:18">
      <c r="A655" s="1081"/>
      <c r="B655" s="1082"/>
      <c r="K655" s="1082"/>
      <c r="L655" s="1082"/>
      <c r="M655" s="1082"/>
      <c r="N655" s="1082"/>
      <c r="O655" s="1082"/>
      <c r="P655" s="1081"/>
      <c r="Q655" s="1081"/>
      <c r="R655" s="1081"/>
    </row>
    <row r="656" spans="1:18">
      <c r="A656" s="1081"/>
      <c r="B656" s="1082"/>
      <c r="K656" s="1082"/>
      <c r="L656" s="1082"/>
      <c r="M656" s="1082"/>
      <c r="N656" s="1082"/>
      <c r="O656" s="1082"/>
      <c r="P656" s="1081"/>
      <c r="Q656" s="1081"/>
      <c r="R656" s="1081"/>
    </row>
    <row r="657" spans="1:18">
      <c r="A657" s="1081"/>
      <c r="B657" s="1082"/>
      <c r="K657" s="1082"/>
      <c r="L657" s="1082"/>
      <c r="M657" s="1082"/>
      <c r="N657" s="1082"/>
      <c r="O657" s="1082"/>
      <c r="P657" s="1081"/>
      <c r="Q657" s="1081"/>
      <c r="R657" s="1081"/>
    </row>
    <row r="658" spans="1:18">
      <c r="A658" s="1081"/>
      <c r="B658" s="1082"/>
      <c r="K658" s="1082"/>
      <c r="L658" s="1082"/>
      <c r="M658" s="1082"/>
      <c r="N658" s="1082"/>
      <c r="O658" s="1082"/>
      <c r="P658" s="1081"/>
      <c r="Q658" s="1081"/>
      <c r="R658" s="1081"/>
    </row>
    <row r="659" spans="1:18">
      <c r="A659" s="1081"/>
      <c r="B659" s="1082"/>
      <c r="K659" s="1082"/>
      <c r="L659" s="1082"/>
      <c r="M659" s="1082"/>
      <c r="N659" s="1082"/>
      <c r="O659" s="1082"/>
      <c r="P659" s="1081"/>
      <c r="Q659" s="1081"/>
      <c r="R659" s="1081"/>
    </row>
    <row r="660" spans="1:18">
      <c r="A660" s="1081"/>
      <c r="B660" s="1082"/>
      <c r="K660" s="1082"/>
      <c r="L660" s="1082"/>
      <c r="M660" s="1082"/>
      <c r="N660" s="1082"/>
      <c r="O660" s="1082"/>
      <c r="P660" s="1081"/>
      <c r="Q660" s="1081"/>
      <c r="R660" s="1081"/>
    </row>
    <row r="661" spans="1:18">
      <c r="A661" s="1081"/>
      <c r="B661" s="1082"/>
      <c r="K661" s="1082"/>
      <c r="L661" s="1082"/>
      <c r="M661" s="1082"/>
      <c r="N661" s="1082"/>
      <c r="O661" s="1082"/>
      <c r="P661" s="1081"/>
      <c r="Q661" s="1081"/>
      <c r="R661" s="1081"/>
    </row>
    <row r="662" spans="1:18">
      <c r="A662" s="1081"/>
      <c r="B662" s="1082"/>
      <c r="K662" s="1082"/>
      <c r="L662" s="1082"/>
      <c r="M662" s="1082"/>
      <c r="N662" s="1082"/>
      <c r="O662" s="1082"/>
      <c r="P662" s="1081"/>
      <c r="Q662" s="1081"/>
      <c r="R662" s="1081"/>
    </row>
    <row r="663" spans="1:18">
      <c r="A663" s="1081"/>
      <c r="B663" s="1082"/>
      <c r="K663" s="1082"/>
      <c r="L663" s="1082"/>
      <c r="M663" s="1082"/>
      <c r="N663" s="1082"/>
      <c r="O663" s="1082"/>
      <c r="P663" s="1081"/>
      <c r="Q663" s="1081"/>
      <c r="R663" s="1081"/>
    </row>
    <row r="664" spans="1:18">
      <c r="A664" s="1081"/>
      <c r="B664" s="1082"/>
      <c r="K664" s="1082"/>
      <c r="L664" s="1082"/>
      <c r="M664" s="1082"/>
      <c r="N664" s="1082"/>
      <c r="O664" s="1082"/>
      <c r="P664" s="1081"/>
      <c r="Q664" s="1081"/>
      <c r="R664" s="1081"/>
    </row>
    <row r="665" spans="1:18">
      <c r="A665" s="1081"/>
      <c r="B665" s="1082"/>
      <c r="K665" s="1082"/>
      <c r="L665" s="1082"/>
      <c r="M665" s="1082"/>
      <c r="N665" s="1082"/>
      <c r="O665" s="1082"/>
      <c r="P665" s="1081"/>
      <c r="Q665" s="1081"/>
      <c r="R665" s="1081"/>
    </row>
    <row r="666" spans="1:18">
      <c r="A666" s="1081"/>
      <c r="B666" s="1082"/>
      <c r="K666" s="1082"/>
      <c r="L666" s="1082"/>
      <c r="M666" s="1082"/>
      <c r="N666" s="1082"/>
      <c r="O666" s="1082"/>
      <c r="P666" s="1081"/>
      <c r="Q666" s="1081"/>
      <c r="R666" s="1081"/>
    </row>
    <row r="667" spans="1:18">
      <c r="A667" s="1081"/>
      <c r="B667" s="1082"/>
      <c r="K667" s="1082"/>
      <c r="L667" s="1082"/>
      <c r="M667" s="1082"/>
      <c r="N667" s="1082"/>
      <c r="O667" s="1082"/>
      <c r="P667" s="1081"/>
      <c r="Q667" s="1081"/>
      <c r="R667" s="1081"/>
    </row>
    <row r="668" spans="1:18">
      <c r="A668" s="1081"/>
      <c r="B668" s="1082"/>
      <c r="K668" s="1082"/>
      <c r="L668" s="1082"/>
      <c r="M668" s="1082"/>
      <c r="N668" s="1082"/>
      <c r="O668" s="1082"/>
      <c r="P668" s="1081"/>
      <c r="Q668" s="1081"/>
      <c r="R668" s="1081"/>
    </row>
    <row r="669" spans="1:18">
      <c r="A669" s="1081"/>
      <c r="B669" s="1082"/>
      <c r="K669" s="1082"/>
      <c r="L669" s="1082"/>
      <c r="M669" s="1082"/>
      <c r="N669" s="1082"/>
      <c r="O669" s="1082"/>
      <c r="P669" s="1081"/>
      <c r="Q669" s="1081"/>
      <c r="R669" s="1081"/>
    </row>
    <row r="670" spans="1:18">
      <c r="A670" s="1081"/>
      <c r="B670" s="1082"/>
      <c r="K670" s="1082"/>
      <c r="L670" s="1082"/>
      <c r="M670" s="1082"/>
      <c r="N670" s="1082"/>
      <c r="O670" s="1082"/>
      <c r="P670" s="1081"/>
      <c r="Q670" s="1081"/>
      <c r="R670" s="1081"/>
    </row>
    <row r="671" spans="1:18">
      <c r="A671" s="1081"/>
      <c r="B671" s="1082"/>
      <c r="K671" s="1082"/>
      <c r="L671" s="1082"/>
      <c r="M671" s="1082"/>
      <c r="N671" s="1082"/>
      <c r="O671" s="1082"/>
      <c r="P671" s="1081"/>
      <c r="Q671" s="1081"/>
      <c r="R671" s="1081"/>
    </row>
    <row r="672" spans="1:18">
      <c r="A672" s="1081"/>
      <c r="B672" s="1082"/>
      <c r="K672" s="1082"/>
      <c r="L672" s="1082"/>
      <c r="M672" s="1082"/>
      <c r="N672" s="1082"/>
      <c r="O672" s="1082"/>
      <c r="P672" s="1081"/>
      <c r="Q672" s="1081"/>
      <c r="R672" s="1081"/>
    </row>
    <row r="673" spans="1:18">
      <c r="A673" s="1081"/>
      <c r="B673" s="1082"/>
      <c r="K673" s="1082"/>
      <c r="L673" s="1082"/>
      <c r="M673" s="1082"/>
      <c r="N673" s="1082"/>
      <c r="O673" s="1082"/>
      <c r="P673" s="1081"/>
      <c r="Q673" s="1081"/>
      <c r="R673" s="1081"/>
    </row>
    <row r="674" spans="1:18">
      <c r="A674" s="1081"/>
      <c r="B674" s="1082"/>
      <c r="K674" s="1082"/>
      <c r="L674" s="1082"/>
      <c r="M674" s="1082"/>
      <c r="N674" s="1082"/>
      <c r="O674" s="1082"/>
      <c r="P674" s="1081"/>
      <c r="Q674" s="1081"/>
      <c r="R674" s="1081"/>
    </row>
    <row r="675" spans="1:18">
      <c r="A675" s="1081"/>
      <c r="B675" s="1082"/>
      <c r="K675" s="1082"/>
      <c r="L675" s="1082"/>
      <c r="M675" s="1082"/>
      <c r="N675" s="1082"/>
      <c r="O675" s="1082"/>
      <c r="P675" s="1081"/>
      <c r="Q675" s="1081"/>
      <c r="R675" s="1081"/>
    </row>
    <row r="676" spans="1:18">
      <c r="A676" s="1081"/>
      <c r="B676" s="1082"/>
      <c r="K676" s="1082"/>
      <c r="L676" s="1082"/>
      <c r="M676" s="1082"/>
      <c r="N676" s="1082"/>
      <c r="O676" s="1082"/>
      <c r="P676" s="1081"/>
      <c r="Q676" s="1081"/>
      <c r="R676" s="1081"/>
    </row>
    <row r="677" spans="1:18">
      <c r="A677" s="1081"/>
      <c r="B677" s="1082"/>
      <c r="K677" s="1082"/>
      <c r="L677" s="1082"/>
      <c r="M677" s="1082"/>
      <c r="N677" s="1082"/>
      <c r="O677" s="1082"/>
      <c r="P677" s="1081"/>
      <c r="Q677" s="1081"/>
      <c r="R677" s="1081"/>
    </row>
    <row r="678" spans="1:18">
      <c r="A678" s="1081"/>
      <c r="B678" s="1082"/>
      <c r="K678" s="1082"/>
      <c r="L678" s="1082"/>
      <c r="M678" s="1082"/>
      <c r="N678" s="1082"/>
      <c r="O678" s="1082"/>
      <c r="P678" s="1081"/>
      <c r="Q678" s="1081"/>
      <c r="R678" s="1081"/>
    </row>
    <row r="679" spans="1:18">
      <c r="A679" s="1081"/>
      <c r="B679" s="1082"/>
      <c r="K679" s="1082"/>
      <c r="L679" s="1082"/>
      <c r="M679" s="1082"/>
      <c r="N679" s="1082"/>
      <c r="O679" s="1082"/>
      <c r="P679" s="1081"/>
      <c r="Q679" s="1081"/>
      <c r="R679" s="1081"/>
    </row>
    <row r="680" spans="1:18">
      <c r="A680" s="1081"/>
      <c r="B680" s="1082"/>
      <c r="K680" s="1082"/>
      <c r="L680" s="1082"/>
      <c r="M680" s="1082"/>
      <c r="N680" s="1082"/>
      <c r="O680" s="1082"/>
      <c r="P680" s="1081"/>
      <c r="Q680" s="1081"/>
      <c r="R680" s="1081"/>
    </row>
    <row r="681" spans="1:18">
      <c r="A681" s="1081"/>
      <c r="B681" s="1082"/>
      <c r="K681" s="1082"/>
      <c r="L681" s="1082"/>
      <c r="M681" s="1082"/>
      <c r="N681" s="1082"/>
      <c r="O681" s="1082"/>
      <c r="P681" s="1081"/>
      <c r="Q681" s="1081"/>
      <c r="R681" s="1081"/>
    </row>
    <row r="682" spans="1:18">
      <c r="A682" s="1081"/>
      <c r="B682" s="1082"/>
      <c r="K682" s="1082"/>
      <c r="L682" s="1082"/>
      <c r="M682" s="1082"/>
      <c r="N682" s="1082"/>
      <c r="O682" s="1082"/>
      <c r="P682" s="1081"/>
      <c r="Q682" s="1081"/>
      <c r="R682" s="1081"/>
    </row>
    <row r="683" spans="1:18">
      <c r="A683" s="1081"/>
      <c r="B683" s="1082"/>
      <c r="K683" s="1082"/>
      <c r="L683" s="1082"/>
      <c r="M683" s="1082"/>
      <c r="N683" s="1082"/>
      <c r="O683" s="1082"/>
      <c r="P683" s="1081"/>
      <c r="Q683" s="1081"/>
      <c r="R683" s="1081"/>
    </row>
    <row r="684" spans="1:18">
      <c r="A684" s="1081"/>
      <c r="B684" s="1082"/>
      <c r="K684" s="1082"/>
      <c r="L684" s="1082"/>
      <c r="M684" s="1082"/>
      <c r="N684" s="1082"/>
      <c r="O684" s="1082"/>
      <c r="P684" s="1081"/>
      <c r="Q684" s="1081"/>
      <c r="R684" s="1081"/>
    </row>
    <row r="685" spans="1:18">
      <c r="A685" s="1081"/>
      <c r="B685" s="1082"/>
      <c r="K685" s="1082"/>
      <c r="L685" s="1082"/>
      <c r="M685" s="1082"/>
      <c r="N685" s="1082"/>
      <c r="O685" s="1082"/>
      <c r="P685" s="1081"/>
      <c r="Q685" s="1081"/>
      <c r="R685" s="1081"/>
    </row>
    <row r="686" spans="1:18">
      <c r="A686" s="1081"/>
      <c r="B686" s="1082"/>
      <c r="K686" s="1082"/>
      <c r="L686" s="1082"/>
      <c r="M686" s="1082"/>
      <c r="N686" s="1082"/>
      <c r="O686" s="1082"/>
      <c r="P686" s="1081"/>
      <c r="Q686" s="1081"/>
      <c r="R686" s="1081"/>
    </row>
    <row r="687" spans="1:18">
      <c r="A687" s="1081"/>
      <c r="B687" s="1082"/>
      <c r="K687" s="1082"/>
      <c r="L687" s="1082"/>
      <c r="M687" s="1082"/>
      <c r="N687" s="1082"/>
      <c r="O687" s="1082"/>
      <c r="P687" s="1081"/>
      <c r="Q687" s="1081"/>
      <c r="R687" s="1081"/>
    </row>
    <row r="688" spans="1:18">
      <c r="A688" s="1081"/>
      <c r="B688" s="1082"/>
      <c r="K688" s="1082"/>
      <c r="L688" s="1082"/>
      <c r="M688" s="1082"/>
      <c r="N688" s="1082"/>
      <c r="O688" s="1082"/>
      <c r="P688" s="1081"/>
      <c r="Q688" s="1081"/>
      <c r="R688" s="1081"/>
    </row>
    <row r="689" spans="1:18">
      <c r="A689" s="1081"/>
      <c r="B689" s="1082"/>
      <c r="K689" s="1082"/>
      <c r="L689" s="1082"/>
      <c r="M689" s="1082"/>
      <c r="N689" s="1082"/>
      <c r="O689" s="1082"/>
      <c r="P689" s="1081"/>
      <c r="Q689" s="1081"/>
      <c r="R689" s="1081"/>
    </row>
    <row r="690" spans="1:18">
      <c r="A690" s="1081"/>
      <c r="B690" s="1082"/>
      <c r="K690" s="1082"/>
      <c r="L690" s="1082"/>
      <c r="M690" s="1082"/>
      <c r="N690" s="1082"/>
      <c r="O690" s="1082"/>
      <c r="P690" s="1081"/>
      <c r="Q690" s="1081"/>
      <c r="R690" s="1081"/>
    </row>
    <row r="691" spans="1:18">
      <c r="A691" s="1081"/>
      <c r="B691" s="1082"/>
      <c r="K691" s="1082"/>
      <c r="L691" s="1082"/>
      <c r="M691" s="1082"/>
      <c r="N691" s="1082"/>
      <c r="O691" s="1082"/>
      <c r="P691" s="1081"/>
      <c r="Q691" s="1081"/>
      <c r="R691" s="1081"/>
    </row>
    <row r="692" spans="1:18">
      <c r="A692" s="1081"/>
      <c r="B692" s="1082"/>
      <c r="K692" s="1082"/>
      <c r="L692" s="1082"/>
      <c r="M692" s="1082"/>
      <c r="N692" s="1082"/>
      <c r="O692" s="1082"/>
      <c r="P692" s="1081"/>
      <c r="Q692" s="1081"/>
      <c r="R692" s="1081"/>
    </row>
    <row r="693" spans="1:18">
      <c r="A693" s="1081"/>
      <c r="B693" s="1082"/>
      <c r="K693" s="1082"/>
      <c r="L693" s="1082"/>
      <c r="M693" s="1082"/>
      <c r="N693" s="1082"/>
      <c r="O693" s="1082"/>
      <c r="P693" s="1081"/>
      <c r="Q693" s="1081"/>
      <c r="R693" s="1081"/>
    </row>
    <row r="694" spans="1:18">
      <c r="A694" s="1081"/>
      <c r="B694" s="1082"/>
      <c r="K694" s="1082"/>
      <c r="L694" s="1082"/>
      <c r="M694" s="1082"/>
      <c r="N694" s="1082"/>
      <c r="O694" s="1082"/>
      <c r="P694" s="1081"/>
      <c r="Q694" s="1081"/>
      <c r="R694" s="1081"/>
    </row>
    <row r="695" spans="1:18">
      <c r="A695" s="1081"/>
      <c r="B695" s="1082"/>
      <c r="K695" s="1082"/>
      <c r="L695" s="1082"/>
      <c r="M695" s="1082"/>
      <c r="N695" s="1082"/>
      <c r="O695" s="1082"/>
      <c r="P695" s="1081"/>
      <c r="Q695" s="1081"/>
      <c r="R695" s="1081"/>
    </row>
    <row r="696" spans="1:18">
      <c r="A696" s="1081"/>
      <c r="B696" s="1082"/>
      <c r="K696" s="1082"/>
      <c r="L696" s="1082"/>
      <c r="M696" s="1082"/>
      <c r="N696" s="1082"/>
      <c r="O696" s="1082"/>
      <c r="P696" s="1081"/>
      <c r="Q696" s="1081"/>
      <c r="R696" s="1081"/>
    </row>
    <row r="697" spans="1:18">
      <c r="A697" s="1081"/>
      <c r="B697" s="1082"/>
      <c r="K697" s="1082"/>
      <c r="L697" s="1082"/>
      <c r="M697" s="1082"/>
      <c r="N697" s="1082"/>
      <c r="O697" s="1082"/>
      <c r="P697" s="1081"/>
      <c r="Q697" s="1081"/>
      <c r="R697" s="1081"/>
    </row>
    <row r="698" spans="1:18">
      <c r="A698" s="1081"/>
      <c r="B698" s="1082"/>
      <c r="K698" s="1082"/>
      <c r="L698" s="1082"/>
      <c r="M698" s="1082"/>
      <c r="N698" s="1082"/>
      <c r="O698" s="1082"/>
      <c r="P698" s="1081"/>
      <c r="Q698" s="1081"/>
      <c r="R698" s="1081"/>
    </row>
    <row r="699" spans="1:18">
      <c r="A699" s="1081"/>
      <c r="B699" s="1082"/>
      <c r="K699" s="1082"/>
      <c r="L699" s="1082"/>
      <c r="M699" s="1082"/>
      <c r="N699" s="1082"/>
      <c r="O699" s="1082"/>
      <c r="P699" s="1081"/>
      <c r="Q699" s="1081"/>
      <c r="R699" s="1081"/>
    </row>
    <row r="700" spans="1:18">
      <c r="A700" s="1081"/>
      <c r="B700" s="1082"/>
      <c r="K700" s="1082"/>
      <c r="L700" s="1082"/>
      <c r="M700" s="1082"/>
      <c r="N700" s="1082"/>
      <c r="O700" s="1082"/>
      <c r="P700" s="1081"/>
      <c r="Q700" s="1081"/>
      <c r="R700" s="1081"/>
    </row>
    <row r="701" spans="1:18">
      <c r="A701" s="1081"/>
      <c r="B701" s="1082"/>
      <c r="K701" s="1082"/>
      <c r="L701" s="1082"/>
      <c r="M701" s="1082"/>
      <c r="N701" s="1082"/>
      <c r="O701" s="1082"/>
      <c r="P701" s="1081"/>
      <c r="Q701" s="1081"/>
      <c r="R701" s="1081"/>
    </row>
    <row r="702" spans="1:18">
      <c r="A702" s="1081"/>
      <c r="B702" s="1082"/>
      <c r="K702" s="1082"/>
      <c r="L702" s="1082"/>
      <c r="M702" s="1082"/>
      <c r="N702" s="1082"/>
      <c r="O702" s="1082"/>
      <c r="P702" s="1081"/>
      <c r="Q702" s="1081"/>
      <c r="R702" s="1081"/>
    </row>
    <row r="703" spans="1:18">
      <c r="A703" s="1081"/>
      <c r="B703" s="1082"/>
      <c r="K703" s="1082"/>
      <c r="L703" s="1082"/>
      <c r="M703" s="1082"/>
      <c r="N703" s="1082"/>
      <c r="O703" s="1082"/>
      <c r="P703" s="1081"/>
      <c r="Q703" s="1081"/>
      <c r="R703" s="1081"/>
    </row>
    <row r="704" spans="1:18">
      <c r="A704" s="1081"/>
      <c r="B704" s="1082"/>
      <c r="K704" s="1082"/>
      <c r="L704" s="1082"/>
      <c r="M704" s="1082"/>
      <c r="N704" s="1082"/>
      <c r="O704" s="1082"/>
      <c r="P704" s="1081"/>
      <c r="Q704" s="1081"/>
      <c r="R704" s="1081"/>
    </row>
    <row r="705" spans="1:18">
      <c r="A705" s="1081"/>
      <c r="B705" s="1082"/>
      <c r="K705" s="1082"/>
      <c r="L705" s="1082"/>
      <c r="M705" s="1082"/>
      <c r="N705" s="1082"/>
      <c r="O705" s="1082"/>
      <c r="P705" s="1081"/>
      <c r="Q705" s="1081"/>
      <c r="R705" s="1081"/>
    </row>
    <row r="706" spans="1:18">
      <c r="A706" s="1081"/>
      <c r="B706" s="1082"/>
      <c r="K706" s="1082"/>
      <c r="L706" s="1082"/>
      <c r="M706" s="1082"/>
      <c r="N706" s="1082"/>
      <c r="O706" s="1082"/>
      <c r="P706" s="1081"/>
      <c r="Q706" s="1081"/>
      <c r="R706" s="1081"/>
    </row>
    <row r="707" spans="1:18">
      <c r="A707" s="1081"/>
      <c r="B707" s="1082"/>
      <c r="K707" s="1082"/>
      <c r="L707" s="1082"/>
      <c r="M707" s="1082"/>
      <c r="N707" s="1082"/>
      <c r="O707" s="1082"/>
      <c r="P707" s="1081"/>
      <c r="Q707" s="1081"/>
      <c r="R707" s="1081"/>
    </row>
    <row r="708" spans="1:18">
      <c r="A708" s="1081"/>
      <c r="B708" s="1082"/>
      <c r="K708" s="1082"/>
      <c r="L708" s="1082"/>
      <c r="M708" s="1082"/>
      <c r="N708" s="1082"/>
      <c r="O708" s="1082"/>
      <c r="P708" s="1081"/>
      <c r="Q708" s="1081"/>
      <c r="R708" s="1081"/>
    </row>
    <row r="709" spans="1:18">
      <c r="A709" s="1081"/>
      <c r="B709" s="1082"/>
      <c r="K709" s="1082"/>
      <c r="L709" s="1082"/>
      <c r="M709" s="1082"/>
      <c r="N709" s="1082"/>
      <c r="O709" s="1082"/>
      <c r="P709" s="1081"/>
      <c r="Q709" s="1081"/>
      <c r="R709" s="1081"/>
    </row>
    <row r="710" spans="1:18">
      <c r="A710" s="1081"/>
      <c r="B710" s="1082"/>
      <c r="K710" s="1082"/>
      <c r="L710" s="1082"/>
      <c r="M710" s="1082"/>
      <c r="N710" s="1082"/>
      <c r="O710" s="1082"/>
      <c r="P710" s="1081"/>
      <c r="Q710" s="1081"/>
      <c r="R710" s="1081"/>
    </row>
    <row r="711" spans="1:18">
      <c r="A711" s="1081"/>
      <c r="B711" s="1082"/>
      <c r="K711" s="1082"/>
      <c r="L711" s="1082"/>
      <c r="M711" s="1082"/>
      <c r="N711" s="1082"/>
      <c r="O711" s="1082"/>
      <c r="P711" s="1081"/>
      <c r="Q711" s="1081"/>
      <c r="R711" s="1081"/>
    </row>
    <row r="712" spans="1:18">
      <c r="A712" s="1081"/>
      <c r="B712" s="1082"/>
      <c r="K712" s="1082"/>
      <c r="L712" s="1082"/>
      <c r="M712" s="1082"/>
      <c r="N712" s="1082"/>
      <c r="O712" s="1082"/>
      <c r="P712" s="1081"/>
      <c r="Q712" s="1081"/>
      <c r="R712" s="1081"/>
    </row>
    <row r="713" spans="1:18">
      <c r="A713" s="1081"/>
      <c r="B713" s="1082"/>
      <c r="K713" s="1082"/>
      <c r="L713" s="1082"/>
      <c r="M713" s="1082"/>
      <c r="N713" s="1082"/>
      <c r="O713" s="1082"/>
      <c r="P713" s="1081"/>
      <c r="Q713" s="1081"/>
      <c r="R713" s="1081"/>
    </row>
    <row r="714" spans="1:18">
      <c r="A714" s="1081"/>
      <c r="B714" s="1082"/>
      <c r="K714" s="1082"/>
      <c r="L714" s="1082"/>
      <c r="M714" s="1082"/>
      <c r="N714" s="1082"/>
      <c r="O714" s="1082"/>
      <c r="P714" s="1081"/>
      <c r="Q714" s="1081"/>
      <c r="R714" s="1081"/>
    </row>
    <row r="715" spans="1:18">
      <c r="A715" s="1081"/>
      <c r="B715" s="1082"/>
      <c r="K715" s="1082"/>
      <c r="L715" s="1082"/>
      <c r="M715" s="1082"/>
      <c r="N715" s="1082"/>
      <c r="O715" s="1082"/>
      <c r="P715" s="1081"/>
      <c r="Q715" s="1081"/>
      <c r="R715" s="1081"/>
    </row>
    <row r="716" spans="1:18">
      <c r="A716" s="1081"/>
      <c r="B716" s="1082"/>
      <c r="K716" s="1082"/>
      <c r="L716" s="1082"/>
      <c r="M716" s="1082"/>
      <c r="N716" s="1082"/>
      <c r="O716" s="1082"/>
      <c r="P716" s="1081"/>
      <c r="Q716" s="1081"/>
      <c r="R716" s="1081"/>
    </row>
    <row r="717" spans="1:18">
      <c r="A717" s="1081"/>
      <c r="B717" s="1082"/>
      <c r="K717" s="1082"/>
      <c r="L717" s="1082"/>
      <c r="M717" s="1082"/>
      <c r="N717" s="1082"/>
      <c r="O717" s="1082"/>
      <c r="P717" s="1081"/>
      <c r="Q717" s="1081"/>
      <c r="R717" s="1081"/>
    </row>
    <row r="718" spans="1:18">
      <c r="A718" s="1081"/>
      <c r="B718" s="1082"/>
      <c r="K718" s="1082"/>
      <c r="L718" s="1082"/>
      <c r="M718" s="1082"/>
      <c r="N718" s="1082"/>
      <c r="O718" s="1082"/>
      <c r="P718" s="1081"/>
      <c r="Q718" s="1081"/>
      <c r="R718" s="1081"/>
    </row>
    <row r="719" spans="1:18">
      <c r="A719" s="1081"/>
      <c r="B719" s="1082"/>
      <c r="K719" s="1082"/>
      <c r="L719" s="1082"/>
      <c r="M719" s="1082"/>
      <c r="N719" s="1082"/>
      <c r="O719" s="1082"/>
      <c r="P719" s="1081"/>
      <c r="Q719" s="1081"/>
      <c r="R719" s="1081"/>
    </row>
    <row r="720" spans="1:18">
      <c r="A720" s="1081"/>
      <c r="B720" s="1082"/>
      <c r="K720" s="1082"/>
      <c r="L720" s="1082"/>
      <c r="M720" s="1082"/>
      <c r="N720" s="1082"/>
      <c r="O720" s="1082"/>
      <c r="P720" s="1081"/>
      <c r="Q720" s="1081"/>
      <c r="R720" s="1081"/>
    </row>
    <row r="721" spans="1:18">
      <c r="A721" s="1081"/>
      <c r="B721" s="1082"/>
      <c r="K721" s="1082"/>
      <c r="L721" s="1082"/>
      <c r="M721" s="1082"/>
      <c r="N721" s="1082"/>
      <c r="O721" s="1082"/>
      <c r="P721" s="1081"/>
      <c r="Q721" s="1081"/>
      <c r="R721" s="1081"/>
    </row>
    <row r="722" spans="1:18">
      <c r="A722" s="1081"/>
      <c r="B722" s="1082"/>
      <c r="K722" s="1082"/>
      <c r="L722" s="1082"/>
      <c r="M722" s="1082"/>
      <c r="N722" s="1082"/>
      <c r="O722" s="1082"/>
      <c r="P722" s="1081"/>
      <c r="Q722" s="1081"/>
      <c r="R722" s="1081"/>
    </row>
    <row r="723" spans="1:18">
      <c r="A723" s="1081"/>
      <c r="B723" s="1082"/>
      <c r="K723" s="1082"/>
      <c r="L723" s="1082"/>
      <c r="M723" s="1082"/>
      <c r="N723" s="1082"/>
      <c r="O723" s="1082"/>
      <c r="P723" s="1081"/>
      <c r="Q723" s="1081"/>
      <c r="R723" s="1081"/>
    </row>
    <row r="724" spans="1:18">
      <c r="A724" s="1081"/>
      <c r="B724" s="1082"/>
      <c r="K724" s="1082"/>
      <c r="L724" s="1082"/>
      <c r="M724" s="1082"/>
      <c r="N724" s="1082"/>
      <c r="O724" s="1082"/>
      <c r="P724" s="1081"/>
      <c r="Q724" s="1081"/>
      <c r="R724" s="1081"/>
    </row>
    <row r="725" spans="1:18">
      <c r="A725" s="1081"/>
      <c r="B725" s="1082"/>
      <c r="K725" s="1082"/>
      <c r="L725" s="1082"/>
      <c r="M725" s="1082"/>
      <c r="N725" s="1082"/>
      <c r="O725" s="1082"/>
      <c r="P725" s="1081"/>
      <c r="Q725" s="1081"/>
      <c r="R725" s="1081"/>
    </row>
    <row r="726" spans="1:18">
      <c r="A726" s="1081"/>
      <c r="B726" s="1082"/>
      <c r="K726" s="1082"/>
      <c r="L726" s="1082"/>
      <c r="M726" s="1082"/>
      <c r="N726" s="1082"/>
      <c r="O726" s="1082"/>
      <c r="P726" s="1081"/>
      <c r="Q726" s="1081"/>
      <c r="R726" s="1081"/>
    </row>
    <row r="727" spans="1:18">
      <c r="A727" s="1081"/>
      <c r="B727" s="1082"/>
      <c r="K727" s="1082"/>
      <c r="L727" s="1082"/>
      <c r="M727" s="1082"/>
      <c r="N727" s="1082"/>
      <c r="O727" s="1082"/>
      <c r="P727" s="1081"/>
      <c r="Q727" s="1081"/>
      <c r="R727" s="1081"/>
    </row>
    <row r="728" spans="1:18">
      <c r="A728" s="1081"/>
      <c r="B728" s="1082"/>
      <c r="K728" s="1082"/>
      <c r="L728" s="1082"/>
      <c r="M728" s="1082"/>
      <c r="N728" s="1082"/>
      <c r="O728" s="1082"/>
      <c r="P728" s="1081"/>
      <c r="Q728" s="1081"/>
      <c r="R728" s="1081"/>
    </row>
    <row r="729" spans="1:18">
      <c r="A729" s="1081"/>
      <c r="B729" s="1082"/>
      <c r="K729" s="1082"/>
      <c r="L729" s="1082"/>
      <c r="M729" s="1082"/>
      <c r="N729" s="1082"/>
      <c r="O729" s="1082"/>
      <c r="P729" s="1081"/>
      <c r="Q729" s="1081"/>
      <c r="R729" s="1081"/>
    </row>
    <row r="730" spans="1:18">
      <c r="A730" s="1081"/>
      <c r="B730" s="1082"/>
      <c r="K730" s="1082"/>
      <c r="L730" s="1082"/>
      <c r="M730" s="1082"/>
      <c r="N730" s="1082"/>
      <c r="O730" s="1082"/>
      <c r="P730" s="1081"/>
      <c r="Q730" s="1081"/>
      <c r="R730" s="1081"/>
    </row>
    <row r="731" spans="1:18">
      <c r="A731" s="1081"/>
      <c r="B731" s="1082"/>
      <c r="K731" s="1082"/>
      <c r="L731" s="1082"/>
      <c r="M731" s="1082"/>
      <c r="N731" s="1082"/>
      <c r="O731" s="1082"/>
      <c r="P731" s="1081"/>
      <c r="Q731" s="1081"/>
      <c r="R731" s="1081"/>
    </row>
    <row r="732" spans="1:18">
      <c r="A732" s="1081"/>
      <c r="B732" s="1082"/>
      <c r="K732" s="1082"/>
      <c r="L732" s="1082"/>
      <c r="M732" s="1082"/>
      <c r="N732" s="1082"/>
      <c r="O732" s="1082"/>
      <c r="P732" s="1081"/>
      <c r="Q732" s="1081"/>
      <c r="R732" s="1081"/>
    </row>
    <row r="733" spans="1:18">
      <c r="A733" s="1081"/>
      <c r="B733" s="1082"/>
      <c r="K733" s="1082"/>
      <c r="L733" s="1082"/>
      <c r="M733" s="1082"/>
      <c r="N733" s="1082"/>
      <c r="O733" s="1082"/>
      <c r="P733" s="1081"/>
      <c r="Q733" s="1081"/>
      <c r="R733" s="1081"/>
    </row>
    <row r="734" spans="1:18">
      <c r="A734" s="1081"/>
      <c r="B734" s="1082"/>
      <c r="K734" s="1082"/>
      <c r="L734" s="1082"/>
      <c r="M734" s="1082"/>
      <c r="N734" s="1082"/>
      <c r="O734" s="1082"/>
      <c r="P734" s="1081"/>
      <c r="Q734" s="1081"/>
      <c r="R734" s="1081"/>
    </row>
    <row r="735" spans="1:18">
      <c r="A735" s="1081"/>
      <c r="B735" s="1082"/>
      <c r="K735" s="1082"/>
      <c r="L735" s="1082"/>
      <c r="M735" s="1082"/>
      <c r="N735" s="1082"/>
      <c r="O735" s="1082"/>
      <c r="P735" s="1081"/>
      <c r="Q735" s="1081"/>
      <c r="R735" s="1081"/>
    </row>
    <row r="736" spans="1:18">
      <c r="A736" s="1081"/>
      <c r="B736" s="1082"/>
      <c r="K736" s="1082"/>
      <c r="L736" s="1082"/>
      <c r="M736" s="1082"/>
      <c r="N736" s="1082"/>
      <c r="O736" s="1082"/>
      <c r="P736" s="1081"/>
      <c r="Q736" s="1081"/>
      <c r="R736" s="1081"/>
    </row>
    <row r="737" spans="1:18">
      <c r="A737" s="1081"/>
      <c r="B737" s="1082"/>
      <c r="K737" s="1082"/>
      <c r="L737" s="1082"/>
      <c r="M737" s="1082"/>
      <c r="N737" s="1082"/>
      <c r="O737" s="1082"/>
      <c r="P737" s="1081"/>
      <c r="Q737" s="1081"/>
      <c r="R737" s="1081"/>
    </row>
    <row r="738" spans="1:18">
      <c r="A738" s="1081"/>
      <c r="B738" s="1082"/>
      <c r="K738" s="1082"/>
      <c r="L738" s="1082"/>
      <c r="M738" s="1082"/>
      <c r="N738" s="1082"/>
      <c r="O738" s="1082"/>
      <c r="P738" s="1081"/>
      <c r="Q738" s="1081"/>
      <c r="R738" s="1081"/>
    </row>
    <row r="739" spans="1:18">
      <c r="A739" s="1081"/>
      <c r="B739" s="1082"/>
      <c r="K739" s="1082"/>
      <c r="L739" s="1082"/>
      <c r="M739" s="1082"/>
      <c r="N739" s="1082"/>
      <c r="O739" s="1082"/>
      <c r="P739" s="1081"/>
      <c r="Q739" s="1081"/>
      <c r="R739" s="1081"/>
    </row>
    <row r="740" spans="1:18">
      <c r="A740" s="1081"/>
      <c r="B740" s="1082"/>
      <c r="K740" s="1082"/>
      <c r="L740" s="1082"/>
      <c r="M740" s="1082"/>
      <c r="N740" s="1082"/>
      <c r="O740" s="1082"/>
      <c r="P740" s="1081"/>
      <c r="Q740" s="1081"/>
      <c r="R740" s="1081"/>
    </row>
    <row r="741" spans="1:18">
      <c r="A741" s="1081"/>
      <c r="B741" s="1082"/>
      <c r="K741" s="1082"/>
      <c r="L741" s="1082"/>
      <c r="M741" s="1082"/>
      <c r="N741" s="1082"/>
      <c r="O741" s="1082"/>
      <c r="P741" s="1081"/>
      <c r="Q741" s="1081"/>
      <c r="R741" s="1081"/>
    </row>
    <row r="742" spans="1:18">
      <c r="A742" s="1081"/>
      <c r="B742" s="1082"/>
      <c r="K742" s="1082"/>
      <c r="L742" s="1082"/>
      <c r="M742" s="1082"/>
      <c r="N742" s="1082"/>
      <c r="O742" s="1082"/>
      <c r="P742" s="1081"/>
      <c r="Q742" s="1081"/>
      <c r="R742" s="1081"/>
    </row>
    <row r="743" spans="1:18">
      <c r="A743" s="1081"/>
      <c r="B743" s="1082"/>
      <c r="K743" s="1082"/>
      <c r="L743" s="1082"/>
      <c r="M743" s="1082"/>
      <c r="N743" s="1082"/>
      <c r="O743" s="1082"/>
      <c r="P743" s="1081"/>
      <c r="Q743" s="1081"/>
      <c r="R743" s="1081"/>
    </row>
    <row r="744" spans="1:18">
      <c r="A744" s="1081"/>
      <c r="B744" s="1082"/>
      <c r="K744" s="1082"/>
      <c r="L744" s="1082"/>
      <c r="M744" s="1082"/>
      <c r="N744" s="1082"/>
      <c r="O744" s="1082"/>
      <c r="P744" s="1081"/>
      <c r="Q744" s="1081"/>
      <c r="R744" s="1081"/>
    </row>
    <row r="745" spans="1:18">
      <c r="A745" s="1081"/>
      <c r="B745" s="1082"/>
      <c r="K745" s="1082"/>
      <c r="L745" s="1082"/>
      <c r="M745" s="1082"/>
      <c r="N745" s="1082"/>
      <c r="O745" s="1082"/>
      <c r="P745" s="1081"/>
      <c r="Q745" s="1081"/>
      <c r="R745" s="1081"/>
    </row>
    <row r="746" spans="1:18">
      <c r="A746" s="1081"/>
      <c r="B746" s="1082"/>
      <c r="K746" s="1082"/>
      <c r="L746" s="1082"/>
      <c r="M746" s="1082"/>
      <c r="N746" s="1082"/>
      <c r="O746" s="1082"/>
      <c r="P746" s="1081"/>
      <c r="Q746" s="1081"/>
      <c r="R746" s="1081"/>
    </row>
    <row r="747" spans="1:18">
      <c r="A747" s="1081"/>
      <c r="B747" s="1082"/>
      <c r="K747" s="1082"/>
      <c r="L747" s="1082"/>
      <c r="M747" s="1082"/>
      <c r="N747" s="1082"/>
      <c r="O747" s="1082"/>
      <c r="P747" s="1081"/>
      <c r="Q747" s="1081"/>
      <c r="R747" s="1081"/>
    </row>
    <row r="748" spans="1:18">
      <c r="A748" s="1081"/>
      <c r="B748" s="1082"/>
      <c r="K748" s="1082"/>
      <c r="L748" s="1082"/>
      <c r="M748" s="1082"/>
      <c r="N748" s="1082"/>
      <c r="O748" s="1082"/>
      <c r="P748" s="1081"/>
      <c r="Q748" s="1081"/>
      <c r="R748" s="1081"/>
    </row>
    <row r="749" spans="1:18">
      <c r="A749" s="1081"/>
      <c r="B749" s="1082"/>
      <c r="K749" s="1082"/>
      <c r="L749" s="1082"/>
      <c r="M749" s="1082"/>
      <c r="N749" s="1082"/>
      <c r="O749" s="1082"/>
      <c r="P749" s="1081"/>
      <c r="Q749" s="1081"/>
      <c r="R749" s="1081"/>
    </row>
    <row r="750" spans="1:18">
      <c r="A750" s="1081"/>
      <c r="B750" s="1082"/>
      <c r="K750" s="1082"/>
      <c r="L750" s="1082"/>
      <c r="M750" s="1082"/>
      <c r="N750" s="1082"/>
      <c r="O750" s="1082"/>
      <c r="P750" s="1081"/>
      <c r="Q750" s="1081"/>
      <c r="R750" s="1081"/>
    </row>
    <row r="751" spans="1:18">
      <c r="A751" s="1081"/>
      <c r="B751" s="1082"/>
      <c r="K751" s="1082"/>
      <c r="L751" s="1082"/>
      <c r="M751" s="1082"/>
      <c r="N751" s="1082"/>
      <c r="O751" s="1082"/>
      <c r="P751" s="1081"/>
      <c r="Q751" s="1081"/>
      <c r="R751" s="1081"/>
    </row>
    <row r="752" spans="1:18">
      <c r="A752" s="1081"/>
      <c r="B752" s="1082"/>
      <c r="K752" s="1082"/>
      <c r="L752" s="1082"/>
      <c r="M752" s="1082"/>
      <c r="N752" s="1082"/>
      <c r="O752" s="1082"/>
      <c r="P752" s="1081"/>
      <c r="Q752" s="1081"/>
      <c r="R752" s="1081"/>
    </row>
    <row r="753" spans="1:18">
      <c r="A753" s="1081"/>
      <c r="B753" s="1082"/>
      <c r="K753" s="1082"/>
      <c r="L753" s="1082"/>
      <c r="M753" s="1082"/>
      <c r="N753" s="1082"/>
      <c r="O753" s="1082"/>
      <c r="P753" s="1081"/>
      <c r="Q753" s="1081"/>
      <c r="R753" s="1081"/>
    </row>
    <row r="754" spans="1:18">
      <c r="A754" s="1081"/>
      <c r="B754" s="1082"/>
      <c r="K754" s="1082"/>
      <c r="L754" s="1082"/>
      <c r="M754" s="1082"/>
      <c r="N754" s="1082"/>
      <c r="O754" s="1082"/>
      <c r="P754" s="1081"/>
      <c r="Q754" s="1081"/>
      <c r="R754" s="1081"/>
    </row>
    <row r="755" spans="1:18">
      <c r="A755" s="1081"/>
      <c r="B755" s="1082"/>
      <c r="K755" s="1082"/>
      <c r="L755" s="1082"/>
      <c r="M755" s="1082"/>
      <c r="N755" s="1082"/>
      <c r="O755" s="1082"/>
      <c r="P755" s="1081"/>
      <c r="Q755" s="1081"/>
      <c r="R755" s="1081"/>
    </row>
    <row r="756" spans="1:18">
      <c r="A756" s="1081"/>
      <c r="B756" s="1082"/>
      <c r="K756" s="1082"/>
      <c r="L756" s="1082"/>
      <c r="M756" s="1082"/>
      <c r="N756" s="1082"/>
      <c r="O756" s="1082"/>
      <c r="P756" s="1081"/>
      <c r="Q756" s="1081"/>
      <c r="R756" s="1081"/>
    </row>
    <row r="757" spans="1:18">
      <c r="A757" s="1081"/>
      <c r="B757" s="1082"/>
      <c r="K757" s="1082"/>
      <c r="L757" s="1082"/>
      <c r="M757" s="1082"/>
      <c r="N757" s="1082"/>
      <c r="O757" s="1082"/>
      <c r="P757" s="1081"/>
      <c r="Q757" s="1081"/>
      <c r="R757" s="1081"/>
    </row>
    <row r="758" spans="1:18">
      <c r="A758" s="1081"/>
      <c r="B758" s="1082"/>
      <c r="K758" s="1082"/>
      <c r="L758" s="1082"/>
      <c r="M758" s="1082"/>
      <c r="N758" s="1082"/>
      <c r="O758" s="1082"/>
      <c r="P758" s="1081"/>
      <c r="Q758" s="1081"/>
      <c r="R758" s="1081"/>
    </row>
    <row r="759" spans="1:18">
      <c r="A759" s="1081"/>
      <c r="B759" s="1082"/>
      <c r="K759" s="1082"/>
      <c r="L759" s="1082"/>
      <c r="M759" s="1082"/>
      <c r="N759" s="1082"/>
      <c r="O759" s="1082"/>
      <c r="P759" s="1081"/>
      <c r="Q759" s="1081"/>
      <c r="R759" s="1081"/>
    </row>
    <row r="760" spans="1:18">
      <c r="A760" s="1081"/>
      <c r="B760" s="1082"/>
      <c r="K760" s="1082"/>
      <c r="L760" s="1082"/>
      <c r="M760" s="1082"/>
      <c r="N760" s="1082"/>
      <c r="O760" s="1082"/>
      <c r="P760" s="1081"/>
      <c r="Q760" s="1081"/>
      <c r="R760" s="1081"/>
    </row>
    <row r="761" spans="1:18">
      <c r="A761" s="1081"/>
      <c r="B761" s="1082"/>
      <c r="K761" s="1082"/>
      <c r="L761" s="1082"/>
      <c r="M761" s="1082"/>
      <c r="N761" s="1082"/>
      <c r="O761" s="1082"/>
      <c r="P761" s="1081"/>
      <c r="Q761" s="1081"/>
      <c r="R761" s="1081"/>
    </row>
    <row r="762" spans="1:18">
      <c r="A762" s="1081"/>
      <c r="B762" s="1082"/>
      <c r="K762" s="1082"/>
      <c r="L762" s="1082"/>
      <c r="M762" s="1082"/>
      <c r="N762" s="1082"/>
      <c r="O762" s="1082"/>
      <c r="P762" s="1081"/>
      <c r="Q762" s="1081"/>
      <c r="R762" s="1081"/>
    </row>
    <row r="763" spans="1:18">
      <c r="A763" s="1081"/>
      <c r="B763" s="1082"/>
      <c r="K763" s="1082"/>
      <c r="L763" s="1082"/>
      <c r="M763" s="1082"/>
      <c r="N763" s="1082"/>
      <c r="O763" s="1082"/>
      <c r="P763" s="1081"/>
      <c r="Q763" s="1081"/>
      <c r="R763" s="1081"/>
    </row>
    <row r="764" spans="1:18">
      <c r="A764" s="1081"/>
      <c r="B764" s="1082"/>
      <c r="K764" s="1082"/>
      <c r="L764" s="1082"/>
      <c r="M764" s="1082"/>
      <c r="N764" s="1082"/>
      <c r="O764" s="1082"/>
      <c r="P764" s="1081"/>
      <c r="Q764" s="1081"/>
      <c r="R764" s="1081"/>
    </row>
    <row r="765" spans="1:18">
      <c r="A765" s="1081"/>
      <c r="B765" s="1082"/>
      <c r="K765" s="1082"/>
      <c r="L765" s="1082"/>
      <c r="M765" s="1082"/>
      <c r="N765" s="1082"/>
      <c r="O765" s="1082"/>
      <c r="P765" s="1081"/>
      <c r="Q765" s="1081"/>
      <c r="R765" s="1081"/>
    </row>
    <row r="766" spans="1:18">
      <c r="A766" s="1081"/>
      <c r="B766" s="1082"/>
      <c r="K766" s="1082"/>
      <c r="L766" s="1082"/>
      <c r="M766" s="1082"/>
      <c r="N766" s="1082"/>
      <c r="O766" s="1082"/>
      <c r="P766" s="1081"/>
      <c r="Q766" s="1081"/>
      <c r="R766" s="1081"/>
    </row>
    <row r="767" spans="1:18">
      <c r="A767" s="1081"/>
      <c r="B767" s="1082"/>
      <c r="K767" s="1082"/>
      <c r="L767" s="1082"/>
      <c r="M767" s="1082"/>
      <c r="N767" s="1082"/>
      <c r="O767" s="1082"/>
      <c r="P767" s="1081"/>
      <c r="Q767" s="1081"/>
      <c r="R767" s="1081"/>
    </row>
    <row r="768" spans="1:18">
      <c r="A768" s="1081"/>
      <c r="B768" s="1082"/>
      <c r="K768" s="1082"/>
      <c r="L768" s="1082"/>
      <c r="M768" s="1082"/>
      <c r="N768" s="1082"/>
      <c r="O768" s="1082"/>
      <c r="P768" s="1081"/>
      <c r="Q768" s="1081"/>
      <c r="R768" s="1081"/>
    </row>
    <row r="769" spans="1:18">
      <c r="A769" s="1081"/>
      <c r="B769" s="1082"/>
      <c r="K769" s="1082"/>
      <c r="L769" s="1082"/>
      <c r="M769" s="1082"/>
      <c r="N769" s="1082"/>
      <c r="O769" s="1082"/>
      <c r="P769" s="1081"/>
      <c r="Q769" s="1081"/>
      <c r="R769" s="1081"/>
    </row>
    <row r="770" spans="1:18">
      <c r="A770" s="1081"/>
      <c r="B770" s="1082"/>
      <c r="K770" s="1082"/>
      <c r="L770" s="1082"/>
      <c r="M770" s="1082"/>
      <c r="N770" s="1082"/>
      <c r="O770" s="1082"/>
      <c r="P770" s="1081"/>
      <c r="Q770" s="1081"/>
      <c r="R770" s="1081"/>
    </row>
    <row r="771" spans="1:18">
      <c r="A771" s="1081"/>
      <c r="B771" s="1082"/>
      <c r="K771" s="1082"/>
      <c r="L771" s="1082"/>
      <c r="M771" s="1082"/>
      <c r="N771" s="1082"/>
      <c r="O771" s="1082"/>
      <c r="P771" s="1081"/>
      <c r="Q771" s="1081"/>
      <c r="R771" s="1081"/>
    </row>
    <row r="772" spans="1:18">
      <c r="A772" s="1081"/>
      <c r="B772" s="1082"/>
      <c r="K772" s="1082"/>
      <c r="L772" s="1082"/>
      <c r="M772" s="1082"/>
      <c r="N772" s="1082"/>
      <c r="O772" s="1082"/>
      <c r="P772" s="1081"/>
      <c r="Q772" s="1081"/>
      <c r="R772" s="1081"/>
    </row>
    <row r="773" spans="1:18">
      <c r="A773" s="1081"/>
      <c r="B773" s="1082"/>
      <c r="K773" s="1082"/>
      <c r="L773" s="1082"/>
      <c r="M773" s="1082"/>
      <c r="N773" s="1082"/>
      <c r="O773" s="1082"/>
      <c r="P773" s="1081"/>
      <c r="Q773" s="1081"/>
      <c r="R773" s="1081"/>
    </row>
    <row r="774" spans="1:18">
      <c r="A774" s="1081"/>
      <c r="B774" s="1082"/>
      <c r="K774" s="1082"/>
      <c r="L774" s="1082"/>
      <c r="M774" s="1082"/>
      <c r="N774" s="1082"/>
      <c r="O774" s="1082"/>
      <c r="P774" s="1081"/>
      <c r="Q774" s="1081"/>
      <c r="R774" s="1081"/>
    </row>
    <row r="775" spans="1:18">
      <c r="A775" s="1081"/>
      <c r="B775" s="1082"/>
      <c r="K775" s="1082"/>
      <c r="L775" s="1082"/>
      <c r="M775" s="1082"/>
      <c r="N775" s="1082"/>
      <c r="O775" s="1082"/>
      <c r="P775" s="1081"/>
      <c r="Q775" s="1081"/>
      <c r="R775" s="1081"/>
    </row>
    <row r="776" spans="1:18">
      <c r="A776" s="1081"/>
      <c r="B776" s="1082"/>
      <c r="K776" s="1082"/>
      <c r="L776" s="1082"/>
      <c r="M776" s="1082"/>
      <c r="N776" s="1082"/>
      <c r="O776" s="1082"/>
      <c r="P776" s="1081"/>
      <c r="Q776" s="1081"/>
      <c r="R776" s="1081"/>
    </row>
    <row r="777" spans="1:18">
      <c r="A777" s="1081"/>
      <c r="B777" s="1082"/>
      <c r="K777" s="1082"/>
      <c r="L777" s="1082"/>
      <c r="M777" s="1082"/>
      <c r="N777" s="1082"/>
      <c r="O777" s="1082"/>
      <c r="P777" s="1081"/>
      <c r="Q777" s="1081"/>
      <c r="R777" s="1081"/>
    </row>
    <row r="778" spans="1:18">
      <c r="A778" s="1081"/>
      <c r="B778" s="1082"/>
      <c r="K778" s="1082"/>
      <c r="L778" s="1082"/>
      <c r="M778" s="1082"/>
      <c r="N778" s="1082"/>
      <c r="O778" s="1082"/>
      <c r="P778" s="1081"/>
      <c r="Q778" s="1081"/>
      <c r="R778" s="1081"/>
    </row>
    <row r="779" spans="1:18">
      <c r="A779" s="1081"/>
      <c r="B779" s="1082"/>
      <c r="K779" s="1082"/>
      <c r="L779" s="1082"/>
      <c r="M779" s="1082"/>
      <c r="N779" s="1082"/>
      <c r="O779" s="1082"/>
      <c r="P779" s="1081"/>
      <c r="Q779" s="1081"/>
      <c r="R779" s="1081"/>
    </row>
    <row r="780" spans="1:18">
      <c r="A780" s="1081"/>
      <c r="B780" s="1082"/>
      <c r="K780" s="1082"/>
      <c r="L780" s="1082"/>
      <c r="M780" s="1082"/>
      <c r="N780" s="1082"/>
      <c r="O780" s="1082"/>
      <c r="P780" s="1081"/>
      <c r="Q780" s="1081"/>
      <c r="R780" s="1081"/>
    </row>
    <row r="781" spans="1:18">
      <c r="A781" s="1081"/>
      <c r="B781" s="1082"/>
      <c r="K781" s="1082"/>
      <c r="L781" s="1082"/>
      <c r="M781" s="1082"/>
      <c r="N781" s="1082"/>
      <c r="O781" s="1082"/>
      <c r="P781" s="1081"/>
      <c r="Q781" s="1081"/>
      <c r="R781" s="1081"/>
    </row>
    <row r="782" spans="1:18">
      <c r="A782" s="1081"/>
      <c r="B782" s="1082"/>
      <c r="K782" s="1082"/>
      <c r="L782" s="1082"/>
      <c r="M782" s="1082"/>
      <c r="N782" s="1082"/>
      <c r="O782" s="1082"/>
      <c r="P782" s="1081"/>
      <c r="Q782" s="1081"/>
      <c r="R782" s="1081"/>
    </row>
    <row r="783" spans="1:18">
      <c r="A783" s="1081"/>
      <c r="B783" s="1082"/>
      <c r="K783" s="1082"/>
      <c r="L783" s="1082"/>
      <c r="M783" s="1082"/>
      <c r="N783" s="1082"/>
      <c r="O783" s="1082"/>
      <c r="P783" s="1081"/>
      <c r="Q783" s="1081"/>
      <c r="R783" s="1081"/>
    </row>
    <row r="784" spans="1:18">
      <c r="A784" s="1081"/>
      <c r="B784" s="1082"/>
      <c r="K784" s="1082"/>
      <c r="L784" s="1082"/>
      <c r="M784" s="1082"/>
      <c r="N784" s="1082"/>
      <c r="O784" s="1082"/>
      <c r="P784" s="1081"/>
      <c r="Q784" s="1081"/>
      <c r="R784" s="1081"/>
    </row>
    <row r="785" spans="1:18">
      <c r="A785" s="1081"/>
      <c r="B785" s="1082"/>
      <c r="K785" s="1082"/>
      <c r="L785" s="1082"/>
      <c r="M785" s="1082"/>
      <c r="N785" s="1082"/>
      <c r="O785" s="1082"/>
      <c r="P785" s="1081"/>
      <c r="Q785" s="1081"/>
      <c r="R785" s="1081"/>
    </row>
    <row r="786" spans="1:18">
      <c r="A786" s="1081"/>
      <c r="B786" s="1082"/>
      <c r="K786" s="1082"/>
      <c r="L786" s="1082"/>
      <c r="M786" s="1082"/>
      <c r="N786" s="1082"/>
      <c r="O786" s="1082"/>
      <c r="P786" s="1081"/>
      <c r="Q786" s="1081"/>
      <c r="R786" s="1081"/>
    </row>
    <row r="787" spans="1:18">
      <c r="A787" s="1081"/>
      <c r="B787" s="1082"/>
      <c r="K787" s="1082"/>
      <c r="L787" s="1082"/>
      <c r="M787" s="1082"/>
      <c r="N787" s="1082"/>
      <c r="O787" s="1082"/>
      <c r="P787" s="1081"/>
      <c r="Q787" s="1081"/>
      <c r="R787" s="1081"/>
    </row>
    <row r="788" spans="1:18">
      <c r="A788" s="1081"/>
      <c r="B788" s="1082"/>
      <c r="K788" s="1082"/>
      <c r="L788" s="1082"/>
      <c r="M788" s="1082"/>
      <c r="N788" s="1082"/>
      <c r="O788" s="1082"/>
      <c r="P788" s="1081"/>
      <c r="Q788" s="1081"/>
      <c r="R788" s="1081"/>
    </row>
    <row r="789" spans="1:18">
      <c r="A789" s="1081"/>
      <c r="B789" s="1082"/>
      <c r="K789" s="1082"/>
      <c r="L789" s="1082"/>
      <c r="M789" s="1082"/>
      <c r="N789" s="1082"/>
      <c r="O789" s="1082"/>
      <c r="P789" s="1081"/>
      <c r="Q789" s="1081"/>
      <c r="R789" s="1081"/>
    </row>
    <row r="790" spans="1:18">
      <c r="A790" s="1081"/>
      <c r="B790" s="1082"/>
      <c r="K790" s="1082"/>
      <c r="L790" s="1082"/>
      <c r="M790" s="1082"/>
      <c r="N790" s="1082"/>
      <c r="O790" s="1082"/>
      <c r="P790" s="1081"/>
      <c r="Q790" s="1081"/>
      <c r="R790" s="1081"/>
    </row>
    <row r="791" spans="1:18">
      <c r="A791" s="1081"/>
      <c r="B791" s="1082"/>
      <c r="K791" s="1082"/>
      <c r="L791" s="1082"/>
      <c r="M791" s="1082"/>
      <c r="N791" s="1082"/>
      <c r="O791" s="1082"/>
      <c r="P791" s="1081"/>
      <c r="Q791" s="1081"/>
      <c r="R791" s="1081"/>
    </row>
    <row r="792" spans="1:18">
      <c r="A792" s="1081"/>
      <c r="B792" s="1082"/>
      <c r="K792" s="1082"/>
      <c r="L792" s="1082"/>
      <c r="M792" s="1082"/>
      <c r="N792" s="1082"/>
      <c r="O792" s="1082"/>
      <c r="P792" s="1081"/>
      <c r="Q792" s="1081"/>
      <c r="R792" s="1081"/>
    </row>
    <row r="793" spans="1:18">
      <c r="A793" s="1081"/>
      <c r="B793" s="1082"/>
      <c r="K793" s="1082"/>
      <c r="L793" s="1082"/>
      <c r="M793" s="1082"/>
      <c r="N793" s="1082"/>
      <c r="O793" s="1082"/>
      <c r="P793" s="1081"/>
      <c r="Q793" s="1081"/>
      <c r="R793" s="1081"/>
    </row>
    <row r="794" spans="1:18">
      <c r="A794" s="1081"/>
      <c r="B794" s="1082"/>
      <c r="K794" s="1082"/>
      <c r="L794" s="1082"/>
      <c r="M794" s="1082"/>
      <c r="N794" s="1082"/>
      <c r="O794" s="1082"/>
      <c r="P794" s="1081"/>
      <c r="Q794" s="1081"/>
      <c r="R794" s="1081"/>
    </row>
    <row r="795" spans="1:18">
      <c r="A795" s="1081"/>
      <c r="B795" s="1082"/>
      <c r="K795" s="1082"/>
      <c r="L795" s="1082"/>
      <c r="M795" s="1082"/>
      <c r="N795" s="1082"/>
      <c r="O795" s="1082"/>
      <c r="P795" s="1081"/>
      <c r="Q795" s="1081"/>
      <c r="R795" s="1081"/>
    </row>
    <row r="796" spans="1:18">
      <c r="A796" s="1081"/>
      <c r="B796" s="1082"/>
      <c r="K796" s="1082"/>
      <c r="L796" s="1082"/>
      <c r="M796" s="1082"/>
      <c r="N796" s="1082"/>
      <c r="O796" s="1082"/>
      <c r="P796" s="1081"/>
      <c r="Q796" s="1081"/>
      <c r="R796" s="1081"/>
    </row>
    <row r="797" spans="1:18">
      <c r="A797" s="1081"/>
      <c r="B797" s="1082"/>
      <c r="K797" s="1082"/>
      <c r="L797" s="1082"/>
      <c r="M797" s="1082"/>
      <c r="N797" s="1082"/>
      <c r="O797" s="1082"/>
      <c r="P797" s="1081"/>
      <c r="Q797" s="1081"/>
      <c r="R797" s="1081"/>
    </row>
    <row r="798" spans="1:18">
      <c r="A798" s="1081"/>
      <c r="B798" s="1082"/>
      <c r="K798" s="1082"/>
      <c r="L798" s="1082"/>
      <c r="M798" s="1082"/>
      <c r="N798" s="1082"/>
      <c r="O798" s="1082"/>
      <c r="P798" s="1081"/>
      <c r="Q798" s="1081"/>
      <c r="R798" s="1081"/>
    </row>
    <row r="799" spans="1:18">
      <c r="A799" s="1081"/>
      <c r="B799" s="1082"/>
      <c r="K799" s="1082"/>
      <c r="L799" s="1082"/>
      <c r="M799" s="1082"/>
      <c r="N799" s="1082"/>
      <c r="O799" s="1082"/>
      <c r="P799" s="1081"/>
      <c r="Q799" s="1081"/>
      <c r="R799" s="1081"/>
    </row>
    <row r="800" spans="1:18">
      <c r="A800" s="1081"/>
      <c r="B800" s="1082"/>
      <c r="K800" s="1082"/>
      <c r="L800" s="1082"/>
      <c r="M800" s="1082"/>
      <c r="N800" s="1082"/>
      <c r="O800" s="1082"/>
      <c r="P800" s="1081"/>
      <c r="Q800" s="1081"/>
      <c r="R800" s="1081"/>
    </row>
    <row r="801" spans="1:18">
      <c r="A801" s="1081"/>
      <c r="B801" s="1082"/>
      <c r="K801" s="1082"/>
      <c r="L801" s="1082"/>
      <c r="M801" s="1082"/>
      <c r="N801" s="1082"/>
      <c r="O801" s="1082"/>
      <c r="P801" s="1081"/>
      <c r="Q801" s="1081"/>
      <c r="R801" s="1081"/>
    </row>
    <row r="802" spans="1:18">
      <c r="A802" s="1081"/>
      <c r="B802" s="1082"/>
      <c r="K802" s="1082"/>
      <c r="L802" s="1082"/>
      <c r="M802" s="1082"/>
      <c r="N802" s="1082"/>
      <c r="O802" s="1082"/>
      <c r="P802" s="1081"/>
      <c r="Q802" s="1081"/>
      <c r="R802" s="1081"/>
    </row>
    <row r="803" spans="1:18">
      <c r="A803" s="1081"/>
      <c r="B803" s="1082"/>
      <c r="K803" s="1082"/>
      <c r="L803" s="1082"/>
      <c r="M803" s="1082"/>
      <c r="N803" s="1082"/>
      <c r="O803" s="1082"/>
      <c r="P803" s="1081"/>
      <c r="Q803" s="1081"/>
      <c r="R803" s="1081"/>
    </row>
    <row r="804" spans="1:18">
      <c r="A804" s="1081"/>
      <c r="B804" s="1082"/>
      <c r="K804" s="1082"/>
      <c r="L804" s="1082"/>
      <c r="M804" s="1082"/>
      <c r="N804" s="1082"/>
      <c r="O804" s="1082"/>
      <c r="P804" s="1081"/>
      <c r="Q804" s="1081"/>
      <c r="R804" s="1081"/>
    </row>
    <row r="805" spans="1:18">
      <c r="A805" s="1081"/>
      <c r="B805" s="1082"/>
      <c r="K805" s="1082"/>
      <c r="L805" s="1082"/>
      <c r="M805" s="1082"/>
      <c r="N805" s="1082"/>
      <c r="O805" s="1082"/>
      <c r="P805" s="1081"/>
      <c r="Q805" s="1081"/>
      <c r="R805" s="1081"/>
    </row>
    <row r="806" spans="1:18">
      <c r="A806" s="1081"/>
      <c r="B806" s="1082"/>
      <c r="K806" s="1082"/>
      <c r="L806" s="1082"/>
      <c r="M806" s="1082"/>
      <c r="N806" s="1082"/>
      <c r="O806" s="1082"/>
      <c r="P806" s="1081"/>
      <c r="Q806" s="1081"/>
      <c r="R806" s="1081"/>
    </row>
    <row r="807" spans="1:18">
      <c r="A807" s="1081"/>
      <c r="B807" s="1082"/>
      <c r="K807" s="1082"/>
      <c r="L807" s="1082"/>
      <c r="M807" s="1082"/>
      <c r="N807" s="1082"/>
      <c r="O807" s="1082"/>
      <c r="P807" s="1081"/>
      <c r="Q807" s="1081"/>
      <c r="R807" s="1081"/>
    </row>
    <row r="808" spans="1:18">
      <c r="A808" s="1081"/>
      <c r="B808" s="1082"/>
      <c r="K808" s="1082"/>
      <c r="L808" s="1082"/>
      <c r="M808" s="1082"/>
      <c r="N808" s="1082"/>
      <c r="O808" s="1082"/>
      <c r="P808" s="1081"/>
      <c r="Q808" s="1081"/>
      <c r="R808" s="1081"/>
    </row>
    <row r="809" spans="1:18">
      <c r="A809" s="1081"/>
      <c r="B809" s="1082"/>
      <c r="K809" s="1082"/>
      <c r="L809" s="1082"/>
      <c r="M809" s="1082"/>
      <c r="N809" s="1082"/>
      <c r="O809" s="1082"/>
      <c r="P809" s="1081"/>
      <c r="Q809" s="1081"/>
      <c r="R809" s="1081"/>
    </row>
    <row r="810" spans="1:18">
      <c r="A810" s="1081"/>
      <c r="B810" s="1082"/>
      <c r="K810" s="1082"/>
      <c r="L810" s="1082"/>
      <c r="M810" s="1082"/>
      <c r="N810" s="1082"/>
      <c r="O810" s="1082"/>
      <c r="P810" s="1081"/>
      <c r="Q810" s="1081"/>
      <c r="R810" s="1081"/>
    </row>
    <row r="811" spans="1:18">
      <c r="A811" s="1081"/>
      <c r="B811" s="1082"/>
      <c r="K811" s="1082"/>
      <c r="L811" s="1082"/>
      <c r="M811" s="1082"/>
      <c r="N811" s="1082"/>
      <c r="O811" s="1082"/>
      <c r="P811" s="1081"/>
      <c r="Q811" s="1081"/>
      <c r="R811" s="1081"/>
    </row>
    <row r="812" spans="1:18">
      <c r="A812" s="1081"/>
      <c r="B812" s="1082"/>
      <c r="K812" s="1082"/>
      <c r="L812" s="1082"/>
      <c r="M812" s="1082"/>
      <c r="N812" s="1082"/>
      <c r="O812" s="1082"/>
      <c r="P812" s="1081"/>
      <c r="Q812" s="1081"/>
      <c r="R812" s="1081"/>
    </row>
    <row r="813" spans="1:18">
      <c r="A813" s="1081"/>
      <c r="B813" s="1082"/>
      <c r="K813" s="1082"/>
      <c r="L813" s="1082"/>
      <c r="M813" s="1082"/>
      <c r="N813" s="1082"/>
      <c r="O813" s="1082"/>
      <c r="P813" s="1081"/>
      <c r="Q813" s="1081"/>
      <c r="R813" s="1081"/>
    </row>
    <row r="814" spans="1:18">
      <c r="A814" s="1081"/>
      <c r="B814" s="1082"/>
      <c r="K814" s="1082"/>
      <c r="L814" s="1082"/>
      <c r="M814" s="1082"/>
      <c r="N814" s="1082"/>
      <c r="O814" s="1082"/>
      <c r="P814" s="1081"/>
      <c r="Q814" s="1081"/>
      <c r="R814" s="1081"/>
    </row>
    <row r="815" spans="1:18">
      <c r="A815" s="1081"/>
      <c r="B815" s="1082"/>
      <c r="K815" s="1082"/>
      <c r="L815" s="1082"/>
      <c r="M815" s="1082"/>
      <c r="N815" s="1082"/>
      <c r="O815" s="1082"/>
      <c r="P815" s="1081"/>
      <c r="Q815" s="1081"/>
      <c r="R815" s="1081"/>
    </row>
    <row r="816" spans="1:18">
      <c r="A816" s="1081"/>
      <c r="B816" s="1082"/>
      <c r="K816" s="1082"/>
      <c r="L816" s="1082"/>
      <c r="M816" s="1082"/>
      <c r="N816" s="1082"/>
      <c r="O816" s="1082"/>
      <c r="P816" s="1081"/>
      <c r="Q816" s="1081"/>
      <c r="R816" s="1081"/>
    </row>
    <row r="817" spans="1:18">
      <c r="A817" s="1081"/>
      <c r="B817" s="1082"/>
      <c r="K817" s="1082"/>
      <c r="L817" s="1082"/>
      <c r="M817" s="1082"/>
      <c r="N817" s="1082"/>
      <c r="O817" s="1082"/>
      <c r="P817" s="1081"/>
      <c r="Q817" s="1081"/>
      <c r="R817" s="1081"/>
    </row>
    <row r="818" spans="1:18">
      <c r="A818" s="1081"/>
      <c r="B818" s="1082"/>
      <c r="K818" s="1082"/>
      <c r="L818" s="1082"/>
      <c r="M818" s="1082"/>
      <c r="N818" s="1082"/>
      <c r="O818" s="1082"/>
      <c r="P818" s="1081"/>
      <c r="Q818" s="1081"/>
      <c r="R818" s="1081"/>
    </row>
    <row r="819" spans="1:18">
      <c r="A819" s="1081"/>
      <c r="B819" s="1082"/>
      <c r="K819" s="1082"/>
      <c r="L819" s="1082"/>
      <c r="M819" s="1082"/>
      <c r="N819" s="1082"/>
      <c r="O819" s="1082"/>
      <c r="P819" s="1081"/>
      <c r="Q819" s="1081"/>
      <c r="R819" s="1081"/>
    </row>
    <row r="820" spans="1:18">
      <c r="A820" s="1081"/>
      <c r="B820" s="1082"/>
      <c r="K820" s="1082"/>
      <c r="L820" s="1082"/>
      <c r="M820" s="1082"/>
      <c r="N820" s="1082"/>
      <c r="O820" s="1082"/>
      <c r="P820" s="1081"/>
      <c r="Q820" s="1081"/>
      <c r="R820" s="1081"/>
    </row>
    <row r="821" spans="1:18">
      <c r="A821" s="1081"/>
      <c r="B821" s="1082"/>
      <c r="K821" s="1082"/>
      <c r="L821" s="1082"/>
      <c r="M821" s="1082"/>
      <c r="N821" s="1082"/>
      <c r="O821" s="1082"/>
      <c r="P821" s="1081"/>
      <c r="Q821" s="1081"/>
      <c r="R821" s="1081"/>
    </row>
    <row r="822" spans="1:18">
      <c r="A822" s="1081"/>
      <c r="B822" s="1082"/>
      <c r="K822" s="1082"/>
      <c r="L822" s="1082"/>
      <c r="M822" s="1082"/>
      <c r="N822" s="1082"/>
      <c r="O822" s="1082"/>
      <c r="P822" s="1081"/>
      <c r="Q822" s="1081"/>
      <c r="R822" s="1081"/>
    </row>
    <row r="823" spans="1:18">
      <c r="A823" s="1081"/>
      <c r="B823" s="1082"/>
      <c r="K823" s="1082"/>
      <c r="L823" s="1082"/>
      <c r="M823" s="1082"/>
      <c r="N823" s="1082"/>
      <c r="O823" s="1082"/>
      <c r="P823" s="1081"/>
      <c r="Q823" s="1081"/>
      <c r="R823" s="1081"/>
    </row>
    <row r="824" spans="1:18">
      <c r="A824" s="1081"/>
      <c r="B824" s="1082"/>
      <c r="K824" s="1082"/>
      <c r="L824" s="1082"/>
      <c r="M824" s="1082"/>
      <c r="N824" s="1082"/>
      <c r="O824" s="1082"/>
      <c r="P824" s="1081"/>
      <c r="Q824" s="1081"/>
      <c r="R824" s="1081"/>
    </row>
    <row r="825" spans="1:18">
      <c r="A825" s="1081"/>
      <c r="B825" s="1082"/>
      <c r="K825" s="1082"/>
      <c r="L825" s="1082"/>
      <c r="M825" s="1082"/>
      <c r="N825" s="1082"/>
      <c r="O825" s="1082"/>
      <c r="P825" s="1081"/>
      <c r="Q825" s="1081"/>
      <c r="R825" s="1081"/>
    </row>
    <row r="826" spans="1:18">
      <c r="A826" s="1081"/>
      <c r="B826" s="1082"/>
      <c r="K826" s="1082"/>
      <c r="L826" s="1082"/>
      <c r="M826" s="1082"/>
      <c r="N826" s="1082"/>
      <c r="O826" s="1082"/>
      <c r="P826" s="1081"/>
      <c r="Q826" s="1081"/>
      <c r="R826" s="1081"/>
    </row>
    <row r="827" spans="1:18">
      <c r="A827" s="1081"/>
      <c r="B827" s="1082"/>
      <c r="K827" s="1082"/>
      <c r="L827" s="1082"/>
      <c r="M827" s="1082"/>
      <c r="N827" s="1082"/>
      <c r="O827" s="1082"/>
      <c r="P827" s="1081"/>
      <c r="Q827" s="1081"/>
      <c r="R827" s="1081"/>
    </row>
    <row r="828" spans="1:18">
      <c r="A828" s="1081"/>
      <c r="B828" s="1082"/>
      <c r="K828" s="1082"/>
      <c r="L828" s="1082"/>
      <c r="M828" s="1082"/>
      <c r="N828" s="1082"/>
      <c r="O828" s="1082"/>
      <c r="P828" s="1081"/>
      <c r="Q828" s="1081"/>
      <c r="R828" s="1081"/>
    </row>
    <row r="829" spans="1:18">
      <c r="A829" s="1081"/>
      <c r="B829" s="1082"/>
      <c r="K829" s="1082"/>
      <c r="L829" s="1082"/>
      <c r="M829" s="1082"/>
      <c r="N829" s="1082"/>
      <c r="O829" s="1082"/>
      <c r="P829" s="1081"/>
      <c r="Q829" s="1081"/>
      <c r="R829" s="1081"/>
    </row>
    <row r="830" spans="1:18">
      <c r="A830" s="1081"/>
      <c r="B830" s="1082"/>
      <c r="K830" s="1082"/>
      <c r="L830" s="1082"/>
      <c r="M830" s="1082"/>
      <c r="N830" s="1082"/>
      <c r="O830" s="1082"/>
      <c r="P830" s="1081"/>
      <c r="Q830" s="1081"/>
      <c r="R830" s="1081"/>
    </row>
    <row r="831" spans="1:18">
      <c r="A831" s="1081"/>
      <c r="B831" s="1082"/>
      <c r="K831" s="1082"/>
      <c r="L831" s="1082"/>
      <c r="M831" s="1082"/>
      <c r="N831" s="1082"/>
      <c r="O831" s="1082"/>
      <c r="P831" s="1081"/>
      <c r="Q831" s="1081"/>
      <c r="R831" s="1081"/>
    </row>
    <row r="832" spans="1:18">
      <c r="A832" s="1081"/>
      <c r="B832" s="1082"/>
      <c r="K832" s="1082"/>
      <c r="L832" s="1082"/>
      <c r="M832" s="1082"/>
      <c r="N832" s="1082"/>
      <c r="O832" s="1082"/>
      <c r="P832" s="1081"/>
      <c r="Q832" s="1081"/>
      <c r="R832" s="1081"/>
    </row>
    <row r="833" spans="1:18">
      <c r="A833" s="1081"/>
      <c r="B833" s="1082"/>
      <c r="K833" s="1082"/>
      <c r="L833" s="1082"/>
      <c r="M833" s="1082"/>
      <c r="N833" s="1082"/>
      <c r="O833" s="1082"/>
      <c r="P833" s="1081"/>
      <c r="Q833" s="1081"/>
      <c r="R833" s="1081"/>
    </row>
    <row r="834" spans="1:18">
      <c r="A834" s="1081"/>
      <c r="B834" s="1082"/>
      <c r="K834" s="1082"/>
      <c r="L834" s="1082"/>
      <c r="M834" s="1082"/>
      <c r="N834" s="1082"/>
      <c r="O834" s="1082"/>
      <c r="P834" s="1081"/>
      <c r="Q834" s="1081"/>
      <c r="R834" s="1081"/>
    </row>
    <row r="835" spans="1:18">
      <c r="A835" s="1081"/>
      <c r="B835" s="1082"/>
      <c r="K835" s="1082"/>
      <c r="L835" s="1082"/>
      <c r="M835" s="1082"/>
      <c r="N835" s="1082"/>
      <c r="O835" s="1082"/>
      <c r="P835" s="1081"/>
      <c r="Q835" s="1081"/>
      <c r="R835" s="1081"/>
    </row>
    <row r="836" spans="1:18">
      <c r="A836" s="1081"/>
      <c r="B836" s="1082"/>
      <c r="K836" s="1082"/>
      <c r="L836" s="1082"/>
      <c r="M836" s="1082"/>
      <c r="N836" s="1082"/>
      <c r="O836" s="1082"/>
      <c r="P836" s="1081"/>
      <c r="Q836" s="1081"/>
      <c r="R836" s="1081"/>
    </row>
    <row r="837" spans="1:18">
      <c r="A837" s="1081"/>
      <c r="B837" s="1082"/>
      <c r="K837" s="1082"/>
      <c r="L837" s="1082"/>
      <c r="M837" s="1082"/>
      <c r="N837" s="1082"/>
      <c r="O837" s="1082"/>
      <c r="P837" s="1081"/>
      <c r="Q837" s="1081"/>
      <c r="R837" s="1081"/>
    </row>
    <row r="838" spans="1:18">
      <c r="A838" s="1081"/>
      <c r="B838" s="1082"/>
      <c r="K838" s="1082"/>
      <c r="L838" s="1082"/>
      <c r="M838" s="1082"/>
      <c r="N838" s="1082"/>
      <c r="O838" s="1082"/>
      <c r="P838" s="1081"/>
      <c r="Q838" s="1081"/>
      <c r="R838" s="1081"/>
    </row>
    <row r="839" spans="1:18">
      <c r="A839" s="1081"/>
      <c r="B839" s="1082"/>
      <c r="K839" s="1082"/>
      <c r="L839" s="1082"/>
      <c r="M839" s="1082"/>
      <c r="N839" s="1082"/>
      <c r="O839" s="1082"/>
      <c r="P839" s="1081"/>
      <c r="Q839" s="1081"/>
      <c r="R839" s="1081"/>
    </row>
    <row r="840" spans="1:18">
      <c r="A840" s="1081"/>
      <c r="B840" s="1082"/>
      <c r="K840" s="1082"/>
      <c r="L840" s="1082"/>
      <c r="M840" s="1082"/>
      <c r="N840" s="1082"/>
      <c r="O840" s="1082"/>
      <c r="P840" s="1081"/>
      <c r="Q840" s="1081"/>
      <c r="R840" s="1081"/>
    </row>
    <row r="841" spans="1:18">
      <c r="A841" s="1081"/>
      <c r="B841" s="1082"/>
      <c r="K841" s="1082"/>
      <c r="L841" s="1082"/>
      <c r="M841" s="1082"/>
      <c r="N841" s="1082"/>
      <c r="O841" s="1082"/>
      <c r="P841" s="1081"/>
      <c r="Q841" s="1081"/>
      <c r="R841" s="1081"/>
    </row>
    <row r="842" spans="1:18">
      <c r="A842" s="1081"/>
      <c r="B842" s="1082"/>
      <c r="K842" s="1082"/>
      <c r="L842" s="1082"/>
      <c r="M842" s="1082"/>
      <c r="N842" s="1082"/>
      <c r="O842" s="1082"/>
      <c r="P842" s="1081"/>
      <c r="Q842" s="1081"/>
      <c r="R842" s="1081"/>
    </row>
    <row r="843" spans="1:18">
      <c r="A843" s="1081"/>
      <c r="B843" s="1082"/>
      <c r="K843" s="1082"/>
      <c r="L843" s="1082"/>
      <c r="M843" s="1082"/>
      <c r="N843" s="1082"/>
      <c r="O843" s="1082"/>
      <c r="P843" s="1081"/>
      <c r="Q843" s="1081"/>
      <c r="R843" s="1081"/>
    </row>
    <row r="844" spans="1:18">
      <c r="A844" s="1081"/>
      <c r="B844" s="1082"/>
      <c r="K844" s="1082"/>
      <c r="L844" s="1082"/>
      <c r="M844" s="1082"/>
      <c r="N844" s="1082"/>
      <c r="O844" s="1082"/>
      <c r="P844" s="1081"/>
      <c r="Q844" s="1081"/>
      <c r="R844" s="1081"/>
    </row>
    <row r="845" spans="1:18">
      <c r="A845" s="1081"/>
      <c r="B845" s="1082"/>
      <c r="K845" s="1082"/>
      <c r="L845" s="1082"/>
      <c r="M845" s="1082"/>
      <c r="N845" s="1082"/>
      <c r="O845" s="1082"/>
      <c r="P845" s="1081"/>
      <c r="Q845" s="1081"/>
      <c r="R845" s="1081"/>
    </row>
    <row r="846" spans="1:18">
      <c r="A846" s="1081"/>
      <c r="B846" s="1082"/>
      <c r="K846" s="1082"/>
      <c r="L846" s="1082"/>
      <c r="M846" s="1082"/>
      <c r="N846" s="1082"/>
      <c r="O846" s="1082"/>
      <c r="P846" s="1081"/>
      <c r="Q846" s="1081"/>
      <c r="R846" s="1081"/>
    </row>
    <row r="847" spans="1:18">
      <c r="A847" s="1081"/>
      <c r="B847" s="1082"/>
      <c r="K847" s="1082"/>
      <c r="L847" s="1082"/>
      <c r="M847" s="1082"/>
      <c r="N847" s="1082"/>
      <c r="O847" s="1082"/>
      <c r="P847" s="1081"/>
      <c r="Q847" s="1081"/>
      <c r="R847" s="1081"/>
    </row>
    <row r="848" spans="1:18">
      <c r="A848" s="1081"/>
      <c r="B848" s="1082"/>
      <c r="K848" s="1082"/>
      <c r="L848" s="1082"/>
      <c r="M848" s="1082"/>
      <c r="N848" s="1082"/>
      <c r="O848" s="1082"/>
      <c r="P848" s="1081"/>
      <c r="Q848" s="1081"/>
      <c r="R848" s="1081"/>
    </row>
    <row r="849" spans="1:18">
      <c r="A849" s="1081"/>
      <c r="B849" s="1082"/>
      <c r="K849" s="1082"/>
      <c r="L849" s="1082"/>
      <c r="M849" s="1082"/>
      <c r="N849" s="1082"/>
      <c r="O849" s="1082"/>
      <c r="P849" s="1081"/>
      <c r="Q849" s="1081"/>
      <c r="R849" s="1081"/>
    </row>
    <row r="850" spans="1:18">
      <c r="A850" s="1081"/>
      <c r="B850" s="1082"/>
      <c r="K850" s="1082"/>
      <c r="L850" s="1082"/>
      <c r="M850" s="1082"/>
      <c r="N850" s="1082"/>
      <c r="O850" s="1082"/>
      <c r="P850" s="1081"/>
      <c r="Q850" s="1081"/>
      <c r="R850" s="1081"/>
    </row>
    <row r="851" spans="1:18">
      <c r="A851" s="1081"/>
      <c r="B851" s="1082"/>
      <c r="K851" s="1082"/>
      <c r="L851" s="1082"/>
      <c r="M851" s="1082"/>
      <c r="N851" s="1082"/>
      <c r="O851" s="1082"/>
      <c r="P851" s="1081"/>
      <c r="Q851" s="1081"/>
      <c r="R851" s="1081"/>
    </row>
    <row r="852" spans="1:18">
      <c r="A852" s="1081"/>
      <c r="B852" s="1082"/>
      <c r="K852" s="1082"/>
      <c r="L852" s="1082"/>
      <c r="M852" s="1082"/>
      <c r="N852" s="1082"/>
      <c r="O852" s="1082"/>
      <c r="P852" s="1081"/>
      <c r="Q852" s="1081"/>
      <c r="R852" s="1081"/>
    </row>
    <row r="853" spans="1:18">
      <c r="A853" s="1081"/>
      <c r="B853" s="1082"/>
      <c r="K853" s="1082"/>
      <c r="L853" s="1082"/>
      <c r="M853" s="1082"/>
      <c r="N853" s="1082"/>
      <c r="O853" s="1082"/>
      <c r="P853" s="1081"/>
      <c r="Q853" s="1081"/>
      <c r="R853" s="1081"/>
    </row>
    <row r="854" spans="1:18">
      <c r="A854" s="1081"/>
      <c r="B854" s="1082"/>
      <c r="K854" s="1082"/>
      <c r="L854" s="1082"/>
      <c r="M854" s="1082"/>
      <c r="N854" s="1082"/>
      <c r="O854" s="1082"/>
      <c r="P854" s="1081"/>
      <c r="Q854" s="1081"/>
      <c r="R854" s="1081"/>
    </row>
    <row r="855" spans="1:18">
      <c r="A855" s="1081"/>
      <c r="B855" s="1082"/>
      <c r="K855" s="1082"/>
      <c r="L855" s="1082"/>
      <c r="M855" s="1082"/>
      <c r="N855" s="1082"/>
      <c r="O855" s="1082"/>
      <c r="P855" s="1081"/>
      <c r="Q855" s="1081"/>
      <c r="R855" s="1081"/>
    </row>
    <row r="856" spans="1:18">
      <c r="A856" s="1081"/>
      <c r="B856" s="1082"/>
      <c r="K856" s="1082"/>
      <c r="L856" s="1082"/>
      <c r="M856" s="1082"/>
      <c r="N856" s="1082"/>
      <c r="O856" s="1082"/>
      <c r="P856" s="1081"/>
      <c r="Q856" s="1081"/>
      <c r="R856" s="1081"/>
    </row>
    <row r="857" spans="1:18">
      <c r="A857" s="1081"/>
      <c r="B857" s="1082"/>
      <c r="K857" s="1082"/>
      <c r="L857" s="1082"/>
      <c r="M857" s="1082"/>
      <c r="N857" s="1082"/>
      <c r="O857" s="1082"/>
      <c r="P857" s="1081"/>
      <c r="Q857" s="1081"/>
      <c r="R857" s="1081"/>
    </row>
    <row r="858" spans="1:18">
      <c r="A858" s="1081"/>
      <c r="B858" s="1082"/>
      <c r="K858" s="1082"/>
      <c r="L858" s="1082"/>
      <c r="M858" s="1082"/>
      <c r="N858" s="1082"/>
      <c r="O858" s="1082"/>
      <c r="P858" s="1081"/>
      <c r="Q858" s="1081"/>
      <c r="R858" s="1081"/>
    </row>
    <row r="859" spans="1:18">
      <c r="A859" s="1081"/>
      <c r="B859" s="1082"/>
      <c r="K859" s="1082"/>
      <c r="L859" s="1082"/>
      <c r="M859" s="1082"/>
      <c r="N859" s="1082"/>
      <c r="O859" s="1082"/>
      <c r="P859" s="1081"/>
      <c r="Q859" s="1081"/>
      <c r="R859" s="1081"/>
    </row>
    <row r="860" spans="1:18">
      <c r="A860" s="1081"/>
      <c r="B860" s="1082"/>
      <c r="K860" s="1082"/>
      <c r="L860" s="1082"/>
      <c r="M860" s="1082"/>
      <c r="N860" s="1082"/>
      <c r="O860" s="1082"/>
      <c r="P860" s="1081"/>
      <c r="Q860" s="1081"/>
      <c r="R860" s="1081"/>
    </row>
    <row r="861" spans="1:18">
      <c r="A861" s="1081"/>
      <c r="B861" s="1082"/>
      <c r="K861" s="1082"/>
      <c r="L861" s="1082"/>
      <c r="M861" s="1082"/>
      <c r="N861" s="1082"/>
      <c r="O861" s="1082"/>
      <c r="P861" s="1081"/>
      <c r="Q861" s="1081"/>
      <c r="R861" s="1081"/>
    </row>
    <row r="862" spans="1:18">
      <c r="A862" s="1081"/>
      <c r="B862" s="1082"/>
      <c r="K862" s="1082"/>
      <c r="L862" s="1082"/>
      <c r="M862" s="1082"/>
      <c r="N862" s="1082"/>
      <c r="O862" s="1082"/>
      <c r="P862" s="1081"/>
      <c r="Q862" s="1081"/>
      <c r="R862" s="1081"/>
    </row>
    <row r="863" spans="1:18">
      <c r="A863" s="1081"/>
      <c r="B863" s="1082"/>
      <c r="K863" s="1082"/>
      <c r="L863" s="1082"/>
      <c r="M863" s="1082"/>
      <c r="N863" s="1082"/>
      <c r="O863" s="1082"/>
      <c r="P863" s="1081"/>
      <c r="Q863" s="1081"/>
      <c r="R863" s="1081"/>
    </row>
    <row r="864" spans="1:18">
      <c r="A864" s="1081"/>
      <c r="B864" s="1082"/>
      <c r="K864" s="1082"/>
      <c r="L864" s="1082"/>
      <c r="M864" s="1082"/>
      <c r="N864" s="1082"/>
      <c r="O864" s="1082"/>
      <c r="P864" s="1081"/>
      <c r="Q864" s="1081"/>
      <c r="R864" s="1081"/>
    </row>
    <row r="865" spans="1:18">
      <c r="A865" s="1081"/>
      <c r="B865" s="1082"/>
      <c r="K865" s="1082"/>
      <c r="L865" s="1082"/>
      <c r="M865" s="1082"/>
      <c r="N865" s="1082"/>
      <c r="O865" s="1082"/>
      <c r="P865" s="1081"/>
      <c r="Q865" s="1081"/>
      <c r="R865" s="1081"/>
    </row>
    <row r="866" spans="1:18">
      <c r="A866" s="1081"/>
      <c r="B866" s="1082"/>
      <c r="K866" s="1082"/>
      <c r="L866" s="1082"/>
      <c r="M866" s="1082"/>
      <c r="N866" s="1082"/>
      <c r="O866" s="1082"/>
      <c r="P866" s="1081"/>
      <c r="Q866" s="1081"/>
      <c r="R866" s="1081"/>
    </row>
    <row r="867" spans="1:18">
      <c r="A867" s="1081"/>
      <c r="B867" s="1082"/>
      <c r="K867" s="1082"/>
      <c r="L867" s="1082"/>
      <c r="M867" s="1082"/>
      <c r="N867" s="1082"/>
      <c r="O867" s="1082"/>
      <c r="P867" s="1081"/>
      <c r="Q867" s="1081"/>
      <c r="R867" s="1081"/>
    </row>
    <row r="868" spans="1:18">
      <c r="A868" s="1081"/>
      <c r="B868" s="1082"/>
      <c r="K868" s="1082"/>
      <c r="L868" s="1082"/>
      <c r="M868" s="1082"/>
      <c r="N868" s="1082"/>
      <c r="O868" s="1082"/>
      <c r="P868" s="1081"/>
      <c r="Q868" s="1081"/>
      <c r="R868" s="1081"/>
    </row>
    <row r="869" spans="1:18">
      <c r="A869" s="1081"/>
      <c r="B869" s="1082"/>
      <c r="K869" s="1082"/>
      <c r="L869" s="1082"/>
      <c r="M869" s="1082"/>
      <c r="N869" s="1082"/>
      <c r="O869" s="1082"/>
      <c r="P869" s="1081"/>
      <c r="Q869" s="1081"/>
      <c r="R869" s="1081"/>
    </row>
    <row r="870" spans="1:18">
      <c r="A870" s="1081"/>
      <c r="B870" s="1082"/>
      <c r="K870" s="1082"/>
      <c r="L870" s="1082"/>
      <c r="M870" s="1082"/>
      <c r="N870" s="1082"/>
      <c r="O870" s="1082"/>
      <c r="P870" s="1081"/>
      <c r="Q870" s="1081"/>
      <c r="R870" s="1081"/>
    </row>
    <row r="871" spans="1:18">
      <c r="A871" s="1081"/>
      <c r="B871" s="1082"/>
      <c r="K871" s="1082"/>
      <c r="L871" s="1082"/>
      <c r="M871" s="1082"/>
      <c r="N871" s="1082"/>
      <c r="O871" s="1082"/>
      <c r="P871" s="1081"/>
      <c r="Q871" s="1081"/>
      <c r="R871" s="1081"/>
    </row>
    <row r="872" spans="1:18">
      <c r="A872" s="1081"/>
      <c r="B872" s="1082"/>
      <c r="K872" s="1082"/>
      <c r="L872" s="1082"/>
      <c r="M872" s="1082"/>
      <c r="N872" s="1082"/>
      <c r="O872" s="1082"/>
      <c r="P872" s="1081"/>
      <c r="Q872" s="1081"/>
      <c r="R872" s="1081"/>
    </row>
    <row r="873" spans="1:18">
      <c r="A873" s="1081"/>
      <c r="B873" s="1082"/>
      <c r="K873" s="1082"/>
      <c r="L873" s="1082"/>
      <c r="M873" s="1082"/>
      <c r="N873" s="1082"/>
      <c r="O873" s="1082"/>
      <c r="P873" s="1081"/>
      <c r="Q873" s="1081"/>
      <c r="R873" s="1081"/>
    </row>
    <row r="874" spans="1:18">
      <c r="A874" s="1081"/>
      <c r="B874" s="1082"/>
      <c r="K874" s="1082"/>
      <c r="L874" s="1082"/>
      <c r="M874" s="1082"/>
      <c r="N874" s="1082"/>
      <c r="O874" s="1082"/>
      <c r="P874" s="1081"/>
      <c r="Q874" s="1081"/>
      <c r="R874" s="1081"/>
    </row>
    <row r="875" spans="1:18">
      <c r="A875" s="1081"/>
      <c r="B875" s="1082"/>
      <c r="K875" s="1082"/>
      <c r="L875" s="1082"/>
      <c r="M875" s="1082"/>
      <c r="N875" s="1082"/>
      <c r="O875" s="1082"/>
      <c r="P875" s="1081"/>
      <c r="Q875" s="1081"/>
      <c r="R875" s="1081"/>
    </row>
    <row r="876" spans="1:18">
      <c r="A876" s="1081"/>
      <c r="B876" s="1082"/>
      <c r="K876" s="1082"/>
      <c r="L876" s="1082"/>
      <c r="M876" s="1082"/>
      <c r="N876" s="1082"/>
      <c r="O876" s="1082"/>
      <c r="P876" s="1081"/>
      <c r="Q876" s="1081"/>
      <c r="R876" s="1081"/>
    </row>
    <row r="877" spans="1:18">
      <c r="A877" s="1081"/>
      <c r="B877" s="1082"/>
      <c r="K877" s="1082"/>
      <c r="L877" s="1082"/>
      <c r="M877" s="1082"/>
      <c r="N877" s="1082"/>
      <c r="O877" s="1082"/>
      <c r="P877" s="1081"/>
      <c r="Q877" s="1081"/>
      <c r="R877" s="1081"/>
    </row>
    <row r="878" spans="1:18">
      <c r="A878" s="1081"/>
      <c r="B878" s="1082"/>
      <c r="K878" s="1082"/>
      <c r="L878" s="1082"/>
      <c r="M878" s="1082"/>
      <c r="N878" s="1082"/>
      <c r="O878" s="1082"/>
      <c r="P878" s="1081"/>
      <c r="Q878" s="1081"/>
      <c r="R878" s="1081"/>
    </row>
    <row r="879" spans="1:18">
      <c r="A879" s="1081"/>
      <c r="B879" s="1082"/>
      <c r="K879" s="1082"/>
      <c r="L879" s="1082"/>
      <c r="M879" s="1082"/>
      <c r="N879" s="1082"/>
      <c r="O879" s="1082"/>
      <c r="P879" s="1081"/>
      <c r="Q879" s="1081"/>
      <c r="R879" s="1081"/>
    </row>
    <row r="880" spans="1:18">
      <c r="A880" s="1081"/>
      <c r="B880" s="1082"/>
      <c r="K880" s="1082"/>
      <c r="L880" s="1082"/>
      <c r="M880" s="1082"/>
      <c r="N880" s="1082"/>
      <c r="O880" s="1082"/>
      <c r="P880" s="1081"/>
      <c r="Q880" s="1081"/>
      <c r="R880" s="1081"/>
    </row>
    <row r="881" spans="1:18">
      <c r="A881" s="1081"/>
      <c r="B881" s="1082"/>
      <c r="K881" s="1082"/>
      <c r="L881" s="1082"/>
      <c r="M881" s="1082"/>
      <c r="N881" s="1082"/>
      <c r="O881" s="1082"/>
      <c r="P881" s="1081"/>
      <c r="Q881" s="1081"/>
      <c r="R881" s="1081"/>
    </row>
    <row r="882" spans="1:18">
      <c r="A882" s="1081"/>
      <c r="B882" s="1082"/>
      <c r="K882" s="1082"/>
      <c r="L882" s="1082"/>
      <c r="M882" s="1082"/>
      <c r="N882" s="1082"/>
      <c r="O882" s="1082"/>
      <c r="P882" s="1081"/>
      <c r="Q882" s="1081"/>
      <c r="R882" s="1081"/>
    </row>
    <row r="883" spans="1:18">
      <c r="A883" s="1081"/>
      <c r="B883" s="1082"/>
      <c r="K883" s="1082"/>
      <c r="L883" s="1082"/>
      <c r="M883" s="1082"/>
      <c r="N883" s="1082"/>
      <c r="O883" s="1082"/>
      <c r="P883" s="1081"/>
      <c r="Q883" s="1081"/>
      <c r="R883" s="1081"/>
    </row>
    <row r="884" spans="1:18">
      <c r="A884" s="1081"/>
      <c r="B884" s="1082"/>
      <c r="K884" s="1082"/>
      <c r="L884" s="1082"/>
      <c r="M884" s="1082"/>
      <c r="N884" s="1082"/>
      <c r="O884" s="1082"/>
      <c r="P884" s="1081"/>
      <c r="Q884" s="1081"/>
      <c r="R884" s="1081"/>
    </row>
    <row r="885" spans="1:18">
      <c r="A885" s="1081"/>
      <c r="B885" s="1082"/>
      <c r="K885" s="1082"/>
      <c r="L885" s="1082"/>
      <c r="M885" s="1082"/>
      <c r="N885" s="1082"/>
      <c r="O885" s="1082"/>
      <c r="P885" s="1081"/>
      <c r="Q885" s="1081"/>
      <c r="R885" s="1081"/>
    </row>
    <row r="886" spans="1:18">
      <c r="A886" s="1081"/>
      <c r="B886" s="1082"/>
      <c r="K886" s="1082"/>
      <c r="L886" s="1082"/>
      <c r="M886" s="1082"/>
      <c r="N886" s="1082"/>
      <c r="O886" s="1082"/>
      <c r="P886" s="1081"/>
      <c r="Q886" s="1081"/>
      <c r="R886" s="1081"/>
    </row>
    <row r="887" spans="1:18">
      <c r="A887" s="1081"/>
      <c r="B887" s="1082"/>
      <c r="K887" s="1082"/>
      <c r="L887" s="1082"/>
      <c r="M887" s="1082"/>
      <c r="N887" s="1082"/>
      <c r="O887" s="1082"/>
      <c r="P887" s="1081"/>
      <c r="Q887" s="1081"/>
      <c r="R887" s="1081"/>
    </row>
    <row r="888" spans="1:18">
      <c r="A888" s="1081"/>
      <c r="B888" s="1082"/>
      <c r="K888" s="1082"/>
      <c r="L888" s="1082"/>
      <c r="M888" s="1082"/>
      <c r="N888" s="1082"/>
      <c r="O888" s="1082"/>
      <c r="P888" s="1081"/>
      <c r="Q888" s="1081"/>
      <c r="R888" s="1081"/>
    </row>
    <row r="889" spans="1:18">
      <c r="A889" s="1081"/>
      <c r="B889" s="1082"/>
      <c r="K889" s="1082"/>
      <c r="L889" s="1082"/>
      <c r="M889" s="1082"/>
      <c r="N889" s="1082"/>
      <c r="O889" s="1082"/>
      <c r="P889" s="1081"/>
      <c r="Q889" s="1081"/>
      <c r="R889" s="1081"/>
    </row>
    <row r="890" spans="1:18">
      <c r="A890" s="1081"/>
      <c r="B890" s="1082"/>
      <c r="K890" s="1082"/>
      <c r="L890" s="1082"/>
      <c r="M890" s="1082"/>
      <c r="N890" s="1082"/>
      <c r="O890" s="1082"/>
      <c r="P890" s="1081"/>
      <c r="Q890" s="1081"/>
      <c r="R890" s="1081"/>
    </row>
    <row r="891" spans="1:18">
      <c r="A891" s="1081"/>
      <c r="B891" s="1082"/>
      <c r="K891" s="1082"/>
      <c r="L891" s="1082"/>
      <c r="M891" s="1082"/>
      <c r="N891" s="1082"/>
      <c r="O891" s="1082"/>
      <c r="P891" s="1081"/>
      <c r="Q891" s="1081"/>
      <c r="R891" s="1081"/>
    </row>
    <row r="892" spans="1:18">
      <c r="A892" s="1081"/>
      <c r="B892" s="1082"/>
      <c r="K892" s="1082"/>
      <c r="L892" s="1082"/>
      <c r="M892" s="1082"/>
      <c r="N892" s="1082"/>
      <c r="O892" s="1082"/>
      <c r="P892" s="1081"/>
      <c r="Q892" s="1081"/>
      <c r="R892" s="1081"/>
    </row>
    <row r="893" spans="1:18">
      <c r="A893" s="1081"/>
      <c r="B893" s="1082"/>
      <c r="K893" s="1082"/>
      <c r="L893" s="1082"/>
      <c r="M893" s="1082"/>
      <c r="N893" s="1082"/>
      <c r="O893" s="1082"/>
      <c r="P893" s="1081"/>
      <c r="Q893" s="1081"/>
      <c r="R893" s="1081"/>
    </row>
    <row r="894" spans="1:18">
      <c r="A894" s="1081"/>
      <c r="B894" s="1082"/>
      <c r="K894" s="1082"/>
      <c r="L894" s="1082"/>
      <c r="M894" s="1082"/>
      <c r="N894" s="1082"/>
      <c r="O894" s="1082"/>
      <c r="P894" s="1081"/>
      <c r="Q894" s="1081"/>
      <c r="R894" s="1081"/>
    </row>
    <row r="895" spans="1:18">
      <c r="A895" s="1081"/>
      <c r="B895" s="1082"/>
      <c r="K895" s="1082"/>
      <c r="L895" s="1082"/>
      <c r="M895" s="1082"/>
      <c r="N895" s="1082"/>
      <c r="O895" s="1082"/>
      <c r="P895" s="1081"/>
      <c r="Q895" s="1081"/>
      <c r="R895" s="1081"/>
    </row>
    <row r="896" spans="1:18">
      <c r="A896" s="1081"/>
      <c r="B896" s="1082"/>
      <c r="K896" s="1082"/>
      <c r="L896" s="1082"/>
      <c r="M896" s="1082"/>
      <c r="N896" s="1082"/>
      <c r="O896" s="1082"/>
      <c r="P896" s="1081"/>
      <c r="Q896" s="1081"/>
      <c r="R896" s="1081"/>
    </row>
    <row r="897" spans="1:18">
      <c r="A897" s="1081"/>
      <c r="B897" s="1082"/>
      <c r="K897" s="1082"/>
      <c r="L897" s="1082"/>
      <c r="M897" s="1082"/>
      <c r="N897" s="1082"/>
      <c r="O897" s="1082"/>
      <c r="P897" s="1081"/>
      <c r="Q897" s="1081"/>
      <c r="R897" s="1081"/>
    </row>
    <row r="898" spans="1:18">
      <c r="A898" s="1081"/>
      <c r="B898" s="1082"/>
      <c r="K898" s="1082"/>
      <c r="L898" s="1082"/>
      <c r="M898" s="1082"/>
      <c r="N898" s="1082"/>
      <c r="O898" s="1082"/>
      <c r="P898" s="1081"/>
      <c r="Q898" s="1081"/>
      <c r="R898" s="1081"/>
    </row>
    <row r="899" spans="1:18">
      <c r="A899" s="1081"/>
      <c r="B899" s="1082"/>
      <c r="K899" s="1082"/>
      <c r="L899" s="1082"/>
      <c r="M899" s="1082"/>
      <c r="N899" s="1082"/>
      <c r="O899" s="1082"/>
      <c r="P899" s="1081"/>
      <c r="Q899" s="1081"/>
      <c r="R899" s="1081"/>
    </row>
    <row r="900" spans="1:18">
      <c r="A900" s="1081"/>
      <c r="B900" s="1082"/>
      <c r="K900" s="1082"/>
      <c r="L900" s="1082"/>
      <c r="M900" s="1082"/>
      <c r="N900" s="1082"/>
      <c r="O900" s="1082"/>
      <c r="P900" s="1081"/>
      <c r="Q900" s="1081"/>
      <c r="R900" s="1081"/>
    </row>
    <row r="901" spans="1:18">
      <c r="A901" s="1081"/>
      <c r="B901" s="1082"/>
      <c r="K901" s="1082"/>
      <c r="L901" s="1082"/>
      <c r="M901" s="1082"/>
      <c r="N901" s="1082"/>
      <c r="O901" s="1082"/>
      <c r="P901" s="1081"/>
      <c r="Q901" s="1081"/>
      <c r="R901" s="1081"/>
    </row>
    <row r="902" spans="1:18">
      <c r="A902" s="1081"/>
      <c r="B902" s="1082"/>
      <c r="K902" s="1082"/>
      <c r="L902" s="1082"/>
      <c r="M902" s="1082"/>
      <c r="N902" s="1082"/>
      <c r="O902" s="1082"/>
      <c r="P902" s="1081"/>
      <c r="Q902" s="1081"/>
      <c r="R902" s="1081"/>
    </row>
    <row r="903" spans="1:18">
      <c r="A903" s="1081"/>
      <c r="B903" s="1082"/>
      <c r="K903" s="1082"/>
      <c r="L903" s="1082"/>
      <c r="M903" s="1082"/>
      <c r="N903" s="1082"/>
      <c r="O903" s="1082"/>
      <c r="P903" s="1081"/>
      <c r="Q903" s="1081"/>
      <c r="R903" s="1081"/>
    </row>
    <row r="904" spans="1:18">
      <c r="A904" s="1081"/>
      <c r="B904" s="1082"/>
      <c r="K904" s="1082"/>
      <c r="L904" s="1082"/>
      <c r="M904" s="1082"/>
      <c r="N904" s="1082"/>
      <c r="O904" s="1082"/>
      <c r="P904" s="1081"/>
      <c r="Q904" s="1081"/>
      <c r="R904" s="1081"/>
    </row>
    <row r="905" spans="1:18">
      <c r="A905" s="1081"/>
      <c r="B905" s="1082"/>
      <c r="K905" s="1082"/>
      <c r="L905" s="1082"/>
      <c r="M905" s="1082"/>
      <c r="N905" s="1082"/>
      <c r="O905" s="1082"/>
      <c r="P905" s="1081"/>
      <c r="Q905" s="1081"/>
      <c r="R905" s="1081"/>
    </row>
    <row r="906" spans="1:18">
      <c r="A906" s="1081"/>
      <c r="B906" s="1082"/>
      <c r="K906" s="1082"/>
      <c r="L906" s="1082"/>
      <c r="M906" s="1082"/>
      <c r="N906" s="1082"/>
      <c r="O906" s="1082"/>
      <c r="P906" s="1081"/>
      <c r="Q906" s="1081"/>
      <c r="R906" s="1081"/>
    </row>
    <row r="907" spans="1:18">
      <c r="A907" s="1081"/>
      <c r="B907" s="1082"/>
      <c r="K907" s="1082"/>
      <c r="L907" s="1082"/>
      <c r="M907" s="1082"/>
      <c r="N907" s="1082"/>
      <c r="O907" s="1082"/>
      <c r="P907" s="1081"/>
      <c r="Q907" s="1081"/>
      <c r="R907" s="1081"/>
    </row>
    <row r="908" spans="1:18">
      <c r="A908" s="1081"/>
      <c r="B908" s="1082"/>
      <c r="K908" s="1082"/>
      <c r="L908" s="1082"/>
      <c r="M908" s="1082"/>
      <c r="N908" s="1082"/>
      <c r="O908" s="1082"/>
      <c r="P908" s="1081"/>
      <c r="Q908" s="1081"/>
      <c r="R908" s="1081"/>
    </row>
    <row r="909" spans="1:18">
      <c r="A909" s="1081"/>
      <c r="B909" s="1082"/>
      <c r="K909" s="1082"/>
      <c r="L909" s="1082"/>
      <c r="M909" s="1082"/>
      <c r="N909" s="1082"/>
      <c r="O909" s="1082"/>
      <c r="P909" s="1081"/>
      <c r="Q909" s="1081"/>
      <c r="R909" s="1081"/>
    </row>
    <row r="910" spans="1:18">
      <c r="A910" s="1081"/>
      <c r="B910" s="1082"/>
      <c r="K910" s="1082"/>
      <c r="L910" s="1082"/>
      <c r="M910" s="1082"/>
      <c r="N910" s="1082"/>
      <c r="O910" s="1082"/>
      <c r="P910" s="1081"/>
      <c r="Q910" s="1081"/>
      <c r="R910" s="1081"/>
    </row>
    <row r="911" spans="1:18">
      <c r="A911" s="1081"/>
      <c r="B911" s="1082"/>
      <c r="K911" s="1082"/>
      <c r="L911" s="1082"/>
      <c r="M911" s="1082"/>
      <c r="N911" s="1082"/>
      <c r="O911" s="1082"/>
      <c r="P911" s="1081"/>
      <c r="Q911" s="1081"/>
      <c r="R911" s="1081"/>
    </row>
    <row r="912" spans="1:18">
      <c r="A912" s="1081"/>
      <c r="B912" s="1082"/>
      <c r="K912" s="1082"/>
      <c r="L912" s="1082"/>
      <c r="M912" s="1082"/>
      <c r="N912" s="1082"/>
      <c r="O912" s="1082"/>
      <c r="P912" s="1081"/>
      <c r="Q912" s="1081"/>
      <c r="R912" s="1081"/>
    </row>
    <row r="913" spans="1:18">
      <c r="A913" s="1081"/>
      <c r="B913" s="1082"/>
      <c r="K913" s="1082"/>
      <c r="L913" s="1082"/>
      <c r="M913" s="1082"/>
      <c r="N913" s="1082"/>
      <c r="O913" s="1082"/>
      <c r="P913" s="1081"/>
      <c r="Q913" s="1081"/>
      <c r="R913" s="1081"/>
    </row>
    <row r="914" spans="1:18">
      <c r="A914" s="1081"/>
      <c r="B914" s="1082"/>
      <c r="K914" s="1082"/>
      <c r="L914" s="1082"/>
      <c r="M914" s="1082"/>
      <c r="N914" s="1082"/>
      <c r="O914" s="1082"/>
      <c r="P914" s="1081"/>
      <c r="Q914" s="1081"/>
      <c r="R914" s="1081"/>
    </row>
    <row r="915" spans="1:18">
      <c r="A915" s="1081"/>
      <c r="B915" s="1082"/>
      <c r="K915" s="1082"/>
      <c r="L915" s="1082"/>
      <c r="M915" s="1082"/>
      <c r="N915" s="1082"/>
      <c r="O915" s="1082"/>
      <c r="P915" s="1081"/>
      <c r="Q915" s="1081"/>
      <c r="R915" s="1081"/>
    </row>
    <row r="916" spans="1:18">
      <c r="A916" s="1081"/>
      <c r="B916" s="1082"/>
      <c r="K916" s="1082"/>
      <c r="L916" s="1082"/>
      <c r="M916" s="1082"/>
      <c r="N916" s="1082"/>
      <c r="O916" s="1082"/>
      <c r="P916" s="1081"/>
      <c r="Q916" s="1081"/>
      <c r="R916" s="1081"/>
    </row>
    <row r="917" spans="1:18">
      <c r="A917" s="1081"/>
      <c r="B917" s="1082"/>
      <c r="K917" s="1082"/>
      <c r="L917" s="1082"/>
      <c r="M917" s="1082"/>
      <c r="N917" s="1082"/>
      <c r="O917" s="1082"/>
      <c r="P917" s="1081"/>
      <c r="Q917" s="1081"/>
      <c r="R917" s="1081"/>
    </row>
    <row r="918" spans="1:18">
      <c r="A918" s="1081"/>
      <c r="B918" s="1082"/>
      <c r="K918" s="1082"/>
      <c r="L918" s="1082"/>
      <c r="M918" s="1082"/>
      <c r="N918" s="1082"/>
      <c r="O918" s="1082"/>
      <c r="P918" s="1081"/>
      <c r="Q918" s="1081"/>
      <c r="R918" s="1081"/>
    </row>
    <row r="919" spans="1:18">
      <c r="A919" s="1081"/>
      <c r="B919" s="1082"/>
      <c r="K919" s="1082"/>
      <c r="L919" s="1082"/>
      <c r="M919" s="1082"/>
      <c r="N919" s="1082"/>
      <c r="O919" s="1082"/>
      <c r="P919" s="1081"/>
      <c r="Q919" s="1081"/>
      <c r="R919" s="1081"/>
    </row>
    <row r="920" spans="1:18">
      <c r="A920" s="1081"/>
      <c r="B920" s="1082"/>
      <c r="K920" s="1082"/>
      <c r="L920" s="1082"/>
      <c r="M920" s="1082"/>
      <c r="N920" s="1082"/>
      <c r="O920" s="1082"/>
      <c r="P920" s="1081"/>
      <c r="Q920" s="1081"/>
      <c r="R920" s="1081"/>
    </row>
    <row r="921" spans="1:18">
      <c r="A921" s="1081"/>
      <c r="B921" s="1082"/>
      <c r="K921" s="1082"/>
      <c r="L921" s="1082"/>
      <c r="M921" s="1082"/>
      <c r="N921" s="1082"/>
      <c r="O921" s="1082"/>
      <c r="P921" s="1081"/>
      <c r="Q921" s="1081"/>
      <c r="R921" s="1081"/>
    </row>
    <row r="922" spans="1:18">
      <c r="A922" s="1081"/>
      <c r="B922" s="1082"/>
      <c r="K922" s="1082"/>
      <c r="L922" s="1082"/>
      <c r="M922" s="1082"/>
      <c r="N922" s="1082"/>
      <c r="O922" s="1082"/>
      <c r="P922" s="1081"/>
      <c r="Q922" s="1081"/>
      <c r="R922" s="1081"/>
    </row>
    <row r="923" spans="1:18">
      <c r="A923" s="1081"/>
      <c r="B923" s="1082"/>
      <c r="K923" s="1082"/>
      <c r="L923" s="1082"/>
      <c r="M923" s="1082"/>
      <c r="N923" s="1082"/>
      <c r="O923" s="1082"/>
      <c r="P923" s="1081"/>
      <c r="Q923" s="1081"/>
      <c r="R923" s="1081"/>
    </row>
    <row r="924" spans="1:18">
      <c r="A924" s="1081"/>
      <c r="B924" s="1082"/>
      <c r="K924" s="1082"/>
      <c r="L924" s="1082"/>
      <c r="M924" s="1082"/>
      <c r="N924" s="1082"/>
      <c r="O924" s="1082"/>
      <c r="P924" s="1081"/>
      <c r="Q924" s="1081"/>
      <c r="R924" s="1081"/>
    </row>
    <row r="925" spans="1:18">
      <c r="A925" s="1081"/>
      <c r="B925" s="1082"/>
      <c r="K925" s="1082"/>
      <c r="L925" s="1082"/>
      <c r="M925" s="1082"/>
      <c r="N925" s="1082"/>
      <c r="O925" s="1082"/>
      <c r="P925" s="1081"/>
      <c r="Q925" s="1081"/>
      <c r="R925" s="1081"/>
    </row>
    <row r="926" spans="1:18">
      <c r="A926" s="1081"/>
      <c r="B926" s="1082"/>
      <c r="K926" s="1082"/>
      <c r="L926" s="1082"/>
      <c r="M926" s="1082"/>
      <c r="N926" s="1082"/>
      <c r="O926" s="1082"/>
      <c r="P926" s="1081"/>
      <c r="Q926" s="1081"/>
      <c r="R926" s="1081"/>
    </row>
    <row r="927" spans="1:18">
      <c r="A927" s="1081"/>
      <c r="B927" s="1082"/>
      <c r="K927" s="1082"/>
      <c r="L927" s="1082"/>
      <c r="M927" s="1082"/>
      <c r="N927" s="1082"/>
      <c r="O927" s="1082"/>
      <c r="P927" s="1081"/>
      <c r="Q927" s="1081"/>
      <c r="R927" s="1081"/>
    </row>
    <row r="928" spans="1:18">
      <c r="A928" s="1081"/>
      <c r="B928" s="1082"/>
      <c r="K928" s="1082"/>
      <c r="L928" s="1082"/>
      <c r="M928" s="1082"/>
      <c r="N928" s="1082"/>
      <c r="O928" s="1082"/>
      <c r="P928" s="1081"/>
      <c r="Q928" s="1081"/>
      <c r="R928" s="1081"/>
    </row>
    <row r="929" spans="1:18">
      <c r="A929" s="1081"/>
      <c r="B929" s="1082"/>
      <c r="K929" s="1082"/>
      <c r="L929" s="1082"/>
      <c r="M929" s="1082"/>
      <c r="N929" s="1082"/>
      <c r="O929" s="1082"/>
      <c r="P929" s="1081"/>
      <c r="Q929" s="1081"/>
      <c r="R929" s="1081"/>
    </row>
    <row r="930" spans="1:18">
      <c r="A930" s="1081"/>
      <c r="B930" s="1082"/>
      <c r="K930" s="1082"/>
      <c r="L930" s="1082"/>
      <c r="M930" s="1082"/>
      <c r="N930" s="1082"/>
      <c r="O930" s="1082"/>
      <c r="P930" s="1081"/>
      <c r="Q930" s="1081"/>
      <c r="R930" s="1081"/>
    </row>
    <row r="931" spans="1:18">
      <c r="A931" s="1081"/>
      <c r="B931" s="1082"/>
      <c r="K931" s="1082"/>
      <c r="L931" s="1082"/>
      <c r="M931" s="1082"/>
      <c r="N931" s="1082"/>
      <c r="O931" s="1082"/>
      <c r="P931" s="1081"/>
      <c r="Q931" s="1081"/>
      <c r="R931" s="1081"/>
    </row>
    <row r="932" spans="1:18">
      <c r="A932" s="1081"/>
      <c r="B932" s="1082"/>
      <c r="K932" s="1082"/>
      <c r="L932" s="1082"/>
      <c r="M932" s="1082"/>
      <c r="N932" s="1082"/>
      <c r="O932" s="1082"/>
      <c r="P932" s="1081"/>
      <c r="Q932" s="1081"/>
      <c r="R932" s="1081"/>
    </row>
    <row r="933" spans="1:18">
      <c r="A933" s="1081"/>
      <c r="B933" s="1082"/>
      <c r="K933" s="1082"/>
      <c r="L933" s="1082"/>
      <c r="M933" s="1082"/>
      <c r="N933" s="1082"/>
      <c r="O933" s="1082"/>
      <c r="P933" s="1081"/>
      <c r="Q933" s="1081"/>
      <c r="R933" s="1081"/>
    </row>
    <row r="934" spans="1:18">
      <c r="A934" s="1081"/>
      <c r="B934" s="1082"/>
      <c r="K934" s="1082"/>
      <c r="L934" s="1082"/>
      <c r="M934" s="1082"/>
      <c r="N934" s="1082"/>
      <c r="O934" s="1082"/>
      <c r="P934" s="1081"/>
      <c r="Q934" s="1081"/>
      <c r="R934" s="1081"/>
    </row>
    <row r="935" spans="1:18">
      <c r="A935" s="1081"/>
      <c r="B935" s="1082"/>
      <c r="K935" s="1082"/>
      <c r="L935" s="1082"/>
      <c r="M935" s="1082"/>
      <c r="N935" s="1082"/>
      <c r="O935" s="1082"/>
      <c r="P935" s="1081"/>
      <c r="Q935" s="1081"/>
      <c r="R935" s="1081"/>
    </row>
    <row r="936" spans="1:18">
      <c r="A936" s="1081"/>
      <c r="B936" s="1082"/>
      <c r="K936" s="1082"/>
      <c r="L936" s="1082"/>
      <c r="M936" s="1082"/>
      <c r="N936" s="1082"/>
      <c r="O936" s="1082"/>
      <c r="P936" s="1081"/>
      <c r="Q936" s="1081"/>
      <c r="R936" s="1081"/>
    </row>
    <row r="937" spans="1:18">
      <c r="A937" s="1081"/>
      <c r="B937" s="1082"/>
      <c r="K937" s="1082"/>
      <c r="L937" s="1082"/>
      <c r="M937" s="1082"/>
      <c r="N937" s="1082"/>
      <c r="O937" s="1082"/>
      <c r="P937" s="1081"/>
      <c r="Q937" s="1081"/>
      <c r="R937" s="1081"/>
    </row>
    <row r="938" spans="1:18">
      <c r="A938" s="1081"/>
      <c r="B938" s="1082"/>
      <c r="K938" s="1082"/>
      <c r="L938" s="1082"/>
      <c r="M938" s="1082"/>
      <c r="N938" s="1082"/>
      <c r="O938" s="1082"/>
      <c r="P938" s="1081"/>
      <c r="Q938" s="1081"/>
      <c r="R938" s="1081"/>
    </row>
    <row r="939" spans="1:18">
      <c r="A939" s="1081"/>
      <c r="B939" s="1082"/>
      <c r="K939" s="1082"/>
      <c r="L939" s="1082"/>
      <c r="M939" s="1082"/>
      <c r="N939" s="1082"/>
      <c r="O939" s="1082"/>
      <c r="P939" s="1081"/>
      <c r="Q939" s="1081"/>
      <c r="R939" s="1081"/>
    </row>
    <row r="940" spans="1:18">
      <c r="A940" s="1081"/>
      <c r="B940" s="1082"/>
      <c r="K940" s="1082"/>
      <c r="L940" s="1082"/>
      <c r="M940" s="1082"/>
      <c r="N940" s="1082"/>
      <c r="O940" s="1082"/>
      <c r="P940" s="1081"/>
      <c r="Q940" s="1081"/>
      <c r="R940" s="1081"/>
    </row>
    <row r="941" spans="1:18">
      <c r="A941" s="1081"/>
      <c r="B941" s="1082"/>
      <c r="K941" s="1082"/>
      <c r="L941" s="1082"/>
      <c r="M941" s="1082"/>
      <c r="N941" s="1082"/>
      <c r="O941" s="1082"/>
      <c r="P941" s="1081"/>
      <c r="Q941" s="1081"/>
      <c r="R941" s="1081"/>
    </row>
    <row r="942" spans="1:18">
      <c r="A942" s="1081"/>
      <c r="B942" s="1082"/>
      <c r="K942" s="1082"/>
      <c r="L942" s="1082"/>
      <c r="M942" s="1082"/>
      <c r="N942" s="1082"/>
      <c r="O942" s="1082"/>
      <c r="P942" s="1081"/>
      <c r="Q942" s="1081"/>
      <c r="R942" s="1081"/>
    </row>
    <row r="943" spans="1:18">
      <c r="A943" s="1081"/>
      <c r="B943" s="1082"/>
      <c r="K943" s="1082"/>
      <c r="L943" s="1082"/>
      <c r="M943" s="1082"/>
      <c r="N943" s="1082"/>
      <c r="O943" s="1082"/>
      <c r="P943" s="1081"/>
      <c r="Q943" s="1081"/>
      <c r="R943" s="1081"/>
    </row>
    <row r="944" spans="1:18">
      <c r="A944" s="1081"/>
      <c r="B944" s="1082"/>
      <c r="K944" s="1082"/>
      <c r="L944" s="1082"/>
      <c r="M944" s="1082"/>
      <c r="N944" s="1082"/>
      <c r="O944" s="1082"/>
      <c r="P944" s="1081"/>
      <c r="Q944" s="1081"/>
      <c r="R944" s="1081"/>
    </row>
    <row r="945" spans="1:18">
      <c r="A945" s="1081"/>
      <c r="B945" s="1082"/>
      <c r="K945" s="1082"/>
      <c r="L945" s="1082"/>
      <c r="M945" s="1082"/>
      <c r="N945" s="1082"/>
      <c r="O945" s="1082"/>
      <c r="P945" s="1081"/>
      <c r="Q945" s="1081"/>
      <c r="R945" s="1081"/>
    </row>
    <row r="946" spans="1:18">
      <c r="A946" s="1081"/>
      <c r="B946" s="1082"/>
      <c r="K946" s="1082"/>
      <c r="L946" s="1082"/>
      <c r="M946" s="1082"/>
      <c r="N946" s="1082"/>
      <c r="O946" s="1082"/>
      <c r="P946" s="1081"/>
      <c r="Q946" s="1081"/>
      <c r="R946" s="1081"/>
    </row>
    <row r="947" spans="1:18">
      <c r="A947" s="1081"/>
      <c r="B947" s="1082"/>
      <c r="K947" s="1082"/>
      <c r="L947" s="1082"/>
      <c r="M947" s="1082"/>
      <c r="N947" s="1082"/>
      <c r="O947" s="1082"/>
      <c r="P947" s="1081"/>
      <c r="Q947" s="1081"/>
      <c r="R947" s="1081"/>
    </row>
    <row r="948" spans="1:18">
      <c r="A948" s="1081"/>
      <c r="B948" s="1082"/>
      <c r="K948" s="1082"/>
      <c r="L948" s="1082"/>
      <c r="M948" s="1082"/>
      <c r="N948" s="1082"/>
      <c r="O948" s="1082"/>
      <c r="P948" s="1081"/>
      <c r="Q948" s="1081"/>
      <c r="R948" s="1081"/>
    </row>
    <row r="949" spans="1:18">
      <c r="A949" s="1081"/>
      <c r="B949" s="1082"/>
      <c r="K949" s="1082"/>
      <c r="L949" s="1082"/>
      <c r="M949" s="1082"/>
      <c r="N949" s="1082"/>
      <c r="O949" s="1082"/>
      <c r="P949" s="1081"/>
      <c r="Q949" s="1081"/>
      <c r="R949" s="1081"/>
    </row>
    <row r="950" spans="1:18">
      <c r="A950" s="1081"/>
      <c r="B950" s="1082"/>
      <c r="K950" s="1082"/>
      <c r="L950" s="1082"/>
      <c r="M950" s="1082"/>
      <c r="N950" s="1082"/>
      <c r="O950" s="1082"/>
      <c r="P950" s="1081"/>
      <c r="Q950" s="1081"/>
      <c r="R950" s="1081"/>
    </row>
    <row r="951" spans="1:18">
      <c r="A951" s="1081"/>
      <c r="B951" s="1082"/>
      <c r="K951" s="1082"/>
      <c r="L951" s="1082"/>
      <c r="M951" s="1082"/>
      <c r="N951" s="1082"/>
      <c r="O951" s="1082"/>
      <c r="P951" s="1081"/>
      <c r="Q951" s="1081"/>
      <c r="R951" s="1081"/>
    </row>
    <row r="952" spans="1:18">
      <c r="A952" s="1081"/>
      <c r="B952" s="1082"/>
      <c r="K952" s="1082"/>
      <c r="L952" s="1082"/>
      <c r="M952" s="1082"/>
      <c r="N952" s="1082"/>
      <c r="O952" s="1082"/>
      <c r="P952" s="1081"/>
      <c r="Q952" s="1081"/>
      <c r="R952" s="1081"/>
    </row>
    <row r="953" spans="1:18">
      <c r="A953" s="1081"/>
      <c r="B953" s="1082"/>
      <c r="K953" s="1082"/>
      <c r="L953" s="1082"/>
      <c r="M953" s="1082"/>
      <c r="N953" s="1082"/>
      <c r="O953" s="1082"/>
      <c r="P953" s="1081"/>
      <c r="Q953" s="1081"/>
      <c r="R953" s="1081"/>
    </row>
    <row r="954" spans="1:18">
      <c r="A954" s="1081"/>
      <c r="B954" s="1082"/>
      <c r="K954" s="1082"/>
      <c r="L954" s="1082"/>
      <c r="M954" s="1082"/>
      <c r="N954" s="1082"/>
      <c r="O954" s="1082"/>
      <c r="P954" s="1081"/>
      <c r="Q954" s="1081"/>
      <c r="R954" s="1081"/>
    </row>
    <row r="955" spans="1:18">
      <c r="A955" s="1081"/>
      <c r="B955" s="1082"/>
      <c r="K955" s="1082"/>
      <c r="L955" s="1082"/>
      <c r="M955" s="1082"/>
      <c r="N955" s="1082"/>
      <c r="O955" s="1082"/>
      <c r="P955" s="1081"/>
      <c r="Q955" s="1081"/>
      <c r="R955" s="1081"/>
    </row>
    <row r="956" spans="1:18">
      <c r="A956" s="1081"/>
      <c r="B956" s="1082"/>
      <c r="K956" s="1082"/>
      <c r="L956" s="1082"/>
      <c r="M956" s="1082"/>
      <c r="N956" s="1082"/>
      <c r="O956" s="1082"/>
      <c r="P956" s="1081"/>
      <c r="Q956" s="1081"/>
      <c r="R956" s="1081"/>
    </row>
    <row r="957" spans="1:18">
      <c r="A957" s="1081"/>
      <c r="B957" s="1082"/>
      <c r="K957" s="1082"/>
      <c r="L957" s="1082"/>
      <c r="M957" s="1082"/>
      <c r="N957" s="1082"/>
      <c r="O957" s="1082"/>
      <c r="P957" s="1081"/>
      <c r="Q957" s="1081"/>
      <c r="R957" s="1081"/>
    </row>
    <row r="958" spans="1:18">
      <c r="A958" s="1081"/>
      <c r="B958" s="1082"/>
      <c r="K958" s="1082"/>
      <c r="L958" s="1082"/>
      <c r="M958" s="1082"/>
      <c r="N958" s="1082"/>
      <c r="O958" s="1082"/>
      <c r="P958" s="1081"/>
      <c r="Q958" s="1081"/>
      <c r="R958" s="1081"/>
    </row>
    <row r="959" spans="1:18">
      <c r="A959" s="1081"/>
      <c r="B959" s="1082"/>
      <c r="K959" s="1082"/>
      <c r="L959" s="1082"/>
      <c r="M959" s="1082"/>
      <c r="N959" s="1082"/>
      <c r="O959" s="1082"/>
      <c r="P959" s="1081"/>
      <c r="Q959" s="1081"/>
      <c r="R959" s="1081"/>
    </row>
    <row r="960" spans="1:18">
      <c r="A960" s="1081"/>
      <c r="B960" s="1082"/>
      <c r="K960" s="1082"/>
      <c r="L960" s="1082"/>
      <c r="M960" s="1082"/>
      <c r="N960" s="1082"/>
      <c r="O960" s="1082"/>
      <c r="P960" s="1081"/>
      <c r="Q960" s="1081"/>
      <c r="R960" s="1081"/>
    </row>
    <row r="961" spans="1:18">
      <c r="A961" s="1081"/>
      <c r="B961" s="1082"/>
      <c r="K961" s="1082"/>
      <c r="L961" s="1082"/>
      <c r="M961" s="1082"/>
      <c r="N961" s="1082"/>
      <c r="O961" s="1082"/>
      <c r="P961" s="1081"/>
      <c r="Q961" s="1081"/>
      <c r="R961" s="1081"/>
    </row>
    <row r="962" spans="1:18">
      <c r="A962" s="1081"/>
      <c r="B962" s="1082"/>
      <c r="K962" s="1082"/>
      <c r="L962" s="1082"/>
      <c r="M962" s="1082"/>
      <c r="N962" s="1082"/>
      <c r="O962" s="1082"/>
      <c r="P962" s="1081"/>
      <c r="Q962" s="1081"/>
      <c r="R962" s="1081"/>
    </row>
    <row r="963" spans="1:18">
      <c r="A963" s="1081"/>
      <c r="B963" s="1082"/>
      <c r="K963" s="1082"/>
      <c r="L963" s="1082"/>
      <c r="M963" s="1082"/>
      <c r="N963" s="1082"/>
      <c r="O963" s="1082"/>
      <c r="P963" s="1081"/>
      <c r="Q963" s="1081"/>
      <c r="R963" s="1081"/>
    </row>
    <row r="964" spans="1:18">
      <c r="A964" s="1081"/>
      <c r="B964" s="1082"/>
      <c r="K964" s="1082"/>
      <c r="L964" s="1082"/>
      <c r="M964" s="1082"/>
      <c r="N964" s="1082"/>
      <c r="O964" s="1082"/>
      <c r="P964" s="1081"/>
      <c r="Q964" s="1081"/>
      <c r="R964" s="1081"/>
    </row>
    <row r="965" spans="1:18">
      <c r="A965" s="1081"/>
      <c r="B965" s="1082"/>
      <c r="K965" s="1082"/>
      <c r="L965" s="1082"/>
      <c r="M965" s="1082"/>
      <c r="N965" s="1082"/>
      <c r="O965" s="1082"/>
      <c r="P965" s="1081"/>
      <c r="Q965" s="1081"/>
      <c r="R965" s="1081"/>
    </row>
    <row r="966" spans="1:18">
      <c r="A966" s="1081"/>
      <c r="B966" s="1082"/>
      <c r="K966" s="1082"/>
      <c r="L966" s="1082"/>
      <c r="M966" s="1082"/>
      <c r="N966" s="1082"/>
      <c r="O966" s="1082"/>
      <c r="P966" s="1081"/>
      <c r="Q966" s="1081"/>
      <c r="R966" s="1081"/>
    </row>
    <row r="967" spans="1:18">
      <c r="A967" s="1081"/>
      <c r="B967" s="1082"/>
      <c r="K967" s="1082"/>
      <c r="L967" s="1082"/>
      <c r="M967" s="1082"/>
      <c r="N967" s="1082"/>
      <c r="O967" s="1082"/>
      <c r="P967" s="1081"/>
      <c r="Q967" s="1081"/>
      <c r="R967" s="1081"/>
    </row>
    <row r="968" spans="1:18">
      <c r="A968" s="1081"/>
      <c r="B968" s="1082"/>
      <c r="K968" s="1082"/>
      <c r="L968" s="1082"/>
      <c r="M968" s="1082"/>
      <c r="N968" s="1082"/>
      <c r="O968" s="1082"/>
      <c r="P968" s="1081"/>
      <c r="Q968" s="1081"/>
      <c r="R968" s="1081"/>
    </row>
    <row r="969" spans="1:18">
      <c r="A969" s="1081"/>
      <c r="B969" s="1082"/>
      <c r="K969" s="1082"/>
      <c r="L969" s="1082"/>
      <c r="M969" s="1082"/>
      <c r="N969" s="1082"/>
      <c r="O969" s="1082"/>
      <c r="P969" s="1081"/>
      <c r="Q969" s="1081"/>
      <c r="R969" s="1081"/>
    </row>
    <row r="970" spans="1:18">
      <c r="A970" s="1081"/>
      <c r="B970" s="1082"/>
      <c r="K970" s="1082"/>
      <c r="L970" s="1082"/>
      <c r="M970" s="1082"/>
      <c r="N970" s="1082"/>
      <c r="O970" s="1082"/>
      <c r="P970" s="1081"/>
      <c r="Q970" s="1081"/>
      <c r="R970" s="1081"/>
    </row>
    <row r="971" spans="1:18">
      <c r="A971" s="1081"/>
      <c r="B971" s="1082"/>
      <c r="K971" s="1082"/>
      <c r="L971" s="1082"/>
      <c r="M971" s="1082"/>
      <c r="N971" s="1082"/>
      <c r="O971" s="1082"/>
      <c r="P971" s="1081"/>
      <c r="Q971" s="1081"/>
      <c r="R971" s="1081"/>
    </row>
    <row r="972" spans="1:18">
      <c r="A972" s="1081"/>
      <c r="B972" s="1082"/>
      <c r="K972" s="1082"/>
      <c r="L972" s="1082"/>
      <c r="M972" s="1082"/>
      <c r="N972" s="1082"/>
      <c r="O972" s="1082"/>
      <c r="P972" s="1081"/>
      <c r="Q972" s="1081"/>
      <c r="R972" s="1081"/>
    </row>
    <row r="973" spans="1:18">
      <c r="A973" s="1081"/>
      <c r="B973" s="1082"/>
      <c r="K973" s="1082"/>
      <c r="L973" s="1082"/>
      <c r="M973" s="1082"/>
      <c r="N973" s="1082"/>
      <c r="O973" s="1082"/>
      <c r="P973" s="1081"/>
      <c r="Q973" s="1081"/>
      <c r="R973" s="1081"/>
    </row>
    <row r="974" spans="1:18">
      <c r="A974" s="1081"/>
      <c r="B974" s="1082"/>
      <c r="K974" s="1082"/>
      <c r="L974" s="1082"/>
      <c r="M974" s="1082"/>
      <c r="N974" s="1082"/>
      <c r="O974" s="1082"/>
      <c r="P974" s="1081"/>
      <c r="Q974" s="1081"/>
      <c r="R974" s="1081"/>
    </row>
    <row r="975" spans="1:18">
      <c r="A975" s="1081"/>
      <c r="B975" s="1082"/>
      <c r="K975" s="1082"/>
      <c r="L975" s="1082"/>
      <c r="M975" s="1082"/>
      <c r="N975" s="1082"/>
      <c r="O975" s="1082"/>
      <c r="P975" s="1081"/>
      <c r="Q975" s="1081"/>
      <c r="R975" s="1081"/>
    </row>
    <row r="976" spans="1:18">
      <c r="A976" s="1081"/>
      <c r="B976" s="1082"/>
      <c r="K976" s="1082"/>
      <c r="L976" s="1082"/>
      <c r="M976" s="1082"/>
      <c r="N976" s="1082"/>
      <c r="O976" s="1082"/>
      <c r="P976" s="1081"/>
      <c r="Q976" s="1081"/>
      <c r="R976" s="1081"/>
    </row>
    <row r="977" spans="1:18">
      <c r="A977" s="1081"/>
      <c r="B977" s="1082"/>
      <c r="K977" s="1082"/>
      <c r="L977" s="1082"/>
      <c r="M977" s="1082"/>
      <c r="N977" s="1082"/>
      <c r="O977" s="1082"/>
      <c r="P977" s="1081"/>
      <c r="Q977" s="1081"/>
      <c r="R977" s="1081"/>
    </row>
    <row r="978" spans="1:18">
      <c r="A978" s="1081"/>
      <c r="B978" s="1082"/>
      <c r="K978" s="1082"/>
      <c r="L978" s="1082"/>
      <c r="M978" s="1082"/>
      <c r="N978" s="1082"/>
      <c r="O978" s="1082"/>
      <c r="P978" s="1081"/>
      <c r="Q978" s="1081"/>
      <c r="R978" s="1081"/>
    </row>
    <row r="979" spans="1:18">
      <c r="A979" s="1081"/>
      <c r="B979" s="1082"/>
      <c r="K979" s="1082"/>
      <c r="L979" s="1082"/>
      <c r="M979" s="1082"/>
      <c r="N979" s="1082"/>
      <c r="O979" s="1082"/>
      <c r="P979" s="1081"/>
      <c r="Q979" s="1081"/>
      <c r="R979" s="1081"/>
    </row>
    <row r="980" spans="1:18">
      <c r="A980" s="1081"/>
      <c r="B980" s="1082"/>
      <c r="K980" s="1082"/>
      <c r="L980" s="1082"/>
      <c r="M980" s="1082"/>
      <c r="N980" s="1082"/>
      <c r="O980" s="1082"/>
      <c r="P980" s="1081"/>
      <c r="Q980" s="1081"/>
      <c r="R980" s="1081"/>
    </row>
    <row r="981" spans="1:18">
      <c r="A981" s="1081"/>
      <c r="B981" s="1082"/>
      <c r="K981" s="1082"/>
      <c r="L981" s="1082"/>
      <c r="M981" s="1082"/>
      <c r="N981" s="1082"/>
      <c r="O981" s="1082"/>
      <c r="P981" s="1081"/>
      <c r="Q981" s="1081"/>
      <c r="R981" s="1081"/>
    </row>
    <row r="982" spans="1:18">
      <c r="A982" s="1081"/>
      <c r="B982" s="1082"/>
      <c r="K982" s="1082"/>
      <c r="L982" s="1082"/>
      <c r="M982" s="1082"/>
      <c r="N982" s="1082"/>
      <c r="O982" s="1082"/>
      <c r="P982" s="1081"/>
      <c r="Q982" s="1081"/>
      <c r="R982" s="1081"/>
    </row>
    <row r="983" spans="1:18">
      <c r="A983" s="1081"/>
      <c r="B983" s="1082"/>
      <c r="K983" s="1082"/>
      <c r="L983" s="1082"/>
      <c r="M983" s="1082"/>
      <c r="N983" s="1082"/>
      <c r="O983" s="1082"/>
      <c r="P983" s="1081"/>
      <c r="Q983" s="1081"/>
      <c r="R983" s="1081"/>
    </row>
    <row r="984" spans="1:18">
      <c r="A984" s="1081"/>
      <c r="B984" s="1082"/>
      <c r="K984" s="1082"/>
      <c r="L984" s="1082"/>
      <c r="M984" s="1082"/>
      <c r="N984" s="1082"/>
      <c r="O984" s="1082"/>
      <c r="P984" s="1081"/>
      <c r="Q984" s="1081"/>
      <c r="R984" s="1081"/>
    </row>
    <row r="985" spans="1:18">
      <c r="A985" s="1081"/>
      <c r="B985" s="1082"/>
      <c r="K985" s="1082"/>
      <c r="L985" s="1082"/>
      <c r="M985" s="1082"/>
      <c r="N985" s="1082"/>
      <c r="O985" s="1082"/>
      <c r="P985" s="1081"/>
      <c r="Q985" s="1081"/>
      <c r="R985" s="1081"/>
    </row>
    <row r="986" spans="1:18">
      <c r="A986" s="1081"/>
      <c r="B986" s="1082"/>
      <c r="K986" s="1082"/>
      <c r="L986" s="1082"/>
      <c r="M986" s="1082"/>
      <c r="N986" s="1082"/>
      <c r="O986" s="1082"/>
      <c r="P986" s="1081"/>
      <c r="Q986" s="1081"/>
      <c r="R986" s="1081"/>
    </row>
    <row r="987" spans="1:18">
      <c r="A987" s="1081"/>
      <c r="B987" s="1082"/>
      <c r="K987" s="1082"/>
      <c r="L987" s="1082"/>
      <c r="M987" s="1082"/>
      <c r="N987" s="1082"/>
      <c r="O987" s="1082"/>
      <c r="P987" s="1081"/>
      <c r="Q987" s="1081"/>
      <c r="R987" s="1081"/>
    </row>
    <row r="988" spans="1:18">
      <c r="A988" s="1081"/>
      <c r="B988" s="1082"/>
      <c r="K988" s="1082"/>
      <c r="L988" s="1082"/>
      <c r="M988" s="1082"/>
      <c r="N988" s="1082"/>
      <c r="O988" s="1082"/>
      <c r="P988" s="1081"/>
      <c r="Q988" s="1081"/>
      <c r="R988" s="1081"/>
    </row>
    <row r="989" spans="1:18">
      <c r="A989" s="1081"/>
      <c r="B989" s="1082"/>
      <c r="K989" s="1082"/>
      <c r="L989" s="1082"/>
      <c r="M989" s="1082"/>
      <c r="N989" s="1082"/>
      <c r="O989" s="1082"/>
      <c r="P989" s="1081"/>
      <c r="Q989" s="1081"/>
      <c r="R989" s="1081"/>
    </row>
    <row r="990" spans="1:18">
      <c r="A990" s="1081"/>
      <c r="B990" s="1082"/>
      <c r="K990" s="1082"/>
      <c r="L990" s="1082"/>
      <c r="M990" s="1082"/>
      <c r="N990" s="1082"/>
      <c r="O990" s="1082"/>
      <c r="P990" s="1081"/>
      <c r="Q990" s="1081"/>
      <c r="R990" s="1081"/>
    </row>
    <row r="991" spans="1:18">
      <c r="A991" s="1081"/>
      <c r="B991" s="1082"/>
      <c r="K991" s="1082"/>
      <c r="L991" s="1082"/>
      <c r="M991" s="1082"/>
      <c r="N991" s="1082"/>
      <c r="O991" s="1082"/>
      <c r="P991" s="1081"/>
      <c r="Q991" s="1081"/>
      <c r="R991" s="1081"/>
    </row>
    <row r="992" spans="1:18">
      <c r="A992" s="1081"/>
      <c r="B992" s="1082"/>
      <c r="K992" s="1082"/>
      <c r="L992" s="1082"/>
      <c r="M992" s="1082"/>
      <c r="N992" s="1082"/>
      <c r="O992" s="1082"/>
      <c r="P992" s="1081"/>
      <c r="Q992" s="1081"/>
      <c r="R992" s="1081"/>
    </row>
    <row r="993" spans="1:18">
      <c r="A993" s="1081"/>
      <c r="B993" s="1082"/>
      <c r="K993" s="1082"/>
      <c r="L993" s="1082"/>
      <c r="M993" s="1082"/>
      <c r="N993" s="1082"/>
      <c r="O993" s="1082"/>
      <c r="P993" s="1081"/>
      <c r="Q993" s="1081"/>
      <c r="R993" s="1081"/>
    </row>
    <row r="994" spans="1:18">
      <c r="A994" s="1081"/>
      <c r="B994" s="1082"/>
      <c r="K994" s="1082"/>
      <c r="L994" s="1082"/>
      <c r="M994" s="1082"/>
      <c r="N994" s="1082"/>
      <c r="O994" s="1082"/>
      <c r="P994" s="1081"/>
      <c r="Q994" s="1081"/>
      <c r="R994" s="1081"/>
    </row>
    <row r="995" spans="1:18">
      <c r="A995" s="1081"/>
      <c r="B995" s="1082"/>
      <c r="K995" s="1082"/>
      <c r="L995" s="1082"/>
      <c r="M995" s="1082"/>
      <c r="N995" s="1082"/>
      <c r="O995" s="1082"/>
      <c r="P995" s="1081"/>
      <c r="Q995" s="1081"/>
      <c r="R995" s="1081"/>
    </row>
    <row r="996" spans="1:18">
      <c r="A996" s="1081"/>
      <c r="B996" s="1082"/>
      <c r="K996" s="1082"/>
      <c r="L996" s="1082"/>
      <c r="M996" s="1082"/>
      <c r="N996" s="1082"/>
      <c r="O996" s="1082"/>
      <c r="P996" s="1081"/>
      <c r="Q996" s="1081"/>
      <c r="R996" s="1081"/>
    </row>
    <row r="997" spans="1:18">
      <c r="A997" s="1081"/>
      <c r="B997" s="1082"/>
      <c r="K997" s="1082"/>
      <c r="L997" s="1082"/>
      <c r="M997" s="1082"/>
      <c r="N997" s="1082"/>
      <c r="O997" s="1082"/>
      <c r="P997" s="1081"/>
      <c r="Q997" s="1081"/>
      <c r="R997" s="1081"/>
    </row>
    <row r="998" spans="1:18">
      <c r="A998" s="1081"/>
      <c r="B998" s="1082"/>
      <c r="K998" s="1082"/>
      <c r="L998" s="1082"/>
      <c r="M998" s="1082"/>
      <c r="N998" s="1082"/>
      <c r="O998" s="1082"/>
      <c r="P998" s="1081"/>
      <c r="Q998" s="1081"/>
      <c r="R998" s="1081"/>
    </row>
    <row r="999" spans="1:18">
      <c r="A999" s="1081"/>
      <c r="B999" s="1082"/>
      <c r="K999" s="1082"/>
      <c r="L999" s="1082"/>
      <c r="M999" s="1082"/>
      <c r="N999" s="1082"/>
      <c r="O999" s="1082"/>
      <c r="P999" s="1081"/>
      <c r="Q999" s="1081"/>
      <c r="R999" s="1081"/>
    </row>
    <row r="1000" spans="1:18">
      <c r="A1000" s="1081"/>
      <c r="B1000" s="1082"/>
      <c r="K1000" s="1082"/>
      <c r="L1000" s="1082"/>
      <c r="M1000" s="1082"/>
      <c r="N1000" s="1082"/>
      <c r="O1000" s="1082"/>
      <c r="P1000" s="1081"/>
      <c r="Q1000" s="1081"/>
      <c r="R1000" s="1081"/>
    </row>
    <row r="1001" spans="1:18">
      <c r="A1001" s="1081"/>
      <c r="B1001" s="1082"/>
      <c r="K1001" s="1082"/>
      <c r="L1001" s="1082"/>
      <c r="M1001" s="1082"/>
      <c r="N1001" s="1082"/>
      <c r="O1001" s="1082"/>
      <c r="P1001" s="1081"/>
      <c r="Q1001" s="1081"/>
      <c r="R1001" s="1081"/>
    </row>
    <row r="1002" spans="1:18">
      <c r="A1002" s="1081"/>
      <c r="B1002" s="1082"/>
      <c r="K1002" s="1082"/>
      <c r="L1002" s="1082"/>
      <c r="M1002" s="1082"/>
      <c r="N1002" s="1082"/>
      <c r="O1002" s="1082"/>
      <c r="P1002" s="1081"/>
      <c r="Q1002" s="1081"/>
      <c r="R1002" s="1081"/>
    </row>
    <row r="1003" spans="1:18">
      <c r="A1003" s="1081"/>
      <c r="B1003" s="1082"/>
      <c r="K1003" s="1082"/>
      <c r="L1003" s="1082"/>
      <c r="M1003" s="1082"/>
      <c r="N1003" s="1082"/>
      <c r="O1003" s="1082"/>
      <c r="P1003" s="1081"/>
      <c r="Q1003" s="1081"/>
      <c r="R1003" s="1081"/>
    </row>
    <row r="1004" spans="1:18">
      <c r="A1004" s="1081"/>
      <c r="B1004" s="1082"/>
      <c r="K1004" s="1082"/>
      <c r="L1004" s="1082"/>
      <c r="M1004" s="1082"/>
      <c r="N1004" s="1082"/>
      <c r="O1004" s="1082"/>
      <c r="P1004" s="1081"/>
      <c r="Q1004" s="1081"/>
      <c r="R1004" s="1081"/>
    </row>
    <row r="1005" spans="1:18">
      <c r="A1005" s="1081"/>
      <c r="B1005" s="1082"/>
      <c r="K1005" s="1082"/>
      <c r="L1005" s="1082"/>
      <c r="M1005" s="1082"/>
      <c r="N1005" s="1082"/>
      <c r="O1005" s="1082"/>
      <c r="P1005" s="1081"/>
      <c r="Q1005" s="1081"/>
      <c r="R1005" s="1081"/>
    </row>
    <row r="1006" spans="1:18">
      <c r="A1006" s="1081"/>
      <c r="B1006" s="1082"/>
      <c r="K1006" s="1082"/>
      <c r="L1006" s="1082"/>
      <c r="M1006" s="1082"/>
      <c r="N1006" s="1082"/>
      <c r="O1006" s="1082"/>
      <c r="P1006" s="1081"/>
      <c r="Q1006" s="1081"/>
      <c r="R1006" s="1081"/>
    </row>
    <row r="1007" spans="1:18">
      <c r="A1007" s="1081"/>
      <c r="B1007" s="1082"/>
      <c r="K1007" s="1082"/>
      <c r="L1007" s="1082"/>
      <c r="M1007" s="1082"/>
      <c r="N1007" s="1082"/>
      <c r="O1007" s="1082"/>
      <c r="P1007" s="1081"/>
      <c r="Q1007" s="1081"/>
      <c r="R1007" s="1081"/>
    </row>
    <row r="1008" spans="1:18">
      <c r="A1008" s="1081"/>
      <c r="B1008" s="1082"/>
      <c r="K1008" s="1082"/>
      <c r="L1008" s="1082"/>
      <c r="M1008" s="1082"/>
      <c r="N1008" s="1082"/>
      <c r="O1008" s="1082"/>
      <c r="P1008" s="1081"/>
      <c r="Q1008" s="1081"/>
      <c r="R1008" s="1081"/>
    </row>
    <row r="1009" spans="1:18">
      <c r="A1009" s="1081"/>
      <c r="B1009" s="1082"/>
      <c r="K1009" s="1082"/>
      <c r="L1009" s="1082"/>
      <c r="M1009" s="1082"/>
      <c r="N1009" s="1082"/>
      <c r="O1009" s="1082"/>
      <c r="P1009" s="1081"/>
      <c r="Q1009" s="1081"/>
      <c r="R1009" s="1081"/>
    </row>
    <row r="1010" spans="1:18">
      <c r="A1010" s="1081"/>
      <c r="B1010" s="1082"/>
      <c r="K1010" s="1082"/>
      <c r="L1010" s="1082"/>
      <c r="M1010" s="1082"/>
      <c r="N1010" s="1082"/>
      <c r="O1010" s="1082"/>
      <c r="P1010" s="1081"/>
      <c r="Q1010" s="1081"/>
      <c r="R1010" s="1081"/>
    </row>
    <row r="1011" spans="1:18">
      <c r="A1011" s="1081"/>
      <c r="B1011" s="1082"/>
      <c r="K1011" s="1082"/>
      <c r="L1011" s="1082"/>
      <c r="M1011" s="1082"/>
      <c r="N1011" s="1082"/>
      <c r="O1011" s="1082"/>
      <c r="P1011" s="1081"/>
      <c r="Q1011" s="1081"/>
      <c r="R1011" s="1081"/>
    </row>
    <row r="1012" spans="1:18">
      <c r="A1012" s="1081"/>
      <c r="B1012" s="1082"/>
      <c r="K1012" s="1082"/>
      <c r="L1012" s="1082"/>
      <c r="M1012" s="1082"/>
      <c r="N1012" s="1082"/>
      <c r="O1012" s="1082"/>
      <c r="P1012" s="1081"/>
      <c r="Q1012" s="1081"/>
      <c r="R1012" s="1081"/>
    </row>
  </sheetData>
  <mergeCells count="52">
    <mergeCell ref="A13:B13"/>
    <mergeCell ref="A14:B14"/>
    <mergeCell ref="A12:B12"/>
    <mergeCell ref="A7:B7"/>
    <mergeCell ref="A8:B8"/>
    <mergeCell ref="A10:B10"/>
    <mergeCell ref="A11:B11"/>
    <mergeCell ref="A21:B21"/>
    <mergeCell ref="A22:B22"/>
    <mergeCell ref="A25:B25"/>
    <mergeCell ref="A16:B16"/>
    <mergeCell ref="A17:B17"/>
    <mergeCell ref="A18:B18"/>
    <mergeCell ref="A19:B19"/>
    <mergeCell ref="A20:B20"/>
    <mergeCell ref="A26:B26"/>
    <mergeCell ref="A23:B23"/>
    <mergeCell ref="A24:B24"/>
    <mergeCell ref="A42:B42"/>
    <mergeCell ref="A43:B43"/>
    <mergeCell ref="A27:B27"/>
    <mergeCell ref="A38:B38"/>
    <mergeCell ref="A39:B39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56"/>
  <sheetViews>
    <sheetView showGridLines="0" view="pageBreakPreview" zoomScale="106" zoomScaleSheetLayoutView="106" workbookViewId="0">
      <selection activeCell="D643" sqref="D643:D656"/>
    </sheetView>
  </sheetViews>
  <sheetFormatPr defaultColWidth="9.140625" defaultRowHeight="12.75"/>
  <cols>
    <col min="1" max="1" width="3.42578125" style="233" customWidth="1"/>
    <col min="2" max="2" width="61.42578125" style="233" customWidth="1"/>
    <col min="3" max="3" width="11" style="233" customWidth="1"/>
    <col min="4" max="5" width="13.28515625" style="233" customWidth="1"/>
    <col min="6" max="6" width="12" style="233" customWidth="1"/>
    <col min="7" max="7" width="11.42578125" style="233" customWidth="1"/>
    <col min="8" max="8" width="11.28515625" style="233" customWidth="1"/>
    <col min="9" max="9" width="11.5703125" style="233" customWidth="1"/>
    <col min="10" max="10" width="9.28515625" style="233" customWidth="1"/>
    <col min="11" max="11" width="7.85546875" style="233" customWidth="1"/>
    <col min="12" max="12" width="7" style="233" customWidth="1"/>
    <col min="13" max="13" width="12.7109375" style="233" hidden="1" customWidth="1"/>
    <col min="14" max="15" width="12.7109375" style="233" customWidth="1"/>
    <col min="16" max="16" width="14.140625" style="233" hidden="1" customWidth="1"/>
    <col min="17" max="17" width="16" style="233" hidden="1" customWidth="1"/>
    <col min="18" max="18" width="10" style="233" customWidth="1"/>
    <col min="19" max="19" width="16.42578125" style="233" customWidth="1"/>
    <col min="20" max="16384" width="9.140625" style="233"/>
  </cols>
  <sheetData>
    <row r="1" spans="1:19" ht="15.75" customHeight="1">
      <c r="F1" s="832"/>
      <c r="G1" s="832"/>
      <c r="H1" s="832"/>
      <c r="I1" s="254" t="s">
        <v>70</v>
      </c>
      <c r="J1" s="254"/>
      <c r="K1" s="254"/>
      <c r="L1" s="254"/>
      <c r="M1" s="6"/>
      <c r="N1" s="6"/>
      <c r="O1" s="7"/>
    </row>
    <row r="2" spans="1:19" ht="15" customHeight="1"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7"/>
    </row>
    <row r="3" spans="1:19" ht="43.5" customHeight="1">
      <c r="A3" s="3309" t="s">
        <v>228</v>
      </c>
      <c r="B3" s="3309"/>
      <c r="C3" s="3309"/>
      <c r="D3" s="3309"/>
      <c r="E3" s="3309"/>
      <c r="F3" s="3309"/>
      <c r="G3" s="3309"/>
      <c r="H3" s="3309"/>
      <c r="I3" s="3309"/>
      <c r="J3" s="3309"/>
      <c r="K3" s="3309"/>
      <c r="L3" s="3309"/>
      <c r="M3" s="3309"/>
      <c r="N3" s="3309"/>
      <c r="O3" s="3309"/>
    </row>
    <row r="4" spans="1:19" ht="9.75" customHeight="1" thickBo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9" ht="75.75" customHeight="1">
      <c r="A5" s="1010"/>
      <c r="B5" s="1011"/>
      <c r="C5" s="3310" t="s">
        <v>71</v>
      </c>
      <c r="D5" s="3312" t="s">
        <v>72</v>
      </c>
      <c r="E5" s="2624" t="s">
        <v>262</v>
      </c>
      <c r="F5" s="3330" t="s">
        <v>525</v>
      </c>
      <c r="G5" s="3327" t="s">
        <v>457</v>
      </c>
      <c r="H5" s="3328"/>
      <c r="I5" s="3328"/>
      <c r="J5" s="3328"/>
      <c r="K5" s="3328"/>
      <c r="L5" s="3329"/>
      <c r="M5" s="3319" t="s">
        <v>478</v>
      </c>
      <c r="N5" s="3319" t="s">
        <v>549</v>
      </c>
      <c r="O5" s="3314" t="s">
        <v>73</v>
      </c>
    </row>
    <row r="6" spans="1:19" ht="18" customHeight="1" thickBot="1">
      <c r="A6" s="2635"/>
      <c r="B6" s="833"/>
      <c r="C6" s="3311"/>
      <c r="D6" s="3313"/>
      <c r="E6" s="2634" t="s">
        <v>444</v>
      </c>
      <c r="F6" s="3331"/>
      <c r="G6" s="2617" t="s">
        <v>6</v>
      </c>
      <c r="H6" s="2617" t="s">
        <v>206</v>
      </c>
      <c r="I6" s="2617" t="s">
        <v>208</v>
      </c>
      <c r="J6" s="2617" t="s">
        <v>253</v>
      </c>
      <c r="K6" s="2617" t="s">
        <v>254</v>
      </c>
      <c r="L6" s="2617" t="s">
        <v>252</v>
      </c>
      <c r="M6" s="3320"/>
      <c r="N6" s="3320"/>
      <c r="O6" s="3315"/>
      <c r="P6" s="456"/>
      <c r="Q6" s="456"/>
    </row>
    <row r="7" spans="1:19" s="258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57"/>
      <c r="Q7" s="257"/>
    </row>
    <row r="8" spans="1:19" ht="14.25" customHeight="1">
      <c r="A8" s="3316" t="s">
        <v>68</v>
      </c>
      <c r="B8" s="209" t="s">
        <v>76</v>
      </c>
      <c r="C8" s="210"/>
      <c r="D8" s="211">
        <f>+D9+D10</f>
        <v>766415762</v>
      </c>
      <c r="E8" s="211">
        <f>+E9+E10</f>
        <v>45122839</v>
      </c>
      <c r="F8" s="211">
        <f t="shared" ref="F8:G8" si="0">+F9+F10</f>
        <v>223190627</v>
      </c>
      <c r="G8" s="211">
        <f t="shared" si="0"/>
        <v>402944822</v>
      </c>
      <c r="H8" s="211">
        <f t="shared" ref="H8:L8" si="1">+H9+H10</f>
        <v>84518708</v>
      </c>
      <c r="I8" s="211">
        <f t="shared" si="1"/>
        <v>10638766</v>
      </c>
      <c r="J8" s="211">
        <f t="shared" si="1"/>
        <v>0</v>
      </c>
      <c r="K8" s="211">
        <f t="shared" si="1"/>
        <v>0</v>
      </c>
      <c r="L8" s="211">
        <f t="shared" si="1"/>
        <v>0</v>
      </c>
      <c r="M8" s="16">
        <f>+M9+M10</f>
        <v>721292923</v>
      </c>
      <c r="N8" s="16">
        <f>+N9+N10</f>
        <v>498102296</v>
      </c>
      <c r="O8" s="834"/>
      <c r="P8" s="456"/>
    </row>
    <row r="9" spans="1:19" ht="14.25" customHeight="1">
      <c r="A9" s="3317"/>
      <c r="B9" s="212" t="s">
        <v>77</v>
      </c>
      <c r="C9" s="213"/>
      <c r="D9" s="214">
        <f>+D470+D488+D406+D421</f>
        <v>944587</v>
      </c>
      <c r="E9" s="214">
        <f>+E470+E488+E406+E421</f>
        <v>48374</v>
      </c>
      <c r="F9" s="214">
        <f t="shared" ref="F9:J9" si="2">+F470+F488+F406+F421</f>
        <v>150710</v>
      </c>
      <c r="G9" s="214">
        <f t="shared" si="2"/>
        <v>467096</v>
      </c>
      <c r="H9" s="214">
        <f t="shared" si="2"/>
        <v>196235</v>
      </c>
      <c r="I9" s="214">
        <f t="shared" si="2"/>
        <v>82172</v>
      </c>
      <c r="J9" s="214">
        <f t="shared" si="2"/>
        <v>0</v>
      </c>
      <c r="K9" s="214">
        <f t="shared" ref="K9:L9" si="3">+K470+K488+K406</f>
        <v>0</v>
      </c>
      <c r="L9" s="214">
        <f t="shared" si="3"/>
        <v>0</v>
      </c>
      <c r="M9" s="1012">
        <f>SUM(F9:K9)</f>
        <v>896213</v>
      </c>
      <c r="N9" s="1012">
        <f>SUM(G9:L9)</f>
        <v>745503</v>
      </c>
      <c r="O9" s="835"/>
    </row>
    <row r="10" spans="1:19" ht="14.25" customHeight="1" thickBot="1">
      <c r="A10" s="3317"/>
      <c r="B10" s="836" t="s">
        <v>9</v>
      </c>
      <c r="C10" s="837"/>
      <c r="D10" s="838">
        <f>+D114+D129+D54+D68+D145+D301+D277+D315+D80+D92+D104+D339+D452+D289+D349+D157+D169+D181+D193+D358+D370+D379+D388+D397+D205+D217+D229+D241+D253+D265</f>
        <v>765471175</v>
      </c>
      <c r="E10" s="838">
        <f t="shared" ref="E10:L10" si="4">+E114+E129+E54+E68+E145+E301+E277+E315+E80+E92+E104+E339+E452+E289+E349+E157+E169+E181+E193+E358+E370+E379+E388+E397+E205+E217+E229+E241+E253+E265</f>
        <v>45074465</v>
      </c>
      <c r="F10" s="838">
        <f t="shared" si="4"/>
        <v>223039917</v>
      </c>
      <c r="G10" s="838">
        <f t="shared" si="4"/>
        <v>402477726</v>
      </c>
      <c r="H10" s="838">
        <f t="shared" si="4"/>
        <v>84322473</v>
      </c>
      <c r="I10" s="838">
        <f t="shared" si="4"/>
        <v>10556594</v>
      </c>
      <c r="J10" s="838">
        <f t="shared" si="4"/>
        <v>0</v>
      </c>
      <c r="K10" s="838">
        <f t="shared" si="4"/>
        <v>0</v>
      </c>
      <c r="L10" s="838">
        <f t="shared" si="4"/>
        <v>0</v>
      </c>
      <c r="M10" s="152">
        <f>SUM(F10:K10)</f>
        <v>720396710</v>
      </c>
      <c r="N10" s="152">
        <f>SUM(G10:L10)</f>
        <v>497356793</v>
      </c>
      <c r="O10" s="835"/>
    </row>
    <row r="11" spans="1:19" ht="13.5" customHeight="1">
      <c r="A11" s="3317"/>
      <c r="B11" s="19" t="s">
        <v>10</v>
      </c>
      <c r="C11" s="20"/>
      <c r="D11" s="839">
        <f>+D12+D18</f>
        <v>766415762</v>
      </c>
      <c r="E11" s="839">
        <f t="shared" ref="E11" si="5">+E12+E18</f>
        <v>45122839</v>
      </c>
      <c r="F11" s="839">
        <f t="shared" ref="F11:N11" si="6">+F12+F18</f>
        <v>223190627</v>
      </c>
      <c r="G11" s="839">
        <f t="shared" si="6"/>
        <v>402944822</v>
      </c>
      <c r="H11" s="839">
        <f t="shared" si="6"/>
        <v>84518708</v>
      </c>
      <c r="I11" s="839">
        <f t="shared" si="6"/>
        <v>10638766</v>
      </c>
      <c r="J11" s="839">
        <f t="shared" si="6"/>
        <v>0</v>
      </c>
      <c r="K11" s="839">
        <f t="shared" si="6"/>
        <v>0</v>
      </c>
      <c r="L11" s="839">
        <f t="shared" si="6"/>
        <v>0</v>
      </c>
      <c r="M11" s="840">
        <f t="shared" ref="M11" si="7">+M12+M18</f>
        <v>721292923</v>
      </c>
      <c r="N11" s="840">
        <f t="shared" si="6"/>
        <v>498102296</v>
      </c>
      <c r="O11" s="753"/>
      <c r="P11" s="841"/>
      <c r="Q11" s="456"/>
      <c r="S11" s="456"/>
    </row>
    <row r="12" spans="1:19" s="844" customFormat="1">
      <c r="A12" s="3317"/>
      <c r="B12" s="157" t="s">
        <v>11</v>
      </c>
      <c r="C12" s="1013"/>
      <c r="D12" s="1014">
        <f>+D13+D14+D15+D16+D17</f>
        <v>141023354</v>
      </c>
      <c r="E12" s="1014">
        <f t="shared" ref="E12" si="8">+E13+E14+E15+E16+E17</f>
        <v>14083478</v>
      </c>
      <c r="F12" s="1014">
        <f t="shared" ref="F12:L12" si="9">+F13+F14+F15+F16+F17</f>
        <v>34500894</v>
      </c>
      <c r="G12" s="1014">
        <f t="shared" si="9"/>
        <v>75962875</v>
      </c>
      <c r="H12" s="1014">
        <f t="shared" si="9"/>
        <v>14879952</v>
      </c>
      <c r="I12" s="1014">
        <f t="shared" si="9"/>
        <v>1596155</v>
      </c>
      <c r="J12" s="1014">
        <f t="shared" si="9"/>
        <v>0</v>
      </c>
      <c r="K12" s="1014">
        <f t="shared" si="9"/>
        <v>0</v>
      </c>
      <c r="L12" s="1014">
        <f t="shared" si="9"/>
        <v>0</v>
      </c>
      <c r="M12" s="1015">
        <f>SUM(M13:M17)</f>
        <v>126939876</v>
      </c>
      <c r="N12" s="1015">
        <f>SUM(N13:N17)</f>
        <v>92438982</v>
      </c>
      <c r="O12" s="842"/>
      <c r="P12" s="843"/>
      <c r="Q12" s="841"/>
    </row>
    <row r="13" spans="1:19">
      <c r="A13" s="3317"/>
      <c r="B13" s="160" t="s">
        <v>12</v>
      </c>
      <c r="C13" s="845"/>
      <c r="D13" s="1016">
        <f t="shared" ref="D13:I13" si="10">+D37+D329+D438+D481</f>
        <v>124245517</v>
      </c>
      <c r="E13" s="1016">
        <f t="shared" si="10"/>
        <v>4728647</v>
      </c>
      <c r="F13" s="1016">
        <f t="shared" si="10"/>
        <v>32807013</v>
      </c>
      <c r="G13" s="1016">
        <f t="shared" si="10"/>
        <v>70233750</v>
      </c>
      <c r="H13" s="1016">
        <f t="shared" si="10"/>
        <v>14879952</v>
      </c>
      <c r="I13" s="1016">
        <f t="shared" si="10"/>
        <v>1596155</v>
      </c>
      <c r="J13" s="1016">
        <f t="shared" ref="J13:L13" si="11">+J37+J329+J438+J481+J267</f>
        <v>0</v>
      </c>
      <c r="K13" s="1016">
        <f t="shared" si="11"/>
        <v>0</v>
      </c>
      <c r="L13" s="1016">
        <f t="shared" si="11"/>
        <v>0</v>
      </c>
      <c r="M13" s="1017">
        <f>SUM(F13:K13)</f>
        <v>119516870</v>
      </c>
      <c r="N13" s="1017">
        <f>SUM(G13:L13)</f>
        <v>86709857</v>
      </c>
      <c r="O13" s="753"/>
      <c r="P13" s="456"/>
      <c r="Q13" s="456"/>
      <c r="S13" s="456"/>
    </row>
    <row r="14" spans="1:19" ht="12" hidden="1" customHeight="1">
      <c r="A14" s="3317"/>
      <c r="B14" s="1018" t="s">
        <v>78</v>
      </c>
      <c r="C14" s="1019"/>
      <c r="D14" s="1016">
        <f>+D439</f>
        <v>0</v>
      </c>
      <c r="E14" s="1016">
        <f t="shared" ref="E14" si="12">+E439</f>
        <v>0</v>
      </c>
      <c r="F14" s="1016">
        <f t="shared" ref="F14:L14" si="13">+F439</f>
        <v>0</v>
      </c>
      <c r="G14" s="1016">
        <f t="shared" si="13"/>
        <v>0</v>
      </c>
      <c r="H14" s="1016">
        <f t="shared" si="13"/>
        <v>0</v>
      </c>
      <c r="I14" s="1016">
        <f t="shared" si="13"/>
        <v>0</v>
      </c>
      <c r="J14" s="1016">
        <f t="shared" si="13"/>
        <v>0</v>
      </c>
      <c r="K14" s="1016">
        <f t="shared" si="13"/>
        <v>0</v>
      </c>
      <c r="L14" s="1016">
        <f t="shared" si="13"/>
        <v>0</v>
      </c>
      <c r="M14" s="1017">
        <f>SUM(E14:K14)</f>
        <v>0</v>
      </c>
      <c r="N14" s="1017">
        <f>SUM(F14:L14)</f>
        <v>0</v>
      </c>
      <c r="O14" s="848"/>
      <c r="P14" s="456"/>
    </row>
    <row r="15" spans="1:19" ht="13.5" customHeight="1">
      <c r="A15" s="3317"/>
      <c r="B15" s="160" t="s">
        <v>15</v>
      </c>
      <c r="C15" s="845"/>
      <c r="D15" s="1016">
        <f t="shared" ref="D15:L15" si="14">+D38+D330</f>
        <v>16777837</v>
      </c>
      <c r="E15" s="1016">
        <f t="shared" si="14"/>
        <v>9354831</v>
      </c>
      <c r="F15" s="1016">
        <f t="shared" si="14"/>
        <v>1693881</v>
      </c>
      <c r="G15" s="1016">
        <f t="shared" si="14"/>
        <v>5729125</v>
      </c>
      <c r="H15" s="1016">
        <f t="shared" si="14"/>
        <v>0</v>
      </c>
      <c r="I15" s="1016">
        <f t="shared" si="14"/>
        <v>0</v>
      </c>
      <c r="J15" s="1016">
        <f t="shared" si="14"/>
        <v>0</v>
      </c>
      <c r="K15" s="1016">
        <f t="shared" si="14"/>
        <v>0</v>
      </c>
      <c r="L15" s="1016">
        <f t="shared" si="14"/>
        <v>0</v>
      </c>
      <c r="M15" s="975">
        <f>SUM(F15:K15)</f>
        <v>7423006</v>
      </c>
      <c r="N15" s="975">
        <f>SUM(G15:L15)</f>
        <v>5729125</v>
      </c>
      <c r="O15" s="848"/>
      <c r="P15" s="456"/>
    </row>
    <row r="16" spans="1:19" ht="13.5" hidden="1" customHeight="1">
      <c r="A16" s="3317"/>
      <c r="B16" s="160" t="s">
        <v>52</v>
      </c>
      <c r="C16" s="845"/>
      <c r="D16" s="1016">
        <f t="shared" ref="D16:L16" si="15">+D440+D40</f>
        <v>0</v>
      </c>
      <c r="E16" s="1016">
        <f t="shared" si="15"/>
        <v>0</v>
      </c>
      <c r="F16" s="1016">
        <f t="shared" si="15"/>
        <v>0</v>
      </c>
      <c r="G16" s="1016">
        <f t="shared" si="15"/>
        <v>0</v>
      </c>
      <c r="H16" s="1016">
        <f t="shared" si="15"/>
        <v>0</v>
      </c>
      <c r="I16" s="1016">
        <f t="shared" si="15"/>
        <v>0</v>
      </c>
      <c r="J16" s="1016">
        <f t="shared" si="15"/>
        <v>0</v>
      </c>
      <c r="K16" s="1016">
        <f t="shared" si="15"/>
        <v>0</v>
      </c>
      <c r="L16" s="1016">
        <f t="shared" si="15"/>
        <v>0</v>
      </c>
      <c r="M16" s="1017">
        <f>SUM(E16:K16)</f>
        <v>0</v>
      </c>
      <c r="N16" s="1017">
        <f>SUM(F16:L16)</f>
        <v>0</v>
      </c>
      <c r="O16" s="848"/>
      <c r="P16" s="456"/>
    </row>
    <row r="17" spans="1:19" ht="12" hidden="1" customHeight="1">
      <c r="A17" s="3317"/>
      <c r="B17" s="160" t="s">
        <v>17</v>
      </c>
      <c r="C17" s="845"/>
      <c r="D17" s="1016">
        <f>+D39</f>
        <v>0</v>
      </c>
      <c r="E17" s="1016">
        <f t="shared" ref="E17" si="16">+E39</f>
        <v>0</v>
      </c>
      <c r="F17" s="1016">
        <f t="shared" ref="F17:L17" si="17">+F39</f>
        <v>0</v>
      </c>
      <c r="G17" s="1016">
        <f t="shared" si="17"/>
        <v>0</v>
      </c>
      <c r="H17" s="1016">
        <f t="shared" si="17"/>
        <v>0</v>
      </c>
      <c r="I17" s="1016">
        <f t="shared" si="17"/>
        <v>0</v>
      </c>
      <c r="J17" s="1016">
        <f t="shared" si="17"/>
        <v>0</v>
      </c>
      <c r="K17" s="1016">
        <f t="shared" si="17"/>
        <v>0</v>
      </c>
      <c r="L17" s="1016">
        <f t="shared" si="17"/>
        <v>0</v>
      </c>
      <c r="M17" s="975">
        <f>SUM(F17:K17)</f>
        <v>0</v>
      </c>
      <c r="N17" s="975">
        <f>SUM(G17:L17)</f>
        <v>0</v>
      </c>
      <c r="O17" s="848"/>
      <c r="P17" s="456"/>
    </row>
    <row r="18" spans="1:19" s="844" customFormat="1" ht="13.5" customHeight="1">
      <c r="A18" s="3317"/>
      <c r="B18" s="157" t="s">
        <v>18</v>
      </c>
      <c r="C18" s="849"/>
      <c r="D18" s="1014">
        <f>+D19+D20+D21</f>
        <v>625392408</v>
      </c>
      <c r="E18" s="1014">
        <f t="shared" ref="E18" si="18">+E19+E20+E21</f>
        <v>31039361</v>
      </c>
      <c r="F18" s="1014">
        <f t="shared" ref="F18:I18" si="19">+F19+F20+F21</f>
        <v>188689733</v>
      </c>
      <c r="G18" s="1014">
        <f t="shared" si="19"/>
        <v>326981947</v>
      </c>
      <c r="H18" s="1014">
        <f t="shared" si="19"/>
        <v>69638756</v>
      </c>
      <c r="I18" s="1014">
        <f t="shared" si="19"/>
        <v>9042611</v>
      </c>
      <c r="J18" s="1014">
        <f>+J19+J20+J21</f>
        <v>0</v>
      </c>
      <c r="K18" s="1014">
        <f>+K19+K20+K21</f>
        <v>0</v>
      </c>
      <c r="L18" s="1014">
        <f>+L19+L20+L21</f>
        <v>0</v>
      </c>
      <c r="M18" s="1020">
        <f>+M19+M20+M21</f>
        <v>594353047</v>
      </c>
      <c r="N18" s="1020">
        <f>+N19+N20+N21</f>
        <v>405663314</v>
      </c>
      <c r="O18" s="850"/>
      <c r="P18" s="843"/>
      <c r="Q18" s="841"/>
    </row>
    <row r="19" spans="1:19">
      <c r="A19" s="3317"/>
      <c r="B19" s="1021" t="s">
        <v>20</v>
      </c>
      <c r="C19" s="1022"/>
      <c r="D19" s="1016">
        <f t="shared" ref="D19:L19" si="20">+D332+D483</f>
        <v>34066319</v>
      </c>
      <c r="E19" s="1016">
        <f t="shared" ref="E19" si="21">+E332+E483</f>
        <v>333057</v>
      </c>
      <c r="F19" s="1016">
        <f t="shared" si="20"/>
        <v>5813375</v>
      </c>
      <c r="G19" s="1016">
        <f t="shared" si="20"/>
        <v>8691170</v>
      </c>
      <c r="H19" s="1016">
        <f t="shared" si="20"/>
        <v>19159211</v>
      </c>
      <c r="I19" s="1016">
        <f t="shared" si="20"/>
        <v>69506</v>
      </c>
      <c r="J19" s="1016">
        <f t="shared" si="20"/>
        <v>0</v>
      </c>
      <c r="K19" s="1016">
        <f t="shared" si="20"/>
        <v>0</v>
      </c>
      <c r="L19" s="1016">
        <f t="shared" si="20"/>
        <v>0</v>
      </c>
      <c r="M19" s="975">
        <f>SUM(F19:K19)</f>
        <v>33733262</v>
      </c>
      <c r="N19" s="975">
        <f>SUM(G19:L19)</f>
        <v>27919887</v>
      </c>
      <c r="O19" s="848"/>
      <c r="P19" s="456"/>
    </row>
    <row r="20" spans="1:19" ht="12.75" customHeight="1">
      <c r="A20" s="3317"/>
      <c r="B20" s="1023" t="s">
        <v>21</v>
      </c>
      <c r="C20" s="1022"/>
      <c r="D20" s="1016">
        <f t="shared" ref="D20:L20" si="22">+D42+D442</f>
        <v>591326089</v>
      </c>
      <c r="E20" s="1016">
        <f t="shared" si="22"/>
        <v>30706304</v>
      </c>
      <c r="F20" s="1016">
        <f t="shared" si="22"/>
        <v>182876358</v>
      </c>
      <c r="G20" s="1016">
        <f t="shared" si="22"/>
        <v>318290777</v>
      </c>
      <c r="H20" s="1016">
        <f t="shared" si="22"/>
        <v>50479545</v>
      </c>
      <c r="I20" s="1016">
        <f t="shared" si="22"/>
        <v>8973105</v>
      </c>
      <c r="J20" s="1016">
        <f t="shared" si="22"/>
        <v>0</v>
      </c>
      <c r="K20" s="1016">
        <f t="shared" si="22"/>
        <v>0</v>
      </c>
      <c r="L20" s="1016">
        <f t="shared" si="22"/>
        <v>0</v>
      </c>
      <c r="M20" s="975">
        <f>SUM(F20:K20)</f>
        <v>560619785</v>
      </c>
      <c r="N20" s="975">
        <f>SUM(G20:L20)</f>
        <v>377743427</v>
      </c>
      <c r="O20" s="753"/>
      <c r="P20" s="456"/>
      <c r="Q20" s="456"/>
    </row>
    <row r="21" spans="1:19" hidden="1">
      <c r="A21" s="3317"/>
      <c r="B21" s="1023" t="s">
        <v>79</v>
      </c>
      <c r="C21" s="1022"/>
      <c r="D21" s="1016">
        <f>+D443</f>
        <v>0</v>
      </c>
      <c r="E21" s="1016">
        <f t="shared" ref="E21" si="23">+E443</f>
        <v>0</v>
      </c>
      <c r="F21" s="1016">
        <f t="shared" ref="F21:L21" si="24">+F443</f>
        <v>0</v>
      </c>
      <c r="G21" s="1016">
        <f t="shared" si="24"/>
        <v>0</v>
      </c>
      <c r="H21" s="1016">
        <f t="shared" si="24"/>
        <v>0</v>
      </c>
      <c r="I21" s="1016">
        <f t="shared" si="24"/>
        <v>0</v>
      </c>
      <c r="J21" s="1016">
        <f t="shared" si="24"/>
        <v>0</v>
      </c>
      <c r="K21" s="1016">
        <f t="shared" si="24"/>
        <v>0</v>
      </c>
      <c r="L21" s="1016">
        <f t="shared" si="24"/>
        <v>0</v>
      </c>
      <c r="M21" s="1017">
        <f>SUM(E21:H21)</f>
        <v>0</v>
      </c>
      <c r="N21" s="1017">
        <f>SUM(F21:I21)</f>
        <v>0</v>
      </c>
      <c r="O21" s="753"/>
      <c r="P21" s="456"/>
      <c r="Q21" s="456"/>
    </row>
    <row r="22" spans="1:19" ht="13.5" customHeight="1">
      <c r="A22" s="3317"/>
      <c r="B22" s="662" t="s">
        <v>22</v>
      </c>
      <c r="C22" s="748"/>
      <c r="D22" s="729">
        <f>+D23+D29</f>
        <v>642170245</v>
      </c>
      <c r="E22" s="729">
        <f t="shared" ref="E22" si="25">+E23+E29</f>
        <v>34852146</v>
      </c>
      <c r="F22" s="729">
        <f>+F23+F29</f>
        <v>180940659</v>
      </c>
      <c r="G22" s="729">
        <f t="shared" ref="G22:L22" si="26">+G23+G29</f>
        <v>336670367</v>
      </c>
      <c r="H22" s="729">
        <f t="shared" si="26"/>
        <v>71430084</v>
      </c>
      <c r="I22" s="729">
        <f t="shared" si="26"/>
        <v>18276989</v>
      </c>
      <c r="J22" s="729">
        <f t="shared" si="26"/>
        <v>0</v>
      </c>
      <c r="K22" s="729">
        <f t="shared" si="26"/>
        <v>0</v>
      </c>
      <c r="L22" s="729">
        <f t="shared" si="26"/>
        <v>0</v>
      </c>
      <c r="M22" s="3321" t="s">
        <v>23</v>
      </c>
      <c r="N22" s="3321" t="s">
        <v>23</v>
      </c>
      <c r="O22" s="753"/>
      <c r="P22" s="456"/>
      <c r="S22" s="841"/>
    </row>
    <row r="23" spans="1:19" ht="12" customHeight="1">
      <c r="A23" s="3317"/>
      <c r="B23" s="1024" t="s">
        <v>24</v>
      </c>
      <c r="C23" s="1025"/>
      <c r="D23" s="1026">
        <f>+D24+D25+D26+D27+D28</f>
        <v>16777837</v>
      </c>
      <c r="E23" s="1026">
        <f t="shared" ref="E23" si="27">+E24+E25+E26+E27+E28</f>
        <v>9354831</v>
      </c>
      <c r="F23" s="1026">
        <f t="shared" ref="F23:L23" si="28">+F24+F25+F26+F27+F28</f>
        <v>1693881</v>
      </c>
      <c r="G23" s="1026">
        <f t="shared" si="28"/>
        <v>5729125</v>
      </c>
      <c r="H23" s="1026">
        <f t="shared" si="28"/>
        <v>0</v>
      </c>
      <c r="I23" s="1026">
        <f t="shared" si="28"/>
        <v>0</v>
      </c>
      <c r="J23" s="1026">
        <f t="shared" si="28"/>
        <v>0</v>
      </c>
      <c r="K23" s="1026">
        <f t="shared" si="28"/>
        <v>0</v>
      </c>
      <c r="L23" s="1026">
        <f t="shared" si="28"/>
        <v>0</v>
      </c>
      <c r="M23" s="3322"/>
      <c r="N23" s="3322"/>
      <c r="O23" s="753"/>
    </row>
    <row r="24" spans="1:19" hidden="1">
      <c r="A24" s="3317"/>
      <c r="B24" s="1018" t="s">
        <v>78</v>
      </c>
      <c r="C24" s="851"/>
      <c r="D24" s="1027">
        <f>+D446</f>
        <v>0</v>
      </c>
      <c r="E24" s="1027">
        <f t="shared" ref="E24" si="29">+E446</f>
        <v>0</v>
      </c>
      <c r="F24" s="1027">
        <f t="shared" ref="F24:L24" si="30">+F446</f>
        <v>0</v>
      </c>
      <c r="G24" s="1027">
        <f t="shared" si="30"/>
        <v>0</v>
      </c>
      <c r="H24" s="1027">
        <f t="shared" si="30"/>
        <v>0</v>
      </c>
      <c r="I24" s="1027">
        <f t="shared" si="30"/>
        <v>0</v>
      </c>
      <c r="J24" s="1027">
        <f t="shared" si="30"/>
        <v>0</v>
      </c>
      <c r="K24" s="1027">
        <f t="shared" si="30"/>
        <v>0</v>
      </c>
      <c r="L24" s="1027">
        <f t="shared" si="30"/>
        <v>0</v>
      </c>
      <c r="M24" s="3322"/>
      <c r="N24" s="3322"/>
      <c r="O24" s="848"/>
    </row>
    <row r="25" spans="1:19">
      <c r="A25" s="3317"/>
      <c r="B25" s="23" t="s">
        <v>15</v>
      </c>
      <c r="C25" s="24"/>
      <c r="D25" s="1016">
        <f t="shared" ref="D25:L25" si="31">+D45+D330</f>
        <v>16777837</v>
      </c>
      <c r="E25" s="1016">
        <f t="shared" si="31"/>
        <v>9354831</v>
      </c>
      <c r="F25" s="1016">
        <f t="shared" si="31"/>
        <v>1693881</v>
      </c>
      <c r="G25" s="1016">
        <f t="shared" si="31"/>
        <v>5729125</v>
      </c>
      <c r="H25" s="1016">
        <f t="shared" si="31"/>
        <v>0</v>
      </c>
      <c r="I25" s="1016">
        <f t="shared" si="31"/>
        <v>0</v>
      </c>
      <c r="J25" s="1016">
        <f t="shared" si="31"/>
        <v>0</v>
      </c>
      <c r="K25" s="1016">
        <f t="shared" si="31"/>
        <v>0</v>
      </c>
      <c r="L25" s="1016">
        <f t="shared" si="31"/>
        <v>0</v>
      </c>
      <c r="M25" s="3322"/>
      <c r="N25" s="3322"/>
      <c r="O25" s="848"/>
      <c r="P25" s="456">
        <f>D25-D15</f>
        <v>0</v>
      </c>
      <c r="Q25" s="456">
        <f>G25-'[1]Tab. 6A -Drogi'!$G$25</f>
        <v>652960</v>
      </c>
    </row>
    <row r="26" spans="1:19" ht="12" hidden="1" customHeight="1">
      <c r="A26" s="3317"/>
      <c r="B26" s="23" t="s">
        <v>52</v>
      </c>
      <c r="C26" s="24"/>
      <c r="D26" s="1016">
        <f t="shared" ref="D26:L26" si="32">+D447+D48</f>
        <v>0</v>
      </c>
      <c r="E26" s="1016">
        <f t="shared" si="32"/>
        <v>0</v>
      </c>
      <c r="F26" s="1016">
        <f t="shared" si="32"/>
        <v>0</v>
      </c>
      <c r="G26" s="1016">
        <f t="shared" si="32"/>
        <v>0</v>
      </c>
      <c r="H26" s="1016">
        <f t="shared" si="32"/>
        <v>0</v>
      </c>
      <c r="I26" s="1016">
        <f t="shared" si="32"/>
        <v>0</v>
      </c>
      <c r="J26" s="1016">
        <f t="shared" si="32"/>
        <v>0</v>
      </c>
      <c r="K26" s="1016">
        <f t="shared" si="32"/>
        <v>0</v>
      </c>
      <c r="L26" s="1016">
        <f t="shared" si="32"/>
        <v>0</v>
      </c>
      <c r="M26" s="3322"/>
      <c r="N26" s="3322"/>
      <c r="O26" s="848"/>
      <c r="P26" s="456">
        <f>D16-D26</f>
        <v>0</v>
      </c>
    </row>
    <row r="27" spans="1:19" ht="12" hidden="1" customHeight="1">
      <c r="A27" s="3317"/>
      <c r="B27" s="160" t="s">
        <v>17</v>
      </c>
      <c r="C27" s="25"/>
      <c r="D27" s="1016">
        <f>+D46</f>
        <v>0</v>
      </c>
      <c r="E27" s="1016">
        <f t="shared" ref="E27:E28" si="33">+E46</f>
        <v>0</v>
      </c>
      <c r="F27" s="1016">
        <f t="shared" ref="F27:L28" si="34">+F46</f>
        <v>0</v>
      </c>
      <c r="G27" s="1016">
        <f t="shared" si="34"/>
        <v>0</v>
      </c>
      <c r="H27" s="1016">
        <f t="shared" si="34"/>
        <v>0</v>
      </c>
      <c r="I27" s="1016">
        <f t="shared" si="34"/>
        <v>0</v>
      </c>
      <c r="J27" s="1016">
        <f t="shared" si="34"/>
        <v>0</v>
      </c>
      <c r="K27" s="1016">
        <f t="shared" si="34"/>
        <v>0</v>
      </c>
      <c r="L27" s="1016">
        <f t="shared" si="34"/>
        <v>0</v>
      </c>
      <c r="M27" s="3322"/>
      <c r="N27" s="3322"/>
      <c r="O27" s="848"/>
      <c r="P27" s="456">
        <f>D17-D27</f>
        <v>0</v>
      </c>
    </row>
    <row r="28" spans="1:19" ht="12" hidden="1" customHeight="1">
      <c r="A28" s="3317"/>
      <c r="B28" s="160" t="s">
        <v>80</v>
      </c>
      <c r="C28" s="25"/>
      <c r="D28" s="1016">
        <f>+D47</f>
        <v>0</v>
      </c>
      <c r="E28" s="1016">
        <f t="shared" si="33"/>
        <v>0</v>
      </c>
      <c r="F28" s="1016">
        <f t="shared" si="34"/>
        <v>0</v>
      </c>
      <c r="G28" s="1016">
        <f t="shared" si="34"/>
        <v>0</v>
      </c>
      <c r="H28" s="1016">
        <f t="shared" si="34"/>
        <v>0</v>
      </c>
      <c r="I28" s="1016">
        <f t="shared" si="34"/>
        <v>0</v>
      </c>
      <c r="J28" s="1016">
        <f t="shared" si="34"/>
        <v>0</v>
      </c>
      <c r="K28" s="1016">
        <f t="shared" si="34"/>
        <v>0</v>
      </c>
      <c r="L28" s="1016">
        <f t="shared" si="34"/>
        <v>0</v>
      </c>
      <c r="M28" s="3322"/>
      <c r="N28" s="3322"/>
      <c r="O28" s="848"/>
    </row>
    <row r="29" spans="1:19" ht="12.75" customHeight="1">
      <c r="A29" s="3317"/>
      <c r="B29" s="1028" t="s">
        <v>18</v>
      </c>
      <c r="C29" s="1029"/>
      <c r="D29" s="1026">
        <f>+D30+D31+D32+D33</f>
        <v>625392408</v>
      </c>
      <c r="E29" s="1026">
        <f t="shared" ref="E29" si="35">+E30+E31+E32+E33</f>
        <v>25497315</v>
      </c>
      <c r="F29" s="1026">
        <f>+F30+F31+F32+F33</f>
        <v>179246778</v>
      </c>
      <c r="G29" s="1026">
        <f t="shared" ref="G29:L29" si="36">+G30+G31+G32+G33</f>
        <v>330941242</v>
      </c>
      <c r="H29" s="1026">
        <f t="shared" si="36"/>
        <v>71430084</v>
      </c>
      <c r="I29" s="1026">
        <f t="shared" si="36"/>
        <v>18276989</v>
      </c>
      <c r="J29" s="1026">
        <f t="shared" si="36"/>
        <v>0</v>
      </c>
      <c r="K29" s="1026">
        <f t="shared" si="36"/>
        <v>0</v>
      </c>
      <c r="L29" s="1026">
        <f t="shared" si="36"/>
        <v>0</v>
      </c>
      <c r="M29" s="3322"/>
      <c r="N29" s="3322"/>
      <c r="O29" s="848"/>
      <c r="P29" s="456">
        <f>D31-D19</f>
        <v>0</v>
      </c>
    </row>
    <row r="30" spans="1:19" ht="14.25" hidden="1" customHeight="1">
      <c r="A30" s="3317"/>
      <c r="B30" s="1030" t="s">
        <v>17</v>
      </c>
      <c r="C30" s="1031"/>
      <c r="D30" s="1016">
        <f>+D50</f>
        <v>0</v>
      </c>
      <c r="E30" s="1016">
        <f t="shared" ref="E30" si="37">+E50</f>
        <v>0</v>
      </c>
      <c r="F30" s="1016">
        <f t="shared" ref="F30:G30" si="38">+F50</f>
        <v>0</v>
      </c>
      <c r="G30" s="1016">
        <f t="shared" si="38"/>
        <v>0</v>
      </c>
      <c r="H30" s="1016">
        <f>+H50</f>
        <v>0</v>
      </c>
      <c r="I30" s="1016">
        <f>+I50</f>
        <v>0</v>
      </c>
      <c r="J30" s="1016">
        <f>+J50</f>
        <v>0</v>
      </c>
      <c r="K30" s="1016">
        <f>+K50</f>
        <v>0</v>
      </c>
      <c r="L30" s="1016">
        <f>+L50</f>
        <v>0</v>
      </c>
      <c r="M30" s="3322"/>
      <c r="N30" s="3322"/>
      <c r="O30" s="848"/>
    </row>
    <row r="31" spans="1:19" ht="11.25" customHeight="1">
      <c r="A31" s="3317"/>
      <c r="B31" s="1021" t="s">
        <v>20</v>
      </c>
      <c r="C31" s="1019"/>
      <c r="D31" s="1032">
        <f t="shared" ref="D31:F31" si="39">+D337+D486</f>
        <v>34066319</v>
      </c>
      <c r="E31" s="1032">
        <f t="shared" ref="E31" si="40">+E337+E486</f>
        <v>0</v>
      </c>
      <c r="F31" s="1032">
        <f t="shared" si="39"/>
        <v>45734</v>
      </c>
      <c r="G31" s="1032">
        <f t="shared" ref="G31:L31" si="41">+G337</f>
        <v>7766162</v>
      </c>
      <c r="H31" s="1032">
        <f t="shared" si="41"/>
        <v>16950539</v>
      </c>
      <c r="I31" s="1032">
        <f t="shared" si="41"/>
        <v>9303884</v>
      </c>
      <c r="J31" s="1032">
        <f t="shared" si="41"/>
        <v>0</v>
      </c>
      <c r="K31" s="1032">
        <f t="shared" si="41"/>
        <v>0</v>
      </c>
      <c r="L31" s="1032">
        <f t="shared" si="41"/>
        <v>0</v>
      </c>
      <c r="M31" s="3322"/>
      <c r="N31" s="3322"/>
      <c r="O31" s="848"/>
      <c r="P31" s="456">
        <f>D32-D20</f>
        <v>0</v>
      </c>
    </row>
    <row r="32" spans="1:19">
      <c r="A32" s="3317"/>
      <c r="B32" s="1021" t="s">
        <v>21</v>
      </c>
      <c r="C32" s="1031"/>
      <c r="D32" s="1032">
        <f t="shared" ref="D32:L32" si="42">+D51+D449</f>
        <v>591326089</v>
      </c>
      <c r="E32" s="1032">
        <f t="shared" si="42"/>
        <v>25497315</v>
      </c>
      <c r="F32" s="1032">
        <f t="shared" si="42"/>
        <v>179201044</v>
      </c>
      <c r="G32" s="1032">
        <f t="shared" si="42"/>
        <v>323175080</v>
      </c>
      <c r="H32" s="1032">
        <f t="shared" si="42"/>
        <v>54479545</v>
      </c>
      <c r="I32" s="1032">
        <f t="shared" si="42"/>
        <v>8973105</v>
      </c>
      <c r="J32" s="1032">
        <f t="shared" si="42"/>
        <v>0</v>
      </c>
      <c r="K32" s="1032">
        <f t="shared" si="42"/>
        <v>0</v>
      </c>
      <c r="L32" s="1032">
        <f t="shared" si="42"/>
        <v>0</v>
      </c>
      <c r="M32" s="3322"/>
      <c r="N32" s="3322"/>
      <c r="O32" s="848"/>
    </row>
    <row r="33" spans="1:17" ht="13.5" hidden="1" thickBot="1">
      <c r="A33" s="3318"/>
      <c r="B33" s="26" t="s">
        <v>79</v>
      </c>
      <c r="C33" s="27"/>
      <c r="D33" s="853">
        <f>+D450</f>
        <v>0</v>
      </c>
      <c r="E33" s="853">
        <f t="shared" ref="E33" si="43">+E450</f>
        <v>0</v>
      </c>
      <c r="F33" s="853">
        <f t="shared" ref="F33:L33" si="44">+F450</f>
        <v>0</v>
      </c>
      <c r="G33" s="853">
        <f t="shared" si="44"/>
        <v>0</v>
      </c>
      <c r="H33" s="853">
        <f t="shared" si="44"/>
        <v>0</v>
      </c>
      <c r="I33" s="853">
        <f t="shared" si="44"/>
        <v>0</v>
      </c>
      <c r="J33" s="853">
        <f t="shared" si="44"/>
        <v>0</v>
      </c>
      <c r="K33" s="853">
        <f t="shared" si="44"/>
        <v>0</v>
      </c>
      <c r="L33" s="853">
        <f t="shared" si="44"/>
        <v>0</v>
      </c>
      <c r="M33" s="3323"/>
      <c r="N33" s="3323"/>
      <c r="O33" s="848"/>
    </row>
    <row r="34" spans="1:17" ht="25.5" customHeight="1">
      <c r="A34" s="854" t="s">
        <v>225</v>
      </c>
      <c r="B34" s="1364" t="s">
        <v>243</v>
      </c>
      <c r="C34" s="855"/>
      <c r="D34" s="28"/>
      <c r="E34" s="29"/>
      <c r="F34" s="29"/>
      <c r="G34" s="29"/>
      <c r="H34" s="29"/>
      <c r="I34" s="29"/>
      <c r="J34" s="29"/>
      <c r="K34" s="29"/>
      <c r="L34" s="29"/>
      <c r="M34" s="2115"/>
      <c r="N34" s="2116"/>
      <c r="O34" s="856"/>
    </row>
    <row r="35" spans="1:17" ht="13.5" customHeight="1">
      <c r="A35" s="854"/>
      <c r="B35" s="996" t="s">
        <v>10</v>
      </c>
      <c r="C35" s="748"/>
      <c r="D35" s="965">
        <f>+D36+D41</f>
        <v>719379457</v>
      </c>
      <c r="E35" s="965">
        <f t="shared" ref="E35:L35" si="45">+E36+E41</f>
        <v>44279724</v>
      </c>
      <c r="F35" s="965">
        <f t="shared" si="45"/>
        <v>215494922</v>
      </c>
      <c r="G35" s="965">
        <f t="shared" si="45"/>
        <v>389163058</v>
      </c>
      <c r="H35" s="965">
        <f t="shared" si="45"/>
        <v>59885159</v>
      </c>
      <c r="I35" s="965">
        <f t="shared" si="45"/>
        <v>10556594</v>
      </c>
      <c r="J35" s="965">
        <f t="shared" si="45"/>
        <v>0</v>
      </c>
      <c r="K35" s="965">
        <f t="shared" si="45"/>
        <v>0</v>
      </c>
      <c r="L35" s="965">
        <f t="shared" si="45"/>
        <v>0</v>
      </c>
      <c r="M35" s="954">
        <f t="shared" ref="M35" si="46">+M36+M41</f>
        <v>675099733</v>
      </c>
      <c r="N35" s="954">
        <f t="shared" ref="N35" si="47">+N36+N41</f>
        <v>459604811</v>
      </c>
      <c r="O35" s="856"/>
      <c r="P35" s="456"/>
    </row>
    <row r="36" spans="1:17" s="844" customFormat="1" ht="13.5" customHeight="1">
      <c r="A36" s="854"/>
      <c r="B36" s="1033" t="s">
        <v>24</v>
      </c>
      <c r="C36" s="1034"/>
      <c r="D36" s="997">
        <f>+D37+D38+D39+D40</f>
        <v>128053368</v>
      </c>
      <c r="E36" s="997">
        <f t="shared" ref="E36:L36" si="48">+E37+E38+E39+E40</f>
        <v>13573420</v>
      </c>
      <c r="F36" s="997">
        <f t="shared" si="48"/>
        <v>32618564</v>
      </c>
      <c r="G36" s="997">
        <f t="shared" si="48"/>
        <v>70872281</v>
      </c>
      <c r="H36" s="997">
        <f t="shared" si="48"/>
        <v>9405614</v>
      </c>
      <c r="I36" s="997">
        <f t="shared" si="48"/>
        <v>1583489</v>
      </c>
      <c r="J36" s="997">
        <f t="shared" si="48"/>
        <v>0</v>
      </c>
      <c r="K36" s="997">
        <f t="shared" si="48"/>
        <v>0</v>
      </c>
      <c r="L36" s="997">
        <f t="shared" si="48"/>
        <v>0</v>
      </c>
      <c r="M36" s="1035">
        <f>+M37+M38+M39+M40</f>
        <v>114479948</v>
      </c>
      <c r="N36" s="1035">
        <f>+N37+N38+N39+N40</f>
        <v>81861384</v>
      </c>
      <c r="O36" s="856"/>
      <c r="Q36" s="841"/>
    </row>
    <row r="37" spans="1:17">
      <c r="A37" s="854"/>
      <c r="B37" s="1036" t="s">
        <v>12</v>
      </c>
      <c r="C37" s="1037"/>
      <c r="D37" s="998">
        <f>+D291+D147+D303+D279+D317+D82+D131+D56+D94+D70+D106+D116+D159+D171+D183+D195+D207+D219+D231+D243+D255+D267</f>
        <v>111332534</v>
      </c>
      <c r="E37" s="998">
        <f t="shared" ref="E37:L37" si="49">+E291+E147+E303+E279+E317+E82+E131+E56+E94+E70+E106+E116+E159+E171+E183+E195+E207+E219+E231+E243+E255+E267</f>
        <v>4275592</v>
      </c>
      <c r="F37" s="998">
        <f t="shared" si="49"/>
        <v>30924683</v>
      </c>
      <c r="G37" s="998">
        <f t="shared" si="49"/>
        <v>65143156</v>
      </c>
      <c r="H37" s="998">
        <f t="shared" si="49"/>
        <v>9405614</v>
      </c>
      <c r="I37" s="998">
        <f t="shared" si="49"/>
        <v>1583489</v>
      </c>
      <c r="J37" s="998">
        <f t="shared" si="49"/>
        <v>0</v>
      </c>
      <c r="K37" s="998">
        <f t="shared" si="49"/>
        <v>0</v>
      </c>
      <c r="L37" s="998">
        <f t="shared" si="49"/>
        <v>0</v>
      </c>
      <c r="M37" s="975">
        <f>SUM(F37:K37)</f>
        <v>107056942</v>
      </c>
      <c r="N37" s="975">
        <f t="shared" ref="M37:N39" si="50">SUM(G37:L37)</f>
        <v>76132259</v>
      </c>
      <c r="O37" s="859"/>
      <c r="P37" s="456"/>
      <c r="Q37" s="841"/>
    </row>
    <row r="38" spans="1:17" ht="12" customHeight="1">
      <c r="A38" s="854"/>
      <c r="B38" s="968" t="s">
        <v>15</v>
      </c>
      <c r="C38" s="972"/>
      <c r="D38" s="998">
        <f t="shared" ref="D38:L38" si="51">+D148+D305+D280+D83+D118+D133+D95+D208+D220+D172+D232</f>
        <v>16720834</v>
      </c>
      <c r="E38" s="998">
        <f t="shared" si="51"/>
        <v>9297828</v>
      </c>
      <c r="F38" s="998">
        <f t="shared" si="51"/>
        <v>1693881</v>
      </c>
      <c r="G38" s="998">
        <f t="shared" si="51"/>
        <v>5729125</v>
      </c>
      <c r="H38" s="998">
        <f t="shared" si="51"/>
        <v>0</v>
      </c>
      <c r="I38" s="998">
        <f t="shared" si="51"/>
        <v>0</v>
      </c>
      <c r="J38" s="998">
        <f t="shared" si="51"/>
        <v>0</v>
      </c>
      <c r="K38" s="998">
        <f t="shared" si="51"/>
        <v>0</v>
      </c>
      <c r="L38" s="998">
        <f t="shared" si="51"/>
        <v>0</v>
      </c>
      <c r="M38" s="975">
        <f t="shared" si="50"/>
        <v>7423006</v>
      </c>
      <c r="N38" s="975">
        <f t="shared" si="50"/>
        <v>5729125</v>
      </c>
      <c r="O38" s="859"/>
      <c r="P38" s="456">
        <f>D38-D45</f>
        <v>0</v>
      </c>
      <c r="Q38" s="841"/>
    </row>
    <row r="39" spans="1:17" ht="12" hidden="1" customHeight="1">
      <c r="A39" s="854"/>
      <c r="B39" s="968" t="s">
        <v>17</v>
      </c>
      <c r="C39" s="972"/>
      <c r="D39" s="998">
        <f>+D117+D132+D57+D71</f>
        <v>0</v>
      </c>
      <c r="E39" s="998">
        <f t="shared" ref="E39:L39" si="52">+E117+E132+E57+E71</f>
        <v>0</v>
      </c>
      <c r="F39" s="998">
        <f t="shared" si="52"/>
        <v>0</v>
      </c>
      <c r="G39" s="998">
        <f t="shared" si="52"/>
        <v>0</v>
      </c>
      <c r="H39" s="998">
        <f t="shared" si="52"/>
        <v>0</v>
      </c>
      <c r="I39" s="998">
        <f t="shared" si="52"/>
        <v>0</v>
      </c>
      <c r="J39" s="998">
        <f t="shared" si="52"/>
        <v>0</v>
      </c>
      <c r="K39" s="998">
        <f t="shared" si="52"/>
        <v>0</v>
      </c>
      <c r="L39" s="998">
        <f t="shared" si="52"/>
        <v>0</v>
      </c>
      <c r="M39" s="975">
        <f t="shared" si="50"/>
        <v>0</v>
      </c>
      <c r="N39" s="975">
        <f t="shared" si="50"/>
        <v>0</v>
      </c>
      <c r="O39" s="859"/>
      <c r="P39" s="456">
        <f>D39-D46</f>
        <v>0</v>
      </c>
      <c r="Q39" s="841"/>
    </row>
    <row r="40" spans="1:17" ht="12" hidden="1" customHeight="1">
      <c r="A40" s="854"/>
      <c r="B40" s="968" t="s">
        <v>52</v>
      </c>
      <c r="C40" s="972"/>
      <c r="D40" s="998">
        <f>+D292+D304</f>
        <v>0</v>
      </c>
      <c r="E40" s="998">
        <f t="shared" ref="E40:L40" si="53">+E292+E304</f>
        <v>0</v>
      </c>
      <c r="F40" s="998">
        <f t="shared" si="53"/>
        <v>0</v>
      </c>
      <c r="G40" s="998">
        <f t="shared" si="53"/>
        <v>0</v>
      </c>
      <c r="H40" s="998">
        <f t="shared" si="53"/>
        <v>0</v>
      </c>
      <c r="I40" s="998">
        <f t="shared" si="53"/>
        <v>0</v>
      </c>
      <c r="J40" s="998">
        <f t="shared" si="53"/>
        <v>0</v>
      </c>
      <c r="K40" s="998">
        <f t="shared" si="53"/>
        <v>0</v>
      </c>
      <c r="L40" s="998">
        <f t="shared" si="53"/>
        <v>0</v>
      </c>
      <c r="M40" s="975">
        <f>SUM(E40:K40)</f>
        <v>0</v>
      </c>
      <c r="N40" s="975">
        <f>SUM(F40:L40)</f>
        <v>0</v>
      </c>
      <c r="O40" s="859"/>
      <c r="P40" s="456"/>
      <c r="Q40" s="841"/>
    </row>
    <row r="41" spans="1:17" s="844" customFormat="1">
      <c r="A41" s="854"/>
      <c r="B41" s="999" t="s">
        <v>18</v>
      </c>
      <c r="C41" s="1000"/>
      <c r="D41" s="997">
        <f>+D42</f>
        <v>591326089</v>
      </c>
      <c r="E41" s="997">
        <f t="shared" ref="E41:L41" si="54">+E42</f>
        <v>30706304</v>
      </c>
      <c r="F41" s="997">
        <f t="shared" si="54"/>
        <v>182876358</v>
      </c>
      <c r="G41" s="997">
        <f t="shared" si="54"/>
        <v>318290777</v>
      </c>
      <c r="H41" s="997">
        <f t="shared" si="54"/>
        <v>50479545</v>
      </c>
      <c r="I41" s="997">
        <f t="shared" si="54"/>
        <v>8973105</v>
      </c>
      <c r="J41" s="997">
        <f t="shared" si="54"/>
        <v>0</v>
      </c>
      <c r="K41" s="997">
        <f t="shared" si="54"/>
        <v>0</v>
      </c>
      <c r="L41" s="997">
        <f t="shared" si="54"/>
        <v>0</v>
      </c>
      <c r="M41" s="1038">
        <f>+M42</f>
        <v>560619785</v>
      </c>
      <c r="N41" s="1038">
        <f>+N42</f>
        <v>377743427</v>
      </c>
      <c r="O41" s="859"/>
      <c r="Q41" s="841"/>
    </row>
    <row r="42" spans="1:17">
      <c r="A42" s="854"/>
      <c r="B42" s="1039" t="s">
        <v>21</v>
      </c>
      <c r="C42" s="1040"/>
      <c r="D42" s="1041">
        <f>+D294+D150+D120+D307+D282+D320+D85+D136+D60+D97+D73+D108+D162+D174+D186+D198+D210+D222+D234+D246+D258+D270</f>
        <v>591326089</v>
      </c>
      <c r="E42" s="1041">
        <f t="shared" ref="E42:L42" si="55">+E294+E150+E120+E307+E282+E320+E85+E136+E60+E97+E73+E108+E162+E174+E186+E198+E210+E222+E234+E246+E258+E270</f>
        <v>30706304</v>
      </c>
      <c r="F42" s="1041">
        <f t="shared" si="55"/>
        <v>182876358</v>
      </c>
      <c r="G42" s="1041">
        <f t="shared" si="55"/>
        <v>318290777</v>
      </c>
      <c r="H42" s="1041">
        <f t="shared" si="55"/>
        <v>50479545</v>
      </c>
      <c r="I42" s="1041">
        <f t="shared" si="55"/>
        <v>8973105</v>
      </c>
      <c r="J42" s="1041">
        <f t="shared" si="55"/>
        <v>0</v>
      </c>
      <c r="K42" s="1041">
        <f t="shared" si="55"/>
        <v>0</v>
      </c>
      <c r="L42" s="1041">
        <f t="shared" si="55"/>
        <v>0</v>
      </c>
      <c r="M42" s="975">
        <f>SUM(F42:K42)</f>
        <v>560619785</v>
      </c>
      <c r="N42" s="975">
        <f>SUM(G42:L42)</f>
        <v>377743427</v>
      </c>
      <c r="O42" s="856"/>
      <c r="P42" s="456">
        <f>D42-D51</f>
        <v>0</v>
      </c>
      <c r="Q42" s="841"/>
    </row>
    <row r="43" spans="1:17" ht="14.25" customHeight="1">
      <c r="A43" s="854"/>
      <c r="B43" s="662" t="s">
        <v>22</v>
      </c>
      <c r="C43" s="748"/>
      <c r="D43" s="965">
        <f>+D44+D49</f>
        <v>608046923</v>
      </c>
      <c r="E43" s="965">
        <f t="shared" ref="E43:L43" si="56">+E44+E49</f>
        <v>34795143</v>
      </c>
      <c r="F43" s="965">
        <f t="shared" si="56"/>
        <v>180894925</v>
      </c>
      <c r="G43" s="965">
        <f t="shared" si="56"/>
        <v>328904205</v>
      </c>
      <c r="H43" s="965">
        <f t="shared" si="56"/>
        <v>54479545</v>
      </c>
      <c r="I43" s="965">
        <f t="shared" si="56"/>
        <v>8973105</v>
      </c>
      <c r="J43" s="965">
        <f t="shared" si="56"/>
        <v>0</v>
      </c>
      <c r="K43" s="965">
        <f t="shared" si="56"/>
        <v>0</v>
      </c>
      <c r="L43" s="965">
        <f t="shared" si="56"/>
        <v>0</v>
      </c>
      <c r="M43" s="3324" t="s">
        <v>23</v>
      </c>
      <c r="N43" s="3324" t="s">
        <v>23</v>
      </c>
      <c r="O43" s="859"/>
    </row>
    <row r="44" spans="1:17" ht="12.75" customHeight="1">
      <c r="A44" s="854"/>
      <c r="B44" s="966" t="s">
        <v>24</v>
      </c>
      <c r="C44" s="862"/>
      <c r="D44" s="37">
        <f>+D45+D46+D47+D48</f>
        <v>16720834</v>
      </c>
      <c r="E44" s="37">
        <f t="shared" ref="E44:L44" si="57">+E45+E46+E47+E48</f>
        <v>9297828</v>
      </c>
      <c r="F44" s="37">
        <f t="shared" si="57"/>
        <v>1693881</v>
      </c>
      <c r="G44" s="37">
        <f t="shared" si="57"/>
        <v>5729125</v>
      </c>
      <c r="H44" s="37">
        <f t="shared" si="57"/>
        <v>0</v>
      </c>
      <c r="I44" s="37">
        <f t="shared" si="57"/>
        <v>0</v>
      </c>
      <c r="J44" s="37">
        <f t="shared" si="57"/>
        <v>0</v>
      </c>
      <c r="K44" s="37">
        <f t="shared" si="57"/>
        <v>0</v>
      </c>
      <c r="L44" s="37">
        <f t="shared" si="57"/>
        <v>0</v>
      </c>
      <c r="M44" s="3325"/>
      <c r="N44" s="3325"/>
      <c r="O44" s="859"/>
      <c r="P44" s="456"/>
    </row>
    <row r="45" spans="1:17" ht="11.25" customHeight="1">
      <c r="A45" s="854"/>
      <c r="B45" s="38" t="s">
        <v>15</v>
      </c>
      <c r="C45" s="39"/>
      <c r="D45" s="967">
        <f>+D153+D311+D285+D88+D124+D140+D100+D213+D225+D177+D237</f>
        <v>16720834</v>
      </c>
      <c r="E45" s="967">
        <f t="shared" ref="E45:L45" si="58">+E153+E311+E285+E88+E124+E140+E100+E213+E225+E177+E237</f>
        <v>9297828</v>
      </c>
      <c r="F45" s="967">
        <f t="shared" si="58"/>
        <v>1693881</v>
      </c>
      <c r="G45" s="967">
        <f t="shared" si="58"/>
        <v>5729125</v>
      </c>
      <c r="H45" s="967">
        <f t="shared" si="58"/>
        <v>0</v>
      </c>
      <c r="I45" s="967">
        <f t="shared" si="58"/>
        <v>0</v>
      </c>
      <c r="J45" s="967">
        <f t="shared" si="58"/>
        <v>0</v>
      </c>
      <c r="K45" s="967">
        <f t="shared" si="58"/>
        <v>0</v>
      </c>
      <c r="L45" s="967">
        <f t="shared" si="58"/>
        <v>0</v>
      </c>
      <c r="M45" s="3325"/>
      <c r="N45" s="3325"/>
      <c r="O45" s="859"/>
    </row>
    <row r="46" spans="1:17" hidden="1">
      <c r="A46" s="854"/>
      <c r="B46" s="968" t="s">
        <v>17</v>
      </c>
      <c r="C46" s="39"/>
      <c r="D46" s="967">
        <f>+D123+D139+D63+D76</f>
        <v>0</v>
      </c>
      <c r="E46" s="967">
        <f t="shared" ref="E46:L46" si="59">+E123+E139+E63+E76</f>
        <v>0</v>
      </c>
      <c r="F46" s="967">
        <f t="shared" si="59"/>
        <v>0</v>
      </c>
      <c r="G46" s="967">
        <f t="shared" si="59"/>
        <v>0</v>
      </c>
      <c r="H46" s="967">
        <f t="shared" si="59"/>
        <v>0</v>
      </c>
      <c r="I46" s="967">
        <f t="shared" si="59"/>
        <v>0</v>
      </c>
      <c r="J46" s="967">
        <f t="shared" si="59"/>
        <v>0</v>
      </c>
      <c r="K46" s="967">
        <f t="shared" si="59"/>
        <v>0</v>
      </c>
      <c r="L46" s="967">
        <f t="shared" si="59"/>
        <v>0</v>
      </c>
      <c r="M46" s="3325"/>
      <c r="N46" s="3325"/>
      <c r="O46" s="859"/>
    </row>
    <row r="47" spans="1:17" hidden="1">
      <c r="A47" s="854"/>
      <c r="B47" s="968" t="s">
        <v>26</v>
      </c>
      <c r="C47" s="39"/>
      <c r="D47" s="967"/>
      <c r="E47" s="967"/>
      <c r="F47" s="967"/>
      <c r="G47" s="967"/>
      <c r="H47" s="967"/>
      <c r="I47" s="967"/>
      <c r="J47" s="967"/>
      <c r="K47" s="967"/>
      <c r="L47" s="967"/>
      <c r="M47" s="3325"/>
      <c r="N47" s="3325"/>
      <c r="O47" s="859"/>
    </row>
    <row r="48" spans="1:17" hidden="1">
      <c r="A48" s="854"/>
      <c r="B48" s="968" t="s">
        <v>52</v>
      </c>
      <c r="C48" s="39"/>
      <c r="D48" s="967">
        <f>+D297+D310</f>
        <v>0</v>
      </c>
      <c r="E48" s="967">
        <f t="shared" ref="E48:L48" si="60">+E297+E310</f>
        <v>0</v>
      </c>
      <c r="F48" s="967">
        <f t="shared" si="60"/>
        <v>0</v>
      </c>
      <c r="G48" s="967">
        <f t="shared" si="60"/>
        <v>0</v>
      </c>
      <c r="H48" s="967">
        <f t="shared" si="60"/>
        <v>0</v>
      </c>
      <c r="I48" s="967">
        <f t="shared" si="60"/>
        <v>0</v>
      </c>
      <c r="J48" s="967">
        <f t="shared" si="60"/>
        <v>0</v>
      </c>
      <c r="K48" s="967">
        <f t="shared" si="60"/>
        <v>0</v>
      </c>
      <c r="L48" s="967">
        <f t="shared" si="60"/>
        <v>0</v>
      </c>
      <c r="M48" s="3325"/>
      <c r="N48" s="3325"/>
      <c r="O48" s="859"/>
    </row>
    <row r="49" spans="1:16" ht="12" customHeight="1">
      <c r="A49" s="854"/>
      <c r="B49" s="969" t="s">
        <v>18</v>
      </c>
      <c r="C49" s="970"/>
      <c r="D49" s="971">
        <f>+D50+D51</f>
        <v>591326089</v>
      </c>
      <c r="E49" s="971">
        <f t="shared" ref="E49:L49" si="61">+E50+E51</f>
        <v>25497315</v>
      </c>
      <c r="F49" s="971">
        <f t="shared" si="61"/>
        <v>179201044</v>
      </c>
      <c r="G49" s="971">
        <f t="shared" si="61"/>
        <v>323175080</v>
      </c>
      <c r="H49" s="971">
        <f t="shared" si="61"/>
        <v>54479545</v>
      </c>
      <c r="I49" s="971">
        <f t="shared" si="61"/>
        <v>8973105</v>
      </c>
      <c r="J49" s="971">
        <f t="shared" si="61"/>
        <v>0</v>
      </c>
      <c r="K49" s="971">
        <f t="shared" si="61"/>
        <v>0</v>
      </c>
      <c r="L49" s="971">
        <f t="shared" si="61"/>
        <v>0</v>
      </c>
      <c r="M49" s="3325"/>
      <c r="N49" s="3325"/>
      <c r="O49" s="859"/>
    </row>
    <row r="50" spans="1:16" ht="12" hidden="1" customHeight="1">
      <c r="A50" s="854"/>
      <c r="B50" s="968" t="s">
        <v>17</v>
      </c>
      <c r="C50" s="972"/>
      <c r="D50" s="967">
        <f>+D126+D142+D65</f>
        <v>0</v>
      </c>
      <c r="E50" s="967">
        <f t="shared" ref="E50:L50" si="62">+E126+E142+E65</f>
        <v>0</v>
      </c>
      <c r="F50" s="967">
        <f t="shared" si="62"/>
        <v>0</v>
      </c>
      <c r="G50" s="967">
        <f t="shared" si="62"/>
        <v>0</v>
      </c>
      <c r="H50" s="967">
        <f t="shared" si="62"/>
        <v>0</v>
      </c>
      <c r="I50" s="967">
        <f t="shared" si="62"/>
        <v>0</v>
      </c>
      <c r="J50" s="967">
        <f t="shared" si="62"/>
        <v>0</v>
      </c>
      <c r="K50" s="967">
        <f t="shared" si="62"/>
        <v>0</v>
      </c>
      <c r="L50" s="967">
        <f t="shared" si="62"/>
        <v>0</v>
      </c>
      <c r="M50" s="3325"/>
      <c r="N50" s="3325"/>
      <c r="O50" s="859"/>
      <c r="P50" s="456"/>
    </row>
    <row r="51" spans="1:16" ht="12.75" customHeight="1" thickBot="1">
      <c r="A51" s="863"/>
      <c r="B51" s="40" t="s">
        <v>21</v>
      </c>
      <c r="C51" s="41"/>
      <c r="D51" s="973">
        <f>+D299+D155+D127+D313+D287+D325++D90+D143+D66+D102+D78+D111+D167+D179+D191+D203+D215+D227+D239+D251+D263+D275</f>
        <v>591326089</v>
      </c>
      <c r="E51" s="973">
        <f t="shared" ref="E51:L51" si="63">+E299+E155+E127+E313+E287+E325++E90+E143+E66+E102+E78+E111+E167+E179+E191+E203+E215+E227+E239+E251+E263+E275</f>
        <v>25497315</v>
      </c>
      <c r="F51" s="973">
        <f t="shared" si="63"/>
        <v>179201044</v>
      </c>
      <c r="G51" s="973">
        <f t="shared" si="63"/>
        <v>323175080</v>
      </c>
      <c r="H51" s="973">
        <f t="shared" si="63"/>
        <v>54479545</v>
      </c>
      <c r="I51" s="973">
        <f t="shared" si="63"/>
        <v>8973105</v>
      </c>
      <c r="J51" s="973">
        <f t="shared" si="63"/>
        <v>0</v>
      </c>
      <c r="K51" s="973">
        <f t="shared" si="63"/>
        <v>0</v>
      </c>
      <c r="L51" s="973">
        <f t="shared" si="63"/>
        <v>0</v>
      </c>
      <c r="M51" s="3326"/>
      <c r="N51" s="3326"/>
      <c r="O51" s="864"/>
      <c r="P51" s="456"/>
    </row>
    <row r="52" spans="1:16" s="265" customFormat="1" ht="15" customHeight="1" thickBot="1">
      <c r="A52" s="459"/>
      <c r="B52" s="280" t="s">
        <v>352</v>
      </c>
      <c r="C52" s="460"/>
      <c r="D52" s="874"/>
      <c r="E52" s="1703"/>
      <c r="F52" s="875"/>
      <c r="G52" s="875"/>
      <c r="H52" s="875"/>
      <c r="I52" s="875"/>
      <c r="J52" s="875"/>
      <c r="K52" s="875"/>
      <c r="L52" s="875"/>
      <c r="M52" s="461"/>
      <c r="N52" s="461"/>
      <c r="O52" s="462"/>
    </row>
    <row r="53" spans="1:16" ht="23.25" hidden="1" customHeight="1">
      <c r="A53" s="3303"/>
      <c r="B53" s="423" t="s">
        <v>516</v>
      </c>
      <c r="C53" s="58" t="s">
        <v>81</v>
      </c>
      <c r="D53" s="59"/>
      <c r="E53" s="42"/>
      <c r="F53" s="44"/>
      <c r="G53" s="44"/>
      <c r="H53" s="44"/>
      <c r="I53" s="44"/>
      <c r="J53" s="44"/>
      <c r="K53" s="44"/>
      <c r="L53" s="44"/>
      <c r="M53" s="45"/>
      <c r="N53" s="45"/>
      <c r="O53" s="46" t="s">
        <v>82</v>
      </c>
    </row>
    <row r="54" spans="1:16" hidden="1">
      <c r="A54" s="3304"/>
      <c r="B54" s="662" t="s">
        <v>10</v>
      </c>
      <c r="C54" s="1800"/>
      <c r="D54" s="1814">
        <f t="shared" ref="D54" si="64">+D55+D58</f>
        <v>0</v>
      </c>
      <c r="E54" s="1814">
        <f>+E55+E58</f>
        <v>0</v>
      </c>
      <c r="F54" s="1814">
        <f>+F55+F58</f>
        <v>0</v>
      </c>
      <c r="G54" s="1814"/>
      <c r="H54" s="1814"/>
      <c r="I54" s="1814"/>
      <c r="J54" s="1814"/>
      <c r="K54" s="1814"/>
      <c r="L54" s="1814"/>
      <c r="M54" s="1802">
        <f>+M55+M58</f>
        <v>0</v>
      </c>
      <c r="N54" s="1802">
        <f>+N55+N58</f>
        <v>0</v>
      </c>
      <c r="O54" s="3203" t="s">
        <v>83</v>
      </c>
    </row>
    <row r="55" spans="1:16" ht="12" hidden="1" customHeight="1">
      <c r="A55" s="3304"/>
      <c r="B55" s="633" t="s">
        <v>24</v>
      </c>
      <c r="C55" s="3214" t="s">
        <v>84</v>
      </c>
      <c r="D55" s="1815">
        <f t="shared" ref="D55" si="65">+D56+D57</f>
        <v>0</v>
      </c>
      <c r="E55" s="1815">
        <f>+E56+E57</f>
        <v>0</v>
      </c>
      <c r="F55" s="1815">
        <f>+F56+F57</f>
        <v>0</v>
      </c>
      <c r="G55" s="1815"/>
      <c r="H55" s="1815"/>
      <c r="I55" s="1815"/>
      <c r="J55" s="1815"/>
      <c r="K55" s="1815"/>
      <c r="L55" s="1815"/>
      <c r="M55" s="1805">
        <f>+M56+M57</f>
        <v>0</v>
      </c>
      <c r="N55" s="1805">
        <f>+N56+N57</f>
        <v>0</v>
      </c>
      <c r="O55" s="3203"/>
    </row>
    <row r="56" spans="1:16" ht="12" hidden="1" customHeight="1">
      <c r="A56" s="3304"/>
      <c r="B56" s="982" t="s">
        <v>12</v>
      </c>
      <c r="C56" s="3215"/>
      <c r="D56" s="1715">
        <f>E56+F56+G56+H56+I56+J56+K56+L56</f>
        <v>0</v>
      </c>
      <c r="E56" s="1775"/>
      <c r="F56" s="1816"/>
      <c r="G56" s="1817"/>
      <c r="H56" s="1817"/>
      <c r="I56" s="1817"/>
      <c r="J56" s="1817"/>
      <c r="K56" s="1817"/>
      <c r="L56" s="1817"/>
      <c r="M56" s="1818">
        <f>SUM(F56:K56)</f>
        <v>0</v>
      </c>
      <c r="N56" s="1818">
        <f>SUM(G56:L56)</f>
        <v>0</v>
      </c>
      <c r="O56" s="3203"/>
    </row>
    <row r="57" spans="1:16" ht="12" hidden="1" customHeight="1">
      <c r="A57" s="3304"/>
      <c r="B57" s="1911" t="s">
        <v>17</v>
      </c>
      <c r="C57" s="3215"/>
      <c r="D57" s="1715">
        <f>E57+F57+G57+H57+I57+J57+K57+L57</f>
        <v>0</v>
      </c>
      <c r="E57" s="1775"/>
      <c r="F57" s="1817"/>
      <c r="G57" s="1817"/>
      <c r="H57" s="1817"/>
      <c r="I57" s="1817"/>
      <c r="J57" s="1817"/>
      <c r="K57" s="1817"/>
      <c r="L57" s="1817"/>
      <c r="M57" s="1818">
        <f>SUM(F57:K57)</f>
        <v>0</v>
      </c>
      <c r="N57" s="1818">
        <f>SUM(G57:L57)</f>
        <v>0</v>
      </c>
      <c r="O57" s="3203"/>
    </row>
    <row r="58" spans="1:16" ht="12" hidden="1" customHeight="1">
      <c r="A58" s="3304"/>
      <c r="B58" s="1842" t="s">
        <v>18</v>
      </c>
      <c r="C58" s="3215"/>
      <c r="D58" s="1804">
        <f>+D59+D60</f>
        <v>0</v>
      </c>
      <c r="E58" s="1804">
        <f t="shared" ref="E58" si="66">+E59+E60</f>
        <v>0</v>
      </c>
      <c r="F58" s="1804"/>
      <c r="G58" s="1804"/>
      <c r="H58" s="1804"/>
      <c r="I58" s="1804"/>
      <c r="J58" s="1804"/>
      <c r="K58" s="1804"/>
      <c r="L58" s="1804"/>
      <c r="M58" s="1805">
        <f>+M59+M60</f>
        <v>0</v>
      </c>
      <c r="N58" s="1805">
        <f>+N59+N60</f>
        <v>0</v>
      </c>
      <c r="O58" s="3203"/>
    </row>
    <row r="59" spans="1:16" ht="12" hidden="1" customHeight="1">
      <c r="A59" s="3304"/>
      <c r="B59" s="732" t="s">
        <v>17</v>
      </c>
      <c r="C59" s="3215"/>
      <c r="D59" s="1715">
        <f>E59+F59+G59+H59+I59+J59+K59+L59</f>
        <v>0</v>
      </c>
      <c r="E59" s="1813"/>
      <c r="F59" s="1817"/>
      <c r="G59" s="1817"/>
      <c r="H59" s="1817"/>
      <c r="I59" s="1817"/>
      <c r="J59" s="203"/>
      <c r="K59" s="203"/>
      <c r="L59" s="203"/>
      <c r="M59" s="69"/>
      <c r="N59" s="69"/>
      <c r="O59" s="3203"/>
    </row>
    <row r="60" spans="1:16" ht="12" hidden="1" customHeight="1">
      <c r="A60" s="3304"/>
      <c r="B60" s="732" t="s">
        <v>21</v>
      </c>
      <c r="C60" s="3262"/>
      <c r="D60" s="1715">
        <f>E60+F60+G60+H60+I60+J60+K60+L60</f>
        <v>0</v>
      </c>
      <c r="E60" s="1775"/>
      <c r="F60" s="1817"/>
      <c r="G60" s="1817"/>
      <c r="H60" s="1817"/>
      <c r="I60" s="1817"/>
      <c r="J60" s="1817"/>
      <c r="K60" s="1817"/>
      <c r="L60" s="1817"/>
      <c r="M60" s="1818">
        <f>SUM(F60:K60)</f>
        <v>0</v>
      </c>
      <c r="N60" s="1818">
        <f>SUM(G60:L60)</f>
        <v>0</v>
      </c>
      <c r="O60" s="3204"/>
    </row>
    <row r="61" spans="1:16" hidden="1">
      <c r="A61" s="3304"/>
      <c r="B61" s="82" t="s">
        <v>22</v>
      </c>
      <c r="C61" s="1800"/>
      <c r="D61" s="1801">
        <f t="shared" ref="D61" si="67">+D64+D62</f>
        <v>0</v>
      </c>
      <c r="E61" s="1801">
        <f>+E64+E62</f>
        <v>0</v>
      </c>
      <c r="F61" s="1801"/>
      <c r="G61" s="1801"/>
      <c r="H61" s="1801"/>
      <c r="I61" s="1801"/>
      <c r="J61" s="2176"/>
      <c r="K61" s="2176"/>
      <c r="L61" s="2176"/>
      <c r="M61" s="3302" t="s">
        <v>23</v>
      </c>
      <c r="N61" s="3302" t="s">
        <v>23</v>
      </c>
      <c r="O61" s="3211" t="s">
        <v>230</v>
      </c>
      <c r="P61" s="456">
        <v>0</v>
      </c>
    </row>
    <row r="62" spans="1:16" ht="12" hidden="1" customHeight="1">
      <c r="A62" s="3304"/>
      <c r="B62" s="1808" t="s">
        <v>24</v>
      </c>
      <c r="C62" s="3214" t="s">
        <v>85</v>
      </c>
      <c r="D62" s="1804">
        <f t="shared" ref="D62:E62" si="68">+D63</f>
        <v>0</v>
      </c>
      <c r="E62" s="1804">
        <f t="shared" si="68"/>
        <v>0</v>
      </c>
      <c r="F62" s="1804"/>
      <c r="G62" s="1804"/>
      <c r="H62" s="1804"/>
      <c r="I62" s="1804"/>
      <c r="J62" s="1804"/>
      <c r="K62" s="1804"/>
      <c r="L62" s="1804"/>
      <c r="M62" s="3273"/>
      <c r="N62" s="3273"/>
      <c r="O62" s="3212"/>
    </row>
    <row r="63" spans="1:16" ht="12" hidden="1" customHeight="1">
      <c r="A63" s="3304"/>
      <c r="B63" s="1832" t="s">
        <v>17</v>
      </c>
      <c r="C63" s="3215"/>
      <c r="D63" s="1715">
        <f>E63+F63+G63+H63+I63+J63+K63+L63</f>
        <v>0</v>
      </c>
      <c r="E63" s="1775"/>
      <c r="F63" s="1821"/>
      <c r="G63" s="1821"/>
      <c r="H63" s="1821"/>
      <c r="I63" s="1804"/>
      <c r="J63" s="1804"/>
      <c r="K63" s="1804"/>
      <c r="L63" s="1804"/>
      <c r="M63" s="3273"/>
      <c r="N63" s="3273"/>
      <c r="O63" s="3212"/>
    </row>
    <row r="64" spans="1:16" ht="12" hidden="1" customHeight="1">
      <c r="A64" s="3304"/>
      <c r="B64" s="978" t="s">
        <v>18</v>
      </c>
      <c r="C64" s="3215"/>
      <c r="D64" s="1822">
        <f t="shared" ref="D64:E64" si="69">+D65+D66</f>
        <v>0</v>
      </c>
      <c r="E64" s="1822">
        <f t="shared" si="69"/>
        <v>0</v>
      </c>
      <c r="F64" s="2177"/>
      <c r="G64" s="2177"/>
      <c r="H64" s="2177"/>
      <c r="I64" s="1821"/>
      <c r="J64" s="1821"/>
      <c r="K64" s="1821"/>
      <c r="L64" s="1821"/>
      <c r="M64" s="3273"/>
      <c r="N64" s="3273"/>
      <c r="O64" s="3212"/>
    </row>
    <row r="65" spans="1:19" ht="12" hidden="1" customHeight="1">
      <c r="A65" s="3304"/>
      <c r="B65" s="732" t="s">
        <v>17</v>
      </c>
      <c r="C65" s="3215"/>
      <c r="D65" s="1715">
        <f>E65+F65+G65+H65+I65+J65+K65+L65</f>
        <v>0</v>
      </c>
      <c r="E65" s="1875"/>
      <c r="F65" s="1821"/>
      <c r="G65" s="1821"/>
      <c r="H65" s="1821"/>
      <c r="I65" s="2177"/>
      <c r="J65" s="2177"/>
      <c r="K65" s="2177"/>
      <c r="L65" s="2177"/>
      <c r="M65" s="3273"/>
      <c r="N65" s="3273"/>
      <c r="O65" s="3212"/>
    </row>
    <row r="66" spans="1:19" ht="10.5" hidden="1" customHeight="1" thickBot="1">
      <c r="A66" s="3305"/>
      <c r="B66" s="1556" t="s">
        <v>21</v>
      </c>
      <c r="C66" s="3216"/>
      <c r="D66" s="1929">
        <f>E66+F66+G66+H66+I66+J66+K66+L66</f>
        <v>0</v>
      </c>
      <c r="E66" s="1929"/>
      <c r="F66" s="1557"/>
      <c r="G66" s="1557"/>
      <c r="H66" s="1557"/>
      <c r="I66" s="2178"/>
      <c r="J66" s="2178"/>
      <c r="K66" s="2178"/>
      <c r="L66" s="2178"/>
      <c r="M66" s="3274"/>
      <c r="N66" s="3274"/>
      <c r="O66" s="3213"/>
    </row>
    <row r="67" spans="1:19" ht="25.5" hidden="1" customHeight="1">
      <c r="A67" s="3199"/>
      <c r="B67" s="74" t="s">
        <v>517</v>
      </c>
      <c r="C67" s="58" t="s">
        <v>81</v>
      </c>
      <c r="D67" s="59"/>
      <c r="E67" s="43"/>
      <c r="F67" s="42"/>
      <c r="G67" s="42"/>
      <c r="H67" s="237"/>
      <c r="I67" s="43"/>
      <c r="J67" s="237"/>
      <c r="K67" s="237"/>
      <c r="L67" s="237"/>
      <c r="M67" s="62"/>
      <c r="N67" s="62"/>
      <c r="O67" s="46" t="s">
        <v>82</v>
      </c>
      <c r="S67" s="868"/>
    </row>
    <row r="68" spans="1:19" ht="13.5" hidden="1" customHeight="1">
      <c r="A68" s="3200"/>
      <c r="B68" s="80" t="s">
        <v>10</v>
      </c>
      <c r="C68" s="22"/>
      <c r="D68" s="63">
        <f>+D69+D72</f>
        <v>0</v>
      </c>
      <c r="E68" s="63">
        <f>+E69+E72</f>
        <v>0</v>
      </c>
      <c r="F68" s="63">
        <f>+F69+F72</f>
        <v>0</v>
      </c>
      <c r="G68" s="63"/>
      <c r="H68" s="63"/>
      <c r="I68" s="63"/>
      <c r="J68" s="63"/>
      <c r="K68" s="63"/>
      <c r="L68" s="63"/>
      <c r="M68" s="65">
        <f>+M69+M72</f>
        <v>0</v>
      </c>
      <c r="N68" s="65">
        <f>+N69+N72</f>
        <v>0</v>
      </c>
      <c r="O68" s="3203" t="s">
        <v>83</v>
      </c>
      <c r="P68" s="456"/>
      <c r="Q68" s="456"/>
      <c r="R68" s="456"/>
      <c r="S68" s="456"/>
    </row>
    <row r="69" spans="1:19" ht="12" hidden="1" customHeight="1">
      <c r="A69" s="3200"/>
      <c r="B69" s="227" t="s">
        <v>24</v>
      </c>
      <c r="C69" s="3233" t="s">
        <v>84</v>
      </c>
      <c r="D69" s="66">
        <f>+D70+D71</f>
        <v>0</v>
      </c>
      <c r="E69" s="66">
        <f>+E70+E71</f>
        <v>0</v>
      </c>
      <c r="F69" s="66">
        <f>+F70+F71</f>
        <v>0</v>
      </c>
      <c r="G69" s="66"/>
      <c r="H69" s="66"/>
      <c r="I69" s="66"/>
      <c r="J69" s="66"/>
      <c r="K69" s="66"/>
      <c r="L69" s="66"/>
      <c r="M69" s="67">
        <f>+M70+M71</f>
        <v>0</v>
      </c>
      <c r="N69" s="67">
        <f>+N70+N71</f>
        <v>0</v>
      </c>
      <c r="O69" s="3203"/>
    </row>
    <row r="70" spans="1:19" ht="12" hidden="1" customHeight="1">
      <c r="A70" s="3200"/>
      <c r="B70" s="435" t="s">
        <v>12</v>
      </c>
      <c r="C70" s="3215"/>
      <c r="D70" s="247">
        <f>E70+F70+G70+H70+I70+J70+K70+L70</f>
        <v>0</v>
      </c>
      <c r="E70" s="284"/>
      <c r="F70" s="86"/>
      <c r="G70" s="48"/>
      <c r="H70" s="48"/>
      <c r="I70" s="48"/>
      <c r="J70" s="48"/>
      <c r="K70" s="48"/>
      <c r="L70" s="48"/>
      <c r="M70" s="975">
        <f>SUM(F70:K70)</f>
        <v>0</v>
      </c>
      <c r="N70" s="975">
        <f>SUM(G70:L70)</f>
        <v>0</v>
      </c>
      <c r="O70" s="3203"/>
    </row>
    <row r="71" spans="1:19" ht="12" hidden="1" customHeight="1">
      <c r="A71" s="3200"/>
      <c r="B71" s="435" t="s">
        <v>17</v>
      </c>
      <c r="C71" s="3215"/>
      <c r="D71" s="247">
        <f>E71+F71+G71+H71+I71+J71+K71+L71</f>
        <v>0</v>
      </c>
      <c r="E71" s="284"/>
      <c r="F71" s="48"/>
      <c r="G71" s="48"/>
      <c r="H71" s="48"/>
      <c r="I71" s="48"/>
      <c r="J71" s="48"/>
      <c r="K71" s="48"/>
      <c r="L71" s="48"/>
      <c r="M71" s="975">
        <f>SUM(F71:K71)</f>
        <v>0</v>
      </c>
      <c r="N71" s="975">
        <f>SUM(G71:L71)</f>
        <v>0</v>
      </c>
      <c r="O71" s="3203"/>
    </row>
    <row r="72" spans="1:19" ht="12" hidden="1" customHeight="1">
      <c r="A72" s="3200"/>
      <c r="B72" s="866" t="s">
        <v>18</v>
      </c>
      <c r="C72" s="3215"/>
      <c r="D72" s="49">
        <f>+D73</f>
        <v>0</v>
      </c>
      <c r="E72" s="49">
        <f t="shared" ref="E72" si="70">+E73</f>
        <v>0</v>
      </c>
      <c r="F72" s="49"/>
      <c r="G72" s="49"/>
      <c r="H72" s="49"/>
      <c r="I72" s="49"/>
      <c r="J72" s="49"/>
      <c r="K72" s="49"/>
      <c r="L72" s="49"/>
      <c r="M72" s="67">
        <f>+M73</f>
        <v>0</v>
      </c>
      <c r="N72" s="67">
        <f>+N73</f>
        <v>0</v>
      </c>
      <c r="O72" s="3203"/>
    </row>
    <row r="73" spans="1:19" ht="12" hidden="1" customHeight="1">
      <c r="A73" s="3200"/>
      <c r="B73" s="435" t="s">
        <v>21</v>
      </c>
      <c r="C73" s="262"/>
      <c r="D73" s="1555">
        <f>E73+F73+G73+H73+I73+J73+K73+L73</f>
        <v>0</v>
      </c>
      <c r="E73" s="284"/>
      <c r="F73" s="48"/>
      <c r="G73" s="48"/>
      <c r="H73" s="48"/>
      <c r="I73" s="48"/>
      <c r="J73" s="48"/>
      <c r="K73" s="48"/>
      <c r="L73" s="48"/>
      <c r="M73" s="975">
        <f>SUM(F73:K73)</f>
        <v>0</v>
      </c>
      <c r="N73" s="975">
        <f>SUM(G73:L73)</f>
        <v>0</v>
      </c>
      <c r="O73" s="3204"/>
    </row>
    <row r="74" spans="1:19" ht="12" hidden="1" customHeight="1">
      <c r="A74" s="3200"/>
      <c r="B74" s="187" t="s">
        <v>22</v>
      </c>
      <c r="C74" s="90"/>
      <c r="D74" s="101">
        <f t="shared" ref="D74" si="71">+D77+D75</f>
        <v>0</v>
      </c>
      <c r="E74" s="101">
        <f>+E77+E75</f>
        <v>0</v>
      </c>
      <c r="F74" s="101"/>
      <c r="G74" s="101"/>
      <c r="H74" s="101"/>
      <c r="I74" s="101"/>
      <c r="J74" s="101"/>
      <c r="K74" s="101"/>
      <c r="L74" s="101"/>
      <c r="M74" s="3273" t="s">
        <v>23</v>
      </c>
      <c r="N74" s="3273" t="s">
        <v>23</v>
      </c>
      <c r="O74" s="3296" t="s">
        <v>230</v>
      </c>
      <c r="P74" s="456"/>
    </row>
    <row r="75" spans="1:19" ht="12" hidden="1" customHeight="1">
      <c r="A75" s="3200"/>
      <c r="B75" s="865" t="s">
        <v>24</v>
      </c>
      <c r="C75" s="3233" t="s">
        <v>85</v>
      </c>
      <c r="D75" s="49">
        <f t="shared" ref="D75:E75" si="72">+D76</f>
        <v>0</v>
      </c>
      <c r="E75" s="49">
        <f t="shared" si="72"/>
        <v>0</v>
      </c>
      <c r="F75" s="49"/>
      <c r="G75" s="49"/>
      <c r="H75" s="49"/>
      <c r="I75" s="49"/>
      <c r="J75" s="49"/>
      <c r="K75" s="49"/>
      <c r="L75" s="49"/>
      <c r="M75" s="3273"/>
      <c r="N75" s="3273"/>
      <c r="O75" s="3203"/>
    </row>
    <row r="76" spans="1:19" ht="12" hidden="1" customHeight="1">
      <c r="A76" s="3200"/>
      <c r="B76" s="766" t="s">
        <v>17</v>
      </c>
      <c r="C76" s="3215"/>
      <c r="D76" s="247">
        <f>E76+F76+G76+H76+I76+J76+K76+L76</f>
        <v>0</v>
      </c>
      <c r="E76" s="284"/>
      <c r="F76" s="54"/>
      <c r="G76" s="54"/>
      <c r="H76" s="54"/>
      <c r="I76" s="54"/>
      <c r="J76" s="54"/>
      <c r="K76" s="54"/>
      <c r="L76" s="54"/>
      <c r="M76" s="3273"/>
      <c r="N76" s="3273"/>
      <c r="O76" s="3203"/>
    </row>
    <row r="77" spans="1:19" ht="12" hidden="1" customHeight="1">
      <c r="A77" s="3200"/>
      <c r="B77" s="866" t="s">
        <v>18</v>
      </c>
      <c r="C77" s="3215"/>
      <c r="D77" s="765">
        <f>+D78</f>
        <v>0</v>
      </c>
      <c r="E77" s="765">
        <f t="shared" ref="E77" si="73">+E78</f>
        <v>0</v>
      </c>
      <c r="F77" s="765"/>
      <c r="G77" s="765"/>
      <c r="H77" s="765"/>
      <c r="I77" s="765"/>
      <c r="J77" s="765"/>
      <c r="K77" s="765"/>
      <c r="L77" s="765"/>
      <c r="M77" s="3273"/>
      <c r="N77" s="3273"/>
      <c r="O77" s="3203"/>
    </row>
    <row r="78" spans="1:19" ht="12" hidden="1" customHeight="1" thickBot="1">
      <c r="A78" s="3201"/>
      <c r="B78" s="76" t="s">
        <v>21</v>
      </c>
      <c r="C78" s="3216"/>
      <c r="D78" s="247">
        <f>E78+F78+G78+H78+I78+J78+K78+L78</f>
        <v>0</v>
      </c>
      <c r="E78" s="284"/>
      <c r="F78" s="88"/>
      <c r="G78" s="88"/>
      <c r="H78" s="88"/>
      <c r="I78" s="88"/>
      <c r="J78" s="88"/>
      <c r="K78" s="88"/>
      <c r="L78" s="88"/>
      <c r="M78" s="3274"/>
      <c r="N78" s="3274"/>
      <c r="O78" s="3297"/>
    </row>
    <row r="79" spans="1:19" ht="24.75" customHeight="1">
      <c r="A79" s="3199" t="s">
        <v>63</v>
      </c>
      <c r="B79" s="2636" t="s">
        <v>550</v>
      </c>
      <c r="C79" s="58" t="s">
        <v>81</v>
      </c>
      <c r="D79" s="59"/>
      <c r="E79" s="95"/>
      <c r="F79" s="95"/>
      <c r="G79" s="95"/>
      <c r="H79" s="95"/>
      <c r="I79" s="95"/>
      <c r="J79" s="95"/>
      <c r="K79" s="95"/>
      <c r="L79" s="95"/>
      <c r="M79" s="45"/>
      <c r="N79" s="45"/>
      <c r="O79" s="89"/>
    </row>
    <row r="80" spans="1:19" ht="13.5" customHeight="1">
      <c r="A80" s="3200"/>
      <c r="B80" s="996" t="s">
        <v>10</v>
      </c>
      <c r="C80" s="522"/>
      <c r="D80" s="974">
        <f>+D81+D84</f>
        <v>21340701</v>
      </c>
      <c r="E80" s="974">
        <f>+E81+E84</f>
        <v>21203332</v>
      </c>
      <c r="F80" s="974">
        <f>+F81+F84</f>
        <v>110369</v>
      </c>
      <c r="G80" s="974">
        <f>+G81+G84</f>
        <v>27000</v>
      </c>
      <c r="H80" s="974"/>
      <c r="I80" s="974"/>
      <c r="J80" s="974"/>
      <c r="K80" s="974"/>
      <c r="L80" s="974"/>
      <c r="M80" s="2588">
        <f>+M81+M84</f>
        <v>137369</v>
      </c>
      <c r="N80" s="2588">
        <f>+N81+N84</f>
        <v>27000</v>
      </c>
      <c r="O80" s="3203" t="s">
        <v>86</v>
      </c>
      <c r="P80" s="456"/>
    </row>
    <row r="81" spans="1:16" ht="12.75" customHeight="1">
      <c r="A81" s="3200"/>
      <c r="B81" s="633" t="s">
        <v>24</v>
      </c>
      <c r="C81" s="3232" t="s">
        <v>84</v>
      </c>
      <c r="D81" s="1356">
        <f>+D82+D83</f>
        <v>8880167</v>
      </c>
      <c r="E81" s="1356">
        <f>+E82+E83</f>
        <v>8742798</v>
      </c>
      <c r="F81" s="1356">
        <f>+F82+F83</f>
        <v>110369</v>
      </c>
      <c r="G81" s="1356">
        <f>+G82+G83</f>
        <v>27000</v>
      </c>
      <c r="H81" s="1356"/>
      <c r="I81" s="1356"/>
      <c r="J81" s="1356"/>
      <c r="K81" s="1356"/>
      <c r="L81" s="1356"/>
      <c r="M81" s="644">
        <f>M82</f>
        <v>137369</v>
      </c>
      <c r="N81" s="644">
        <f>N82</f>
        <v>27000</v>
      </c>
      <c r="O81" s="3203"/>
      <c r="P81" s="456"/>
    </row>
    <row r="82" spans="1:16" ht="10.5" customHeight="1">
      <c r="A82" s="3200"/>
      <c r="B82" s="732" t="s">
        <v>12</v>
      </c>
      <c r="C82" s="3215"/>
      <c r="D82" s="949">
        <f>E82+F82+G82+H82+I82+J82+K82+L82</f>
        <v>1390303</v>
      </c>
      <c r="E82" s="964">
        <f>1252934</f>
        <v>1252934</v>
      </c>
      <c r="F82" s="2637">
        <f>89000+111000-62631-27000</f>
        <v>110369</v>
      </c>
      <c r="G82" s="717">
        <v>27000</v>
      </c>
      <c r="H82" s="717"/>
      <c r="I82" s="717"/>
      <c r="J82" s="717"/>
      <c r="K82" s="717"/>
      <c r="L82" s="717"/>
      <c r="M82" s="975">
        <f>SUM(F82:K82)</f>
        <v>137369</v>
      </c>
      <c r="N82" s="975">
        <f>SUM(G82:L82)</f>
        <v>27000</v>
      </c>
      <c r="O82" s="3203"/>
    </row>
    <row r="83" spans="1:16">
      <c r="A83" s="3200"/>
      <c r="B83" s="92" t="s">
        <v>15</v>
      </c>
      <c r="C83" s="3215"/>
      <c r="D83" s="949">
        <f>E83+F83+G83+H83+I83+J83+K83+L83</f>
        <v>7489864</v>
      </c>
      <c r="E83" s="964">
        <f>7489864</f>
        <v>7489864</v>
      </c>
      <c r="F83" s="2637"/>
      <c r="G83" s="717"/>
      <c r="H83" s="717"/>
      <c r="I83" s="717"/>
      <c r="J83" s="717"/>
      <c r="K83" s="717"/>
      <c r="L83" s="717"/>
      <c r="M83" s="975">
        <f>SUM(F83:K83)</f>
        <v>0</v>
      </c>
      <c r="N83" s="975">
        <f>SUM(G83:L83)</f>
        <v>0</v>
      </c>
      <c r="O83" s="3203"/>
    </row>
    <row r="84" spans="1:16" ht="12" customHeight="1">
      <c r="A84" s="3200"/>
      <c r="B84" s="978" t="s">
        <v>18</v>
      </c>
      <c r="C84" s="3215"/>
      <c r="D84" s="645">
        <f>+D85</f>
        <v>12460534</v>
      </c>
      <c r="E84" s="2599">
        <f>+E85</f>
        <v>12460534</v>
      </c>
      <c r="F84" s="2599"/>
      <c r="G84" s="2599"/>
      <c r="H84" s="645"/>
      <c r="I84" s="645"/>
      <c r="J84" s="645"/>
      <c r="K84" s="645"/>
      <c r="L84" s="645"/>
      <c r="M84" s="644">
        <f>+M85</f>
        <v>0</v>
      </c>
      <c r="N84" s="644">
        <f>+N85</f>
        <v>0</v>
      </c>
      <c r="O84" s="3203"/>
    </row>
    <row r="85" spans="1:16" ht="11.25" customHeight="1">
      <c r="A85" s="3200"/>
      <c r="B85" s="732" t="s">
        <v>21</v>
      </c>
      <c r="C85" s="3262"/>
      <c r="D85" s="2604">
        <f>E85+F85+G85+H85+I85+J85+K85+L85</f>
        <v>12460534</v>
      </c>
      <c r="E85" s="964">
        <f>12460534</f>
        <v>12460534</v>
      </c>
      <c r="F85" s="717"/>
      <c r="G85" s="717"/>
      <c r="H85" s="717"/>
      <c r="I85" s="717"/>
      <c r="J85" s="717"/>
      <c r="K85" s="717"/>
      <c r="L85" s="717"/>
      <c r="M85" s="975">
        <f>SUM(F85:K85)</f>
        <v>0</v>
      </c>
      <c r="N85" s="975">
        <f>SUM(G85:L85)</f>
        <v>0</v>
      </c>
      <c r="O85" s="3204"/>
    </row>
    <row r="86" spans="1:16" ht="12" customHeight="1">
      <c r="A86" s="3227"/>
      <c r="B86" s="82" t="s">
        <v>22</v>
      </c>
      <c r="C86" s="90"/>
      <c r="D86" s="101">
        <f>+D87+D89</f>
        <v>19950398</v>
      </c>
      <c r="E86" s="101">
        <f>+E87+E89</f>
        <v>19950398</v>
      </c>
      <c r="F86" s="101"/>
      <c r="G86" s="101"/>
      <c r="H86" s="101"/>
      <c r="I86" s="101"/>
      <c r="J86" s="101"/>
      <c r="K86" s="101"/>
      <c r="L86" s="101"/>
      <c r="M86" s="3306" t="s">
        <v>23</v>
      </c>
      <c r="N86" s="3306" t="s">
        <v>23</v>
      </c>
      <c r="O86" s="3258" t="s">
        <v>102</v>
      </c>
      <c r="P86" s="456"/>
    </row>
    <row r="87" spans="1:16" ht="13.5" customHeight="1">
      <c r="A87" s="3227"/>
      <c r="B87" s="980" t="s">
        <v>24</v>
      </c>
      <c r="C87" s="3232" t="s">
        <v>85</v>
      </c>
      <c r="D87" s="52">
        <f>+D88</f>
        <v>7489864</v>
      </c>
      <c r="E87" s="52">
        <f t="shared" ref="E87" si="74">+E88</f>
        <v>7489864</v>
      </c>
      <c r="F87" s="52"/>
      <c r="G87" s="52"/>
      <c r="H87" s="52"/>
      <c r="I87" s="52"/>
      <c r="J87" s="52"/>
      <c r="K87" s="52"/>
      <c r="L87" s="52"/>
      <c r="M87" s="3307"/>
      <c r="N87" s="3307"/>
      <c r="O87" s="3212"/>
    </row>
    <row r="88" spans="1:16" ht="13.5" customHeight="1">
      <c r="A88" s="3227"/>
      <c r="B88" s="92" t="s">
        <v>15</v>
      </c>
      <c r="C88" s="3215"/>
      <c r="D88" s="949">
        <f>E88+F88+G88+H88+I88+J88+K88+L88</f>
        <v>7489864</v>
      </c>
      <c r="E88" s="964">
        <f>7489864</f>
        <v>7489864</v>
      </c>
      <c r="F88" s="2597"/>
      <c r="G88" s="2597"/>
      <c r="H88" s="2597"/>
      <c r="I88" s="2597"/>
      <c r="J88" s="2597"/>
      <c r="K88" s="2597"/>
      <c r="L88" s="2597"/>
      <c r="M88" s="3307"/>
      <c r="N88" s="3307"/>
      <c r="O88" s="3212"/>
    </row>
    <row r="89" spans="1:16" s="265" customFormat="1" ht="12.75" customHeight="1">
      <c r="A89" s="3227"/>
      <c r="B89" s="978" t="s">
        <v>18</v>
      </c>
      <c r="C89" s="3215"/>
      <c r="D89" s="889">
        <f t="shared" ref="D89:E89" si="75">+D90</f>
        <v>12460534</v>
      </c>
      <c r="E89" s="2601">
        <f t="shared" si="75"/>
        <v>12460534</v>
      </c>
      <c r="F89" s="2601"/>
      <c r="G89" s="2601"/>
      <c r="H89" s="2601"/>
      <c r="I89" s="2601"/>
      <c r="J89" s="2601"/>
      <c r="K89" s="2601"/>
      <c r="L89" s="2601"/>
      <c r="M89" s="3307"/>
      <c r="N89" s="3307"/>
      <c r="O89" s="3212"/>
    </row>
    <row r="90" spans="1:16" ht="12.75" customHeight="1" thickBot="1">
      <c r="A90" s="3228"/>
      <c r="B90" s="76" t="s">
        <v>21</v>
      </c>
      <c r="C90" s="3216"/>
      <c r="D90" s="2391">
        <f>E90+F90+G90+H90+I90+J90+K90+L90</f>
        <v>12460534</v>
      </c>
      <c r="E90" s="2391">
        <f>12460534</f>
        <v>12460534</v>
      </c>
      <c r="F90" s="57"/>
      <c r="G90" s="57"/>
      <c r="H90" s="57"/>
      <c r="I90" s="57"/>
      <c r="J90" s="57"/>
      <c r="K90" s="57"/>
      <c r="L90" s="57"/>
      <c r="M90" s="3308"/>
      <c r="N90" s="3308"/>
      <c r="O90" s="3213"/>
    </row>
    <row r="91" spans="1:16" ht="27.75" hidden="1" customHeight="1">
      <c r="A91" s="3199"/>
      <c r="B91" s="423" t="s">
        <v>518</v>
      </c>
      <c r="C91" s="58" t="s">
        <v>81</v>
      </c>
      <c r="D91" s="870"/>
      <c r="E91" s="94"/>
      <c r="F91" s="95"/>
      <c r="G91" s="95"/>
      <c r="H91" s="95"/>
      <c r="I91" s="95"/>
      <c r="J91" s="95"/>
      <c r="K91" s="95"/>
      <c r="L91" s="95"/>
      <c r="M91" s="45"/>
      <c r="N91" s="45"/>
      <c r="O91" s="89"/>
      <c r="P91" s="456"/>
    </row>
    <row r="92" spans="1:16" ht="12" hidden="1" customHeight="1">
      <c r="A92" s="3200"/>
      <c r="B92" s="488" t="s">
        <v>10</v>
      </c>
      <c r="C92" s="1800"/>
      <c r="D92" s="1814">
        <f>+D93+D96</f>
        <v>0</v>
      </c>
      <c r="E92" s="1814">
        <f>+E93+E96</f>
        <v>0</v>
      </c>
      <c r="F92" s="1814">
        <f>+F93+F96</f>
        <v>0</v>
      </c>
      <c r="G92" s="1814"/>
      <c r="H92" s="1814"/>
      <c r="I92" s="1814"/>
      <c r="J92" s="1814"/>
      <c r="K92" s="1814"/>
      <c r="L92" s="1814"/>
      <c r="M92" s="1802">
        <f>+M93+M96</f>
        <v>0</v>
      </c>
      <c r="N92" s="1802">
        <f>+N93+N96</f>
        <v>0</v>
      </c>
      <c r="O92" s="3203" t="s">
        <v>86</v>
      </c>
    </row>
    <row r="93" spans="1:16" ht="13.5" hidden="1" customHeight="1">
      <c r="A93" s="3200"/>
      <c r="B93" s="668" t="s">
        <v>24</v>
      </c>
      <c r="C93" s="3214" t="s">
        <v>84</v>
      </c>
      <c r="D93" s="1815">
        <f>+D94+D95</f>
        <v>0</v>
      </c>
      <c r="E93" s="1815">
        <f>+E94+E95</f>
        <v>0</v>
      </c>
      <c r="F93" s="1815">
        <f>+F94+F95</f>
        <v>0</v>
      </c>
      <c r="G93" s="1815"/>
      <c r="H93" s="1815"/>
      <c r="I93" s="1815"/>
      <c r="J93" s="1815"/>
      <c r="K93" s="1815"/>
      <c r="L93" s="1815"/>
      <c r="M93" s="1805">
        <f>+M94+M95</f>
        <v>0</v>
      </c>
      <c r="N93" s="1805">
        <f>+N94+N95</f>
        <v>0</v>
      </c>
      <c r="O93" s="3203"/>
      <c r="P93" s="456"/>
    </row>
    <row r="94" spans="1:16" ht="11.25" hidden="1" customHeight="1">
      <c r="A94" s="3200"/>
      <c r="B94" s="732" t="s">
        <v>12</v>
      </c>
      <c r="C94" s="3236"/>
      <c r="D94" s="1715">
        <f>E94+F94+G94+H94+I94+J94+K94+L94</f>
        <v>0</v>
      </c>
      <c r="E94" s="1775"/>
      <c r="F94" s="1816"/>
      <c r="G94" s="1817"/>
      <c r="H94" s="1817"/>
      <c r="I94" s="1817"/>
      <c r="J94" s="1817"/>
      <c r="K94" s="1817"/>
      <c r="L94" s="1817"/>
      <c r="M94" s="975">
        <f>SUM(F94:K94)</f>
        <v>0</v>
      </c>
      <c r="N94" s="975">
        <f>SUM(G94:L94)</f>
        <v>0</v>
      </c>
      <c r="O94" s="3203"/>
      <c r="P94" s="456"/>
    </row>
    <row r="95" spans="1:16" ht="11.25" hidden="1" customHeight="1">
      <c r="A95" s="3200"/>
      <c r="B95" s="732" t="s">
        <v>15</v>
      </c>
      <c r="C95" s="3236"/>
      <c r="D95" s="1715">
        <f>E95+F95+G95+H95+I95+J95+K95+L95</f>
        <v>0</v>
      </c>
      <c r="E95" s="1775"/>
      <c r="F95" s="1817"/>
      <c r="G95" s="1817"/>
      <c r="H95" s="1817"/>
      <c r="I95" s="1817"/>
      <c r="J95" s="1817"/>
      <c r="K95" s="1817"/>
      <c r="L95" s="1817"/>
      <c r="M95" s="975">
        <f>SUM(F95:K95)</f>
        <v>0</v>
      </c>
      <c r="N95" s="975">
        <f>SUM(G95:L95)</f>
        <v>0</v>
      </c>
      <c r="O95" s="3203"/>
      <c r="P95" s="456"/>
    </row>
    <row r="96" spans="1:16" ht="11.25" hidden="1" customHeight="1">
      <c r="A96" s="3200"/>
      <c r="B96" s="670" t="s">
        <v>18</v>
      </c>
      <c r="C96" s="3236"/>
      <c r="D96" s="1804">
        <f>+D97</f>
        <v>0</v>
      </c>
      <c r="E96" s="1804">
        <f t="shared" ref="E96" si="76">+E97</f>
        <v>0</v>
      </c>
      <c r="F96" s="1804"/>
      <c r="G96" s="1804"/>
      <c r="H96" s="1804"/>
      <c r="I96" s="1804"/>
      <c r="J96" s="1804"/>
      <c r="K96" s="1804"/>
      <c r="L96" s="1804"/>
      <c r="M96" s="1805">
        <f>+M97</f>
        <v>0</v>
      </c>
      <c r="N96" s="1805">
        <f>+N97</f>
        <v>0</v>
      </c>
      <c r="O96" s="3203"/>
    </row>
    <row r="97" spans="1:16" ht="11.25" hidden="1" customHeight="1">
      <c r="A97" s="3200"/>
      <c r="B97" s="1819" t="s">
        <v>21</v>
      </c>
      <c r="C97" s="3278"/>
      <c r="D97" s="1715">
        <f>E97+F97+G97+H97+I97+J97+K97+L97</f>
        <v>0</v>
      </c>
      <c r="E97" s="1775"/>
      <c r="F97" s="1807"/>
      <c r="G97" s="1807"/>
      <c r="H97" s="1807"/>
      <c r="I97" s="1807"/>
      <c r="J97" s="1807"/>
      <c r="K97" s="1807"/>
      <c r="L97" s="1807"/>
      <c r="M97" s="975">
        <f>SUM(F97:K97)</f>
        <v>0</v>
      </c>
      <c r="N97" s="975">
        <f>SUM(G97:L97)</f>
        <v>0</v>
      </c>
      <c r="O97" s="3204"/>
    </row>
    <row r="98" spans="1:16" ht="11.25" hidden="1" customHeight="1">
      <c r="A98" s="3227"/>
      <c r="B98" s="488" t="s">
        <v>22</v>
      </c>
      <c r="C98" s="1800"/>
      <c r="D98" s="1801">
        <f>+D101+D99</f>
        <v>0</v>
      </c>
      <c r="E98" s="1801">
        <f>+E101+E99</f>
        <v>0</v>
      </c>
      <c r="F98" s="1801"/>
      <c r="G98" s="1801"/>
      <c r="H98" s="1801"/>
      <c r="I98" s="1801"/>
      <c r="J98" s="1801"/>
      <c r="K98" s="1801"/>
      <c r="L98" s="1801"/>
      <c r="M98" s="3298" t="s">
        <v>23</v>
      </c>
      <c r="N98" s="3298" t="s">
        <v>23</v>
      </c>
      <c r="O98" s="3211" t="s">
        <v>102</v>
      </c>
    </row>
    <row r="99" spans="1:16" ht="13.5" hidden="1" customHeight="1">
      <c r="A99" s="3227"/>
      <c r="B99" s="1820" t="s">
        <v>24</v>
      </c>
      <c r="C99" s="3214" t="s">
        <v>85</v>
      </c>
      <c r="D99" s="52">
        <f>+D100</f>
        <v>0</v>
      </c>
      <c r="E99" s="52">
        <f t="shared" ref="E99" si="77">+E100</f>
        <v>0</v>
      </c>
      <c r="F99" s="52"/>
      <c r="G99" s="52"/>
      <c r="H99" s="52"/>
      <c r="I99" s="52"/>
      <c r="J99" s="52"/>
      <c r="K99" s="52"/>
      <c r="L99" s="52"/>
      <c r="M99" s="3299"/>
      <c r="N99" s="3299"/>
      <c r="O99" s="3212"/>
    </row>
    <row r="100" spans="1:16" ht="11.25" hidden="1" customHeight="1">
      <c r="A100" s="3227"/>
      <c r="B100" s="92" t="s">
        <v>15</v>
      </c>
      <c r="C100" s="3215"/>
      <c r="D100" s="1715">
        <f>E100+F100+G100+H100+I100+J100+K100+L100</f>
        <v>0</v>
      </c>
      <c r="E100" s="1775"/>
      <c r="F100" s="1821"/>
      <c r="G100" s="1821"/>
      <c r="H100" s="1821"/>
      <c r="I100" s="1821"/>
      <c r="J100" s="1821"/>
      <c r="K100" s="1821"/>
      <c r="L100" s="1821"/>
      <c r="M100" s="3299"/>
      <c r="N100" s="3299"/>
      <c r="O100" s="3212"/>
    </row>
    <row r="101" spans="1:16" s="265" customFormat="1" ht="13.5" hidden="1" thickBot="1">
      <c r="A101" s="3227"/>
      <c r="B101" s="670" t="s">
        <v>18</v>
      </c>
      <c r="C101" s="3215"/>
      <c r="D101" s="1822">
        <f>+D102</f>
        <v>0</v>
      </c>
      <c r="E101" s="1822">
        <f t="shared" ref="E101" si="78">+E102</f>
        <v>0</v>
      </c>
      <c r="F101" s="1822"/>
      <c r="G101" s="1822"/>
      <c r="H101" s="1822"/>
      <c r="I101" s="1822"/>
      <c r="J101" s="1822"/>
      <c r="K101" s="1822"/>
      <c r="L101" s="1822"/>
      <c r="M101" s="3299"/>
      <c r="N101" s="3299"/>
      <c r="O101" s="3212"/>
    </row>
    <row r="102" spans="1:16" ht="13.5" hidden="1" thickBot="1">
      <c r="A102" s="3228"/>
      <c r="B102" s="76" t="s">
        <v>21</v>
      </c>
      <c r="C102" s="3216"/>
      <c r="D102" s="2989">
        <f>E102+F102+G102+H102+I102+J102+K102+L102</f>
        <v>0</v>
      </c>
      <c r="E102" s="2989"/>
      <c r="F102" s="1558"/>
      <c r="G102" s="1558"/>
      <c r="H102" s="1558"/>
      <c r="I102" s="1558"/>
      <c r="J102" s="1558"/>
      <c r="K102" s="1558"/>
      <c r="L102" s="1558"/>
      <c r="M102" s="3300"/>
      <c r="N102" s="3300"/>
      <c r="O102" s="3213"/>
    </row>
    <row r="103" spans="1:16" ht="26.25" hidden="1" customHeight="1">
      <c r="A103" s="3199"/>
      <c r="B103" s="423" t="s">
        <v>519</v>
      </c>
      <c r="C103" s="58" t="s">
        <v>81</v>
      </c>
      <c r="D103" s="870"/>
      <c r="E103" s="95"/>
      <c r="F103" s="95"/>
      <c r="G103" s="95"/>
      <c r="H103" s="95"/>
      <c r="I103" s="95"/>
      <c r="J103" s="95"/>
      <c r="K103" s="95"/>
      <c r="L103" s="95"/>
      <c r="M103" s="1559"/>
      <c r="N103" s="1559"/>
      <c r="O103" s="89"/>
    </row>
    <row r="104" spans="1:16" ht="13.5" hidden="1" customHeight="1">
      <c r="A104" s="3200"/>
      <c r="B104" s="488" t="s">
        <v>10</v>
      </c>
      <c r="C104" s="1800"/>
      <c r="D104" s="1814">
        <f>+D105+D107</f>
        <v>0</v>
      </c>
      <c r="E104" s="1814">
        <f t="shared" ref="E104" si="79">+E105+E107</f>
        <v>0</v>
      </c>
      <c r="F104" s="1814">
        <f>+F105+F107</f>
        <v>0</v>
      </c>
      <c r="G104" s="1814"/>
      <c r="H104" s="1814"/>
      <c r="I104" s="1814"/>
      <c r="J104" s="1814"/>
      <c r="K104" s="1814"/>
      <c r="L104" s="1814"/>
      <c r="M104" s="1802">
        <f>+M105+M107</f>
        <v>0</v>
      </c>
      <c r="N104" s="1802">
        <f>+N105+N107</f>
        <v>0</v>
      </c>
      <c r="O104" s="3203" t="s">
        <v>86</v>
      </c>
      <c r="P104" s="456"/>
    </row>
    <row r="105" spans="1:16" ht="13.5" hidden="1" customHeight="1">
      <c r="A105" s="3200"/>
      <c r="B105" s="668" t="s">
        <v>24</v>
      </c>
      <c r="C105" s="3214" t="s">
        <v>84</v>
      </c>
      <c r="D105" s="1815">
        <f>+D106</f>
        <v>0</v>
      </c>
      <c r="E105" s="1815">
        <f t="shared" ref="E105:F105" si="80">+E106</f>
        <v>0</v>
      </c>
      <c r="F105" s="1815">
        <f t="shared" si="80"/>
        <v>0</v>
      </c>
      <c r="G105" s="1815"/>
      <c r="H105" s="1815"/>
      <c r="I105" s="1815"/>
      <c r="J105" s="1815"/>
      <c r="K105" s="1815"/>
      <c r="L105" s="1815"/>
      <c r="M105" s="2179">
        <f>+M106</f>
        <v>0</v>
      </c>
      <c r="N105" s="2179">
        <f>+N106</f>
        <v>0</v>
      </c>
      <c r="O105" s="3203"/>
      <c r="P105" s="456"/>
    </row>
    <row r="106" spans="1:16" ht="13.5" hidden="1" customHeight="1">
      <c r="A106" s="3200"/>
      <c r="B106" s="732" t="s">
        <v>12</v>
      </c>
      <c r="C106" s="3236"/>
      <c r="D106" s="949">
        <f>E106+F106+G106+H106+I106+J106+K106+L106</f>
        <v>0</v>
      </c>
      <c r="E106" s="1775"/>
      <c r="F106" s="1813"/>
      <c r="G106" s="1813"/>
      <c r="H106" s="1817"/>
      <c r="I106" s="1817"/>
      <c r="J106" s="1817"/>
      <c r="K106" s="1817"/>
      <c r="L106" s="1817"/>
      <c r="M106" s="1818">
        <f>SUM(F106:K106)</f>
        <v>0</v>
      </c>
      <c r="N106" s="1818">
        <f>SUM(G106:L106)</f>
        <v>0</v>
      </c>
      <c r="O106" s="3203"/>
    </row>
    <row r="107" spans="1:16" ht="13.5" hidden="1" customHeight="1">
      <c r="A107" s="3200"/>
      <c r="B107" s="670" t="s">
        <v>18</v>
      </c>
      <c r="C107" s="3236"/>
      <c r="D107" s="1804">
        <f>+D108</f>
        <v>0</v>
      </c>
      <c r="E107" s="1804">
        <f t="shared" ref="E107" si="81">+E108</f>
        <v>0</v>
      </c>
      <c r="F107" s="1804"/>
      <c r="G107" s="1804"/>
      <c r="H107" s="1804"/>
      <c r="I107" s="1804"/>
      <c r="J107" s="1804"/>
      <c r="K107" s="1804"/>
      <c r="L107" s="1804"/>
      <c r="M107" s="2179">
        <f>+M108</f>
        <v>0</v>
      </c>
      <c r="N107" s="2179">
        <f>+N108</f>
        <v>0</v>
      </c>
      <c r="O107" s="3203"/>
    </row>
    <row r="108" spans="1:16" ht="13.5" hidden="1" customHeight="1">
      <c r="A108" s="3200"/>
      <c r="B108" s="676" t="s">
        <v>21</v>
      </c>
      <c r="C108" s="3236"/>
      <c r="D108" s="949">
        <f>E108+F108+G108+H108+I108+J108+K108+L108</f>
        <v>0</v>
      </c>
      <c r="E108" s="1775"/>
      <c r="F108" s="1813"/>
      <c r="G108" s="1813"/>
      <c r="H108" s="1817"/>
      <c r="I108" s="1817"/>
      <c r="J108" s="1817"/>
      <c r="K108" s="1817"/>
      <c r="L108" s="1817"/>
      <c r="M108" s="1818">
        <f>SUM(F108:K108)</f>
        <v>0</v>
      </c>
      <c r="N108" s="1818">
        <f>SUM(G108:L108)</f>
        <v>0</v>
      </c>
      <c r="O108" s="3204"/>
    </row>
    <row r="109" spans="1:16" ht="12.75" hidden="1" customHeight="1">
      <c r="A109" s="3227"/>
      <c r="B109" s="662" t="s">
        <v>22</v>
      </c>
      <c r="C109" s="1800"/>
      <c r="D109" s="1801">
        <f>+D110</f>
        <v>0</v>
      </c>
      <c r="E109" s="1801">
        <f t="shared" ref="E109:E110" si="82">+E110</f>
        <v>0</v>
      </c>
      <c r="F109" s="1801"/>
      <c r="G109" s="1801"/>
      <c r="H109" s="1801"/>
      <c r="I109" s="1801"/>
      <c r="J109" s="1801"/>
      <c r="K109" s="1801"/>
      <c r="L109" s="1801"/>
      <c r="M109" s="3208" t="s">
        <v>23</v>
      </c>
      <c r="N109" s="3208" t="s">
        <v>23</v>
      </c>
      <c r="O109" s="3211" t="s">
        <v>102</v>
      </c>
      <c r="P109" s="456"/>
    </row>
    <row r="110" spans="1:16" s="265" customFormat="1" ht="12.75" hidden="1" customHeight="1">
      <c r="A110" s="3227"/>
      <c r="B110" s="978" t="s">
        <v>18</v>
      </c>
      <c r="C110" s="3214" t="s">
        <v>85</v>
      </c>
      <c r="D110" s="1830">
        <f>+D111</f>
        <v>0</v>
      </c>
      <c r="E110" s="1822">
        <f t="shared" si="82"/>
        <v>0</v>
      </c>
      <c r="F110" s="1830"/>
      <c r="G110" s="1822"/>
      <c r="H110" s="1822"/>
      <c r="I110" s="1822"/>
      <c r="J110" s="1822"/>
      <c r="K110" s="1822"/>
      <c r="L110" s="1822"/>
      <c r="M110" s="3209"/>
      <c r="N110" s="3209"/>
      <c r="O110" s="3212"/>
    </row>
    <row r="111" spans="1:16" s="265" customFormat="1" ht="12.75" hidden="1" customHeight="1" thickBot="1">
      <c r="A111" s="3228"/>
      <c r="B111" s="826" t="s">
        <v>21</v>
      </c>
      <c r="C111" s="3217"/>
      <c r="D111" s="2989">
        <f>E111+F111+G111+H111+I111+J111+K111+L111</f>
        <v>0</v>
      </c>
      <c r="E111" s="2989"/>
      <c r="F111" s="1560"/>
      <c r="G111" s="480"/>
      <c r="H111" s="480"/>
      <c r="I111" s="480"/>
      <c r="J111" s="480"/>
      <c r="K111" s="480"/>
      <c r="L111" s="480"/>
      <c r="M111" s="3210"/>
      <c r="N111" s="3210"/>
      <c r="O111" s="3213"/>
    </row>
    <row r="112" spans="1:16" s="265" customFormat="1" ht="16.5" customHeight="1" thickBot="1">
      <c r="A112" s="459"/>
      <c r="B112" s="280" t="s">
        <v>224</v>
      </c>
      <c r="C112" s="460"/>
      <c r="D112" s="874"/>
      <c r="E112" s="1703"/>
      <c r="F112" s="875"/>
      <c r="G112" s="875"/>
      <c r="H112" s="875"/>
      <c r="I112" s="875"/>
      <c r="J112" s="875"/>
      <c r="K112" s="875"/>
      <c r="L112" s="875"/>
      <c r="M112" s="461"/>
      <c r="N112" s="461"/>
      <c r="O112" s="462"/>
    </row>
    <row r="113" spans="1:17" s="265" customFormat="1" ht="40.5" hidden="1" customHeight="1">
      <c r="A113" s="3199"/>
      <c r="B113" s="423" t="s">
        <v>520</v>
      </c>
      <c r="C113" s="58"/>
      <c r="D113" s="59"/>
      <c r="E113" s="44"/>
      <c r="F113" s="44"/>
      <c r="G113" s="44"/>
      <c r="H113" s="44"/>
      <c r="I113" s="44"/>
      <c r="J113" s="44"/>
      <c r="K113" s="44"/>
      <c r="L113" s="44"/>
      <c r="M113" s="45"/>
      <c r="N113" s="45"/>
      <c r="O113" s="46"/>
      <c r="P113" s="233"/>
    </row>
    <row r="114" spans="1:17" s="265" customFormat="1" ht="13.5" hidden="1" customHeight="1">
      <c r="A114" s="3200"/>
      <c r="B114" s="1799" t="s">
        <v>10</v>
      </c>
      <c r="C114" s="3146" t="s">
        <v>81</v>
      </c>
      <c r="D114" s="1814">
        <f>+D115+D119</f>
        <v>0</v>
      </c>
      <c r="E114" s="1863">
        <f t="shared" ref="E114" si="83">+E115+E119</f>
        <v>0</v>
      </c>
      <c r="F114" s="1863">
        <f t="shared" ref="F114" si="84">+F115+F119</f>
        <v>0</v>
      </c>
      <c r="G114" s="1863"/>
      <c r="H114" s="1863"/>
      <c r="I114" s="1863"/>
      <c r="J114" s="1863"/>
      <c r="K114" s="1863"/>
      <c r="L114" s="1863"/>
      <c r="M114" s="1864">
        <f>M115+M119</f>
        <v>0</v>
      </c>
      <c r="N114" s="1864">
        <f>N115+N119</f>
        <v>0</v>
      </c>
      <c r="O114" s="3203" t="s">
        <v>86</v>
      </c>
      <c r="P114" s="3249" t="s">
        <v>398</v>
      </c>
    </row>
    <row r="115" spans="1:17" s="265" customFormat="1" ht="14.25" hidden="1" customHeight="1">
      <c r="A115" s="3200"/>
      <c r="B115" s="1808" t="s">
        <v>24</v>
      </c>
      <c r="C115" s="3214" t="s">
        <v>84</v>
      </c>
      <c r="D115" s="1815">
        <f>+D116+D117+D118</f>
        <v>0</v>
      </c>
      <c r="E115" s="1815">
        <f t="shared" ref="E115" si="85">+E116+E117+E118</f>
        <v>0</v>
      </c>
      <c r="F115" s="1815">
        <f t="shared" ref="F115" si="86">+F116+F117+F118</f>
        <v>0</v>
      </c>
      <c r="G115" s="1815"/>
      <c r="H115" s="1815"/>
      <c r="I115" s="1815"/>
      <c r="J115" s="1815"/>
      <c r="K115" s="1815"/>
      <c r="L115" s="1815"/>
      <c r="M115" s="1845">
        <f>M116</f>
        <v>0</v>
      </c>
      <c r="N115" s="1845">
        <f>N116</f>
        <v>0</v>
      </c>
      <c r="O115" s="3203"/>
      <c r="P115" s="3249"/>
    </row>
    <row r="116" spans="1:17" s="265" customFormat="1" ht="12.75" hidden="1" customHeight="1">
      <c r="A116" s="3200"/>
      <c r="B116" s="1911" t="s">
        <v>12</v>
      </c>
      <c r="C116" s="3215"/>
      <c r="D116" s="949">
        <f>E116+F116+G116+H116+I116+J116+K116+L116</f>
        <v>0</v>
      </c>
      <c r="E116" s="1775"/>
      <c r="F116" s="2665"/>
      <c r="G116" s="2665"/>
      <c r="H116" s="2665"/>
      <c r="I116" s="2665"/>
      <c r="J116" s="2665"/>
      <c r="K116" s="2665"/>
      <c r="L116" s="2665"/>
      <c r="M116" s="1818">
        <f>SUM(F116:K116)</f>
        <v>0</v>
      </c>
      <c r="N116" s="1818">
        <f>SUM(G116:L116)</f>
        <v>0</v>
      </c>
      <c r="O116" s="3203"/>
      <c r="P116" s="3249"/>
    </row>
    <row r="117" spans="1:17" s="265" customFormat="1" ht="14.25" hidden="1" customHeight="1">
      <c r="A117" s="3200"/>
      <c r="B117" s="1832" t="s">
        <v>17</v>
      </c>
      <c r="C117" s="3236"/>
      <c r="D117" s="949">
        <f>SUM(E117:I117)</f>
        <v>0</v>
      </c>
      <c r="E117" s="1839"/>
      <c r="F117" s="986"/>
      <c r="G117" s="1839"/>
      <c r="H117" s="1839"/>
      <c r="I117" s="1839"/>
      <c r="J117" s="1839"/>
      <c r="K117" s="1839"/>
      <c r="L117" s="1839"/>
      <c r="M117" s="477"/>
      <c r="N117" s="477"/>
      <c r="O117" s="3203"/>
      <c r="P117" s="3249"/>
    </row>
    <row r="118" spans="1:17" s="265" customFormat="1" ht="14.25" hidden="1" customHeight="1">
      <c r="A118" s="3200"/>
      <c r="B118" s="1832" t="s">
        <v>15</v>
      </c>
      <c r="C118" s="3236"/>
      <c r="D118" s="949">
        <f>SUM(E118:I118)</f>
        <v>0</v>
      </c>
      <c r="E118" s="1839"/>
      <c r="F118" s="986"/>
      <c r="G118" s="1839"/>
      <c r="H118" s="1839"/>
      <c r="I118" s="1839"/>
      <c r="J118" s="1839"/>
      <c r="K118" s="1839"/>
      <c r="L118" s="1839"/>
      <c r="M118" s="477"/>
      <c r="N118" s="477"/>
      <c r="O118" s="3203"/>
      <c r="P118" s="3249"/>
    </row>
    <row r="119" spans="1:17" s="265" customFormat="1" ht="14.25" hidden="1" customHeight="1">
      <c r="A119" s="3200"/>
      <c r="B119" s="1842" t="s">
        <v>18</v>
      </c>
      <c r="C119" s="3236"/>
      <c r="D119" s="1804">
        <f>+D120</f>
        <v>0</v>
      </c>
      <c r="E119" s="1804">
        <f t="shared" ref="E119" si="87">+E120</f>
        <v>0</v>
      </c>
      <c r="F119" s="1804"/>
      <c r="G119" s="1804"/>
      <c r="H119" s="1804"/>
      <c r="I119" s="1810"/>
      <c r="J119" s="1804"/>
      <c r="K119" s="1804"/>
      <c r="L119" s="1804"/>
      <c r="M119" s="1845">
        <f>M120</f>
        <v>0</v>
      </c>
      <c r="N119" s="1845">
        <f>N120</f>
        <v>0</v>
      </c>
      <c r="O119" s="3203"/>
      <c r="P119" s="3249"/>
    </row>
    <row r="120" spans="1:17" s="265" customFormat="1" ht="12.75" hidden="1" customHeight="1">
      <c r="A120" s="3200"/>
      <c r="B120" s="676" t="s">
        <v>21</v>
      </c>
      <c r="C120" s="3278"/>
      <c r="D120" s="949">
        <f>E120+F120+G120+H120+I120+J120+K120+L120</f>
        <v>0</v>
      </c>
      <c r="E120" s="1775"/>
      <c r="F120" s="986"/>
      <c r="G120" s="1839"/>
      <c r="H120" s="1839"/>
      <c r="I120" s="1839"/>
      <c r="J120" s="986"/>
      <c r="K120" s="986"/>
      <c r="L120" s="986"/>
      <c r="M120" s="1818">
        <f>SUM(F120:K120)</f>
        <v>0</v>
      </c>
      <c r="N120" s="1818">
        <f>SUM(G120:L120)</f>
        <v>0</v>
      </c>
      <c r="O120" s="3204"/>
      <c r="P120" s="3249"/>
    </row>
    <row r="121" spans="1:17" s="265" customFormat="1" ht="21.75" hidden="1" customHeight="1">
      <c r="A121" s="3227"/>
      <c r="B121" s="1799" t="s">
        <v>22</v>
      </c>
      <c r="C121" s="641" t="s">
        <v>346</v>
      </c>
      <c r="D121" s="1801">
        <f>+D125+D122</f>
        <v>0</v>
      </c>
      <c r="E121" s="1801">
        <f t="shared" ref="E121" si="88">+E125+E122</f>
        <v>0</v>
      </c>
      <c r="F121" s="1801">
        <f>+F125+F122</f>
        <v>0</v>
      </c>
      <c r="G121" s="1801"/>
      <c r="H121" s="1801"/>
      <c r="I121" s="1801"/>
      <c r="J121" s="1801"/>
      <c r="K121" s="1801"/>
      <c r="L121" s="1801"/>
      <c r="M121" s="3302" t="s">
        <v>23</v>
      </c>
      <c r="N121" s="3302" t="s">
        <v>23</v>
      </c>
      <c r="O121" s="3211" t="s">
        <v>102</v>
      </c>
      <c r="P121" s="877"/>
      <c r="Q121" s="877">
        <v>-1217020</v>
      </c>
    </row>
    <row r="122" spans="1:17" s="265" customFormat="1" ht="14.25" hidden="1" customHeight="1">
      <c r="A122" s="3227"/>
      <c r="B122" s="1808" t="s">
        <v>24</v>
      </c>
      <c r="C122" s="3214" t="s">
        <v>218</v>
      </c>
      <c r="D122" s="52">
        <f>+D123+D124</f>
        <v>0</v>
      </c>
      <c r="E122" s="52">
        <f t="shared" ref="E122" si="89">+E123+E124</f>
        <v>0</v>
      </c>
      <c r="F122" s="52">
        <f>+F123+F124</f>
        <v>0</v>
      </c>
      <c r="G122" s="52"/>
      <c r="H122" s="52"/>
      <c r="I122" s="52"/>
      <c r="J122" s="52"/>
      <c r="K122" s="52"/>
      <c r="L122" s="52"/>
      <c r="M122" s="3273"/>
      <c r="N122" s="3273"/>
      <c r="O122" s="3212"/>
    </row>
    <row r="123" spans="1:17" s="265" customFormat="1" ht="14.25" hidden="1" customHeight="1">
      <c r="A123" s="3227"/>
      <c r="B123" s="1832" t="s">
        <v>17</v>
      </c>
      <c r="C123" s="3215"/>
      <c r="D123" s="949">
        <f t="shared" ref="D123:D124" si="90">E123+F123+G123+H123+I123+J123+K123+L123</f>
        <v>0</v>
      </c>
      <c r="E123" s="1875"/>
      <c r="F123" s="1821">
        <v>0</v>
      </c>
      <c r="G123" s="1821"/>
      <c r="H123" s="1821"/>
      <c r="I123" s="1821"/>
      <c r="J123" s="1821"/>
      <c r="K123" s="1821"/>
      <c r="L123" s="1821"/>
      <c r="M123" s="3273"/>
      <c r="N123" s="3273"/>
      <c r="O123" s="3212"/>
    </row>
    <row r="124" spans="1:17" s="265" customFormat="1" ht="13.5" hidden="1" thickBot="1">
      <c r="A124" s="3228"/>
      <c r="B124" s="981" t="s">
        <v>15</v>
      </c>
      <c r="C124" s="3216"/>
      <c r="D124" s="2989">
        <f t="shared" si="90"/>
        <v>0</v>
      </c>
      <c r="E124" s="3147"/>
      <c r="F124" s="3147">
        <v>0</v>
      </c>
      <c r="G124" s="3147"/>
      <c r="H124" s="3147"/>
      <c r="I124" s="3147"/>
      <c r="J124" s="3147"/>
      <c r="K124" s="3147"/>
      <c r="L124" s="3147"/>
      <c r="M124" s="3274"/>
      <c r="N124" s="3274"/>
      <c r="O124" s="3213"/>
    </row>
    <row r="125" spans="1:17" s="265" customFormat="1" ht="14.25" hidden="1" customHeight="1">
      <c r="A125" s="3227"/>
      <c r="B125" s="913" t="s">
        <v>18</v>
      </c>
      <c r="C125" s="3215"/>
      <c r="D125" s="52">
        <f>+D127+D126</f>
        <v>0</v>
      </c>
      <c r="E125" s="52">
        <f t="shared" ref="E125" si="91">+E127+E126</f>
        <v>0</v>
      </c>
      <c r="F125" s="52">
        <f>+F127+F126</f>
        <v>0</v>
      </c>
      <c r="G125" s="2671"/>
      <c r="H125" s="2671"/>
      <c r="I125" s="2671"/>
      <c r="J125" s="2671"/>
      <c r="K125" s="2671"/>
      <c r="L125" s="2671"/>
      <c r="M125" s="3273"/>
      <c r="N125" s="3273"/>
      <c r="O125" s="3212"/>
    </row>
    <row r="126" spans="1:17" s="265" customFormat="1" ht="14.25" hidden="1" customHeight="1">
      <c r="A126" s="3227"/>
      <c r="B126" s="1561" t="s">
        <v>17</v>
      </c>
      <c r="C126" s="3215"/>
      <c r="D126" s="247">
        <f>E126+F126+G126+H126+I126+J126+K126+L126</f>
        <v>0</v>
      </c>
      <c r="E126" s="1562"/>
      <c r="F126" s="415"/>
      <c r="G126" s="478"/>
      <c r="H126" s="478"/>
      <c r="I126" s="478"/>
      <c r="J126" s="478"/>
      <c r="K126" s="478"/>
      <c r="L126" s="478"/>
      <c r="M126" s="3273"/>
      <c r="N126" s="3273"/>
      <c r="O126" s="3212"/>
    </row>
    <row r="127" spans="1:17" s="266" customFormat="1" ht="14.25" hidden="1" customHeight="1" thickBot="1">
      <c r="A127" s="3228"/>
      <c r="B127" s="1563" t="s">
        <v>21</v>
      </c>
      <c r="C127" s="3216"/>
      <c r="D127" s="247">
        <f>E127+F127+G127+H127+I127+J127+K127+L127</f>
        <v>0</v>
      </c>
      <c r="E127" s="284"/>
      <c r="F127" s="1564"/>
      <c r="G127" s="479"/>
      <c r="H127" s="479"/>
      <c r="I127" s="479"/>
      <c r="J127" s="479"/>
      <c r="K127" s="479"/>
      <c r="L127" s="479"/>
      <c r="M127" s="3274"/>
      <c r="N127" s="3274"/>
      <c r="O127" s="3213"/>
    </row>
    <row r="128" spans="1:17" ht="27" customHeight="1">
      <c r="A128" s="3199" t="s">
        <v>64</v>
      </c>
      <c r="B128" s="74" t="s">
        <v>551</v>
      </c>
      <c r="C128" s="58"/>
      <c r="D128" s="59"/>
      <c r="E128" s="44"/>
      <c r="F128" s="44"/>
      <c r="G128" s="44"/>
      <c r="H128" s="44"/>
      <c r="I128" s="44"/>
      <c r="J128" s="237"/>
      <c r="K128" s="237"/>
      <c r="L128" s="237"/>
      <c r="M128" s="62"/>
      <c r="N128" s="62"/>
      <c r="O128" s="46"/>
    </row>
    <row r="129" spans="1:17" ht="14.25" customHeight="1">
      <c r="A129" s="3200"/>
      <c r="B129" s="996" t="s">
        <v>10</v>
      </c>
      <c r="C129" s="2638" t="s">
        <v>81</v>
      </c>
      <c r="D129" s="974">
        <f t="shared" ref="D129:G129" si="92">+D130+D134</f>
        <v>41962510</v>
      </c>
      <c r="E129" s="974">
        <f t="shared" ref="E129" si="93">+E130+E134</f>
        <v>21145902</v>
      </c>
      <c r="F129" s="974">
        <f t="shared" si="92"/>
        <v>20739608</v>
      </c>
      <c r="G129" s="974">
        <f t="shared" si="92"/>
        <v>77000</v>
      </c>
      <c r="H129" s="974"/>
      <c r="I129" s="974"/>
      <c r="J129" s="974"/>
      <c r="K129" s="974"/>
      <c r="L129" s="974"/>
      <c r="M129" s="957">
        <f>M130+M134</f>
        <v>20816608</v>
      </c>
      <c r="N129" s="957">
        <f>N130+N134</f>
        <v>77000</v>
      </c>
      <c r="O129" s="3203" t="s">
        <v>86</v>
      </c>
    </row>
    <row r="130" spans="1:17" ht="12" customHeight="1">
      <c r="A130" s="3200"/>
      <c r="B130" s="980" t="s">
        <v>24</v>
      </c>
      <c r="C130" s="3232" t="s">
        <v>84</v>
      </c>
      <c r="D130" s="735">
        <f>+D131+D132+D133</f>
        <v>4841589</v>
      </c>
      <c r="E130" s="735">
        <f t="shared" ref="E130" si="94">+E131+E132+E133</f>
        <v>3234734</v>
      </c>
      <c r="F130" s="735">
        <f t="shared" ref="F130:G130" si="95">+F131+F132+F133</f>
        <v>1529855</v>
      </c>
      <c r="G130" s="735">
        <f t="shared" si="95"/>
        <v>77000</v>
      </c>
      <c r="H130" s="735"/>
      <c r="I130" s="735"/>
      <c r="J130" s="735"/>
      <c r="K130" s="735"/>
      <c r="L130" s="735"/>
      <c r="M130" s="644">
        <f>+M131+M133</f>
        <v>1606855</v>
      </c>
      <c r="N130" s="644">
        <f>+N131+N133</f>
        <v>77000</v>
      </c>
      <c r="O130" s="3203"/>
      <c r="P130" s="233" t="s">
        <v>427</v>
      </c>
    </row>
    <row r="131" spans="1:17" ht="11.25" customHeight="1">
      <c r="A131" s="3200"/>
      <c r="B131" s="2639" t="s">
        <v>12</v>
      </c>
      <c r="C131" s="3215"/>
      <c r="D131" s="247">
        <f>E131+F131+G131+H131+I131+J131+K131+L131</f>
        <v>3341589</v>
      </c>
      <c r="E131" s="284">
        <f>2234734</f>
        <v>2234734</v>
      </c>
      <c r="F131" s="964">
        <f>1933354-1900000+166646+197047+159852+78533+2000000-585432-1020145</f>
        <v>1029855</v>
      </c>
      <c r="G131" s="717">
        <v>77000</v>
      </c>
      <c r="H131" s="717"/>
      <c r="I131" s="717"/>
      <c r="J131" s="717"/>
      <c r="K131" s="717"/>
      <c r="L131" s="717"/>
      <c r="M131" s="975">
        <f>SUM(F131:K131)</f>
        <v>1106855</v>
      </c>
      <c r="N131" s="975">
        <f>SUM(G131:L131)</f>
        <v>77000</v>
      </c>
      <c r="O131" s="3203"/>
    </row>
    <row r="132" spans="1:17" ht="12" hidden="1" customHeight="1">
      <c r="A132" s="3200"/>
      <c r="B132" s="732" t="s">
        <v>17</v>
      </c>
      <c r="C132" s="3215"/>
      <c r="D132" s="247">
        <f>E132+F132+G132+H132+I132+J132+K132+L132</f>
        <v>0</v>
      </c>
      <c r="E132" s="718"/>
      <c r="F132" s="717"/>
      <c r="G132" s="717"/>
      <c r="H132" s="717"/>
      <c r="I132" s="717"/>
      <c r="J132" s="203"/>
      <c r="K132" s="203"/>
      <c r="L132" s="203"/>
      <c r="M132" s="69"/>
      <c r="N132" s="69"/>
      <c r="O132" s="3203"/>
    </row>
    <row r="133" spans="1:17" ht="12" customHeight="1">
      <c r="A133" s="3200"/>
      <c r="B133" s="2640" t="s">
        <v>15</v>
      </c>
      <c r="C133" s="3215"/>
      <c r="D133" s="247">
        <f>E133+F133+G133+H133+I133+J133+K133+L133</f>
        <v>1500000</v>
      </c>
      <c r="E133" s="284">
        <f>1000000</f>
        <v>1000000</v>
      </c>
      <c r="F133" s="717">
        <f>500000</f>
        <v>500000</v>
      </c>
      <c r="G133" s="717"/>
      <c r="H133" s="717"/>
      <c r="I133" s="717"/>
      <c r="J133" s="718"/>
      <c r="K133" s="718"/>
      <c r="L133" s="718"/>
      <c r="M133" s="975">
        <f>SUM(F133:K133)</f>
        <v>500000</v>
      </c>
      <c r="N133" s="975">
        <f>SUM(G133:L133)</f>
        <v>0</v>
      </c>
      <c r="O133" s="3203"/>
    </row>
    <row r="134" spans="1:17">
      <c r="A134" s="3200"/>
      <c r="B134" s="2641" t="s">
        <v>18</v>
      </c>
      <c r="C134" s="3215"/>
      <c r="D134" s="645">
        <f t="shared" ref="D134:F134" si="96">+D135+D136</f>
        <v>37120921</v>
      </c>
      <c r="E134" s="645">
        <f t="shared" si="96"/>
        <v>17911168</v>
      </c>
      <c r="F134" s="645">
        <f t="shared" si="96"/>
        <v>19209753</v>
      </c>
      <c r="G134" s="645"/>
      <c r="H134" s="645"/>
      <c r="I134" s="645"/>
      <c r="J134" s="645"/>
      <c r="K134" s="645"/>
      <c r="L134" s="645"/>
      <c r="M134" s="644">
        <f>+M135+M136</f>
        <v>19209753</v>
      </c>
      <c r="N134" s="644">
        <f>+N135+N136</f>
        <v>0</v>
      </c>
      <c r="O134" s="3203"/>
    </row>
    <row r="135" spans="1:17" ht="12" hidden="1" customHeight="1">
      <c r="A135" s="3200"/>
      <c r="B135" s="732" t="s">
        <v>17</v>
      </c>
      <c r="C135" s="3215"/>
      <c r="D135" s="961">
        <v>0</v>
      </c>
      <c r="E135" s="725"/>
      <c r="F135" s="717"/>
      <c r="G135" s="717"/>
      <c r="H135" s="717"/>
      <c r="I135" s="717"/>
      <c r="J135" s="203"/>
      <c r="K135" s="203"/>
      <c r="L135" s="203"/>
      <c r="M135" s="69"/>
      <c r="N135" s="69"/>
      <c r="O135" s="3203"/>
    </row>
    <row r="136" spans="1:17" ht="12" customHeight="1">
      <c r="A136" s="3200"/>
      <c r="B136" s="732" t="s">
        <v>21</v>
      </c>
      <c r="C136" s="3262"/>
      <c r="D136" s="247">
        <f>E136+F136+G136+H136+I136+J136+K136+L136</f>
        <v>37120921</v>
      </c>
      <c r="E136" s="284">
        <f>17911168</f>
        <v>17911168</v>
      </c>
      <c r="F136" s="964">
        <f>10955672-8630312+17358828-100+791-377238-83726-14162</f>
        <v>19209753</v>
      </c>
      <c r="G136" s="717"/>
      <c r="H136" s="717"/>
      <c r="I136" s="717"/>
      <c r="J136" s="717"/>
      <c r="K136" s="717"/>
      <c r="L136" s="717"/>
      <c r="M136" s="975">
        <f>SUM(F136:K136)</f>
        <v>19209753</v>
      </c>
      <c r="N136" s="975">
        <f>SUM(G136:L136)</f>
        <v>0</v>
      </c>
      <c r="O136" s="3204"/>
      <c r="P136" s="456">
        <f>D136-D143</f>
        <v>0</v>
      </c>
    </row>
    <row r="137" spans="1:17" ht="21.75" customHeight="1">
      <c r="A137" s="3200"/>
      <c r="B137" s="82" t="s">
        <v>22</v>
      </c>
      <c r="C137" s="641" t="s">
        <v>346</v>
      </c>
      <c r="D137" s="709">
        <f t="shared" ref="D137:G137" si="97">+D141+D138</f>
        <v>38620921</v>
      </c>
      <c r="E137" s="709">
        <f>+E138+E141</f>
        <v>14036781</v>
      </c>
      <c r="F137" s="709">
        <f t="shared" si="97"/>
        <v>24046022</v>
      </c>
      <c r="G137" s="709">
        <f t="shared" si="97"/>
        <v>538118</v>
      </c>
      <c r="H137" s="709"/>
      <c r="I137" s="709"/>
      <c r="J137" s="709"/>
      <c r="K137" s="709"/>
      <c r="L137" s="709"/>
      <c r="M137" s="3257" t="s">
        <v>23</v>
      </c>
      <c r="N137" s="3257" t="s">
        <v>23</v>
      </c>
      <c r="O137" s="3258" t="s">
        <v>102</v>
      </c>
      <c r="P137" s="456"/>
      <c r="Q137" s="456">
        <v>-14140496</v>
      </c>
    </row>
    <row r="138" spans="1:17" ht="15" customHeight="1">
      <c r="A138" s="3200"/>
      <c r="B138" s="980" t="s">
        <v>24</v>
      </c>
      <c r="C138" s="3232" t="s">
        <v>582</v>
      </c>
      <c r="D138" s="645">
        <f>+D139+D140</f>
        <v>1500000</v>
      </c>
      <c r="E138" s="645">
        <f>+E140</f>
        <v>1000000</v>
      </c>
      <c r="F138" s="645">
        <f>+F139+F140</f>
        <v>500000</v>
      </c>
      <c r="G138" s="979">
        <f>+G139+G140</f>
        <v>0</v>
      </c>
      <c r="H138" s="645"/>
      <c r="I138" s="645"/>
      <c r="J138" s="645"/>
      <c r="K138" s="645"/>
      <c r="L138" s="645"/>
      <c r="M138" s="3209"/>
      <c r="N138" s="3209"/>
      <c r="O138" s="3212"/>
    </row>
    <row r="139" spans="1:17" ht="12" hidden="1" customHeight="1">
      <c r="A139" s="3200"/>
      <c r="B139" s="2640" t="s">
        <v>17</v>
      </c>
      <c r="C139" s="3215"/>
      <c r="D139" s="949">
        <f>SUM(E139:I139)</f>
        <v>0</v>
      </c>
      <c r="E139" s="2642"/>
      <c r="F139" s="961">
        <v>0</v>
      </c>
      <c r="G139" s="2146"/>
      <c r="H139" s="961"/>
      <c r="I139" s="961"/>
      <c r="J139" s="961"/>
      <c r="K139" s="961"/>
      <c r="L139" s="961"/>
      <c r="M139" s="3209"/>
      <c r="N139" s="3209"/>
      <c r="O139" s="3212"/>
    </row>
    <row r="140" spans="1:17" ht="14.25" customHeight="1">
      <c r="A140" s="3200"/>
      <c r="B140" s="2640" t="s">
        <v>15</v>
      </c>
      <c r="C140" s="3215"/>
      <c r="D140" s="247">
        <f>E140+F140+G140+H140+I140+J140+K140+L140</f>
        <v>1500000</v>
      </c>
      <c r="E140" s="284">
        <f>1000000</f>
        <v>1000000</v>
      </c>
      <c r="F140" s="961">
        <f>500000</f>
        <v>500000</v>
      </c>
      <c r="G140" s="2146">
        <v>0</v>
      </c>
      <c r="H140" s="961"/>
      <c r="I140" s="961"/>
      <c r="J140" s="961"/>
      <c r="K140" s="961"/>
      <c r="L140" s="961"/>
      <c r="M140" s="3209"/>
      <c r="N140" s="3209"/>
      <c r="O140" s="3212"/>
    </row>
    <row r="141" spans="1:17" ht="13.5" customHeight="1">
      <c r="A141" s="3200"/>
      <c r="B141" s="978" t="s">
        <v>18</v>
      </c>
      <c r="C141" s="3215"/>
      <c r="D141" s="889">
        <f t="shared" ref="D141" si="98">+D142+D143</f>
        <v>37120921</v>
      </c>
      <c r="E141" s="889">
        <f>+E143</f>
        <v>13036781</v>
      </c>
      <c r="F141" s="2643">
        <f>+F142+F143</f>
        <v>23546022</v>
      </c>
      <c r="G141" s="2643">
        <f>+G142+G143</f>
        <v>538118</v>
      </c>
      <c r="H141" s="2643"/>
      <c r="I141" s="2643"/>
      <c r="J141" s="2643"/>
      <c r="K141" s="2643"/>
      <c r="L141" s="2643"/>
      <c r="M141" s="3209"/>
      <c r="N141" s="3209"/>
      <c r="O141" s="3212"/>
    </row>
    <row r="142" spans="1:17" ht="12" hidden="1" customHeight="1">
      <c r="A142" s="3200"/>
      <c r="B142" s="732" t="s">
        <v>17</v>
      </c>
      <c r="C142" s="3215"/>
      <c r="D142" s="949">
        <f>SUM(E142:I142)</f>
        <v>0</v>
      </c>
      <c r="E142" s="2642"/>
      <c r="F142" s="961"/>
      <c r="G142" s="961"/>
      <c r="H142" s="961"/>
      <c r="I142" s="961"/>
      <c r="J142" s="961"/>
      <c r="K142" s="961"/>
      <c r="L142" s="961"/>
      <c r="M142" s="3209"/>
      <c r="N142" s="3209"/>
      <c r="O142" s="3212"/>
    </row>
    <row r="143" spans="1:17" ht="14.25" customHeight="1" thickBot="1">
      <c r="A143" s="3201"/>
      <c r="B143" s="1556" t="s">
        <v>21</v>
      </c>
      <c r="C143" s="3216"/>
      <c r="D143" s="247">
        <f>E143+F143+G143+H143+I143+J143+K143+L143</f>
        <v>37120921</v>
      </c>
      <c r="E143" s="284">
        <f>13036781</f>
        <v>13036781</v>
      </c>
      <c r="F143" s="942">
        <f>10955672-500000+20900496-6760000-36782-120-377238-636006</f>
        <v>23546022</v>
      </c>
      <c r="G143" s="1557">
        <f>552280-14162</f>
        <v>538118</v>
      </c>
      <c r="H143" s="1557"/>
      <c r="I143" s="1557"/>
      <c r="J143" s="1557"/>
      <c r="K143" s="1557"/>
      <c r="L143" s="1557"/>
      <c r="M143" s="3210"/>
      <c r="N143" s="3210"/>
      <c r="O143" s="3213"/>
    </row>
    <row r="144" spans="1:17" ht="30" hidden="1" customHeight="1">
      <c r="A144" s="3199"/>
      <c r="B144" s="74" t="s">
        <v>521</v>
      </c>
      <c r="C144" s="58"/>
      <c r="D144" s="59"/>
      <c r="E144" s="44"/>
      <c r="F144" s="44"/>
      <c r="G144" s="44"/>
      <c r="H144" s="44"/>
      <c r="I144" s="44"/>
      <c r="J144" s="44"/>
      <c r="K144" s="44"/>
      <c r="L144" s="44"/>
      <c r="M144" s="45"/>
      <c r="N144" s="45"/>
      <c r="O144" s="89"/>
    </row>
    <row r="145" spans="1:17" ht="13.5" hidden="1" customHeight="1">
      <c r="A145" s="3200"/>
      <c r="B145" s="662" t="s">
        <v>10</v>
      </c>
      <c r="C145" s="1837" t="s">
        <v>81</v>
      </c>
      <c r="D145" s="1814">
        <f t="shared" ref="D145" si="99">+D146+D149</f>
        <v>0</v>
      </c>
      <c r="E145" s="1734">
        <f>+E146+E149</f>
        <v>0</v>
      </c>
      <c r="F145" s="1734">
        <f>+F146+F149</f>
        <v>0</v>
      </c>
      <c r="G145" s="1734"/>
      <c r="H145" s="1734"/>
      <c r="I145" s="1734"/>
      <c r="J145" s="1734"/>
      <c r="K145" s="1734"/>
      <c r="L145" s="1734"/>
      <c r="M145" s="1735">
        <f>M146+M149</f>
        <v>0</v>
      </c>
      <c r="N145" s="1735">
        <f>N146+N149</f>
        <v>0</v>
      </c>
      <c r="O145" s="3203" t="s">
        <v>86</v>
      </c>
      <c r="P145" s="456"/>
    </row>
    <row r="146" spans="1:17" ht="13.5" hidden="1" customHeight="1">
      <c r="A146" s="3200"/>
      <c r="B146" s="633" t="s">
        <v>24</v>
      </c>
      <c r="C146" s="3214" t="s">
        <v>84</v>
      </c>
      <c r="D146" s="1815">
        <f>+D147+D148</f>
        <v>0</v>
      </c>
      <c r="E146" s="1815">
        <f>+E147</f>
        <v>0</v>
      </c>
      <c r="F146" s="1815">
        <f>+F147+F148</f>
        <v>0</v>
      </c>
      <c r="G146" s="1815"/>
      <c r="H146" s="1815"/>
      <c r="I146" s="1815"/>
      <c r="J146" s="1815"/>
      <c r="K146" s="1815"/>
      <c r="L146" s="1815"/>
      <c r="M146" s="1805">
        <f>M147</f>
        <v>0</v>
      </c>
      <c r="N146" s="1805">
        <f>N147</f>
        <v>0</v>
      </c>
      <c r="O146" s="3203"/>
      <c r="P146" s="456"/>
    </row>
    <row r="147" spans="1:17" ht="11.25" hidden="1" customHeight="1">
      <c r="A147" s="3200"/>
      <c r="B147" s="982" t="s">
        <v>12</v>
      </c>
      <c r="C147" s="3236"/>
      <c r="D147" s="1715">
        <f>E147+F147+G147+H147+I147+J147+K147+L147</f>
        <v>0</v>
      </c>
      <c r="E147" s="1775"/>
      <c r="F147" s="1775"/>
      <c r="G147" s="1775"/>
      <c r="H147" s="1775"/>
      <c r="I147" s="1775"/>
      <c r="J147" s="1775"/>
      <c r="K147" s="1775"/>
      <c r="L147" s="1775"/>
      <c r="M147" s="975">
        <f>SUM(F147:K147)</f>
        <v>0</v>
      </c>
      <c r="N147" s="975">
        <f>SUM(G147:L147)</f>
        <v>0</v>
      </c>
      <c r="O147" s="3203"/>
      <c r="P147" s="456"/>
    </row>
    <row r="148" spans="1:17" ht="10.5" hidden="1" customHeight="1">
      <c r="A148" s="3200"/>
      <c r="B148" s="1565" t="s">
        <v>15</v>
      </c>
      <c r="C148" s="3236"/>
      <c r="D148" s="1715">
        <f>SUM(E148:I148)</f>
        <v>0</v>
      </c>
      <c r="E148" s="1838">
        <v>0</v>
      </c>
      <c r="F148" s="1839"/>
      <c r="G148" s="1839"/>
      <c r="H148" s="1839"/>
      <c r="I148" s="1839"/>
      <c r="J148" s="203"/>
      <c r="K148" s="203"/>
      <c r="L148" s="203"/>
      <c r="M148" s="69"/>
      <c r="N148" s="69"/>
      <c r="O148" s="3203"/>
    </row>
    <row r="149" spans="1:17" ht="12.75" hidden="1" customHeight="1">
      <c r="A149" s="3200"/>
      <c r="B149" s="978" t="s">
        <v>18</v>
      </c>
      <c r="C149" s="3236"/>
      <c r="D149" s="1804">
        <f>+D150</f>
        <v>0</v>
      </c>
      <c r="E149" s="1745">
        <f>+E150</f>
        <v>0</v>
      </c>
      <c r="F149" s="1745">
        <f t="shared" ref="F149" si="100">+F150</f>
        <v>0</v>
      </c>
      <c r="G149" s="1745"/>
      <c r="H149" s="1745"/>
      <c r="I149" s="1745"/>
      <c r="J149" s="1804"/>
      <c r="K149" s="1804"/>
      <c r="L149" s="1804"/>
      <c r="M149" s="1805">
        <f>M150</f>
        <v>0</v>
      </c>
      <c r="N149" s="1805">
        <f>N150</f>
        <v>0</v>
      </c>
      <c r="O149" s="3203"/>
    </row>
    <row r="150" spans="1:17" ht="12" hidden="1" customHeight="1">
      <c r="A150" s="3200"/>
      <c r="B150" s="982" t="s">
        <v>21</v>
      </c>
      <c r="C150" s="3278"/>
      <c r="D150" s="1840">
        <f>E150+F150+G150+H150+I150+J150+K150+L150</f>
        <v>0</v>
      </c>
      <c r="E150" s="1775"/>
      <c r="F150" s="1775"/>
      <c r="G150" s="1775"/>
      <c r="H150" s="1742"/>
      <c r="I150" s="1742"/>
      <c r="J150" s="1817"/>
      <c r="K150" s="1817"/>
      <c r="L150" s="1817"/>
      <c r="M150" s="975">
        <f>SUM(F150:K150)</f>
        <v>0</v>
      </c>
      <c r="N150" s="975">
        <f>SUM(G150:L150)</f>
        <v>0</v>
      </c>
      <c r="O150" s="3204"/>
    </row>
    <row r="151" spans="1:17" ht="22.5" hidden="1">
      <c r="A151" s="3227"/>
      <c r="B151" s="93" t="s">
        <v>22</v>
      </c>
      <c r="C151" s="641" t="s">
        <v>346</v>
      </c>
      <c r="D151" s="101">
        <f t="shared" ref="D151" si="101">+D152+D154</f>
        <v>0</v>
      </c>
      <c r="E151" s="234">
        <f>+E154</f>
        <v>0</v>
      </c>
      <c r="F151" s="234">
        <f>+F152+F154</f>
        <v>0</v>
      </c>
      <c r="G151" s="234"/>
      <c r="H151" s="234"/>
      <c r="I151" s="234"/>
      <c r="J151" s="234"/>
      <c r="K151" s="234"/>
      <c r="L151" s="234"/>
      <c r="M151" s="3302" t="s">
        <v>23</v>
      </c>
      <c r="N151" s="3302" t="s">
        <v>23</v>
      </c>
      <c r="O151" s="3265" t="s">
        <v>102</v>
      </c>
      <c r="P151" s="456"/>
      <c r="Q151" s="456">
        <v>-1435987</v>
      </c>
    </row>
    <row r="152" spans="1:17" ht="13.5" hidden="1" customHeight="1">
      <c r="A152" s="3227"/>
      <c r="B152" s="1808" t="s">
        <v>24</v>
      </c>
      <c r="C152" s="3332" t="s">
        <v>231</v>
      </c>
      <c r="D152" s="52">
        <f>+D153</f>
        <v>0</v>
      </c>
      <c r="E152" s="267">
        <v>0</v>
      </c>
      <c r="F152" s="52"/>
      <c r="G152" s="52"/>
      <c r="H152" s="52"/>
      <c r="I152" s="52"/>
      <c r="J152" s="52"/>
      <c r="K152" s="52"/>
      <c r="L152" s="52"/>
      <c r="M152" s="3273"/>
      <c r="N152" s="3273"/>
      <c r="O152" s="3266"/>
    </row>
    <row r="153" spans="1:17" hidden="1">
      <c r="A153" s="3227"/>
      <c r="B153" s="92" t="s">
        <v>15</v>
      </c>
      <c r="C153" s="3281"/>
      <c r="D153" s="1715">
        <f>SUM(E153:I153)</f>
        <v>0</v>
      </c>
      <c r="E153" s="1841">
        <v>0</v>
      </c>
      <c r="F153" s="1744"/>
      <c r="G153" s="1744"/>
      <c r="H153" s="1744"/>
      <c r="I153" s="1744"/>
      <c r="J153" s="1744"/>
      <c r="K153" s="1744"/>
      <c r="L153" s="1744"/>
      <c r="M153" s="3273"/>
      <c r="N153" s="3273"/>
      <c r="O153" s="3266"/>
    </row>
    <row r="154" spans="1:17" ht="12" hidden="1" customHeight="1">
      <c r="A154" s="3227"/>
      <c r="B154" s="1842" t="s">
        <v>18</v>
      </c>
      <c r="C154" s="3281"/>
      <c r="D154" s="1804">
        <f t="shared" ref="D154:F154" si="102">+D155</f>
        <v>0</v>
      </c>
      <c r="E154" s="1745">
        <f>+E155</f>
        <v>0</v>
      </c>
      <c r="F154" s="1745">
        <f t="shared" si="102"/>
        <v>0</v>
      </c>
      <c r="G154" s="1745"/>
      <c r="H154" s="1745"/>
      <c r="I154" s="1745"/>
      <c r="J154" s="1745"/>
      <c r="K154" s="1745"/>
      <c r="L154" s="1745"/>
      <c r="M154" s="3273"/>
      <c r="N154" s="3273"/>
      <c r="O154" s="3266"/>
    </row>
    <row r="155" spans="1:17" ht="13.5" hidden="1" customHeight="1" thickBot="1">
      <c r="A155" s="3228"/>
      <c r="B155" s="981" t="s">
        <v>21</v>
      </c>
      <c r="C155" s="3282"/>
      <c r="D155" s="942">
        <f>E155+F155+G155+H155+I155+J155+K155+L155</f>
        <v>0</v>
      </c>
      <c r="E155" s="942"/>
      <c r="F155" s="483"/>
      <c r="G155" s="483"/>
      <c r="H155" s="483"/>
      <c r="I155" s="483"/>
      <c r="J155" s="483"/>
      <c r="K155" s="483"/>
      <c r="L155" s="483"/>
      <c r="M155" s="3274"/>
      <c r="N155" s="3274"/>
      <c r="O155" s="3267"/>
    </row>
    <row r="156" spans="1:17" ht="26.25" customHeight="1">
      <c r="A156" s="3199" t="s">
        <v>65</v>
      </c>
      <c r="B156" s="74" t="s">
        <v>552</v>
      </c>
      <c r="C156" s="58" t="s">
        <v>81</v>
      </c>
      <c r="D156" s="59"/>
      <c r="E156" s="44"/>
      <c r="F156" s="44"/>
      <c r="G156" s="44"/>
      <c r="H156" s="44"/>
      <c r="I156" s="44"/>
      <c r="J156" s="44"/>
      <c r="K156" s="44"/>
      <c r="L156" s="44"/>
      <c r="M156" s="45"/>
      <c r="N156" s="45"/>
      <c r="O156" s="89"/>
    </row>
    <row r="157" spans="1:17" ht="12" customHeight="1">
      <c r="A157" s="3200"/>
      <c r="B157" s="662" t="s">
        <v>10</v>
      </c>
      <c r="C157" s="1824"/>
      <c r="D157" s="1814">
        <f>+D158+D161</f>
        <v>51348880</v>
      </c>
      <c r="E157" s="1863">
        <f t="shared" ref="E157" si="103">+E158+E161</f>
        <v>330606</v>
      </c>
      <c r="F157" s="1863">
        <f>+F158+F161</f>
        <v>27200773</v>
      </c>
      <c r="G157" s="1863">
        <f>+G158+G161</f>
        <v>23817501</v>
      </c>
      <c r="H157" s="1863"/>
      <c r="I157" s="1863"/>
      <c r="J157" s="1863"/>
      <c r="K157" s="1863"/>
      <c r="L157" s="1863"/>
      <c r="M157" s="1802">
        <f>M158+M161</f>
        <v>51018274</v>
      </c>
      <c r="N157" s="1802">
        <f>N158+N161</f>
        <v>23817501</v>
      </c>
      <c r="O157" s="3203" t="s">
        <v>86</v>
      </c>
      <c r="P157" s="456"/>
    </row>
    <row r="158" spans="1:17">
      <c r="A158" s="3200"/>
      <c r="B158" s="633" t="s">
        <v>24</v>
      </c>
      <c r="C158" s="3214" t="s">
        <v>84</v>
      </c>
      <c r="D158" s="1815">
        <f>+D159+D160</f>
        <v>7787332</v>
      </c>
      <c r="E158" s="1815">
        <f t="shared" ref="E158" si="104">+E159+E160</f>
        <v>49591</v>
      </c>
      <c r="F158" s="1815">
        <f>+F159+F160</f>
        <v>4091322</v>
      </c>
      <c r="G158" s="1815">
        <f>+G159+G160</f>
        <v>3646419</v>
      </c>
      <c r="H158" s="1815"/>
      <c r="I158" s="1815"/>
      <c r="J158" s="1815"/>
      <c r="K158" s="1815"/>
      <c r="L158" s="1815"/>
      <c r="M158" s="1805">
        <f>M159</f>
        <v>7737741</v>
      </c>
      <c r="N158" s="1805">
        <f>N159</f>
        <v>3646419</v>
      </c>
      <c r="O158" s="3203"/>
      <c r="P158" s="3250" t="s">
        <v>399</v>
      </c>
    </row>
    <row r="159" spans="1:17" ht="11.25" customHeight="1">
      <c r="A159" s="3200"/>
      <c r="B159" s="982" t="s">
        <v>12</v>
      </c>
      <c r="C159" s="3236"/>
      <c r="D159" s="949">
        <f>E159+F159+G159+H159+I159+J159+K159+L159</f>
        <v>7787332</v>
      </c>
      <c r="E159" s="1775">
        <v>49591</v>
      </c>
      <c r="F159" s="1775">
        <f>5700000+1500000+135000-2630000-22696-590982</f>
        <v>4091322</v>
      </c>
      <c r="G159" s="1775">
        <f>1875000+1435625-240216-14972+590982</f>
        <v>3646419</v>
      </c>
      <c r="H159" s="1775"/>
      <c r="I159" s="1775"/>
      <c r="J159" s="1775"/>
      <c r="K159" s="1775"/>
      <c r="L159" s="1775"/>
      <c r="M159" s="1818">
        <f>SUM(F159:K159)</f>
        <v>7737741</v>
      </c>
      <c r="N159" s="1818">
        <f>SUM(G159:L159)</f>
        <v>3646419</v>
      </c>
      <c r="O159" s="3203"/>
      <c r="P159" s="3250"/>
    </row>
    <row r="160" spans="1:17" ht="10.5" hidden="1" customHeight="1">
      <c r="A160" s="3200"/>
      <c r="B160" s="1565" t="s">
        <v>15</v>
      </c>
      <c r="C160" s="3236"/>
      <c r="D160" s="949">
        <f>SUM(E160:I160)</f>
        <v>0</v>
      </c>
      <c r="E160" s="2644">
        <v>0</v>
      </c>
      <c r="F160" s="983"/>
      <c r="G160" s="983"/>
      <c r="H160" s="983"/>
      <c r="I160" s="983"/>
      <c r="J160" s="203"/>
      <c r="K160" s="203"/>
      <c r="L160" s="203"/>
      <c r="M160" s="69"/>
      <c r="N160" s="69"/>
      <c r="O160" s="3203"/>
      <c r="P160" s="3250"/>
    </row>
    <row r="161" spans="1:16">
      <c r="A161" s="3200"/>
      <c r="B161" s="978" t="s">
        <v>18</v>
      </c>
      <c r="C161" s="3236"/>
      <c r="D161" s="1804">
        <f>+D162</f>
        <v>43561548</v>
      </c>
      <c r="E161" s="1810">
        <f t="shared" ref="E161:G161" si="105">+E162</f>
        <v>281015</v>
      </c>
      <c r="F161" s="1810">
        <f t="shared" si="105"/>
        <v>23109451</v>
      </c>
      <c r="G161" s="1810">
        <f t="shared" si="105"/>
        <v>20171082</v>
      </c>
      <c r="H161" s="1810"/>
      <c r="I161" s="1810"/>
      <c r="J161" s="1804"/>
      <c r="K161" s="1804"/>
      <c r="L161" s="1804"/>
      <c r="M161" s="1805">
        <f>M162</f>
        <v>43280533</v>
      </c>
      <c r="N161" s="1805">
        <f>N162</f>
        <v>20171082</v>
      </c>
      <c r="O161" s="3203"/>
      <c r="P161" s="3250"/>
    </row>
    <row r="162" spans="1:16" ht="12" customHeight="1">
      <c r="A162" s="3200"/>
      <c r="B162" s="982" t="s">
        <v>21</v>
      </c>
      <c r="C162" s="3278"/>
      <c r="D162" s="949">
        <f>E162+F162+G162+H162+I162+J162+K162+L162</f>
        <v>43561548</v>
      </c>
      <c r="E162" s="1775">
        <v>281015</v>
      </c>
      <c r="F162" s="1775">
        <f>32300000+8500000+765000-15470000-128613-2856936</f>
        <v>23109451</v>
      </c>
      <c r="G162" s="1775">
        <f>10625000+4125213+2648772-84839+2856936</f>
        <v>20171082</v>
      </c>
      <c r="H162" s="1813"/>
      <c r="I162" s="1813"/>
      <c r="J162" s="1817"/>
      <c r="K162" s="1817"/>
      <c r="L162" s="1817"/>
      <c r="M162" s="1818">
        <f>SUM(F162:K162)</f>
        <v>43280533</v>
      </c>
      <c r="N162" s="1818">
        <f>SUM(G162:L162)</f>
        <v>20171082</v>
      </c>
      <c r="O162" s="3204"/>
      <c r="P162" s="3250"/>
    </row>
    <row r="163" spans="1:16" ht="12" customHeight="1">
      <c r="A163" s="3227"/>
      <c r="B163" s="93" t="s">
        <v>22</v>
      </c>
      <c r="C163" s="90"/>
      <c r="D163" s="101">
        <f t="shared" ref="D163" si="106">+D164+D166</f>
        <v>43561548</v>
      </c>
      <c r="E163" s="234">
        <f>+E164+E166</f>
        <v>0</v>
      </c>
      <c r="F163" s="234">
        <f>+F164+F166</f>
        <v>26097077</v>
      </c>
      <c r="G163" s="234">
        <f>+G164+G166</f>
        <v>17464471</v>
      </c>
      <c r="H163" s="234"/>
      <c r="I163" s="234"/>
      <c r="J163" s="234"/>
      <c r="K163" s="234"/>
      <c r="L163" s="234"/>
      <c r="M163" s="3272" t="s">
        <v>23</v>
      </c>
      <c r="N163" s="3272" t="s">
        <v>23</v>
      </c>
      <c r="O163" s="3301" t="s">
        <v>102</v>
      </c>
    </row>
    <row r="164" spans="1:16" ht="13.5" hidden="1" customHeight="1">
      <c r="A164" s="3227"/>
      <c r="B164" s="1808" t="s">
        <v>24</v>
      </c>
      <c r="C164" s="3279" t="s">
        <v>231</v>
      </c>
      <c r="D164" s="52">
        <f>+D165</f>
        <v>0</v>
      </c>
      <c r="E164" s="52"/>
      <c r="F164" s="52"/>
      <c r="G164" s="52"/>
      <c r="H164" s="52"/>
      <c r="I164" s="52"/>
      <c r="J164" s="52"/>
      <c r="K164" s="52"/>
      <c r="L164" s="52"/>
      <c r="M164" s="3273"/>
      <c r="N164" s="3273"/>
      <c r="O164" s="3266"/>
    </row>
    <row r="165" spans="1:16" ht="13.5" hidden="1" customHeight="1">
      <c r="A165" s="3227"/>
      <c r="B165" s="92" t="s">
        <v>15</v>
      </c>
      <c r="C165" s="3281"/>
      <c r="D165" s="949">
        <f>SUM(E165:I165)</f>
        <v>0</v>
      </c>
      <c r="E165" s="1821"/>
      <c r="F165" s="1821"/>
      <c r="G165" s="1821"/>
      <c r="H165" s="1821"/>
      <c r="I165" s="1821"/>
      <c r="J165" s="1821"/>
      <c r="K165" s="1821"/>
      <c r="L165" s="1821"/>
      <c r="M165" s="3273"/>
      <c r="N165" s="3273"/>
      <c r="O165" s="3266"/>
    </row>
    <row r="166" spans="1:16" ht="12" customHeight="1">
      <c r="A166" s="3227"/>
      <c r="B166" s="1842" t="s">
        <v>18</v>
      </c>
      <c r="C166" s="3281"/>
      <c r="D166" s="1804">
        <f t="shared" ref="D166:G166" si="107">+D167</f>
        <v>43561548</v>
      </c>
      <c r="E166" s="1810">
        <f t="shared" si="107"/>
        <v>0</v>
      </c>
      <c r="F166" s="1810">
        <f t="shared" si="107"/>
        <v>26097077</v>
      </c>
      <c r="G166" s="1810">
        <f t="shared" si="107"/>
        <v>17464471</v>
      </c>
      <c r="H166" s="1810"/>
      <c r="I166" s="1810"/>
      <c r="J166" s="1810"/>
      <c r="K166" s="1810"/>
      <c r="L166" s="1810"/>
      <c r="M166" s="3273"/>
      <c r="N166" s="3273"/>
      <c r="O166" s="3266"/>
    </row>
    <row r="167" spans="1:16" ht="13.5" customHeight="1" thickBot="1">
      <c r="A167" s="3228"/>
      <c r="B167" s="981" t="s">
        <v>21</v>
      </c>
      <c r="C167" s="3282"/>
      <c r="D167" s="942">
        <f>E167+F167+G167+H167+I167+J167+K167+L167</f>
        <v>43561548</v>
      </c>
      <c r="E167" s="942">
        <v>0</v>
      </c>
      <c r="F167" s="483">
        <f>29000000+6000000-8623985-128613-150325</f>
        <v>26097077</v>
      </c>
      <c r="G167" s="483">
        <f>14775000+6625213-4001228-84839+150325</f>
        <v>17464471</v>
      </c>
      <c r="H167" s="483"/>
      <c r="I167" s="483"/>
      <c r="J167" s="483"/>
      <c r="K167" s="483"/>
      <c r="L167" s="483"/>
      <c r="M167" s="3274"/>
      <c r="N167" s="3274"/>
      <c r="O167" s="3267"/>
    </row>
    <row r="168" spans="1:16" ht="24.75" customHeight="1">
      <c r="A168" s="3199" t="s">
        <v>66</v>
      </c>
      <c r="B168" s="74" t="s">
        <v>553</v>
      </c>
      <c r="C168" s="58" t="s">
        <v>81</v>
      </c>
      <c r="D168" s="59"/>
      <c r="E168" s="44"/>
      <c r="F168" s="44"/>
      <c r="G168" s="44"/>
      <c r="H168" s="44"/>
      <c r="I168" s="44"/>
      <c r="J168" s="44"/>
      <c r="K168" s="44"/>
      <c r="L168" s="44"/>
      <c r="M168" s="45"/>
      <c r="N168" s="45"/>
      <c r="O168" s="89"/>
      <c r="P168" s="233" t="s">
        <v>453</v>
      </c>
    </row>
    <row r="169" spans="1:16" ht="13.5" customHeight="1">
      <c r="A169" s="3200"/>
      <c r="B169" s="662" t="s">
        <v>10</v>
      </c>
      <c r="C169" s="522"/>
      <c r="D169" s="974">
        <f>+D170+D173</f>
        <v>16396975</v>
      </c>
      <c r="E169" s="2598">
        <f t="shared" ref="E169" si="108">+E170+E173</f>
        <v>1591</v>
      </c>
      <c r="F169" s="2598">
        <f>+F170+F173</f>
        <v>1891948</v>
      </c>
      <c r="G169" s="2598">
        <f>+G170+G173</f>
        <v>14503436</v>
      </c>
      <c r="H169" s="2598"/>
      <c r="I169" s="2598"/>
      <c r="J169" s="2598"/>
      <c r="K169" s="2598"/>
      <c r="L169" s="2598"/>
      <c r="M169" s="2588">
        <f>M170+M173</f>
        <v>16395384</v>
      </c>
      <c r="N169" s="2588">
        <f>N170+N173</f>
        <v>14503436</v>
      </c>
      <c r="O169" s="3203" t="s">
        <v>86</v>
      </c>
      <c r="P169" s="456"/>
    </row>
    <row r="170" spans="1:16" ht="13.5" customHeight="1">
      <c r="A170" s="3200"/>
      <c r="B170" s="633" t="s">
        <v>24</v>
      </c>
      <c r="C170" s="3232" t="s">
        <v>84</v>
      </c>
      <c r="D170" s="735">
        <f>+D171+D172</f>
        <v>2866682</v>
      </c>
      <c r="E170" s="735">
        <f t="shared" ref="E170" si="109">+E171+E172</f>
        <v>239</v>
      </c>
      <c r="F170" s="735">
        <f>+F171+F172</f>
        <v>362939</v>
      </c>
      <c r="G170" s="735">
        <f>+G171+G172</f>
        <v>2503504</v>
      </c>
      <c r="H170" s="735"/>
      <c r="I170" s="735"/>
      <c r="J170" s="735"/>
      <c r="K170" s="735"/>
      <c r="L170" s="735"/>
      <c r="M170" s="644">
        <f>M171+M172</f>
        <v>2866443</v>
      </c>
      <c r="N170" s="644">
        <f>N171+N172</f>
        <v>2503504</v>
      </c>
      <c r="O170" s="3203"/>
      <c r="P170" s="3250"/>
    </row>
    <row r="171" spans="1:16">
      <c r="A171" s="3200"/>
      <c r="B171" s="982" t="s">
        <v>12</v>
      </c>
      <c r="C171" s="3236"/>
      <c r="D171" s="949">
        <f>E171+F171+G171+H171+I171+J171+K171+L171</f>
        <v>2636229</v>
      </c>
      <c r="E171" s="964">
        <v>239</v>
      </c>
      <c r="F171" s="964">
        <f>2821000+15000-1954801-48563-304636-41551-203290</f>
        <v>283159</v>
      </c>
      <c r="G171" s="964">
        <f>2016162+18262+304636-188902+202673</f>
        <v>2352831</v>
      </c>
      <c r="H171" s="964"/>
      <c r="I171" s="964"/>
      <c r="J171" s="964"/>
      <c r="K171" s="964"/>
      <c r="L171" s="964"/>
      <c r="M171" s="975">
        <f>SUM(F171:K171)</f>
        <v>2635990</v>
      </c>
      <c r="N171" s="975">
        <f>SUM(G171:L171)</f>
        <v>2352831</v>
      </c>
      <c r="O171" s="3203"/>
      <c r="P171" s="3250"/>
    </row>
    <row r="172" spans="1:16" ht="10.5" customHeight="1">
      <c r="A172" s="3200"/>
      <c r="B172" s="1565" t="s">
        <v>15</v>
      </c>
      <c r="C172" s="3236"/>
      <c r="D172" s="949">
        <f>SUM(E172:I172)</f>
        <v>230453</v>
      </c>
      <c r="E172" s="2644">
        <v>0</v>
      </c>
      <c r="F172" s="983">
        <f>79781-1</f>
        <v>79780</v>
      </c>
      <c r="G172" s="983">
        <v>150673</v>
      </c>
      <c r="H172" s="983"/>
      <c r="I172" s="983"/>
      <c r="J172" s="2600"/>
      <c r="K172" s="2600"/>
      <c r="L172" s="2600"/>
      <c r="M172" s="975">
        <f>SUM(F172:K172)</f>
        <v>230453</v>
      </c>
      <c r="N172" s="975">
        <f>SUM(G172:L172)</f>
        <v>150673</v>
      </c>
      <c r="O172" s="3203"/>
      <c r="P172" s="3250"/>
    </row>
    <row r="173" spans="1:16" ht="12.75" customHeight="1">
      <c r="A173" s="3200"/>
      <c r="B173" s="978" t="s">
        <v>18</v>
      </c>
      <c r="C173" s="3236"/>
      <c r="D173" s="645">
        <f>+D174</f>
        <v>13530293</v>
      </c>
      <c r="E173" s="2599">
        <f t="shared" ref="E173:G173" si="110">+E174</f>
        <v>1352</v>
      </c>
      <c r="F173" s="2599">
        <f t="shared" si="110"/>
        <v>1529009</v>
      </c>
      <c r="G173" s="2599">
        <f t="shared" si="110"/>
        <v>11999932</v>
      </c>
      <c r="H173" s="2599"/>
      <c r="I173" s="2599"/>
      <c r="J173" s="645"/>
      <c r="K173" s="645"/>
      <c r="L173" s="645"/>
      <c r="M173" s="644">
        <f>M174</f>
        <v>13528941</v>
      </c>
      <c r="N173" s="644">
        <f>N174</f>
        <v>11999932</v>
      </c>
      <c r="O173" s="3203"/>
      <c r="P173" s="3250"/>
    </row>
    <row r="174" spans="1:16">
      <c r="A174" s="3200"/>
      <c r="B174" s="982" t="s">
        <v>21</v>
      </c>
      <c r="C174" s="3278"/>
      <c r="D174" s="2604">
        <f>E174+F174+G174+H174+I174+J174+K174+L174</f>
        <v>13530293</v>
      </c>
      <c r="E174" s="964">
        <v>1352</v>
      </c>
      <c r="F174" s="964">
        <f>15079000+85000-11487872+534253-1388381-117724-1175267</f>
        <v>1529009</v>
      </c>
      <c r="G174" s="964">
        <f>11424920-705956+1388381-1279186+1171773</f>
        <v>11999932</v>
      </c>
      <c r="H174" s="2600"/>
      <c r="I174" s="2600"/>
      <c r="J174" s="717"/>
      <c r="K174" s="717"/>
      <c r="L174" s="717"/>
      <c r="M174" s="975">
        <f>SUM(F174:K174)</f>
        <v>13528941</v>
      </c>
      <c r="N174" s="975">
        <f>SUM(G174:L174)</f>
        <v>11999932</v>
      </c>
      <c r="O174" s="3204"/>
      <c r="P174" s="3250"/>
    </row>
    <row r="175" spans="1:16" ht="13.5" customHeight="1">
      <c r="A175" s="3227"/>
      <c r="B175" s="93" t="s">
        <v>22</v>
      </c>
      <c r="C175" s="90"/>
      <c r="D175" s="101">
        <f t="shared" ref="D175" si="111">+D176+D178</f>
        <v>13760746</v>
      </c>
      <c r="E175" s="234">
        <f>+E176+E178</f>
        <v>0</v>
      </c>
      <c r="F175" s="234">
        <f>+F176+F178</f>
        <v>700892</v>
      </c>
      <c r="G175" s="234">
        <f>+G176+G178</f>
        <v>13059854</v>
      </c>
      <c r="H175" s="234"/>
      <c r="I175" s="234"/>
      <c r="J175" s="234"/>
      <c r="K175" s="234"/>
      <c r="L175" s="234"/>
      <c r="M175" s="3272" t="s">
        <v>23</v>
      </c>
      <c r="N175" s="3272" t="s">
        <v>23</v>
      </c>
      <c r="O175" s="3301" t="s">
        <v>102</v>
      </c>
    </row>
    <row r="176" spans="1:16" ht="13.5" customHeight="1">
      <c r="A176" s="3227"/>
      <c r="B176" s="980" t="s">
        <v>24</v>
      </c>
      <c r="C176" s="3279" t="s">
        <v>583</v>
      </c>
      <c r="D176" s="52">
        <f>+D177</f>
        <v>230453</v>
      </c>
      <c r="E176" s="52">
        <v>0</v>
      </c>
      <c r="F176" s="52">
        <f>F177</f>
        <v>79780</v>
      </c>
      <c r="G176" s="52">
        <f>G177</f>
        <v>150673</v>
      </c>
      <c r="H176" s="52"/>
      <c r="I176" s="52"/>
      <c r="J176" s="52"/>
      <c r="K176" s="52"/>
      <c r="L176" s="52"/>
      <c r="M176" s="3273"/>
      <c r="N176" s="3273"/>
      <c r="O176" s="3266"/>
    </row>
    <row r="177" spans="1:16" ht="13.5" customHeight="1">
      <c r="A177" s="3227"/>
      <c r="B177" s="2645" t="s">
        <v>15</v>
      </c>
      <c r="C177" s="3281"/>
      <c r="D177" s="949">
        <f>SUM(E177:I177)</f>
        <v>230453</v>
      </c>
      <c r="E177" s="2597">
        <v>0</v>
      </c>
      <c r="F177" s="2597">
        <f>79781-1</f>
        <v>79780</v>
      </c>
      <c r="G177" s="2597">
        <v>150673</v>
      </c>
      <c r="H177" s="2597"/>
      <c r="I177" s="2597"/>
      <c r="J177" s="2597"/>
      <c r="K177" s="2597"/>
      <c r="L177" s="2597"/>
      <c r="M177" s="3273"/>
      <c r="N177" s="3273"/>
      <c r="O177" s="3266"/>
    </row>
    <row r="178" spans="1:16" ht="12" customHeight="1">
      <c r="A178" s="3227"/>
      <c r="B178" s="2641" t="s">
        <v>18</v>
      </c>
      <c r="C178" s="3281"/>
      <c r="D178" s="645">
        <f t="shared" ref="D178:G178" si="112">+D179</f>
        <v>13530293</v>
      </c>
      <c r="E178" s="2599">
        <f t="shared" si="112"/>
        <v>0</v>
      </c>
      <c r="F178" s="2599">
        <f t="shared" si="112"/>
        <v>621112</v>
      </c>
      <c r="G178" s="2599">
        <f t="shared" si="112"/>
        <v>12909181</v>
      </c>
      <c r="H178" s="2599"/>
      <c r="I178" s="2599"/>
      <c r="J178" s="2599"/>
      <c r="K178" s="2599"/>
      <c r="L178" s="2599"/>
      <c r="M178" s="3273"/>
      <c r="N178" s="3273"/>
      <c r="O178" s="3266"/>
    </row>
    <row r="179" spans="1:16" ht="13.5" customHeight="1" thickBot="1">
      <c r="A179" s="3228"/>
      <c r="B179" s="826" t="s">
        <v>21</v>
      </c>
      <c r="C179" s="3282"/>
      <c r="D179" s="949">
        <f>E179+F179+G179+H179+I179+J179+K179+L179</f>
        <v>13530293</v>
      </c>
      <c r="E179" s="964">
        <v>0</v>
      </c>
      <c r="F179" s="2181">
        <f>14164000-10486520+534253-1388381-2193352-8888</f>
        <v>621112</v>
      </c>
      <c r="G179" s="2181">
        <f>1000000+10424920-705956+1388381+796442+5394</f>
        <v>12909181</v>
      </c>
      <c r="H179" s="2181"/>
      <c r="I179" s="2181"/>
      <c r="J179" s="2181"/>
      <c r="K179" s="2181"/>
      <c r="L179" s="2181"/>
      <c r="M179" s="3274"/>
      <c r="N179" s="3274"/>
      <c r="O179" s="3267"/>
    </row>
    <row r="180" spans="1:16" ht="24">
      <c r="A180" s="3199" t="s">
        <v>67</v>
      </c>
      <c r="B180" s="74" t="s">
        <v>554</v>
      </c>
      <c r="C180" s="58" t="s">
        <v>81</v>
      </c>
      <c r="D180" s="59"/>
      <c r="E180" s="44"/>
      <c r="F180" s="44"/>
      <c r="G180" s="44"/>
      <c r="H180" s="44"/>
      <c r="I180" s="44"/>
      <c r="J180" s="44"/>
      <c r="K180" s="44"/>
      <c r="L180" s="44"/>
      <c r="M180" s="45"/>
      <c r="N180" s="45"/>
      <c r="O180" s="89"/>
      <c r="P180" s="233" t="s">
        <v>305</v>
      </c>
    </row>
    <row r="181" spans="1:16">
      <c r="A181" s="3200"/>
      <c r="B181" s="662" t="s">
        <v>10</v>
      </c>
      <c r="C181" s="522"/>
      <c r="D181" s="974">
        <f>+D182+D185</f>
        <v>52780964</v>
      </c>
      <c r="E181" s="2598">
        <f>+E182+E185</f>
        <v>0</v>
      </c>
      <c r="F181" s="2598">
        <f>+F182+F185</f>
        <v>14408172</v>
      </c>
      <c r="G181" s="2598">
        <f>+G182+G185</f>
        <v>38372792</v>
      </c>
      <c r="H181" s="2598"/>
      <c r="I181" s="2598"/>
      <c r="J181" s="2598"/>
      <c r="K181" s="2598"/>
      <c r="L181" s="2598"/>
      <c r="M181" s="2588">
        <f>M182+M185</f>
        <v>52780964</v>
      </c>
      <c r="N181" s="2588">
        <f>N182+N185</f>
        <v>38372792</v>
      </c>
      <c r="O181" s="3203" t="s">
        <v>86</v>
      </c>
      <c r="P181" s="456"/>
    </row>
    <row r="182" spans="1:16" ht="13.5" customHeight="1">
      <c r="A182" s="3200"/>
      <c r="B182" s="633" t="s">
        <v>24</v>
      </c>
      <c r="C182" s="3232" t="s">
        <v>84</v>
      </c>
      <c r="D182" s="735">
        <f>+D183+D184</f>
        <v>10467145</v>
      </c>
      <c r="E182" s="735">
        <f>+E183+E184</f>
        <v>0</v>
      </c>
      <c r="F182" s="735">
        <f>+F183+F184</f>
        <v>2611259</v>
      </c>
      <c r="G182" s="735">
        <f>+G183+G184</f>
        <v>7855886</v>
      </c>
      <c r="H182" s="735"/>
      <c r="I182" s="735"/>
      <c r="J182" s="735"/>
      <c r="K182" s="735"/>
      <c r="L182" s="735"/>
      <c r="M182" s="644">
        <f>M183</f>
        <v>10467145</v>
      </c>
      <c r="N182" s="644">
        <f>N183</f>
        <v>7855886</v>
      </c>
      <c r="O182" s="3203"/>
      <c r="P182" s="456"/>
    </row>
    <row r="183" spans="1:16">
      <c r="A183" s="3200"/>
      <c r="B183" s="982" t="s">
        <v>12</v>
      </c>
      <c r="C183" s="3236"/>
      <c r="D183" s="949">
        <f>E183+F183+G183+H183+I183+J183+K183+L183</f>
        <v>10467145</v>
      </c>
      <c r="E183" s="964">
        <v>0</v>
      </c>
      <c r="F183" s="964">
        <f>4500000-1204062+1962312-2646991</f>
        <v>2611259</v>
      </c>
      <c r="G183" s="964">
        <f>4215000+1785000+1171207-1962312+2646991</f>
        <v>7855886</v>
      </c>
      <c r="H183" s="964"/>
      <c r="I183" s="964"/>
      <c r="J183" s="964"/>
      <c r="K183" s="964"/>
      <c r="L183" s="964"/>
      <c r="M183" s="975">
        <f>SUM(F183:K183)</f>
        <v>10467145</v>
      </c>
      <c r="N183" s="975">
        <f>SUM(G183:L183)</f>
        <v>7855886</v>
      </c>
      <c r="O183" s="3203"/>
      <c r="P183" s="456"/>
    </row>
    <row r="184" spans="1:16" ht="10.5" hidden="1" customHeight="1">
      <c r="A184" s="3200"/>
      <c r="B184" s="1565" t="s">
        <v>15</v>
      </c>
      <c r="C184" s="3236"/>
      <c r="D184" s="949">
        <f>SUM(E184:I184)</f>
        <v>0</v>
      </c>
      <c r="E184" s="2644">
        <v>0</v>
      </c>
      <c r="F184" s="983"/>
      <c r="G184" s="983"/>
      <c r="H184" s="983"/>
      <c r="I184" s="983"/>
      <c r="J184" s="203"/>
      <c r="K184" s="203"/>
      <c r="L184" s="203"/>
      <c r="M184" s="69"/>
      <c r="N184" s="69"/>
      <c r="O184" s="3203"/>
    </row>
    <row r="185" spans="1:16" ht="12.75" customHeight="1">
      <c r="A185" s="3200"/>
      <c r="B185" s="978" t="s">
        <v>18</v>
      </c>
      <c r="C185" s="3236"/>
      <c r="D185" s="645">
        <f>+D186</f>
        <v>42313819</v>
      </c>
      <c r="E185" s="2599">
        <f t="shared" ref="E185:G185" si="113">+E186</f>
        <v>0</v>
      </c>
      <c r="F185" s="2599">
        <f t="shared" si="113"/>
        <v>11796913</v>
      </c>
      <c r="G185" s="2599">
        <f t="shared" si="113"/>
        <v>30516906</v>
      </c>
      <c r="H185" s="2599"/>
      <c r="I185" s="2599"/>
      <c r="J185" s="645"/>
      <c r="K185" s="645"/>
      <c r="L185" s="645"/>
      <c r="M185" s="644">
        <f>M186</f>
        <v>42313819</v>
      </c>
      <c r="N185" s="644">
        <f>N186</f>
        <v>30516906</v>
      </c>
      <c r="O185" s="3203"/>
    </row>
    <row r="186" spans="1:16">
      <c r="A186" s="3200"/>
      <c r="B186" s="982" t="s">
        <v>21</v>
      </c>
      <c r="C186" s="3278"/>
      <c r="D186" s="2604">
        <f>E186+F186+G186+H186+I186+J186+K186+L186</f>
        <v>42313819</v>
      </c>
      <c r="E186" s="964">
        <v>0</v>
      </c>
      <c r="F186" s="964">
        <f>38250000+85000-21335000+1110315-5313565-999837</f>
        <v>11796913</v>
      </c>
      <c r="G186" s="964">
        <f>13685000+11815000-1296496+5313565+999837</f>
        <v>30516906</v>
      </c>
      <c r="H186" s="2600"/>
      <c r="I186" s="2600"/>
      <c r="J186" s="717"/>
      <c r="K186" s="717"/>
      <c r="L186" s="717"/>
      <c r="M186" s="975">
        <f>SUM(F186:K186)</f>
        <v>42313819</v>
      </c>
      <c r="N186" s="975">
        <f>SUM(G186:L186)</f>
        <v>30516906</v>
      </c>
      <c r="O186" s="3204"/>
    </row>
    <row r="187" spans="1:16" ht="11.25" customHeight="1">
      <c r="A187" s="3227"/>
      <c r="B187" s="93" t="s">
        <v>22</v>
      </c>
      <c r="C187" s="90"/>
      <c r="D187" s="101">
        <f t="shared" ref="D187:E187" si="114">+D188+D190</f>
        <v>42313819</v>
      </c>
      <c r="E187" s="234">
        <f t="shared" si="114"/>
        <v>0</v>
      </c>
      <c r="F187" s="234">
        <f>+F188+F190</f>
        <v>0</v>
      </c>
      <c r="G187" s="234">
        <f>+G188+G190</f>
        <v>42313819</v>
      </c>
      <c r="H187" s="234"/>
      <c r="I187" s="234"/>
      <c r="J187" s="234"/>
      <c r="K187" s="234"/>
      <c r="L187" s="234"/>
      <c r="M187" s="3272" t="s">
        <v>23</v>
      </c>
      <c r="N187" s="3272" t="s">
        <v>23</v>
      </c>
      <c r="O187" s="3301" t="s">
        <v>102</v>
      </c>
    </row>
    <row r="188" spans="1:16" ht="13.5" hidden="1" customHeight="1">
      <c r="A188" s="3227"/>
      <c r="B188" s="980" t="s">
        <v>24</v>
      </c>
      <c r="C188" s="3279" t="s">
        <v>231</v>
      </c>
      <c r="D188" s="52">
        <f>+D189</f>
        <v>0</v>
      </c>
      <c r="E188" s="267">
        <v>0</v>
      </c>
      <c r="F188" s="52"/>
      <c r="G188" s="52"/>
      <c r="H188" s="52"/>
      <c r="I188" s="52"/>
      <c r="J188" s="52"/>
      <c r="K188" s="52"/>
      <c r="L188" s="52"/>
      <c r="M188" s="3273"/>
      <c r="N188" s="3273"/>
      <c r="O188" s="3266"/>
    </row>
    <row r="189" spans="1:16" ht="13.5" hidden="1" customHeight="1">
      <c r="A189" s="3227"/>
      <c r="B189" s="92" t="s">
        <v>15</v>
      </c>
      <c r="C189" s="3281"/>
      <c r="D189" s="949">
        <f>SUM(E189:I189)</f>
        <v>0</v>
      </c>
      <c r="E189" s="2646">
        <v>0</v>
      </c>
      <c r="F189" s="2597"/>
      <c r="G189" s="2597"/>
      <c r="H189" s="2597"/>
      <c r="I189" s="2597"/>
      <c r="J189" s="2597"/>
      <c r="K189" s="2597"/>
      <c r="L189" s="2597"/>
      <c r="M189" s="3273"/>
      <c r="N189" s="3273"/>
      <c r="O189" s="3266"/>
    </row>
    <row r="190" spans="1:16" ht="12" customHeight="1">
      <c r="A190" s="3227"/>
      <c r="B190" s="2641" t="s">
        <v>18</v>
      </c>
      <c r="C190" s="3281"/>
      <c r="D190" s="645">
        <f t="shared" ref="D190:G190" si="115">+D191</f>
        <v>42313819</v>
      </c>
      <c r="E190" s="2599">
        <f t="shared" si="115"/>
        <v>0</v>
      </c>
      <c r="F190" s="2599">
        <f t="shared" si="115"/>
        <v>0</v>
      </c>
      <c r="G190" s="2599">
        <f t="shared" si="115"/>
        <v>42313819</v>
      </c>
      <c r="H190" s="2599"/>
      <c r="I190" s="2599"/>
      <c r="J190" s="2599"/>
      <c r="K190" s="2599"/>
      <c r="L190" s="2599"/>
      <c r="M190" s="3273"/>
      <c r="N190" s="3273"/>
      <c r="O190" s="3266"/>
    </row>
    <row r="191" spans="1:16" ht="13.5" customHeight="1" thickBot="1">
      <c r="A191" s="3228"/>
      <c r="B191" s="981" t="s">
        <v>21</v>
      </c>
      <c r="C191" s="3282"/>
      <c r="D191" s="2391">
        <f>E191+F191+G191+H191+I191+J191+K191+L191</f>
        <v>42313819</v>
      </c>
      <c r="E191" s="2391">
        <v>0</v>
      </c>
      <c r="F191" s="2181">
        <f>38335000-21335000+1110315-18110315</f>
        <v>0</v>
      </c>
      <c r="G191" s="2181">
        <f>13685000+11815000-1296496+18110315</f>
        <v>42313819</v>
      </c>
      <c r="H191" s="2181"/>
      <c r="I191" s="2181"/>
      <c r="J191" s="2181"/>
      <c r="K191" s="2181"/>
      <c r="L191" s="2181"/>
      <c r="M191" s="3274"/>
      <c r="N191" s="3274"/>
      <c r="O191" s="3267"/>
    </row>
    <row r="192" spans="1:16" ht="24.75" customHeight="1">
      <c r="A192" s="3199" t="s">
        <v>115</v>
      </c>
      <c r="B192" s="74" t="s">
        <v>555</v>
      </c>
      <c r="C192" s="58" t="s">
        <v>81</v>
      </c>
      <c r="D192" s="59"/>
      <c r="E192" s="44"/>
      <c r="F192" s="44"/>
      <c r="G192" s="44"/>
      <c r="H192" s="44"/>
      <c r="I192" s="44"/>
      <c r="J192" s="44"/>
      <c r="K192" s="44"/>
      <c r="L192" s="44"/>
      <c r="M192" s="45"/>
      <c r="N192" s="45"/>
      <c r="O192" s="89"/>
    </row>
    <row r="193" spans="1:16">
      <c r="A193" s="3200"/>
      <c r="B193" s="662" t="s">
        <v>10</v>
      </c>
      <c r="C193" s="748"/>
      <c r="D193" s="974">
        <f>+D194+D197</f>
        <v>2703120</v>
      </c>
      <c r="E193" s="694">
        <f t="shared" ref="E193" si="116">+E194+E197</f>
        <v>186175</v>
      </c>
      <c r="F193" s="694">
        <f>+F194+F197</f>
        <v>2516945</v>
      </c>
      <c r="G193" s="694">
        <f>+G194+G197</f>
        <v>0</v>
      </c>
      <c r="H193" s="694"/>
      <c r="I193" s="694"/>
      <c r="J193" s="694"/>
      <c r="K193" s="694"/>
      <c r="L193" s="694"/>
      <c r="M193" s="957">
        <f>M194+M197</f>
        <v>2516945</v>
      </c>
      <c r="N193" s="957">
        <f>N194+N197</f>
        <v>0</v>
      </c>
      <c r="O193" s="3203" t="s">
        <v>86</v>
      </c>
      <c r="P193" s="456"/>
    </row>
    <row r="194" spans="1:16" ht="13.5" customHeight="1">
      <c r="A194" s="3200"/>
      <c r="B194" s="633" t="s">
        <v>24</v>
      </c>
      <c r="C194" s="3232" t="s">
        <v>84</v>
      </c>
      <c r="D194" s="735">
        <f>+D195+D196</f>
        <v>556384</v>
      </c>
      <c r="E194" s="735">
        <f t="shared" ref="E194" si="117">+E195+E196</f>
        <v>133940</v>
      </c>
      <c r="F194" s="735">
        <f>+F195+F196</f>
        <v>422444</v>
      </c>
      <c r="G194" s="735">
        <f>+G195+G196</f>
        <v>0</v>
      </c>
      <c r="H194" s="735"/>
      <c r="I194" s="735"/>
      <c r="J194" s="735"/>
      <c r="K194" s="735"/>
      <c r="L194" s="735"/>
      <c r="M194" s="644">
        <f>M195</f>
        <v>422444</v>
      </c>
      <c r="N194" s="644">
        <f>N195</f>
        <v>0</v>
      </c>
      <c r="O194" s="3203"/>
      <c r="P194" s="456"/>
    </row>
    <row r="195" spans="1:16" ht="11.25" customHeight="1">
      <c r="A195" s="3200"/>
      <c r="B195" s="982" t="s">
        <v>12</v>
      </c>
      <c r="C195" s="3236"/>
      <c r="D195" s="247">
        <f>E195+F195+G195+H195+I195+J195+K195+L195</f>
        <v>556384</v>
      </c>
      <c r="E195" s="284">
        <f>133940</f>
        <v>133940</v>
      </c>
      <c r="F195" s="964">
        <f>630000+30000-39218-9412-188926</f>
        <v>422444</v>
      </c>
      <c r="G195" s="964">
        <v>0</v>
      </c>
      <c r="H195" s="964"/>
      <c r="I195" s="964"/>
      <c r="J195" s="964"/>
      <c r="K195" s="964"/>
      <c r="L195" s="964"/>
      <c r="M195" s="975">
        <f>SUM(F195:K195)</f>
        <v>422444</v>
      </c>
      <c r="N195" s="975">
        <f>SUM(G195:L195)</f>
        <v>0</v>
      </c>
      <c r="O195" s="3203"/>
      <c r="P195" s="456"/>
    </row>
    <row r="196" spans="1:16" ht="10.5" hidden="1" customHeight="1">
      <c r="A196" s="3200"/>
      <c r="B196" s="1565" t="s">
        <v>15</v>
      </c>
      <c r="C196" s="3236"/>
      <c r="D196" s="949">
        <f>SUM(E196:I196)</f>
        <v>0</v>
      </c>
      <c r="E196" s="2644">
        <v>0</v>
      </c>
      <c r="F196" s="983"/>
      <c r="G196" s="983"/>
      <c r="H196" s="983"/>
      <c r="I196" s="983"/>
      <c r="J196" s="203"/>
      <c r="K196" s="203"/>
      <c r="L196" s="203"/>
      <c r="M196" s="69"/>
      <c r="N196" s="69"/>
      <c r="O196" s="3203"/>
    </row>
    <row r="197" spans="1:16" ht="12.75" customHeight="1">
      <c r="A197" s="3200"/>
      <c r="B197" s="978" t="s">
        <v>18</v>
      </c>
      <c r="C197" s="3236"/>
      <c r="D197" s="645">
        <f>+D198</f>
        <v>2146736</v>
      </c>
      <c r="E197" s="962">
        <f t="shared" ref="E197:G197" si="118">+E198</f>
        <v>52235</v>
      </c>
      <c r="F197" s="962">
        <f t="shared" si="118"/>
        <v>2094501</v>
      </c>
      <c r="G197" s="962">
        <f t="shared" si="118"/>
        <v>0</v>
      </c>
      <c r="H197" s="962"/>
      <c r="I197" s="962"/>
      <c r="J197" s="645"/>
      <c r="K197" s="645"/>
      <c r="L197" s="645"/>
      <c r="M197" s="644">
        <f>M198</f>
        <v>2094501</v>
      </c>
      <c r="N197" s="644">
        <f>N198</f>
        <v>0</v>
      </c>
      <c r="O197" s="3203"/>
    </row>
    <row r="198" spans="1:16" ht="12" customHeight="1">
      <c r="A198" s="3200"/>
      <c r="B198" s="982" t="s">
        <v>21</v>
      </c>
      <c r="C198" s="3278"/>
      <c r="D198" s="1840">
        <f>E198+F198+G198+H198+I198+J198+K198+L198</f>
        <v>2146736</v>
      </c>
      <c r="E198" s="284">
        <f>52235</f>
        <v>52235</v>
      </c>
      <c r="F198" s="964">
        <f>3570000+170000-1072235-53333-519931</f>
        <v>2094501</v>
      </c>
      <c r="G198" s="964">
        <v>0</v>
      </c>
      <c r="H198" s="718"/>
      <c r="I198" s="718"/>
      <c r="J198" s="717"/>
      <c r="K198" s="717"/>
      <c r="L198" s="717"/>
      <c r="M198" s="975">
        <f>SUM(F198:K198)</f>
        <v>2094501</v>
      </c>
      <c r="N198" s="975">
        <f>SUM(G198:L198)</f>
        <v>0</v>
      </c>
      <c r="O198" s="3204"/>
    </row>
    <row r="199" spans="1:16">
      <c r="A199" s="3227"/>
      <c r="B199" s="93" t="s">
        <v>22</v>
      </c>
      <c r="C199" s="90"/>
      <c r="D199" s="101">
        <f t="shared" ref="D199" si="119">+D200+D202</f>
        <v>2146736</v>
      </c>
      <c r="E199" s="234">
        <f t="shared" ref="E199" si="120">+E200+E202</f>
        <v>0</v>
      </c>
      <c r="F199" s="234">
        <f>+F200+F202</f>
        <v>2028467</v>
      </c>
      <c r="G199" s="234">
        <f>+G200+G202</f>
        <v>118269</v>
      </c>
      <c r="H199" s="234"/>
      <c r="I199" s="234"/>
      <c r="J199" s="234"/>
      <c r="K199" s="234"/>
      <c r="L199" s="234"/>
      <c r="M199" s="3272" t="s">
        <v>23</v>
      </c>
      <c r="N199" s="3272" t="s">
        <v>23</v>
      </c>
      <c r="O199" s="3301" t="s">
        <v>102</v>
      </c>
    </row>
    <row r="200" spans="1:16" hidden="1">
      <c r="A200" s="3227"/>
      <c r="B200" s="980" t="s">
        <v>24</v>
      </c>
      <c r="C200" s="3279" t="s">
        <v>231</v>
      </c>
      <c r="D200" s="52">
        <f>+D201</f>
        <v>0</v>
      </c>
      <c r="E200" s="52">
        <f t="shared" ref="E200" si="121">+E201</f>
        <v>0</v>
      </c>
      <c r="F200" s="52"/>
      <c r="G200" s="52"/>
      <c r="H200" s="52"/>
      <c r="I200" s="52"/>
      <c r="J200" s="52"/>
      <c r="K200" s="52"/>
      <c r="L200" s="52"/>
      <c r="M200" s="3273"/>
      <c r="N200" s="3273"/>
      <c r="O200" s="3266"/>
    </row>
    <row r="201" spans="1:16" hidden="1">
      <c r="A201" s="3227"/>
      <c r="B201" s="92" t="s">
        <v>15</v>
      </c>
      <c r="C201" s="3281"/>
      <c r="D201" s="949">
        <f>SUM(E201:I201)</f>
        <v>0</v>
      </c>
      <c r="E201" s="961">
        <v>0</v>
      </c>
      <c r="F201" s="961"/>
      <c r="G201" s="961"/>
      <c r="H201" s="961"/>
      <c r="I201" s="961"/>
      <c r="J201" s="961"/>
      <c r="K201" s="961"/>
      <c r="L201" s="961"/>
      <c r="M201" s="3273"/>
      <c r="N201" s="3273"/>
      <c r="O201" s="3266"/>
    </row>
    <row r="202" spans="1:16" ht="12" customHeight="1">
      <c r="A202" s="3227"/>
      <c r="B202" s="2641" t="s">
        <v>18</v>
      </c>
      <c r="C202" s="3281"/>
      <c r="D202" s="645">
        <f t="shared" ref="D202:G202" si="122">+D203</f>
        <v>2146736</v>
      </c>
      <c r="E202" s="962">
        <f t="shared" si="122"/>
        <v>0</v>
      </c>
      <c r="F202" s="962">
        <f t="shared" si="122"/>
        <v>2028467</v>
      </c>
      <c r="G202" s="962">
        <f t="shared" si="122"/>
        <v>118269</v>
      </c>
      <c r="H202" s="962"/>
      <c r="I202" s="962"/>
      <c r="J202" s="962"/>
      <c r="K202" s="962"/>
      <c r="L202" s="962"/>
      <c r="M202" s="3273"/>
      <c r="N202" s="3273"/>
      <c r="O202" s="3266"/>
    </row>
    <row r="203" spans="1:16" ht="13.5" thickBot="1">
      <c r="A203" s="3228"/>
      <c r="B203" s="981" t="s">
        <v>21</v>
      </c>
      <c r="C203" s="3282"/>
      <c r="D203" s="247">
        <f>E203+F203+G203+H203+I203+J203+K203+L203</f>
        <v>2146736</v>
      </c>
      <c r="E203" s="284">
        <v>0</v>
      </c>
      <c r="F203" s="483">
        <f>3500000-780000-53333-718122+79922</f>
        <v>2028467</v>
      </c>
      <c r="G203" s="483">
        <f>718122-599853</f>
        <v>118269</v>
      </c>
      <c r="H203" s="483"/>
      <c r="I203" s="483"/>
      <c r="J203" s="483"/>
      <c r="K203" s="483"/>
      <c r="L203" s="483"/>
      <c r="M203" s="3274"/>
      <c r="N203" s="3274"/>
      <c r="O203" s="3267"/>
    </row>
    <row r="204" spans="1:16" ht="24.75" customHeight="1">
      <c r="A204" s="3199" t="s">
        <v>87</v>
      </c>
      <c r="B204" s="423" t="s">
        <v>556</v>
      </c>
      <c r="C204" s="58" t="s">
        <v>81</v>
      </c>
      <c r="D204" s="822"/>
      <c r="E204" s="44"/>
      <c r="F204" s="44"/>
      <c r="G204" s="44"/>
      <c r="H204" s="44"/>
      <c r="I204" s="44"/>
      <c r="J204" s="44"/>
      <c r="K204" s="44"/>
      <c r="L204" s="44"/>
      <c r="M204" s="45"/>
      <c r="N204" s="45"/>
      <c r="O204" s="3202" t="s">
        <v>86</v>
      </c>
    </row>
    <row r="205" spans="1:16">
      <c r="A205" s="3200"/>
      <c r="B205" s="488" t="s">
        <v>10</v>
      </c>
      <c r="C205" s="2647"/>
      <c r="D205" s="1843">
        <f>+D206+D209</f>
        <v>21750655</v>
      </c>
      <c r="E205" s="1843">
        <f t="shared" ref="E205" si="123">+E206+E209</f>
        <v>598614</v>
      </c>
      <c r="F205" s="1843">
        <f t="shared" ref="F205:G205" si="124">+F206+F209</f>
        <v>2091120</v>
      </c>
      <c r="G205" s="1843">
        <f t="shared" si="124"/>
        <v>19060921</v>
      </c>
      <c r="H205" s="1843"/>
      <c r="I205" s="1843"/>
      <c r="J205" s="1843"/>
      <c r="K205" s="1843"/>
      <c r="L205" s="1843"/>
      <c r="M205" s="2648">
        <f>+M206+M209</f>
        <v>21152041</v>
      </c>
      <c r="N205" s="2648">
        <f>+N206+N209</f>
        <v>19060921</v>
      </c>
      <c r="O205" s="3203"/>
      <c r="P205" s="233" t="s">
        <v>412</v>
      </c>
    </row>
    <row r="206" spans="1:16" ht="13.5" customHeight="1">
      <c r="A206" s="3200"/>
      <c r="B206" s="668" t="s">
        <v>24</v>
      </c>
      <c r="C206" s="3205" t="s">
        <v>84</v>
      </c>
      <c r="D206" s="1844">
        <f>+D207+D208</f>
        <v>6901840</v>
      </c>
      <c r="E206" s="1844">
        <f t="shared" ref="E206" si="125">+E207</f>
        <v>598614</v>
      </c>
      <c r="F206" s="1844">
        <f>+F207+F208</f>
        <v>1120337</v>
      </c>
      <c r="G206" s="1844">
        <f>+G207+G208</f>
        <v>5182889</v>
      </c>
      <c r="H206" s="1844"/>
      <c r="I206" s="1844"/>
      <c r="J206" s="1844"/>
      <c r="K206" s="1844"/>
      <c r="L206" s="1844"/>
      <c r="M206" s="1845">
        <f>+M207+M208</f>
        <v>6303226</v>
      </c>
      <c r="N206" s="1845">
        <f>+N207+N208</f>
        <v>5182889</v>
      </c>
      <c r="O206" s="3203"/>
      <c r="P206" s="456"/>
    </row>
    <row r="207" spans="1:16">
      <c r="A207" s="3200"/>
      <c r="B207" s="732" t="s">
        <v>12</v>
      </c>
      <c r="C207" s="3206"/>
      <c r="D207" s="1715">
        <f>E207+F207+G207+H207+I207+J207+K207+L207</f>
        <v>718614</v>
      </c>
      <c r="E207" s="1775">
        <v>598614</v>
      </c>
      <c r="F207" s="1817">
        <f>2960680-2945680+5000-13764</f>
        <v>6236</v>
      </c>
      <c r="G207" s="1817">
        <v>113764</v>
      </c>
      <c r="H207" s="1817"/>
      <c r="I207" s="1817"/>
      <c r="J207" s="1817"/>
      <c r="K207" s="1817"/>
      <c r="L207" s="1817"/>
      <c r="M207" s="975">
        <f>SUM(F207:K207)</f>
        <v>120000</v>
      </c>
      <c r="N207" s="975">
        <f>SUM(G207:L207)</f>
        <v>113764</v>
      </c>
      <c r="O207" s="3203"/>
    </row>
    <row r="208" spans="1:16">
      <c r="A208" s="3200"/>
      <c r="B208" s="2649" t="s">
        <v>15</v>
      </c>
      <c r="C208" s="3206"/>
      <c r="D208" s="1715">
        <f>E208+F208+G208+H208+I208+J208+K208+L208</f>
        <v>6183226</v>
      </c>
      <c r="E208" s="1775">
        <v>0</v>
      </c>
      <c r="F208" s="995">
        <f>4895843-1267664-2000000-514078</f>
        <v>1114101</v>
      </c>
      <c r="G208" s="995">
        <f>4774157+1267664-1486774+514078</f>
        <v>5069125</v>
      </c>
      <c r="H208" s="995"/>
      <c r="I208" s="995"/>
      <c r="J208" s="995"/>
      <c r="K208" s="995"/>
      <c r="L208" s="995"/>
      <c r="M208" s="975">
        <f>SUM(F208:K208)</f>
        <v>6183226</v>
      </c>
      <c r="N208" s="975">
        <f>SUM(G208:L208)</f>
        <v>5069125</v>
      </c>
      <c r="O208" s="3203"/>
    </row>
    <row r="209" spans="1:17" ht="13.5" customHeight="1">
      <c r="A209" s="3200"/>
      <c r="B209" s="670" t="s">
        <v>18</v>
      </c>
      <c r="C209" s="3206"/>
      <c r="D209" s="1804">
        <f>+D210</f>
        <v>14848815</v>
      </c>
      <c r="E209" s="1804">
        <f t="shared" ref="E209:G209" si="126">+E210</f>
        <v>0</v>
      </c>
      <c r="F209" s="1804">
        <f t="shared" si="126"/>
        <v>970783</v>
      </c>
      <c r="G209" s="1804">
        <f t="shared" si="126"/>
        <v>13878032</v>
      </c>
      <c r="H209" s="1804"/>
      <c r="I209" s="1804"/>
      <c r="J209" s="1804"/>
      <c r="K209" s="1804"/>
      <c r="L209" s="1804"/>
      <c r="M209" s="1805">
        <f>+M210</f>
        <v>14848815</v>
      </c>
      <c r="N209" s="1805">
        <f>+N210</f>
        <v>13878032</v>
      </c>
      <c r="O209" s="3203"/>
    </row>
    <row r="210" spans="1:17">
      <c r="A210" s="3200"/>
      <c r="B210" s="1819" t="s">
        <v>21</v>
      </c>
      <c r="C210" s="3207"/>
      <c r="D210" s="1715">
        <f>E210+F210+G210+H210+I210+J210+K210+L210</f>
        <v>14848815</v>
      </c>
      <c r="E210" s="1775">
        <v>0</v>
      </c>
      <c r="F210" s="1817">
        <f>5649157-3777336-901038</f>
        <v>970783</v>
      </c>
      <c r="G210" s="1817">
        <f>14225843+3777336-5026185+901038</f>
        <v>13878032</v>
      </c>
      <c r="H210" s="1817"/>
      <c r="I210" s="1817"/>
      <c r="J210" s="1817"/>
      <c r="K210" s="1817"/>
      <c r="L210" s="1817"/>
      <c r="M210" s="975">
        <f>SUM(F210:K210)</f>
        <v>14848815</v>
      </c>
      <c r="N210" s="975">
        <f>SUM(G210:L210)</f>
        <v>13878032</v>
      </c>
      <c r="O210" s="3204"/>
    </row>
    <row r="211" spans="1:17">
      <c r="A211" s="3200"/>
      <c r="B211" s="488" t="s">
        <v>22</v>
      </c>
      <c r="C211" s="641"/>
      <c r="D211" s="1801">
        <f>+D214+D212</f>
        <v>21032041</v>
      </c>
      <c r="E211" s="1801">
        <f t="shared" ref="E211" si="127">+E214+E212</f>
        <v>0</v>
      </c>
      <c r="F211" s="1801">
        <f t="shared" ref="F211" si="128">+F214+F212</f>
        <v>2985504</v>
      </c>
      <c r="G211" s="1801">
        <f t="shared" ref="G211" si="129">+G214+G212</f>
        <v>18046537</v>
      </c>
      <c r="H211" s="1801"/>
      <c r="I211" s="1801"/>
      <c r="J211" s="1801"/>
      <c r="K211" s="1801"/>
      <c r="L211" s="1801"/>
      <c r="M211" s="3208" t="s">
        <v>23</v>
      </c>
      <c r="N211" s="3208" t="s">
        <v>23</v>
      </c>
      <c r="O211" s="3211" t="s">
        <v>102</v>
      </c>
      <c r="P211" s="456"/>
      <c r="Q211" s="456">
        <v>-1230552</v>
      </c>
    </row>
    <row r="212" spans="1:17" ht="12" customHeight="1">
      <c r="A212" s="3200"/>
      <c r="B212" s="1820" t="s">
        <v>24</v>
      </c>
      <c r="C212" s="3214" t="s">
        <v>582</v>
      </c>
      <c r="D212" s="1804">
        <f>+D213</f>
        <v>6183226</v>
      </c>
      <c r="E212" s="1804">
        <f t="shared" ref="E212:G212" si="130">+E213</f>
        <v>0</v>
      </c>
      <c r="F212" s="1804">
        <f t="shared" si="130"/>
        <v>1114101</v>
      </c>
      <c r="G212" s="1804">
        <f t="shared" si="130"/>
        <v>5069125</v>
      </c>
      <c r="H212" s="1804"/>
      <c r="I212" s="1804"/>
      <c r="J212" s="1804"/>
      <c r="K212" s="1804"/>
      <c r="L212" s="1804"/>
      <c r="M212" s="3209"/>
      <c r="N212" s="3209"/>
      <c r="O212" s="3212"/>
    </row>
    <row r="213" spans="1:17" ht="12" customHeight="1">
      <c r="A213" s="3200"/>
      <c r="B213" s="1832" t="s">
        <v>15</v>
      </c>
      <c r="C213" s="3215"/>
      <c r="D213" s="1715">
        <f>E213+F213+G213+H213+I213+J213+K213+L213</f>
        <v>6183226</v>
      </c>
      <c r="E213" s="1775">
        <v>0</v>
      </c>
      <c r="F213" s="1744">
        <f>4895843-1267664-2000000-514078</f>
        <v>1114101</v>
      </c>
      <c r="G213" s="1744">
        <f>4774157+1267664-1486774+514078</f>
        <v>5069125</v>
      </c>
      <c r="H213" s="1744"/>
      <c r="I213" s="1744"/>
      <c r="J213" s="1744"/>
      <c r="K213" s="1744"/>
      <c r="L213" s="1744"/>
      <c r="M213" s="3209"/>
      <c r="N213" s="3209"/>
      <c r="O213" s="3212"/>
    </row>
    <row r="214" spans="1:17" s="265" customFormat="1">
      <c r="A214" s="3200"/>
      <c r="B214" s="670" t="s">
        <v>18</v>
      </c>
      <c r="C214" s="3215"/>
      <c r="D214" s="1822">
        <f>+D215</f>
        <v>14848815</v>
      </c>
      <c r="E214" s="1822">
        <f t="shared" ref="E214:G214" si="131">+E215</f>
        <v>0</v>
      </c>
      <c r="F214" s="1822">
        <f t="shared" si="131"/>
        <v>1871403</v>
      </c>
      <c r="G214" s="1822">
        <f t="shared" si="131"/>
        <v>12977412</v>
      </c>
      <c r="H214" s="1822"/>
      <c r="I214" s="1822"/>
      <c r="J214" s="1822"/>
      <c r="K214" s="1822"/>
      <c r="L214" s="1822"/>
      <c r="M214" s="3209"/>
      <c r="N214" s="3209"/>
      <c r="O214" s="3212"/>
    </row>
    <row r="215" spans="1:17" s="265" customFormat="1" ht="13.5" thickBot="1">
      <c r="A215" s="3201"/>
      <c r="B215" s="981" t="s">
        <v>21</v>
      </c>
      <c r="C215" s="3216"/>
      <c r="D215" s="942">
        <f>E215+F215+G215+H215+I215+J215+K215+L215</f>
        <v>14848815</v>
      </c>
      <c r="E215" s="942">
        <v>0</v>
      </c>
      <c r="F215" s="480">
        <f>5649157-3777336-418</f>
        <v>1871403</v>
      </c>
      <c r="G215" s="480">
        <f>14225843+3777336-5026185+418</f>
        <v>12977412</v>
      </c>
      <c r="H215" s="480"/>
      <c r="I215" s="480"/>
      <c r="J215" s="480"/>
      <c r="K215" s="480"/>
      <c r="L215" s="480"/>
      <c r="M215" s="3210"/>
      <c r="N215" s="3210"/>
      <c r="O215" s="3213"/>
    </row>
    <row r="216" spans="1:17" ht="36.75" customHeight="1">
      <c r="A216" s="3199" t="s">
        <v>88</v>
      </c>
      <c r="B216" s="423" t="s">
        <v>557</v>
      </c>
      <c r="C216" s="58" t="s">
        <v>81</v>
      </c>
      <c r="D216" s="822"/>
      <c r="E216" s="44"/>
      <c r="F216" s="44"/>
      <c r="G216" s="44"/>
      <c r="H216" s="44"/>
      <c r="I216" s="44"/>
      <c r="J216" s="44"/>
      <c r="K216" s="44"/>
      <c r="L216" s="44"/>
      <c r="M216" s="45"/>
      <c r="N216" s="45"/>
      <c r="O216" s="3202" t="s">
        <v>86</v>
      </c>
    </row>
    <row r="217" spans="1:17">
      <c r="A217" s="3200"/>
      <c r="B217" s="488" t="s">
        <v>10</v>
      </c>
      <c r="C217" s="2647"/>
      <c r="D217" s="1843">
        <f>+D218+D221</f>
        <v>27754763</v>
      </c>
      <c r="E217" s="1843">
        <f t="shared" ref="E217" si="132">+E218+E221</f>
        <v>813504</v>
      </c>
      <c r="F217" s="1843">
        <f t="shared" ref="F217" si="133">+F218+F221</f>
        <v>635700</v>
      </c>
      <c r="G217" s="1843">
        <f t="shared" ref="G217:H217" si="134">+G218+G221</f>
        <v>19850000</v>
      </c>
      <c r="H217" s="1843">
        <f t="shared" si="134"/>
        <v>6455559</v>
      </c>
      <c r="I217" s="1843"/>
      <c r="J217" s="1843"/>
      <c r="K217" s="1843"/>
      <c r="L217" s="1843"/>
      <c r="M217" s="1864">
        <f>+M218+M221</f>
        <v>26941259</v>
      </c>
      <c r="N217" s="1864">
        <f>+N218+N221</f>
        <v>26305559</v>
      </c>
      <c r="O217" s="3203"/>
      <c r="P217" s="233" t="s">
        <v>305</v>
      </c>
    </row>
    <row r="218" spans="1:17" ht="13.5" customHeight="1">
      <c r="A218" s="3200"/>
      <c r="B218" s="668" t="s">
        <v>24</v>
      </c>
      <c r="C218" s="3256" t="s">
        <v>84</v>
      </c>
      <c r="D218" s="1844">
        <f>+D219+D220</f>
        <v>5272263</v>
      </c>
      <c r="E218" s="1844">
        <f t="shared" ref="E218" si="135">+E219+E220</f>
        <v>813504</v>
      </c>
      <c r="F218" s="1844">
        <f>+F219+F220</f>
        <v>430085</v>
      </c>
      <c r="G218" s="1844">
        <f>+G219+G220</f>
        <v>2977500</v>
      </c>
      <c r="H218" s="1844">
        <f>+H219+H220</f>
        <v>1051174</v>
      </c>
      <c r="I218" s="1844"/>
      <c r="J218" s="1844"/>
      <c r="K218" s="1844"/>
      <c r="L218" s="1844"/>
      <c r="M218" s="1845">
        <f>+M219</f>
        <v>4458759</v>
      </c>
      <c r="N218" s="1845">
        <f>+N219</f>
        <v>4028674</v>
      </c>
      <c r="O218" s="3203"/>
      <c r="P218" s="456"/>
    </row>
    <row r="219" spans="1:17" ht="13.5" customHeight="1">
      <c r="A219" s="3200"/>
      <c r="B219" s="732" t="s">
        <v>12</v>
      </c>
      <c r="C219" s="3206"/>
      <c r="D219" s="949">
        <f>E219+F219+G219+H219+I219+J219+K219+L219</f>
        <v>4464299</v>
      </c>
      <c r="E219" s="1775">
        <f>5494+46</f>
        <v>5540</v>
      </c>
      <c r="F219" s="1817">
        <f>990000-518715-41200</f>
        <v>430085</v>
      </c>
      <c r="G219" s="1817">
        <f>2977500</f>
        <v>2977500</v>
      </c>
      <c r="H219" s="1817">
        <f>518715+532459</f>
        <v>1051174</v>
      </c>
      <c r="I219" s="1817"/>
      <c r="J219" s="1817"/>
      <c r="K219" s="1817"/>
      <c r="L219" s="1817"/>
      <c r="M219" s="1818">
        <f>SUM(F219:K219)</f>
        <v>4458759</v>
      </c>
      <c r="N219" s="2650">
        <f>SUM(G219:L219)</f>
        <v>4028674</v>
      </c>
      <c r="O219" s="3203"/>
    </row>
    <row r="220" spans="1:17" ht="13.5" customHeight="1">
      <c r="A220" s="3200"/>
      <c r="B220" s="2649" t="s">
        <v>15</v>
      </c>
      <c r="C220" s="3206"/>
      <c r="D220" s="949">
        <f>E220+F220+G220+H220+I220+J220+K220+L220</f>
        <v>807964</v>
      </c>
      <c r="E220" s="1775">
        <f>807828+136</f>
        <v>807964</v>
      </c>
      <c r="F220" s="995">
        <v>0</v>
      </c>
      <c r="G220" s="995">
        <v>0</v>
      </c>
      <c r="H220" s="995"/>
      <c r="I220" s="995"/>
      <c r="J220" s="995"/>
      <c r="K220" s="995"/>
      <c r="L220" s="995"/>
      <c r="M220" s="1818">
        <f>SUM(F220:K220)</f>
        <v>0</v>
      </c>
      <c r="N220" s="2650">
        <f>SUM(G220:L220)</f>
        <v>0</v>
      </c>
      <c r="O220" s="3203"/>
    </row>
    <row r="221" spans="1:17" ht="13.5" customHeight="1">
      <c r="A221" s="3200"/>
      <c r="B221" s="978" t="s">
        <v>18</v>
      </c>
      <c r="C221" s="3206"/>
      <c r="D221" s="1804">
        <f>+D222</f>
        <v>22482500</v>
      </c>
      <c r="E221" s="1804">
        <f t="shared" ref="E221:H221" si="136">+E222</f>
        <v>0</v>
      </c>
      <c r="F221" s="1804">
        <f t="shared" si="136"/>
        <v>205615</v>
      </c>
      <c r="G221" s="1804">
        <f t="shared" si="136"/>
        <v>16872500</v>
      </c>
      <c r="H221" s="1804">
        <f t="shared" si="136"/>
        <v>5404385</v>
      </c>
      <c r="I221" s="1804"/>
      <c r="J221" s="1804"/>
      <c r="K221" s="1804"/>
      <c r="L221" s="1804"/>
      <c r="M221" s="1805">
        <f>+M222</f>
        <v>22482500</v>
      </c>
      <c r="N221" s="1845">
        <f>+N222</f>
        <v>22276885</v>
      </c>
      <c r="O221" s="3203"/>
    </row>
    <row r="222" spans="1:17" ht="13.5" customHeight="1">
      <c r="A222" s="3200"/>
      <c r="B222" s="676" t="s">
        <v>21</v>
      </c>
      <c r="C222" s="3207"/>
      <c r="D222" s="949">
        <f>E222+F222+G222+H222+I222+J222+K222+L222</f>
        <v>22482500</v>
      </c>
      <c r="E222" s="1775">
        <v>0</v>
      </c>
      <c r="F222" s="1817">
        <f>5610000-5319385-85000</f>
        <v>205615</v>
      </c>
      <c r="G222" s="1817">
        <v>16872500</v>
      </c>
      <c r="H222" s="1817">
        <f>5319385+85000</f>
        <v>5404385</v>
      </c>
      <c r="I222" s="1817"/>
      <c r="J222" s="1817"/>
      <c r="K222" s="1817"/>
      <c r="L222" s="1817"/>
      <c r="M222" s="1818">
        <f>SUM(F222:K222)</f>
        <v>22482500</v>
      </c>
      <c r="N222" s="2650">
        <f>SUM(G222:L222)</f>
        <v>22276885</v>
      </c>
      <c r="O222" s="3204"/>
    </row>
    <row r="223" spans="1:17">
      <c r="A223" s="3200"/>
      <c r="B223" s="488" t="s">
        <v>22</v>
      </c>
      <c r="C223" s="641"/>
      <c r="D223" s="1801">
        <f>+D226+D224</f>
        <v>23290464</v>
      </c>
      <c r="E223" s="1801">
        <f t="shared" ref="E223" si="137">+E226+E224</f>
        <v>807964</v>
      </c>
      <c r="F223" s="1801">
        <f t="shared" ref="F223:H223" si="138">+F226+F224</f>
        <v>0</v>
      </c>
      <c r="G223" s="1801">
        <f t="shared" si="138"/>
        <v>17078115</v>
      </c>
      <c r="H223" s="1801">
        <f t="shared" si="138"/>
        <v>5404385</v>
      </c>
      <c r="I223" s="1801"/>
      <c r="J223" s="1801"/>
      <c r="K223" s="1801"/>
      <c r="L223" s="1801"/>
      <c r="M223" s="3257" t="s">
        <v>23</v>
      </c>
      <c r="N223" s="3257" t="s">
        <v>23</v>
      </c>
      <c r="O223" s="3258" t="s">
        <v>102</v>
      </c>
      <c r="P223" s="456"/>
      <c r="Q223" s="456">
        <v>-1230552</v>
      </c>
    </row>
    <row r="224" spans="1:17" ht="12" customHeight="1">
      <c r="A224" s="3200"/>
      <c r="B224" s="1808" t="s">
        <v>24</v>
      </c>
      <c r="C224" s="3232" t="s">
        <v>582</v>
      </c>
      <c r="D224" s="1804">
        <f>+D225</f>
        <v>807964</v>
      </c>
      <c r="E224" s="1804">
        <f t="shared" ref="E224:H224" si="139">+E225</f>
        <v>807964</v>
      </c>
      <c r="F224" s="1804">
        <f t="shared" si="139"/>
        <v>0</v>
      </c>
      <c r="G224" s="1804">
        <f t="shared" si="139"/>
        <v>0</v>
      </c>
      <c r="H224" s="1804">
        <f t="shared" si="139"/>
        <v>0</v>
      </c>
      <c r="I224" s="1804"/>
      <c r="J224" s="1804"/>
      <c r="K224" s="1804"/>
      <c r="L224" s="1804"/>
      <c r="M224" s="3209"/>
      <c r="N224" s="3209"/>
      <c r="O224" s="3212"/>
    </row>
    <row r="225" spans="1:17" ht="12" customHeight="1">
      <c r="A225" s="3200"/>
      <c r="B225" s="1832" t="s">
        <v>15</v>
      </c>
      <c r="C225" s="3215"/>
      <c r="D225" s="949">
        <f>E225+F225+G225+H225+I225+J225+K225+L225</f>
        <v>807964</v>
      </c>
      <c r="E225" s="1775">
        <f>807828+136</f>
        <v>807964</v>
      </c>
      <c r="F225" s="1821"/>
      <c r="G225" s="1821"/>
      <c r="H225" s="1821"/>
      <c r="I225" s="1821"/>
      <c r="J225" s="1821"/>
      <c r="K225" s="1821"/>
      <c r="L225" s="1821"/>
      <c r="M225" s="3209"/>
      <c r="N225" s="3209"/>
      <c r="O225" s="3212"/>
    </row>
    <row r="226" spans="1:17" s="265" customFormat="1" ht="13.5" customHeight="1">
      <c r="A226" s="3200"/>
      <c r="B226" s="670" t="s">
        <v>18</v>
      </c>
      <c r="C226" s="3215"/>
      <c r="D226" s="1822">
        <f>+D227</f>
        <v>22482500</v>
      </c>
      <c r="E226" s="1822">
        <f t="shared" ref="E226:H226" si="140">+E227</f>
        <v>0</v>
      </c>
      <c r="F226" s="1822">
        <f t="shared" si="140"/>
        <v>0</v>
      </c>
      <c r="G226" s="1822">
        <f t="shared" si="140"/>
        <v>17078115</v>
      </c>
      <c r="H226" s="1822">
        <f t="shared" si="140"/>
        <v>5404385</v>
      </c>
      <c r="I226" s="1822"/>
      <c r="J226" s="1822"/>
      <c r="K226" s="1822"/>
      <c r="L226" s="1822"/>
      <c r="M226" s="3209"/>
      <c r="N226" s="3209"/>
      <c r="O226" s="3212"/>
    </row>
    <row r="227" spans="1:17" s="265" customFormat="1" ht="13.5" thickBot="1">
      <c r="A227" s="3201"/>
      <c r="B227" s="981" t="s">
        <v>21</v>
      </c>
      <c r="C227" s="3216"/>
      <c r="D227" s="942">
        <f>E227+F227+G227+H227+I227+J227+K227+L227</f>
        <v>22482500</v>
      </c>
      <c r="E227" s="942">
        <v>0</v>
      </c>
      <c r="F227" s="480">
        <f>5610000-5610000</f>
        <v>0</v>
      </c>
      <c r="G227" s="480">
        <f>16872500+290615-85000</f>
        <v>17078115</v>
      </c>
      <c r="H227" s="480">
        <f>5319385+85000</f>
        <v>5404385</v>
      </c>
      <c r="I227" s="480"/>
      <c r="J227" s="480"/>
      <c r="K227" s="480"/>
      <c r="L227" s="480"/>
      <c r="M227" s="3210"/>
      <c r="N227" s="3210"/>
      <c r="O227" s="3213"/>
    </row>
    <row r="228" spans="1:17" ht="35.25" customHeight="1">
      <c r="A228" s="3199" t="s">
        <v>89</v>
      </c>
      <c r="B228" s="423" t="s">
        <v>558</v>
      </c>
      <c r="C228" s="58" t="s">
        <v>81</v>
      </c>
      <c r="D228" s="822"/>
      <c r="E228" s="44"/>
      <c r="F228" s="44"/>
      <c r="G228" s="44"/>
      <c r="H228" s="44"/>
      <c r="I228" s="44"/>
      <c r="J228" s="44"/>
      <c r="K228" s="44"/>
      <c r="L228" s="44"/>
      <c r="M228" s="45"/>
      <c r="N228" s="45"/>
      <c r="O228" s="3202" t="s">
        <v>86</v>
      </c>
    </row>
    <row r="229" spans="1:17" ht="13.5" customHeight="1">
      <c r="A229" s="3200"/>
      <c r="B229" s="488" t="s">
        <v>10</v>
      </c>
      <c r="C229" s="2651"/>
      <c r="D229" s="965">
        <f>+D230+D233</f>
        <v>11002205</v>
      </c>
      <c r="E229" s="965">
        <f t="shared" ref="E229" si="141">+E230+E233</f>
        <v>0</v>
      </c>
      <c r="F229" s="965">
        <f t="shared" ref="F229:G229" si="142">+F230+F233</f>
        <v>617780</v>
      </c>
      <c r="G229" s="965">
        <f t="shared" si="142"/>
        <v>10384425</v>
      </c>
      <c r="H229" s="965"/>
      <c r="I229" s="965"/>
      <c r="J229" s="965"/>
      <c r="K229" s="965"/>
      <c r="L229" s="965"/>
      <c r="M229" s="2596">
        <f>+M230+M233</f>
        <v>11002205</v>
      </c>
      <c r="N229" s="2596">
        <f>+N230+N233</f>
        <v>10384425</v>
      </c>
      <c r="O229" s="3203"/>
    </row>
    <row r="230" spans="1:17" ht="13.5" customHeight="1">
      <c r="A230" s="3200"/>
      <c r="B230" s="668" t="s">
        <v>24</v>
      </c>
      <c r="C230" s="3256" t="s">
        <v>84</v>
      </c>
      <c r="D230" s="713">
        <f>+D231+D232</f>
        <v>2168259</v>
      </c>
      <c r="E230" s="713">
        <f t="shared" ref="E230" si="143">+E231+E232</f>
        <v>0</v>
      </c>
      <c r="F230" s="713">
        <f>+F231+F232</f>
        <v>141638</v>
      </c>
      <c r="G230" s="713">
        <f>+G231+G232</f>
        <v>2026621</v>
      </c>
      <c r="H230" s="713"/>
      <c r="I230" s="713"/>
      <c r="J230" s="713"/>
      <c r="K230" s="713"/>
      <c r="L230" s="713"/>
      <c r="M230" s="740">
        <f>+M231+M232</f>
        <v>2168259</v>
      </c>
      <c r="N230" s="740">
        <f>+N231+N232</f>
        <v>2026621</v>
      </c>
      <c r="O230" s="3203"/>
      <c r="P230" s="456"/>
    </row>
    <row r="231" spans="1:17">
      <c r="A231" s="3200"/>
      <c r="B231" s="732" t="s">
        <v>12</v>
      </c>
      <c r="C231" s="3206"/>
      <c r="D231" s="949">
        <f>E231+F231+G231+H231+I231+J231+K231+L231</f>
        <v>1658932</v>
      </c>
      <c r="E231" s="964">
        <v>0</v>
      </c>
      <c r="F231" s="717">
        <f>520000-5922-43134-329306</f>
        <v>141638</v>
      </c>
      <c r="G231" s="717">
        <f>1260000-17764-54248+329306</f>
        <v>1517294</v>
      </c>
      <c r="H231" s="717"/>
      <c r="I231" s="717"/>
      <c r="J231" s="717"/>
      <c r="K231" s="717"/>
      <c r="L231" s="717"/>
      <c r="M231" s="975">
        <f>SUM(F231:K231)</f>
        <v>1658932</v>
      </c>
      <c r="N231" s="975">
        <f>SUM(G231:L231)</f>
        <v>1517294</v>
      </c>
      <c r="O231" s="3203"/>
    </row>
    <row r="232" spans="1:17">
      <c r="A232" s="3200"/>
      <c r="B232" s="2649" t="s">
        <v>15</v>
      </c>
      <c r="C232" s="3206"/>
      <c r="D232" s="949">
        <f>E232+F232+G232+H232+I232+J232+K232+L232</f>
        <v>509327</v>
      </c>
      <c r="E232" s="2652">
        <v>0</v>
      </c>
      <c r="F232" s="995">
        <f>138882-138882</f>
        <v>0</v>
      </c>
      <c r="G232" s="995">
        <f>370445+138882</f>
        <v>509327</v>
      </c>
      <c r="H232" s="995"/>
      <c r="I232" s="995"/>
      <c r="J232" s="995"/>
      <c r="K232" s="995"/>
      <c r="L232" s="995"/>
      <c r="M232" s="975">
        <f>SUM(E232:K232)</f>
        <v>509327</v>
      </c>
      <c r="N232" s="975">
        <f>SUM(G232:L232)</f>
        <v>509327</v>
      </c>
      <c r="O232" s="3203"/>
    </row>
    <row r="233" spans="1:17" ht="13.5" customHeight="1">
      <c r="A233" s="3200"/>
      <c r="B233" s="670" t="s">
        <v>18</v>
      </c>
      <c r="C233" s="3206"/>
      <c r="D233" s="645">
        <f>+D234</f>
        <v>8833946</v>
      </c>
      <c r="E233" s="645">
        <f t="shared" ref="E233:G233" si="144">+E234</f>
        <v>0</v>
      </c>
      <c r="F233" s="645">
        <f t="shared" si="144"/>
        <v>476142</v>
      </c>
      <c r="G233" s="645">
        <f t="shared" si="144"/>
        <v>8357804</v>
      </c>
      <c r="H233" s="645"/>
      <c r="I233" s="645"/>
      <c r="J233" s="645"/>
      <c r="K233" s="645"/>
      <c r="L233" s="645"/>
      <c r="M233" s="644">
        <f>+M234</f>
        <v>8833946</v>
      </c>
      <c r="N233" s="644">
        <f>+N234</f>
        <v>8357804</v>
      </c>
      <c r="O233" s="3203"/>
    </row>
    <row r="234" spans="1:17">
      <c r="A234" s="3200"/>
      <c r="B234" s="676" t="s">
        <v>21</v>
      </c>
      <c r="C234" s="3207"/>
      <c r="D234" s="949">
        <f>E234+F234+G234+H234+I234+J234+K234+L234</f>
        <v>8833946</v>
      </c>
      <c r="E234" s="964">
        <v>0</v>
      </c>
      <c r="F234" s="717">
        <f>2380000-33554-226296-1644008</f>
        <v>476142</v>
      </c>
      <c r="G234" s="717">
        <f>7140000-100662-325542+1644008</f>
        <v>8357804</v>
      </c>
      <c r="H234" s="717"/>
      <c r="I234" s="717"/>
      <c r="J234" s="717"/>
      <c r="K234" s="717"/>
      <c r="L234" s="717"/>
      <c r="M234" s="975">
        <f>SUM(F234:K234)</f>
        <v>8833946</v>
      </c>
      <c r="N234" s="975">
        <f>SUM(G234:L234)</f>
        <v>8357804</v>
      </c>
      <c r="O234" s="3204"/>
    </row>
    <row r="235" spans="1:17">
      <c r="A235" s="3200"/>
      <c r="B235" s="488" t="s">
        <v>22</v>
      </c>
      <c r="C235" s="641"/>
      <c r="D235" s="709">
        <f>+D238+D236</f>
        <v>9343273</v>
      </c>
      <c r="E235" s="709">
        <f t="shared" ref="E235" si="145">+E238+E236</f>
        <v>0</v>
      </c>
      <c r="F235" s="709">
        <f t="shared" ref="F235:G235" si="146">+F238+F236</f>
        <v>2069792</v>
      </c>
      <c r="G235" s="709">
        <f t="shared" si="146"/>
        <v>7273481</v>
      </c>
      <c r="H235" s="709"/>
      <c r="I235" s="709"/>
      <c r="J235" s="709"/>
      <c r="K235" s="709"/>
      <c r="L235" s="709"/>
      <c r="M235" s="3257" t="s">
        <v>23</v>
      </c>
      <c r="N235" s="3257" t="s">
        <v>23</v>
      </c>
      <c r="O235" s="3258" t="s">
        <v>102</v>
      </c>
      <c r="P235" s="456"/>
      <c r="Q235" s="456">
        <v>-1230552</v>
      </c>
    </row>
    <row r="236" spans="1:17" ht="12" customHeight="1">
      <c r="A236" s="3200"/>
      <c r="B236" s="2236" t="s">
        <v>24</v>
      </c>
      <c r="C236" s="3232" t="s">
        <v>582</v>
      </c>
      <c r="D236" s="645">
        <f>+D237</f>
        <v>509327</v>
      </c>
      <c r="E236" s="645">
        <f t="shared" ref="E236:G236" si="147">+E237</f>
        <v>0</v>
      </c>
      <c r="F236" s="645">
        <f t="shared" si="147"/>
        <v>0</v>
      </c>
      <c r="G236" s="645">
        <f t="shared" si="147"/>
        <v>509327</v>
      </c>
      <c r="H236" s="645"/>
      <c r="I236" s="645"/>
      <c r="J236" s="645"/>
      <c r="K236" s="645"/>
      <c r="L236" s="645"/>
      <c r="M236" s="3209"/>
      <c r="N236" s="3209"/>
      <c r="O236" s="3212"/>
    </row>
    <row r="237" spans="1:17" ht="12" customHeight="1">
      <c r="A237" s="3200"/>
      <c r="B237" s="2640" t="s">
        <v>15</v>
      </c>
      <c r="C237" s="3215"/>
      <c r="D237" s="949">
        <f>E237+F237+G237+H237+I237+J237+K237+L237</f>
        <v>509327</v>
      </c>
      <c r="E237" s="2597"/>
      <c r="F237" s="2597">
        <f>138882-138882</f>
        <v>0</v>
      </c>
      <c r="G237" s="2597">
        <f>370445+138882</f>
        <v>509327</v>
      </c>
      <c r="H237" s="2597"/>
      <c r="I237" s="2597"/>
      <c r="J237" s="2597"/>
      <c r="K237" s="2597"/>
      <c r="L237" s="2597"/>
      <c r="M237" s="3209"/>
      <c r="N237" s="3209"/>
      <c r="O237" s="3212"/>
    </row>
    <row r="238" spans="1:17" s="265" customFormat="1" ht="13.5" customHeight="1">
      <c r="A238" s="3200"/>
      <c r="B238" s="670" t="s">
        <v>18</v>
      </c>
      <c r="C238" s="3215"/>
      <c r="D238" s="889">
        <f>+D239</f>
        <v>8833946</v>
      </c>
      <c r="E238" s="889">
        <f t="shared" ref="E238:G238" si="148">+E239</f>
        <v>0</v>
      </c>
      <c r="F238" s="889">
        <f t="shared" si="148"/>
        <v>2069792</v>
      </c>
      <c r="G238" s="889">
        <f t="shared" si="148"/>
        <v>6764154</v>
      </c>
      <c r="H238" s="889"/>
      <c r="I238" s="889"/>
      <c r="J238" s="889"/>
      <c r="K238" s="889"/>
      <c r="L238" s="889"/>
      <c r="M238" s="3209"/>
      <c r="N238" s="3209"/>
      <c r="O238" s="3212"/>
    </row>
    <row r="239" spans="1:17" s="265" customFormat="1" ht="13.5" thickBot="1">
      <c r="A239" s="3201"/>
      <c r="B239" s="981" t="s">
        <v>21</v>
      </c>
      <c r="C239" s="3216"/>
      <c r="D239" s="2391">
        <f>E239+F239+G239+H239+I239+J239+K239+L239</f>
        <v>8833946</v>
      </c>
      <c r="E239" s="2391">
        <v>0</v>
      </c>
      <c r="F239" s="480">
        <f>2380000-33554-226296-50358</f>
        <v>2069792</v>
      </c>
      <c r="G239" s="480">
        <f>7140000-100662-325542+50358</f>
        <v>6764154</v>
      </c>
      <c r="H239" s="480"/>
      <c r="I239" s="480"/>
      <c r="J239" s="480"/>
      <c r="K239" s="480"/>
      <c r="L239" s="480"/>
      <c r="M239" s="3210"/>
      <c r="N239" s="3210"/>
      <c r="O239" s="3213"/>
    </row>
    <row r="240" spans="1:17" ht="28.5" customHeight="1">
      <c r="A240" s="3199" t="s">
        <v>90</v>
      </c>
      <c r="B240" s="423" t="s">
        <v>559</v>
      </c>
      <c r="C240" s="58" t="s">
        <v>81</v>
      </c>
      <c r="D240" s="822"/>
      <c r="E240" s="44"/>
      <c r="F240" s="44"/>
      <c r="G240" s="44"/>
      <c r="H240" s="44"/>
      <c r="I240" s="44"/>
      <c r="J240" s="44"/>
      <c r="K240" s="44"/>
      <c r="L240" s="44"/>
      <c r="M240" s="45"/>
      <c r="N240" s="45"/>
      <c r="O240" s="3202" t="s">
        <v>86</v>
      </c>
    </row>
    <row r="241" spans="1:17" ht="15.75" customHeight="1">
      <c r="A241" s="3200"/>
      <c r="B241" s="488" t="s">
        <v>10</v>
      </c>
      <c r="C241" s="2653"/>
      <c r="D241" s="965">
        <f>+D242+D245</f>
        <v>20852656</v>
      </c>
      <c r="E241" s="965">
        <f t="shared" ref="E241" si="149">+E242+E245</f>
        <v>0</v>
      </c>
      <c r="F241" s="965">
        <f t="shared" ref="F241:G241" si="150">+F242+F245</f>
        <v>1914309</v>
      </c>
      <c r="G241" s="965">
        <f t="shared" si="150"/>
        <v>18938347</v>
      </c>
      <c r="H241" s="965"/>
      <c r="I241" s="965"/>
      <c r="J241" s="965"/>
      <c r="K241" s="965"/>
      <c r="L241" s="965"/>
      <c r="M241" s="954">
        <f>+M242+M245</f>
        <v>20852656</v>
      </c>
      <c r="N241" s="954">
        <f>+N242+N245</f>
        <v>18938347</v>
      </c>
      <c r="O241" s="3203"/>
      <c r="P241" s="233" t="s">
        <v>492</v>
      </c>
    </row>
    <row r="242" spans="1:17" ht="13.5" customHeight="1">
      <c r="A242" s="3200"/>
      <c r="B242" s="668" t="s">
        <v>24</v>
      </c>
      <c r="C242" s="3256" t="s">
        <v>84</v>
      </c>
      <c r="D242" s="713">
        <f>+D243+D244</f>
        <v>3212898</v>
      </c>
      <c r="E242" s="713">
        <f t="shared" ref="E242" si="151">+E243+E244</f>
        <v>0</v>
      </c>
      <c r="F242" s="713">
        <f>+F243+F244</f>
        <v>293086</v>
      </c>
      <c r="G242" s="713">
        <f>+G243+G244</f>
        <v>2919812</v>
      </c>
      <c r="H242" s="713"/>
      <c r="I242" s="713"/>
      <c r="J242" s="713"/>
      <c r="K242" s="713"/>
      <c r="L242" s="713"/>
      <c r="M242" s="740">
        <f>+M243</f>
        <v>3212898</v>
      </c>
      <c r="N242" s="740">
        <f>+N243</f>
        <v>2919812</v>
      </c>
      <c r="O242" s="3203"/>
      <c r="P242" s="456"/>
    </row>
    <row r="243" spans="1:17" ht="13.5" customHeight="1">
      <c r="A243" s="3200"/>
      <c r="B243" s="732" t="s">
        <v>12</v>
      </c>
      <c r="C243" s="3206"/>
      <c r="D243" s="247">
        <f>E243+F243+G243+H243+I243+J243+K243+L243</f>
        <v>3212898</v>
      </c>
      <c r="E243" s="284">
        <v>0</v>
      </c>
      <c r="F243" s="717">
        <f>824400-289400-195000+49500-96414</f>
        <v>293086</v>
      </c>
      <c r="G243" s="717">
        <f>4671600-1971600+172898-49500+96414</f>
        <v>2919812</v>
      </c>
      <c r="H243" s="717"/>
      <c r="I243" s="717"/>
      <c r="J243" s="717"/>
      <c r="K243" s="717"/>
      <c r="L243" s="717"/>
      <c r="M243" s="975">
        <f>SUM(F243:K243)</f>
        <v>3212898</v>
      </c>
      <c r="N243" s="975">
        <f>SUM(G243:L243)</f>
        <v>2919812</v>
      </c>
      <c r="O243" s="3203"/>
    </row>
    <row r="244" spans="1:17" ht="13.5" hidden="1" customHeight="1">
      <c r="A244" s="3200"/>
      <c r="B244" s="2649" t="s">
        <v>15</v>
      </c>
      <c r="C244" s="3206"/>
      <c r="D244" s="247">
        <f>E244+F244+G244+H244+I244+J244+K244+L244</f>
        <v>0</v>
      </c>
      <c r="E244" s="2654">
        <v>0</v>
      </c>
      <c r="F244" s="995">
        <v>0</v>
      </c>
      <c r="G244" s="995">
        <v>0</v>
      </c>
      <c r="H244" s="995"/>
      <c r="I244" s="995"/>
      <c r="J244" s="995"/>
      <c r="K244" s="995"/>
      <c r="L244" s="995"/>
      <c r="M244" s="975">
        <f>SUM(E244:K244)</f>
        <v>0</v>
      </c>
      <c r="N244" s="975">
        <f>SUM(F244:L244)</f>
        <v>0</v>
      </c>
      <c r="O244" s="3203"/>
    </row>
    <row r="245" spans="1:17" ht="13.5" customHeight="1">
      <c r="A245" s="3200"/>
      <c r="B245" s="978" t="s">
        <v>18</v>
      </c>
      <c r="C245" s="3206"/>
      <c r="D245" s="645">
        <f>+D246</f>
        <v>17639758</v>
      </c>
      <c r="E245" s="645">
        <f t="shared" ref="E245:G245" si="152">+E246</f>
        <v>0</v>
      </c>
      <c r="F245" s="645">
        <f t="shared" si="152"/>
        <v>1621223</v>
      </c>
      <c r="G245" s="645">
        <f t="shared" si="152"/>
        <v>16018535</v>
      </c>
      <c r="H245" s="645"/>
      <c r="I245" s="645"/>
      <c r="J245" s="645"/>
      <c r="K245" s="645"/>
      <c r="L245" s="645"/>
      <c r="M245" s="644">
        <f>+M246</f>
        <v>17639758</v>
      </c>
      <c r="N245" s="644">
        <f>+N246</f>
        <v>16018535</v>
      </c>
      <c r="O245" s="3203"/>
    </row>
    <row r="246" spans="1:17" ht="13.5" customHeight="1">
      <c r="A246" s="3200"/>
      <c r="B246" s="676" t="s">
        <v>21</v>
      </c>
      <c r="C246" s="3207"/>
      <c r="D246" s="247">
        <f>E246+F246+G246+H246+I246+J246+K246+L246</f>
        <v>17639758</v>
      </c>
      <c r="E246" s="284">
        <v>0</v>
      </c>
      <c r="F246" s="717">
        <f>4671600-2206600-1105000+450500-189277</f>
        <v>1621223</v>
      </c>
      <c r="G246" s="717">
        <f>26472400-11172400+979758-450500+189277</f>
        <v>16018535</v>
      </c>
      <c r="H246" s="717"/>
      <c r="I246" s="717"/>
      <c r="J246" s="717"/>
      <c r="K246" s="717"/>
      <c r="L246" s="717"/>
      <c r="M246" s="975">
        <f>SUM(F246:K246)</f>
        <v>17639758</v>
      </c>
      <c r="N246" s="975">
        <f>SUM(G246:L246)</f>
        <v>16018535</v>
      </c>
      <c r="O246" s="3204"/>
    </row>
    <row r="247" spans="1:17">
      <c r="A247" s="3200"/>
      <c r="B247" s="488" t="s">
        <v>22</v>
      </c>
      <c r="C247" s="641"/>
      <c r="D247" s="709">
        <f>+D250+D248</f>
        <v>17639758</v>
      </c>
      <c r="E247" s="709">
        <f t="shared" ref="E247" si="153">+E250+E248</f>
        <v>0</v>
      </c>
      <c r="F247" s="709">
        <f t="shared" ref="F247:G247" si="154">+F250+F248</f>
        <v>1803921</v>
      </c>
      <c r="G247" s="709">
        <f t="shared" si="154"/>
        <v>15835837</v>
      </c>
      <c r="H247" s="709"/>
      <c r="I247" s="709"/>
      <c r="J247" s="709"/>
      <c r="K247" s="709"/>
      <c r="L247" s="709"/>
      <c r="M247" s="3257" t="s">
        <v>23</v>
      </c>
      <c r="N247" s="3257" t="s">
        <v>23</v>
      </c>
      <c r="O247" s="3258" t="s">
        <v>102</v>
      </c>
      <c r="P247" s="456"/>
      <c r="Q247" s="456">
        <v>-1230552</v>
      </c>
    </row>
    <row r="248" spans="1:17" ht="12" hidden="1" customHeight="1">
      <c r="A248" s="3200"/>
      <c r="B248" s="980" t="s">
        <v>24</v>
      </c>
      <c r="C248" s="3232" t="s">
        <v>218</v>
      </c>
      <c r="D248" s="645">
        <f>+D249</f>
        <v>0</v>
      </c>
      <c r="E248" s="645">
        <f t="shared" ref="E248:G248" si="155">+E249</f>
        <v>0</v>
      </c>
      <c r="F248" s="645">
        <f t="shared" si="155"/>
        <v>0</v>
      </c>
      <c r="G248" s="645">
        <f t="shared" si="155"/>
        <v>0</v>
      </c>
      <c r="H248" s="645"/>
      <c r="I248" s="645"/>
      <c r="J248" s="645"/>
      <c r="K248" s="645"/>
      <c r="L248" s="645"/>
      <c r="M248" s="3209"/>
      <c r="N248" s="3209"/>
      <c r="O248" s="3212"/>
    </row>
    <row r="249" spans="1:17" ht="12" hidden="1" customHeight="1">
      <c r="A249" s="3200"/>
      <c r="B249" s="2640" t="s">
        <v>15</v>
      </c>
      <c r="C249" s="3215"/>
      <c r="D249" s="247">
        <f>E249+F249+G249+H249+I249+J249+K249+L249</f>
        <v>0</v>
      </c>
      <c r="E249" s="961"/>
      <c r="F249" s="961"/>
      <c r="G249" s="961"/>
      <c r="H249" s="961"/>
      <c r="I249" s="961"/>
      <c r="J249" s="961"/>
      <c r="K249" s="961"/>
      <c r="L249" s="961"/>
      <c r="M249" s="3209"/>
      <c r="N249" s="3209"/>
      <c r="O249" s="3212"/>
    </row>
    <row r="250" spans="1:17" s="265" customFormat="1" ht="13.5" customHeight="1">
      <c r="A250" s="3200"/>
      <c r="B250" s="670" t="s">
        <v>18</v>
      </c>
      <c r="C250" s="3215"/>
      <c r="D250" s="889">
        <f>+D251</f>
        <v>17639758</v>
      </c>
      <c r="E250" s="889">
        <f t="shared" ref="E250:G250" si="156">+E251</f>
        <v>0</v>
      </c>
      <c r="F250" s="889">
        <f t="shared" si="156"/>
        <v>1803921</v>
      </c>
      <c r="G250" s="889">
        <f t="shared" si="156"/>
        <v>15835837</v>
      </c>
      <c r="H250" s="889"/>
      <c r="I250" s="889"/>
      <c r="J250" s="889"/>
      <c r="K250" s="889"/>
      <c r="L250" s="889"/>
      <c r="M250" s="3209"/>
      <c r="N250" s="3209"/>
      <c r="O250" s="3212"/>
    </row>
    <row r="251" spans="1:17" s="265" customFormat="1" ht="13.5" thickBot="1">
      <c r="A251" s="3201"/>
      <c r="B251" s="981" t="s">
        <v>21</v>
      </c>
      <c r="C251" s="3216"/>
      <c r="D251" s="247">
        <f>E251+F251+G251+H251+I251+J251+K251+L251</f>
        <v>17639758</v>
      </c>
      <c r="E251" s="284">
        <v>0</v>
      </c>
      <c r="F251" s="480">
        <f>4671600-2206600-1105000+450500-6579</f>
        <v>1803921</v>
      </c>
      <c r="G251" s="480">
        <f>26472400-11172400+979758-450500+6579</f>
        <v>15835837</v>
      </c>
      <c r="H251" s="480"/>
      <c r="I251" s="480"/>
      <c r="J251" s="480"/>
      <c r="K251" s="480"/>
      <c r="L251" s="480"/>
      <c r="M251" s="3210"/>
      <c r="N251" s="3210"/>
      <c r="O251" s="3213"/>
    </row>
    <row r="252" spans="1:17" s="265" customFormat="1" ht="22.5" customHeight="1">
      <c r="A252" s="3199" t="s">
        <v>91</v>
      </c>
      <c r="B252" s="423" t="s">
        <v>560</v>
      </c>
      <c r="C252" s="58" t="s">
        <v>81</v>
      </c>
      <c r="D252" s="822"/>
      <c r="E252" s="44"/>
      <c r="F252" s="44"/>
      <c r="G252" s="44"/>
      <c r="H252" s="44"/>
      <c r="I252" s="44"/>
      <c r="J252" s="44"/>
      <c r="K252" s="44"/>
      <c r="L252" s="44"/>
      <c r="M252" s="45"/>
      <c r="N252" s="45"/>
      <c r="O252" s="3202" t="s">
        <v>86</v>
      </c>
    </row>
    <row r="253" spans="1:17" s="265" customFormat="1">
      <c r="A253" s="3200"/>
      <c r="B253" s="488" t="s">
        <v>10</v>
      </c>
      <c r="C253" s="2655"/>
      <c r="D253" s="1843">
        <f>+D254+D257</f>
        <v>80566500</v>
      </c>
      <c r="E253" s="1843">
        <f t="shared" ref="E253:H253" si="157">+E254+E257</f>
        <v>0</v>
      </c>
      <c r="F253" s="1843">
        <f t="shared" si="157"/>
        <v>500918</v>
      </c>
      <c r="G253" s="1843">
        <f t="shared" si="157"/>
        <v>49035982</v>
      </c>
      <c r="H253" s="1843">
        <f t="shared" si="157"/>
        <v>31029600</v>
      </c>
      <c r="I253" s="1843"/>
      <c r="J253" s="1843"/>
      <c r="K253" s="1843"/>
      <c r="L253" s="1843"/>
      <c r="M253" s="1864">
        <f>+M254+M257</f>
        <v>80566500</v>
      </c>
      <c r="N253" s="1864">
        <f>+N254+N257</f>
        <v>80065582</v>
      </c>
      <c r="O253" s="3203"/>
    </row>
    <row r="254" spans="1:17" s="265" customFormat="1">
      <c r="A254" s="3200"/>
      <c r="B254" s="668" t="s">
        <v>24</v>
      </c>
      <c r="C254" s="3205" t="s">
        <v>84</v>
      </c>
      <c r="D254" s="1844">
        <f>+D255+D256</f>
        <v>12169975</v>
      </c>
      <c r="E254" s="1844">
        <f t="shared" ref="E254" si="158">+E255+E256</f>
        <v>0</v>
      </c>
      <c r="F254" s="1844">
        <f>+F255+F256</f>
        <v>75138</v>
      </c>
      <c r="G254" s="1844">
        <f>+G255+G256</f>
        <v>7440397</v>
      </c>
      <c r="H254" s="1844">
        <f>+H255+H256</f>
        <v>4654440</v>
      </c>
      <c r="I254" s="1844"/>
      <c r="J254" s="1844"/>
      <c r="K254" s="1844"/>
      <c r="L254" s="1844"/>
      <c r="M254" s="1845">
        <f>+M255</f>
        <v>12169975</v>
      </c>
      <c r="N254" s="1845">
        <f>+N255</f>
        <v>12094837</v>
      </c>
      <c r="O254" s="3203"/>
    </row>
    <row r="255" spans="1:17" s="265" customFormat="1">
      <c r="A255" s="3200"/>
      <c r="B255" s="732" t="s">
        <v>12</v>
      </c>
      <c r="C255" s="3206"/>
      <c r="D255" s="1715">
        <f>E255+F255+G255+H255+I255+J255+K255+L255</f>
        <v>12169975</v>
      </c>
      <c r="E255" s="1775">
        <v>0</v>
      </c>
      <c r="F255" s="1817">
        <f>88875-13737</f>
        <v>75138</v>
      </c>
      <c r="G255" s="1817">
        <f>7426660+13737</f>
        <v>7440397</v>
      </c>
      <c r="H255" s="1817">
        <v>4654440</v>
      </c>
      <c r="I255" s="1817"/>
      <c r="J255" s="1817"/>
      <c r="K255" s="1817"/>
      <c r="L255" s="1817"/>
      <c r="M255" s="1818">
        <f>SUM(F255:K255)</f>
        <v>12169975</v>
      </c>
      <c r="N255" s="1818">
        <f>SUM(G255:L255)</f>
        <v>12094837</v>
      </c>
      <c r="O255" s="3203"/>
    </row>
    <row r="256" spans="1:17" s="265" customFormat="1" hidden="1">
      <c r="A256" s="3200"/>
      <c r="B256" s="2649" t="s">
        <v>15</v>
      </c>
      <c r="C256" s="3206"/>
      <c r="D256" s="1715">
        <f>E256+F256+G256+H256+I256+J256+K256+L256</f>
        <v>0</v>
      </c>
      <c r="E256" s="2656">
        <v>0</v>
      </c>
      <c r="F256" s="995">
        <v>0</v>
      </c>
      <c r="G256" s="995">
        <v>0</v>
      </c>
      <c r="H256" s="995"/>
      <c r="I256" s="995"/>
      <c r="J256" s="995"/>
      <c r="K256" s="995"/>
      <c r="L256" s="995"/>
      <c r="M256" s="1818">
        <f>SUM(E256:K256)</f>
        <v>0</v>
      </c>
      <c r="N256" s="1818">
        <f>SUM(F256:L256)</f>
        <v>0</v>
      </c>
      <c r="O256" s="3203"/>
    </row>
    <row r="257" spans="1:15" s="265" customFormat="1">
      <c r="A257" s="3200"/>
      <c r="B257" s="978" t="s">
        <v>18</v>
      </c>
      <c r="C257" s="3206"/>
      <c r="D257" s="1804">
        <f>+D258</f>
        <v>68396525</v>
      </c>
      <c r="E257" s="1804">
        <f t="shared" ref="E257:H257" si="159">+E258</f>
        <v>0</v>
      </c>
      <c r="F257" s="1804">
        <f t="shared" si="159"/>
        <v>425780</v>
      </c>
      <c r="G257" s="1804">
        <f t="shared" si="159"/>
        <v>41595585</v>
      </c>
      <c r="H257" s="1804">
        <f t="shared" si="159"/>
        <v>26375160</v>
      </c>
      <c r="I257" s="1804"/>
      <c r="J257" s="1804"/>
      <c r="K257" s="1804"/>
      <c r="L257" s="1804"/>
      <c r="M257" s="1805">
        <f>+M258</f>
        <v>68396525</v>
      </c>
      <c r="N257" s="1805">
        <f>+N258</f>
        <v>67970745</v>
      </c>
      <c r="O257" s="3203"/>
    </row>
    <row r="258" spans="1:15" s="265" customFormat="1">
      <c r="A258" s="3200"/>
      <c r="B258" s="2180" t="s">
        <v>21</v>
      </c>
      <c r="C258" s="3207"/>
      <c r="D258" s="1715">
        <f>E258+F258+G258+H258+I258+J258+K258+L258</f>
        <v>68396525</v>
      </c>
      <c r="E258" s="1775">
        <v>0</v>
      </c>
      <c r="F258" s="1817">
        <f>503625-77845</f>
        <v>425780</v>
      </c>
      <c r="G258" s="1817">
        <f>41517740+77845</f>
        <v>41595585</v>
      </c>
      <c r="H258" s="1817">
        <v>26375160</v>
      </c>
      <c r="I258" s="1817"/>
      <c r="J258" s="1817"/>
      <c r="K258" s="1817"/>
      <c r="L258" s="1817"/>
      <c r="M258" s="1818">
        <f>SUM(F258:K258)</f>
        <v>68396525</v>
      </c>
      <c r="N258" s="1818">
        <f>SUM(G258:L258)</f>
        <v>67970745</v>
      </c>
      <c r="O258" s="3204"/>
    </row>
    <row r="259" spans="1:15" s="265" customFormat="1">
      <c r="A259" s="3200"/>
      <c r="B259" s="488" t="s">
        <v>22</v>
      </c>
      <c r="C259" s="641"/>
      <c r="D259" s="1801">
        <f>+D262+D260</f>
        <v>68396525</v>
      </c>
      <c r="E259" s="1801">
        <f t="shared" ref="E259:H259" si="160">+E262+E260</f>
        <v>0</v>
      </c>
      <c r="F259" s="1801">
        <f t="shared" si="160"/>
        <v>0</v>
      </c>
      <c r="G259" s="1801">
        <f t="shared" si="160"/>
        <v>38021365</v>
      </c>
      <c r="H259" s="1801">
        <f t="shared" si="160"/>
        <v>30375160</v>
      </c>
      <c r="I259" s="1801"/>
      <c r="J259" s="1801"/>
      <c r="K259" s="1801"/>
      <c r="L259" s="1801"/>
      <c r="M259" s="3208" t="s">
        <v>23</v>
      </c>
      <c r="N259" s="3208" t="s">
        <v>23</v>
      </c>
      <c r="O259" s="3211" t="s">
        <v>102</v>
      </c>
    </row>
    <row r="260" spans="1:15" s="265" customFormat="1" hidden="1">
      <c r="A260" s="3200"/>
      <c r="B260" s="1808" t="s">
        <v>24</v>
      </c>
      <c r="C260" s="3214" t="s">
        <v>218</v>
      </c>
      <c r="D260" s="1804">
        <f>+D261</f>
        <v>0</v>
      </c>
      <c r="E260" s="1804">
        <f t="shared" ref="E260:G260" si="161">+E261</f>
        <v>0</v>
      </c>
      <c r="F260" s="1804">
        <f t="shared" si="161"/>
        <v>0</v>
      </c>
      <c r="G260" s="1804">
        <f t="shared" si="161"/>
        <v>0</v>
      </c>
      <c r="H260" s="1804"/>
      <c r="I260" s="1804"/>
      <c r="J260" s="1804"/>
      <c r="K260" s="1804"/>
      <c r="L260" s="1804"/>
      <c r="M260" s="3209"/>
      <c r="N260" s="3209"/>
      <c r="O260" s="3212"/>
    </row>
    <row r="261" spans="1:15" s="265" customFormat="1" hidden="1">
      <c r="A261" s="3200"/>
      <c r="B261" s="1832" t="s">
        <v>15</v>
      </c>
      <c r="C261" s="3215"/>
      <c r="D261" s="1715">
        <f>E261+F261+G261+H261+I261+J261+K261+L261</f>
        <v>0</v>
      </c>
      <c r="E261" s="1821"/>
      <c r="F261" s="1821"/>
      <c r="G261" s="1821"/>
      <c r="H261" s="1821"/>
      <c r="I261" s="1821"/>
      <c r="J261" s="1821"/>
      <c r="K261" s="1821"/>
      <c r="L261" s="1821"/>
      <c r="M261" s="3209"/>
      <c r="N261" s="3209"/>
      <c r="O261" s="3212"/>
    </row>
    <row r="262" spans="1:15" s="265" customFormat="1">
      <c r="A262" s="3200"/>
      <c r="B262" s="670" t="s">
        <v>18</v>
      </c>
      <c r="C262" s="3215"/>
      <c r="D262" s="1822">
        <f>+D263</f>
        <v>68396525</v>
      </c>
      <c r="E262" s="1822">
        <f t="shared" ref="E262:H262" si="162">+E263</f>
        <v>0</v>
      </c>
      <c r="F262" s="1822">
        <f t="shared" si="162"/>
        <v>0</v>
      </c>
      <c r="G262" s="1822">
        <f t="shared" si="162"/>
        <v>38021365</v>
      </c>
      <c r="H262" s="1822">
        <f t="shared" si="162"/>
        <v>30375160</v>
      </c>
      <c r="I262" s="1822"/>
      <c r="J262" s="1822"/>
      <c r="K262" s="1822"/>
      <c r="L262" s="1822"/>
      <c r="M262" s="3209"/>
      <c r="N262" s="3209"/>
      <c r="O262" s="3212"/>
    </row>
    <row r="263" spans="1:15" s="265" customFormat="1" ht="13.5" thickBot="1">
      <c r="A263" s="3201"/>
      <c r="B263" s="981" t="s">
        <v>21</v>
      </c>
      <c r="C263" s="3216"/>
      <c r="D263" s="1929">
        <f>E263+F263+G263+H263+I263+J263+K263+L263</f>
        <v>68396525</v>
      </c>
      <c r="E263" s="1929">
        <v>0</v>
      </c>
      <c r="F263" s="480"/>
      <c r="G263" s="480">
        <v>38021365</v>
      </c>
      <c r="H263" s="480">
        <v>30375160</v>
      </c>
      <c r="I263" s="480"/>
      <c r="J263" s="480"/>
      <c r="K263" s="480"/>
      <c r="L263" s="480"/>
      <c r="M263" s="3210"/>
      <c r="N263" s="3210"/>
      <c r="O263" s="3213"/>
    </row>
    <row r="264" spans="1:15" s="265" customFormat="1" ht="36">
      <c r="A264" s="3199" t="s">
        <v>92</v>
      </c>
      <c r="B264" s="423" t="s">
        <v>536</v>
      </c>
      <c r="C264" s="58" t="s">
        <v>81</v>
      </c>
      <c r="D264" s="822"/>
      <c r="E264" s="44"/>
      <c r="F264" s="44"/>
      <c r="G264" s="44"/>
      <c r="H264" s="44"/>
      <c r="I264" s="44"/>
      <c r="J264" s="44"/>
      <c r="K264" s="44"/>
      <c r="L264" s="44"/>
      <c r="M264" s="45"/>
      <c r="N264" s="45"/>
      <c r="O264" s="3202" t="s">
        <v>86</v>
      </c>
    </row>
    <row r="265" spans="1:15" s="265" customFormat="1">
      <c r="A265" s="3200"/>
      <c r="B265" s="488" t="s">
        <v>10</v>
      </c>
      <c r="C265" s="2655"/>
      <c r="D265" s="1843">
        <f>+D266+D269</f>
        <v>34836608</v>
      </c>
      <c r="E265" s="1843">
        <f t="shared" ref="E265:I265" si="163">+E266+E269</f>
        <v>0</v>
      </c>
      <c r="F265" s="1843">
        <f t="shared" si="163"/>
        <v>0</v>
      </c>
      <c r="G265" s="1843">
        <f t="shared" si="163"/>
        <v>2280014</v>
      </c>
      <c r="H265" s="1843">
        <f t="shared" si="163"/>
        <v>22000000</v>
      </c>
      <c r="I265" s="1843">
        <f t="shared" si="163"/>
        <v>10556594</v>
      </c>
      <c r="J265" s="1843"/>
      <c r="K265" s="1843"/>
      <c r="L265" s="1843"/>
      <c r="M265" s="1864">
        <f>+M266+M269</f>
        <v>34836608</v>
      </c>
      <c r="N265" s="1864">
        <f>+N266+N269</f>
        <v>34836608</v>
      </c>
      <c r="O265" s="3203"/>
    </row>
    <row r="266" spans="1:15" s="265" customFormat="1">
      <c r="A266" s="3200"/>
      <c r="B266" s="668" t="s">
        <v>24</v>
      </c>
      <c r="C266" s="3205" t="s">
        <v>84</v>
      </c>
      <c r="D266" s="1844">
        <f>+D267+D268</f>
        <v>5378503</v>
      </c>
      <c r="E266" s="1844">
        <f t="shared" ref="E266" si="164">+E267+E268</f>
        <v>0</v>
      </c>
      <c r="F266" s="1844">
        <f>+F267+F268</f>
        <v>0</v>
      </c>
      <c r="G266" s="1844">
        <f>+G267+G268</f>
        <v>495014</v>
      </c>
      <c r="H266" s="1844">
        <f>+H267+H268</f>
        <v>3300000</v>
      </c>
      <c r="I266" s="1844">
        <f>+I267+I268</f>
        <v>1583489</v>
      </c>
      <c r="J266" s="1844"/>
      <c r="K266" s="1844"/>
      <c r="L266" s="1844"/>
      <c r="M266" s="1845">
        <f>+M267</f>
        <v>5378503</v>
      </c>
      <c r="N266" s="1845">
        <f>+N267</f>
        <v>5378503</v>
      </c>
      <c r="O266" s="3203"/>
    </row>
    <row r="267" spans="1:15" s="265" customFormat="1">
      <c r="A267" s="3200"/>
      <c r="B267" s="732" t="s">
        <v>12</v>
      </c>
      <c r="C267" s="3206"/>
      <c r="D267" s="1715">
        <f>E267+F267+G267+H267+I267+J267+K267+L267</f>
        <v>5378503</v>
      </c>
      <c r="E267" s="1775">
        <v>0</v>
      </c>
      <c r="F267" s="1817">
        <v>0</v>
      </c>
      <c r="G267" s="1817">
        <v>495014</v>
      </c>
      <c r="H267" s="1817">
        <v>3300000</v>
      </c>
      <c r="I267" s="1817">
        <v>1583489</v>
      </c>
      <c r="J267" s="1817"/>
      <c r="K267" s="1817"/>
      <c r="L267" s="1817"/>
      <c r="M267" s="1818">
        <f>SUM(F267:K267)</f>
        <v>5378503</v>
      </c>
      <c r="N267" s="1818">
        <f>SUM(G267:L267)</f>
        <v>5378503</v>
      </c>
      <c r="O267" s="3203"/>
    </row>
    <row r="268" spans="1:15" s="265" customFormat="1" hidden="1">
      <c r="A268" s="3200"/>
      <c r="B268" s="2649" t="s">
        <v>15</v>
      </c>
      <c r="C268" s="3206"/>
      <c r="D268" s="1715">
        <f>E268+F268+G268+H268+I268+J268+K268+L268</f>
        <v>0</v>
      </c>
      <c r="E268" s="2656">
        <v>0</v>
      </c>
      <c r="F268" s="995">
        <v>0</v>
      </c>
      <c r="G268" s="995">
        <v>0</v>
      </c>
      <c r="H268" s="995"/>
      <c r="I268" s="995"/>
      <c r="J268" s="995"/>
      <c r="K268" s="995"/>
      <c r="L268" s="995"/>
      <c r="M268" s="1818">
        <f>SUM(E268:K268)</f>
        <v>0</v>
      </c>
      <c r="N268" s="1818">
        <f>SUM(F268:L268)</f>
        <v>0</v>
      </c>
      <c r="O268" s="3203"/>
    </row>
    <row r="269" spans="1:15" s="265" customFormat="1">
      <c r="A269" s="3200"/>
      <c r="B269" s="978" t="s">
        <v>18</v>
      </c>
      <c r="C269" s="3206"/>
      <c r="D269" s="1804">
        <f>+D270</f>
        <v>29458105</v>
      </c>
      <c r="E269" s="1804">
        <f t="shared" ref="E269:I269" si="165">+E270</f>
        <v>0</v>
      </c>
      <c r="F269" s="1804">
        <f t="shared" si="165"/>
        <v>0</v>
      </c>
      <c r="G269" s="1804">
        <f t="shared" si="165"/>
        <v>1785000</v>
      </c>
      <c r="H269" s="1804">
        <f t="shared" si="165"/>
        <v>18700000</v>
      </c>
      <c r="I269" s="1804">
        <f t="shared" si="165"/>
        <v>8973105</v>
      </c>
      <c r="J269" s="1804"/>
      <c r="K269" s="1804"/>
      <c r="L269" s="1804"/>
      <c r="M269" s="1805">
        <f>+M270</f>
        <v>29458105</v>
      </c>
      <c r="N269" s="1805">
        <f>+N270</f>
        <v>29458105</v>
      </c>
      <c r="O269" s="3203"/>
    </row>
    <row r="270" spans="1:15" s="265" customFormat="1">
      <c r="A270" s="3200"/>
      <c r="B270" s="2180" t="s">
        <v>21</v>
      </c>
      <c r="C270" s="3207"/>
      <c r="D270" s="1715">
        <f>E270+F270+G270+H270+I270+J270+K270+L270</f>
        <v>29458105</v>
      </c>
      <c r="E270" s="1775">
        <v>0</v>
      </c>
      <c r="F270" s="1817">
        <v>0</v>
      </c>
      <c r="G270" s="1817">
        <v>1785000</v>
      </c>
      <c r="H270" s="1817">
        <v>18700000</v>
      </c>
      <c r="I270" s="1817">
        <v>8973105</v>
      </c>
      <c r="J270" s="1817"/>
      <c r="K270" s="1817"/>
      <c r="L270" s="1817"/>
      <c r="M270" s="1818">
        <f>SUM(F270:K270)</f>
        <v>29458105</v>
      </c>
      <c r="N270" s="1818">
        <f>SUM(G270:L270)</f>
        <v>29458105</v>
      </c>
      <c r="O270" s="3204"/>
    </row>
    <row r="271" spans="1:15" s="265" customFormat="1">
      <c r="A271" s="3200"/>
      <c r="B271" s="488" t="s">
        <v>22</v>
      </c>
      <c r="C271" s="641"/>
      <c r="D271" s="1801">
        <f>+D274+D272</f>
        <v>29458105</v>
      </c>
      <c r="E271" s="1801">
        <f t="shared" ref="E271:I271" si="166">+E274+E272</f>
        <v>0</v>
      </c>
      <c r="F271" s="1801">
        <f t="shared" si="166"/>
        <v>0</v>
      </c>
      <c r="G271" s="1801">
        <f t="shared" si="166"/>
        <v>1785000</v>
      </c>
      <c r="H271" s="1801">
        <f t="shared" si="166"/>
        <v>18700000</v>
      </c>
      <c r="I271" s="1801">
        <f t="shared" si="166"/>
        <v>8973105</v>
      </c>
      <c r="J271" s="1801"/>
      <c r="K271" s="1801"/>
      <c r="L271" s="1801"/>
      <c r="M271" s="3208" t="s">
        <v>23</v>
      </c>
      <c r="N271" s="3208" t="s">
        <v>23</v>
      </c>
      <c r="O271" s="3211" t="s">
        <v>102</v>
      </c>
    </row>
    <row r="272" spans="1:15" s="265" customFormat="1" hidden="1">
      <c r="A272" s="3200"/>
      <c r="B272" s="1808" t="s">
        <v>24</v>
      </c>
      <c r="C272" s="3214" t="s">
        <v>218</v>
      </c>
      <c r="D272" s="1804">
        <f>+D273</f>
        <v>0</v>
      </c>
      <c r="E272" s="1804">
        <f t="shared" ref="E272:G272" si="167">+E273</f>
        <v>0</v>
      </c>
      <c r="F272" s="1804">
        <f t="shared" si="167"/>
        <v>0</v>
      </c>
      <c r="G272" s="1804">
        <f t="shared" si="167"/>
        <v>0</v>
      </c>
      <c r="H272" s="1804"/>
      <c r="I272" s="1804"/>
      <c r="J272" s="1804"/>
      <c r="K272" s="1804"/>
      <c r="L272" s="1804"/>
      <c r="M272" s="3209"/>
      <c r="N272" s="3209"/>
      <c r="O272" s="3212"/>
    </row>
    <row r="273" spans="1:16" s="265" customFormat="1" hidden="1">
      <c r="A273" s="3200"/>
      <c r="B273" s="1832" t="s">
        <v>15</v>
      </c>
      <c r="C273" s="3215"/>
      <c r="D273" s="1715">
        <f>E273+F273+G273+H273+I273+J273+K273+L273</f>
        <v>0</v>
      </c>
      <c r="E273" s="1821"/>
      <c r="F273" s="1821"/>
      <c r="G273" s="1821"/>
      <c r="H273" s="1821"/>
      <c r="I273" s="1821"/>
      <c r="J273" s="1821"/>
      <c r="K273" s="1821"/>
      <c r="L273" s="1821"/>
      <c r="M273" s="3209"/>
      <c r="N273" s="3209"/>
      <c r="O273" s="3212"/>
    </row>
    <row r="274" spans="1:16" s="265" customFormat="1">
      <c r="A274" s="3200"/>
      <c r="B274" s="670" t="s">
        <v>18</v>
      </c>
      <c r="C274" s="3215"/>
      <c r="D274" s="1822">
        <f>+D275</f>
        <v>29458105</v>
      </c>
      <c r="E274" s="1822">
        <f t="shared" ref="E274:I274" si="168">+E275</f>
        <v>0</v>
      </c>
      <c r="F274" s="1822">
        <f t="shared" si="168"/>
        <v>0</v>
      </c>
      <c r="G274" s="1822">
        <f t="shared" si="168"/>
        <v>1785000</v>
      </c>
      <c r="H274" s="1822">
        <f t="shared" si="168"/>
        <v>18700000</v>
      </c>
      <c r="I274" s="1822">
        <f t="shared" si="168"/>
        <v>8973105</v>
      </c>
      <c r="J274" s="1822"/>
      <c r="K274" s="1822"/>
      <c r="L274" s="1822"/>
      <c r="M274" s="3209"/>
      <c r="N274" s="3209"/>
      <c r="O274" s="3212"/>
    </row>
    <row r="275" spans="1:16" s="265" customFormat="1" ht="13.5" thickBot="1">
      <c r="A275" s="3201"/>
      <c r="B275" s="981" t="s">
        <v>21</v>
      </c>
      <c r="C275" s="3216"/>
      <c r="D275" s="1929">
        <f>E275+F275+G275+H275+I275+J275+K275+L275</f>
        <v>29458105</v>
      </c>
      <c r="E275" s="1929">
        <v>0</v>
      </c>
      <c r="F275" s="1929">
        <v>0</v>
      </c>
      <c r="G275" s="480">
        <v>1785000</v>
      </c>
      <c r="H275" s="480">
        <v>18700000</v>
      </c>
      <c r="I275" s="480">
        <v>8973105</v>
      </c>
      <c r="J275" s="480"/>
      <c r="K275" s="480"/>
      <c r="L275" s="480"/>
      <c r="M275" s="3210"/>
      <c r="N275" s="3210"/>
      <c r="O275" s="3213"/>
    </row>
    <row r="276" spans="1:16" ht="24.75" customHeight="1">
      <c r="A276" s="3199" t="s">
        <v>93</v>
      </c>
      <c r="B276" s="282" t="s">
        <v>561</v>
      </c>
      <c r="C276" s="58" t="s">
        <v>81</v>
      </c>
      <c r="D276" s="822"/>
      <c r="E276" s="44"/>
      <c r="F276" s="44"/>
      <c r="G276" s="44"/>
      <c r="H276" s="44"/>
      <c r="I276" s="44"/>
      <c r="J276" s="44"/>
      <c r="K276" s="44"/>
      <c r="L276" s="44"/>
      <c r="M276" s="45"/>
      <c r="N276" s="45"/>
      <c r="O276" s="3202" t="s">
        <v>86</v>
      </c>
      <c r="P276" s="233" t="s">
        <v>305</v>
      </c>
    </row>
    <row r="277" spans="1:16" ht="12" customHeight="1">
      <c r="A277" s="3200"/>
      <c r="B277" s="1799" t="s">
        <v>10</v>
      </c>
      <c r="C277" s="1824"/>
      <c r="D277" s="2657">
        <f t="shared" ref="D277" si="169">+D278+D281</f>
        <v>9472920</v>
      </c>
      <c r="E277" s="1733">
        <f t="shared" ref="E277" si="170">+E278+E281</f>
        <v>0</v>
      </c>
      <c r="F277" s="1733">
        <f>+F278+F281</f>
        <v>322280</v>
      </c>
      <c r="G277" s="1733">
        <f>+G278+G281</f>
        <v>8750640</v>
      </c>
      <c r="H277" s="1733">
        <f>+H278+H281</f>
        <v>400000</v>
      </c>
      <c r="I277" s="1733"/>
      <c r="J277" s="1733"/>
      <c r="K277" s="1733"/>
      <c r="L277" s="1733"/>
      <c r="M277" s="1735">
        <f>M278+M281</f>
        <v>9472920</v>
      </c>
      <c r="N277" s="1735">
        <f>N278+N281</f>
        <v>9150640</v>
      </c>
      <c r="O277" s="3203"/>
      <c r="P277" s="456"/>
    </row>
    <row r="278" spans="1:16" ht="13.5" customHeight="1">
      <c r="A278" s="3200"/>
      <c r="B278" s="1808" t="s">
        <v>24</v>
      </c>
      <c r="C278" s="3214" t="s">
        <v>84</v>
      </c>
      <c r="D278" s="1737">
        <f>+D279+D280</f>
        <v>8558831</v>
      </c>
      <c r="E278" s="1725">
        <f t="shared" ref="E278:H278" si="171">+E279</f>
        <v>0</v>
      </c>
      <c r="F278" s="1725">
        <f t="shared" si="171"/>
        <v>48342</v>
      </c>
      <c r="G278" s="1725">
        <f t="shared" si="171"/>
        <v>8110489</v>
      </c>
      <c r="H278" s="1725">
        <f t="shared" si="171"/>
        <v>400000</v>
      </c>
      <c r="I278" s="1737"/>
      <c r="J278" s="1815"/>
      <c r="K278" s="1815"/>
      <c r="L278" s="1815"/>
      <c r="M278" s="1805">
        <f>M279</f>
        <v>8558831</v>
      </c>
      <c r="N278" s="1805">
        <f>N279</f>
        <v>8510489</v>
      </c>
      <c r="O278" s="3203"/>
      <c r="P278" s="456"/>
    </row>
    <row r="279" spans="1:16" ht="12" customHeight="1">
      <c r="A279" s="3200"/>
      <c r="B279" s="1832" t="s">
        <v>12</v>
      </c>
      <c r="C279" s="3236"/>
      <c r="D279" s="1715">
        <f>E279+F279+G279+H279+I279+J279+K279+L279</f>
        <v>8558831</v>
      </c>
      <c r="E279" s="1775">
        <v>0</v>
      </c>
      <c r="F279" s="1817">
        <f>3200000-1940000+1520081+249090-73261-57720-385500-592500-1597849-273999</f>
        <v>48342</v>
      </c>
      <c r="G279" s="1817">
        <f>4984499+500000+710922+57720+385500+1597849-126001</f>
        <v>8110489</v>
      </c>
      <c r="H279" s="1817">
        <v>400000</v>
      </c>
      <c r="I279" s="1817"/>
      <c r="J279" s="1817"/>
      <c r="K279" s="1817"/>
      <c r="L279" s="1817"/>
      <c r="M279" s="975">
        <f>SUM(F279:K279)</f>
        <v>8558831</v>
      </c>
      <c r="N279" s="975">
        <f>SUM(G279:L279)</f>
        <v>8510489</v>
      </c>
      <c r="O279" s="3203"/>
    </row>
    <row r="280" spans="1:16" hidden="1">
      <c r="A280" s="3200"/>
      <c r="B280" s="92" t="s">
        <v>15</v>
      </c>
      <c r="C280" s="3236"/>
      <c r="D280" s="1715">
        <f>E280+F280+G280+H280+I280+J280+K280+L280</f>
        <v>0</v>
      </c>
      <c r="E280" s="1838">
        <v>0</v>
      </c>
      <c r="F280" s="1839"/>
      <c r="G280" s="1839"/>
      <c r="H280" s="1839"/>
      <c r="I280" s="1839"/>
      <c r="J280" s="203"/>
      <c r="K280" s="203"/>
      <c r="L280" s="203"/>
      <c r="M280" s="69"/>
      <c r="N280" s="69"/>
      <c r="O280" s="3203"/>
    </row>
    <row r="281" spans="1:16" ht="13.5" customHeight="1">
      <c r="A281" s="3200"/>
      <c r="B281" s="1842" t="s">
        <v>18</v>
      </c>
      <c r="C281" s="3236"/>
      <c r="D281" s="1804">
        <f>+D282</f>
        <v>914089</v>
      </c>
      <c r="E281" s="1745">
        <f t="shared" ref="E281:H281" si="172">+E282</f>
        <v>0</v>
      </c>
      <c r="F281" s="1725">
        <f t="shared" si="172"/>
        <v>273938</v>
      </c>
      <c r="G281" s="1725">
        <f t="shared" si="172"/>
        <v>640151</v>
      </c>
      <c r="H281" s="2237">
        <f t="shared" si="172"/>
        <v>0</v>
      </c>
      <c r="I281" s="1745"/>
      <c r="J281" s="1804"/>
      <c r="K281" s="1804"/>
      <c r="L281" s="1804"/>
      <c r="M281" s="1805">
        <f>M282</f>
        <v>914089</v>
      </c>
      <c r="N281" s="1805">
        <f>N282</f>
        <v>640151</v>
      </c>
      <c r="O281" s="3203"/>
    </row>
    <row r="282" spans="1:16" ht="13.5" thickBot="1">
      <c r="A282" s="3200"/>
      <c r="B282" s="732" t="s">
        <v>21</v>
      </c>
      <c r="C282" s="3278"/>
      <c r="D282" s="1840">
        <f>E282+F282+G282+H282+I282+J282+K282+L282</f>
        <v>914089</v>
      </c>
      <c r="E282" s="1775">
        <v>0</v>
      </c>
      <c r="F282" s="1817">
        <f>1617722-288485-415148-640151</f>
        <v>273938</v>
      </c>
      <c r="G282" s="1817">
        <v>640151</v>
      </c>
      <c r="H282" s="2658">
        <f>1900090-569500-416501-914089</f>
        <v>0</v>
      </c>
      <c r="I282" s="1817"/>
      <c r="J282" s="1817"/>
      <c r="K282" s="1817"/>
      <c r="L282" s="1817"/>
      <c r="M282" s="975">
        <f>SUM(F282:K282)</f>
        <v>914089</v>
      </c>
      <c r="N282" s="975">
        <f>SUM(G282:L282)</f>
        <v>640151</v>
      </c>
      <c r="O282" s="3204"/>
    </row>
    <row r="283" spans="1:16" ht="12" customHeight="1">
      <c r="A283" s="3227"/>
      <c r="B283" s="1799" t="s">
        <v>22</v>
      </c>
      <c r="C283" s="90"/>
      <c r="D283" s="101">
        <f>+D286+D284</f>
        <v>914089</v>
      </c>
      <c r="E283" s="101">
        <f t="shared" ref="E283" si="173">+E286+E284</f>
        <v>0</v>
      </c>
      <c r="F283" s="878">
        <f t="shared" ref="F283:G283" si="174">+F286+F284</f>
        <v>0</v>
      </c>
      <c r="G283" s="101">
        <f t="shared" si="174"/>
        <v>914089</v>
      </c>
      <c r="H283" s="101"/>
      <c r="I283" s="101"/>
      <c r="J283" s="101"/>
      <c r="K283" s="101"/>
      <c r="L283" s="101"/>
      <c r="M283" s="3340" t="s">
        <v>23</v>
      </c>
      <c r="N283" s="3340" t="s">
        <v>23</v>
      </c>
      <c r="O283" s="3265" t="s">
        <v>102</v>
      </c>
    </row>
    <row r="284" spans="1:16" ht="13.5" hidden="1" customHeight="1">
      <c r="A284" s="3227"/>
      <c r="B284" s="1808" t="s">
        <v>24</v>
      </c>
      <c r="C284" s="3214" t="s">
        <v>218</v>
      </c>
      <c r="D284" s="52">
        <f>+D285</f>
        <v>0</v>
      </c>
      <c r="E284" s="52">
        <f t="shared" ref="E284" si="175">+E285</f>
        <v>0</v>
      </c>
      <c r="F284" s="267"/>
      <c r="G284" s="52"/>
      <c r="H284" s="52"/>
      <c r="I284" s="52"/>
      <c r="J284" s="52"/>
      <c r="K284" s="52"/>
      <c r="L284" s="52"/>
      <c r="M284" s="3341"/>
      <c r="N284" s="3341"/>
      <c r="O284" s="3266"/>
    </row>
    <row r="285" spans="1:16" ht="12.75" hidden="1" customHeight="1">
      <c r="A285" s="3227"/>
      <c r="B285" s="92" t="s">
        <v>15</v>
      </c>
      <c r="C285" s="3215"/>
      <c r="D285" s="1715">
        <f>E285+F285+G285+H285+I285+J285+K285+L285</f>
        <v>0</v>
      </c>
      <c r="E285" s="1744">
        <v>0</v>
      </c>
      <c r="F285" s="1841"/>
      <c r="G285" s="1744"/>
      <c r="H285" s="1744"/>
      <c r="I285" s="1744"/>
      <c r="J285" s="1744"/>
      <c r="K285" s="1744"/>
      <c r="L285" s="1744"/>
      <c r="M285" s="3341"/>
      <c r="N285" s="3341"/>
      <c r="O285" s="3266"/>
    </row>
    <row r="286" spans="1:16" ht="12" customHeight="1">
      <c r="A286" s="3227"/>
      <c r="B286" s="1842" t="s">
        <v>18</v>
      </c>
      <c r="C286" s="3215"/>
      <c r="D286" s="1804">
        <f t="shared" ref="D286:G286" si="176">+D287</f>
        <v>914089</v>
      </c>
      <c r="E286" s="1745">
        <f t="shared" si="176"/>
        <v>0</v>
      </c>
      <c r="F286" s="2237">
        <f t="shared" si="176"/>
        <v>0</v>
      </c>
      <c r="G286" s="1745">
        <f t="shared" si="176"/>
        <v>914089</v>
      </c>
      <c r="H286" s="1745"/>
      <c r="I286" s="1745"/>
      <c r="J286" s="1745"/>
      <c r="K286" s="1745"/>
      <c r="L286" s="1745"/>
      <c r="M286" s="3341"/>
      <c r="N286" s="3341"/>
      <c r="O286" s="3266"/>
    </row>
    <row r="287" spans="1:16" ht="13.5" customHeight="1" thickBot="1">
      <c r="A287" s="3228"/>
      <c r="B287" s="981" t="s">
        <v>21</v>
      </c>
      <c r="C287" s="3216"/>
      <c r="D287" s="942">
        <f>E287+F287+G287+H287+I287+J287+K287+L287</f>
        <v>914089</v>
      </c>
      <c r="E287" s="942">
        <v>0</v>
      </c>
      <c r="F287" s="2658">
        <f>1900090-569500-416501-914089</f>
        <v>0</v>
      </c>
      <c r="G287" s="57">
        <v>914089</v>
      </c>
      <c r="H287" s="57"/>
      <c r="I287" s="483"/>
      <c r="J287" s="483"/>
      <c r="K287" s="483"/>
      <c r="L287" s="483"/>
      <c r="M287" s="3342"/>
      <c r="N287" s="3342"/>
      <c r="O287" s="3267"/>
    </row>
    <row r="288" spans="1:16" ht="29.25" hidden="1" customHeight="1">
      <c r="A288" s="3199"/>
      <c r="B288" s="74" t="s">
        <v>408</v>
      </c>
      <c r="C288" s="58" t="s">
        <v>81</v>
      </c>
      <c r="D288" s="822"/>
      <c r="E288" s="424"/>
      <c r="F288" s="424"/>
      <c r="G288" s="424"/>
      <c r="H288" s="424"/>
      <c r="I288" s="424"/>
      <c r="J288" s="44"/>
      <c r="K288" s="44"/>
      <c r="L288" s="44"/>
      <c r="M288" s="45"/>
      <c r="N288" s="45"/>
      <c r="O288" s="3294" t="s">
        <v>102</v>
      </c>
      <c r="P288" s="233" t="s">
        <v>305</v>
      </c>
    </row>
    <row r="289" spans="1:17" ht="13.5" hidden="1" customHeight="1">
      <c r="A289" s="3200"/>
      <c r="B289" s="666" t="s">
        <v>10</v>
      </c>
      <c r="C289" s="748"/>
      <c r="D289" s="709">
        <f t="shared" ref="D289" si="177">+D290+D293</f>
        <v>0</v>
      </c>
      <c r="E289" s="722">
        <v>0</v>
      </c>
      <c r="F289" s="710">
        <f>+F290+F293</f>
        <v>0</v>
      </c>
      <c r="G289" s="710"/>
      <c r="H289" s="710"/>
      <c r="I289" s="710"/>
      <c r="J289" s="710"/>
      <c r="K289" s="710"/>
      <c r="L289" s="710"/>
      <c r="M289" s="957">
        <f>M290+M293</f>
        <v>0</v>
      </c>
      <c r="N289" s="957">
        <f>N290+N293</f>
        <v>0</v>
      </c>
      <c r="O289" s="3212"/>
      <c r="P289" s="456"/>
    </row>
    <row r="290" spans="1:17" ht="14.25" hidden="1" customHeight="1">
      <c r="A290" s="3200"/>
      <c r="B290" s="1328" t="s">
        <v>24</v>
      </c>
      <c r="C290" s="3232" t="s">
        <v>98</v>
      </c>
      <c r="D290" s="889">
        <f t="shared" ref="D290" si="178">+D291+D292</f>
        <v>0</v>
      </c>
      <c r="E290" s="680">
        <v>0</v>
      </c>
      <c r="F290" s="889">
        <f>+F291+F292</f>
        <v>0</v>
      </c>
      <c r="G290" s="889"/>
      <c r="H290" s="889"/>
      <c r="I290" s="889"/>
      <c r="J290" s="889"/>
      <c r="K290" s="889"/>
      <c r="L290" s="889"/>
      <c r="M290" s="644">
        <f>+M291+M292</f>
        <v>0</v>
      </c>
      <c r="N290" s="644">
        <f>+N291+N292</f>
        <v>0</v>
      </c>
      <c r="O290" s="3212"/>
      <c r="P290" s="456"/>
    </row>
    <row r="291" spans="1:17" ht="12.75" hidden="1" customHeight="1">
      <c r="A291" s="3200"/>
      <c r="B291" s="1329" t="s">
        <v>12</v>
      </c>
      <c r="C291" s="3236"/>
      <c r="D291" s="949">
        <f>SUM(E291:L291)</f>
        <v>0</v>
      </c>
      <c r="E291" s="674"/>
      <c r="F291" s="718"/>
      <c r="G291" s="718"/>
      <c r="H291" s="718"/>
      <c r="I291" s="718"/>
      <c r="J291" s="718"/>
      <c r="K291" s="718"/>
      <c r="L291" s="718"/>
      <c r="M291" s="1330"/>
      <c r="N291" s="1330"/>
      <c r="O291" s="3212"/>
    </row>
    <row r="292" spans="1:17" ht="11.25" hidden="1" customHeight="1">
      <c r="A292" s="3200"/>
      <c r="B292" s="591" t="s">
        <v>106</v>
      </c>
      <c r="C292" s="3236"/>
      <c r="D292" s="247">
        <f>E292+F292+G292+H292+I292+J292+K292+L292</f>
        <v>0</v>
      </c>
      <c r="E292" s="674">
        <v>0</v>
      </c>
      <c r="F292" s="719">
        <f>5400000-5400000</f>
        <v>0</v>
      </c>
      <c r="G292" s="718"/>
      <c r="H292" s="718"/>
      <c r="I292" s="719"/>
      <c r="J292" s="718"/>
      <c r="K292" s="718"/>
      <c r="L292" s="718"/>
      <c r="M292" s="975">
        <f>SUM(E292:K292)</f>
        <v>0</v>
      </c>
      <c r="N292" s="975">
        <f>SUM(F292:L292)</f>
        <v>0</v>
      </c>
      <c r="O292" s="3212"/>
    </row>
    <row r="293" spans="1:17" ht="11.25" hidden="1" customHeight="1">
      <c r="A293" s="3200"/>
      <c r="B293" s="1331" t="s">
        <v>18</v>
      </c>
      <c r="C293" s="3236"/>
      <c r="D293" s="645">
        <f t="shared" ref="D293:F293" si="179">+D294</f>
        <v>0</v>
      </c>
      <c r="E293" s="984">
        <v>0</v>
      </c>
      <c r="F293" s="962">
        <f t="shared" si="179"/>
        <v>0</v>
      </c>
      <c r="G293" s="962"/>
      <c r="H293" s="962"/>
      <c r="I293" s="962"/>
      <c r="J293" s="962"/>
      <c r="K293" s="962"/>
      <c r="L293" s="962"/>
      <c r="M293" s="644">
        <f>M294</f>
        <v>0</v>
      </c>
      <c r="N293" s="644">
        <f>N294</f>
        <v>0</v>
      </c>
      <c r="O293" s="3212"/>
    </row>
    <row r="294" spans="1:17" ht="13.5" hidden="1" customHeight="1">
      <c r="A294" s="3200"/>
      <c r="B294" s="1332" t="s">
        <v>21</v>
      </c>
      <c r="C294" s="3278"/>
      <c r="D294" s="247">
        <f>E294+F294+G294+H294+I294+J294+K294+L294</f>
        <v>0</v>
      </c>
      <c r="E294" s="674">
        <v>0</v>
      </c>
      <c r="F294" s="718">
        <f>30600000-30600000</f>
        <v>0</v>
      </c>
      <c r="G294" s="718"/>
      <c r="H294" s="717"/>
      <c r="I294" s="718"/>
      <c r="J294" s="717"/>
      <c r="K294" s="717"/>
      <c r="L294" s="717"/>
      <c r="M294" s="975">
        <f>SUM(E294:K294)</f>
        <v>0</v>
      </c>
      <c r="N294" s="975">
        <f>SUM(F294:L294)</f>
        <v>0</v>
      </c>
      <c r="O294" s="3212"/>
    </row>
    <row r="295" spans="1:17" ht="13.5" hidden="1" customHeight="1">
      <c r="A295" s="3227"/>
      <c r="B295" s="1333" t="s">
        <v>22</v>
      </c>
      <c r="C295" s="90"/>
      <c r="D295" s="101">
        <f>+D298+D296</f>
        <v>0</v>
      </c>
      <c r="E295" s="878">
        <v>0</v>
      </c>
      <c r="F295" s="101">
        <f t="shared" ref="F295" si="180">+F298+F296</f>
        <v>0</v>
      </c>
      <c r="G295" s="101"/>
      <c r="H295" s="101"/>
      <c r="I295" s="101"/>
      <c r="J295" s="101"/>
      <c r="K295" s="101"/>
      <c r="L295" s="101"/>
      <c r="M295" s="3272" t="s">
        <v>23</v>
      </c>
      <c r="N295" s="3272" t="s">
        <v>23</v>
      </c>
      <c r="O295" s="3212"/>
    </row>
    <row r="296" spans="1:17" ht="13.5" hidden="1" customHeight="1">
      <c r="A296" s="3227"/>
      <c r="B296" s="980" t="s">
        <v>24</v>
      </c>
      <c r="C296" s="3232" t="s">
        <v>304</v>
      </c>
      <c r="D296" s="819">
        <f>D297</f>
        <v>0</v>
      </c>
      <c r="E296" s="1334">
        <v>0</v>
      </c>
      <c r="F296" s="819">
        <f t="shared" ref="F296" si="181">F297</f>
        <v>0</v>
      </c>
      <c r="G296" s="819"/>
      <c r="H296" s="819"/>
      <c r="I296" s="819"/>
      <c r="J296" s="819"/>
      <c r="K296" s="819"/>
      <c r="L296" s="819"/>
      <c r="M296" s="3273"/>
      <c r="N296" s="3273"/>
      <c r="O296" s="3212"/>
    </row>
    <row r="297" spans="1:17" ht="13.5" hidden="1" customHeight="1">
      <c r="A297" s="3227"/>
      <c r="B297" s="591" t="s">
        <v>106</v>
      </c>
      <c r="C297" s="3215"/>
      <c r="D297" s="247">
        <f>E297+F297+G297+H297+I297+J297+K297+L297</f>
        <v>0</v>
      </c>
      <c r="E297" s="674">
        <v>0</v>
      </c>
      <c r="F297" s="1335">
        <v>0</v>
      </c>
      <c r="G297" s="819"/>
      <c r="H297" s="1335"/>
      <c r="I297" s="1335"/>
      <c r="J297" s="819"/>
      <c r="K297" s="819"/>
      <c r="L297" s="819"/>
      <c r="M297" s="3273"/>
      <c r="N297" s="3273"/>
      <c r="O297" s="3212"/>
    </row>
    <row r="298" spans="1:17" ht="12" hidden="1" customHeight="1">
      <c r="A298" s="3227"/>
      <c r="B298" s="675" t="s">
        <v>18</v>
      </c>
      <c r="C298" s="3215"/>
      <c r="D298" s="645">
        <f>+D299</f>
        <v>0</v>
      </c>
      <c r="E298" s="984">
        <v>0</v>
      </c>
      <c r="F298" s="962">
        <f t="shared" ref="F298" si="182">+F299</f>
        <v>0</v>
      </c>
      <c r="G298" s="962"/>
      <c r="H298" s="962"/>
      <c r="I298" s="962"/>
      <c r="J298" s="962"/>
      <c r="K298" s="962"/>
      <c r="L298" s="962"/>
      <c r="M298" s="3273"/>
      <c r="N298" s="3273"/>
      <c r="O298" s="3212"/>
    </row>
    <row r="299" spans="1:17" ht="13.5" hidden="1" customHeight="1" thickBot="1">
      <c r="A299" s="3228"/>
      <c r="B299" s="981" t="s">
        <v>21</v>
      </c>
      <c r="C299" s="3216"/>
      <c r="D299" s="247">
        <f>E299+F299+G299+H299+I299+J299+K299+L299</f>
        <v>0</v>
      </c>
      <c r="E299" s="677">
        <v>0</v>
      </c>
      <c r="F299" s="57">
        <f>30600000-30600000</f>
        <v>0</v>
      </c>
      <c r="G299" s="57"/>
      <c r="H299" s="57"/>
      <c r="I299" s="57"/>
      <c r="J299" s="57"/>
      <c r="K299" s="57"/>
      <c r="L299" s="57"/>
      <c r="M299" s="3274"/>
      <c r="N299" s="3274"/>
      <c r="O299" s="3213"/>
    </row>
    <row r="300" spans="1:17" s="1549" customFormat="1" ht="24.75" customHeight="1">
      <c r="A300" s="3199" t="s">
        <v>94</v>
      </c>
      <c r="B300" s="74" t="s">
        <v>562</v>
      </c>
      <c r="C300" s="58" t="s">
        <v>81</v>
      </c>
      <c r="D300" s="2659"/>
      <c r="E300" s="94"/>
      <c r="F300" s="95"/>
      <c r="G300" s="95"/>
      <c r="H300" s="95"/>
      <c r="I300" s="95"/>
      <c r="J300" s="95"/>
      <c r="K300" s="95"/>
      <c r="L300" s="95"/>
      <c r="M300" s="45"/>
      <c r="N300" s="45"/>
      <c r="O300" s="3294" t="s">
        <v>102</v>
      </c>
    </row>
    <row r="301" spans="1:17" s="1549" customFormat="1" ht="13.5" customHeight="1">
      <c r="A301" s="3200"/>
      <c r="B301" s="996" t="s">
        <v>10</v>
      </c>
      <c r="C301" s="522"/>
      <c r="D301" s="729">
        <f t="shared" ref="D301" si="183">+D302+D306</f>
        <v>203900000</v>
      </c>
      <c r="E301" s="2660">
        <f t="shared" ref="E301" si="184">+E302+E306</f>
        <v>0</v>
      </c>
      <c r="F301" s="2661">
        <f>+F302+F306</f>
        <v>142545000</v>
      </c>
      <c r="G301" s="2661">
        <f>+G302+G306</f>
        <v>61355000</v>
      </c>
      <c r="H301" s="2662">
        <f>+H302+H306</f>
        <v>0</v>
      </c>
      <c r="I301" s="2662">
        <f>+I302+I306</f>
        <v>0</v>
      </c>
      <c r="J301" s="2661"/>
      <c r="K301" s="2661"/>
      <c r="L301" s="2661"/>
      <c r="M301" s="2588">
        <f>+M302+M306</f>
        <v>203900000</v>
      </c>
      <c r="N301" s="2588">
        <f>+N302+N306</f>
        <v>61355000</v>
      </c>
      <c r="O301" s="3212"/>
      <c r="Q301" s="2479"/>
    </row>
    <row r="302" spans="1:17" s="1549" customFormat="1" ht="13.5" customHeight="1">
      <c r="A302" s="3200"/>
      <c r="B302" s="980" t="s">
        <v>24</v>
      </c>
      <c r="C302" s="3232" t="s">
        <v>98</v>
      </c>
      <c r="D302" s="2663">
        <f>+D303+D305+D304</f>
        <v>30585000</v>
      </c>
      <c r="E302" s="2664">
        <f t="shared" ref="E302" si="185">+E303+E305+E304</f>
        <v>0</v>
      </c>
      <c r="F302" s="2663">
        <f t="shared" ref="F302:G302" si="186">+F303+F305+F304</f>
        <v>21381750</v>
      </c>
      <c r="G302" s="2663">
        <f t="shared" si="186"/>
        <v>9203250</v>
      </c>
      <c r="H302" s="2664">
        <f>+H303+H305+H304</f>
        <v>0</v>
      </c>
      <c r="I302" s="2664">
        <f>+I303+I305+I304</f>
        <v>0</v>
      </c>
      <c r="J302" s="2663"/>
      <c r="K302" s="2663"/>
      <c r="L302" s="2663"/>
      <c r="M302" s="644">
        <f>+M303+M305+M304</f>
        <v>30585000</v>
      </c>
      <c r="N302" s="644">
        <f>+N303+N305+N304</f>
        <v>9203250</v>
      </c>
      <c r="O302" s="3212"/>
      <c r="Q302" s="2479"/>
    </row>
    <row r="303" spans="1:17" s="1549" customFormat="1">
      <c r="A303" s="3200"/>
      <c r="B303" s="2640" t="s">
        <v>12</v>
      </c>
      <c r="C303" s="3236"/>
      <c r="D303" s="949">
        <f>E303+F303+G303+H303+I303+J303+K303+L303</f>
        <v>30585000</v>
      </c>
      <c r="E303" s="674">
        <v>0</v>
      </c>
      <c r="F303" s="717">
        <v>21381750</v>
      </c>
      <c r="G303" s="2637">
        <f>27609750-18406500</f>
        <v>9203250</v>
      </c>
      <c r="H303" s="977">
        <v>0</v>
      </c>
      <c r="I303" s="2591">
        <v>0</v>
      </c>
      <c r="J303" s="717"/>
      <c r="K303" s="717"/>
      <c r="L303" s="717"/>
      <c r="M303" s="975">
        <f>SUM(F303:K303)</f>
        <v>30585000</v>
      </c>
      <c r="N303" s="975">
        <f>SUM(G303:L303)</f>
        <v>9203250</v>
      </c>
      <c r="O303" s="3212"/>
    </row>
    <row r="304" spans="1:17" s="1549" customFormat="1" ht="12.75" hidden="1" customHeight="1">
      <c r="A304" s="3200"/>
      <c r="B304" s="591" t="s">
        <v>106</v>
      </c>
      <c r="C304" s="3236"/>
      <c r="D304" s="949">
        <f>E304+F304+G304+H304+I304+J304+K304+L304</f>
        <v>0</v>
      </c>
      <c r="E304" s="674">
        <v>0</v>
      </c>
      <c r="F304" s="986">
        <f>15546856-2076856-13470000</f>
        <v>0</v>
      </c>
      <c r="G304" s="2665">
        <f>8419285+6619715-15039000</f>
        <v>0</v>
      </c>
      <c r="H304" s="1415">
        <v>0</v>
      </c>
      <c r="I304" s="1868">
        <f>2076000-2076000</f>
        <v>0</v>
      </c>
      <c r="J304" s="986"/>
      <c r="K304" s="986"/>
      <c r="L304" s="986"/>
      <c r="M304" s="975">
        <f>SUM(E304:K304)</f>
        <v>0</v>
      </c>
      <c r="N304" s="975">
        <f>SUM(F304:L304)</f>
        <v>0</v>
      </c>
      <c r="O304" s="3212"/>
    </row>
    <row r="305" spans="1:15" s="1549" customFormat="1" ht="13.5" hidden="1" customHeight="1">
      <c r="A305" s="3200"/>
      <c r="B305" s="92" t="s">
        <v>15</v>
      </c>
      <c r="C305" s="3236"/>
      <c r="D305" s="949">
        <f>SUM(E305:I305)</f>
        <v>0</v>
      </c>
      <c r="E305" s="674"/>
      <c r="F305" s="986">
        <v>0</v>
      </c>
      <c r="G305" s="986">
        <v>0</v>
      </c>
      <c r="H305" s="1415"/>
      <c r="I305" s="1415"/>
      <c r="J305" s="986"/>
      <c r="K305" s="986"/>
      <c r="L305" s="986"/>
      <c r="M305" s="69"/>
      <c r="N305" s="69"/>
      <c r="O305" s="3212"/>
    </row>
    <row r="306" spans="1:15" s="1549" customFormat="1" ht="13.5" customHeight="1">
      <c r="A306" s="3200"/>
      <c r="B306" s="2641" t="s">
        <v>18</v>
      </c>
      <c r="C306" s="3236"/>
      <c r="D306" s="645">
        <f>+D307</f>
        <v>173315000</v>
      </c>
      <c r="E306" s="2666">
        <f t="shared" ref="E306:N306" si="187">+E307</f>
        <v>0</v>
      </c>
      <c r="F306" s="2599">
        <f t="shared" si="187"/>
        <v>121163250</v>
      </c>
      <c r="G306" s="2599">
        <f t="shared" si="187"/>
        <v>52151750</v>
      </c>
      <c r="H306" s="2666">
        <f t="shared" si="187"/>
        <v>0</v>
      </c>
      <c r="I306" s="2666">
        <f t="shared" si="187"/>
        <v>0</v>
      </c>
      <c r="J306" s="2599"/>
      <c r="K306" s="2599"/>
      <c r="L306" s="2599"/>
      <c r="M306" s="644">
        <f t="shared" si="187"/>
        <v>173315000</v>
      </c>
      <c r="N306" s="644">
        <f t="shared" si="187"/>
        <v>52151750</v>
      </c>
      <c r="O306" s="3212"/>
    </row>
    <row r="307" spans="1:15" s="1549" customFormat="1">
      <c r="A307" s="3200"/>
      <c r="B307" s="676" t="s">
        <v>21</v>
      </c>
      <c r="C307" s="3278"/>
      <c r="D307" s="949">
        <f>E307+F307+G307+H307+I307+J307+K307+L307</f>
        <v>173315000</v>
      </c>
      <c r="E307" s="674">
        <v>0</v>
      </c>
      <c r="F307" s="986">
        <f>112200000-35870000+44833250</f>
        <v>121163250</v>
      </c>
      <c r="G307" s="986">
        <f>96900000-11679000+71234250-104303500</f>
        <v>52151750</v>
      </c>
      <c r="H307" s="1415">
        <v>0</v>
      </c>
      <c r="I307" s="1415">
        <f>11764000-11764000</f>
        <v>0</v>
      </c>
      <c r="J307" s="986"/>
      <c r="K307" s="986"/>
      <c r="L307" s="986"/>
      <c r="M307" s="975">
        <f>SUM(F307:K307)</f>
        <v>173315000</v>
      </c>
      <c r="N307" s="975">
        <f>SUM(G307:L307)</f>
        <v>52151750</v>
      </c>
      <c r="O307" s="3212"/>
    </row>
    <row r="308" spans="1:15" s="1549" customFormat="1" ht="13.5" customHeight="1">
      <c r="A308" s="3227"/>
      <c r="B308" s="996" t="s">
        <v>22</v>
      </c>
      <c r="C308" s="522"/>
      <c r="D308" s="709">
        <f>+D309+D312</f>
        <v>173315000</v>
      </c>
      <c r="E308" s="2667">
        <f t="shared" ref="E308" si="188">+E309+E312</f>
        <v>0</v>
      </c>
      <c r="F308" s="2668">
        <f t="shared" ref="F308:I308" si="189">+F309+F312</f>
        <v>121163250</v>
      </c>
      <c r="G308" s="2668">
        <f t="shared" si="189"/>
        <v>52151750</v>
      </c>
      <c r="H308" s="2667">
        <f t="shared" si="189"/>
        <v>0</v>
      </c>
      <c r="I308" s="2667">
        <f t="shared" si="189"/>
        <v>0</v>
      </c>
      <c r="J308" s="2668"/>
      <c r="K308" s="2668"/>
      <c r="L308" s="2668"/>
      <c r="M308" s="2669"/>
      <c r="N308" s="2669"/>
      <c r="O308" s="3212"/>
    </row>
    <row r="309" spans="1:15" s="1549" customFormat="1" hidden="1">
      <c r="A309" s="3227"/>
      <c r="B309" s="980" t="s">
        <v>24</v>
      </c>
      <c r="C309" s="3279" t="s">
        <v>390</v>
      </c>
      <c r="D309" s="52">
        <f>+D311+D310</f>
        <v>0</v>
      </c>
      <c r="E309" s="267">
        <f t="shared" ref="E309" si="190">+E311+E310</f>
        <v>0</v>
      </c>
      <c r="F309" s="52">
        <f t="shared" ref="F309" si="191">+F311+F310</f>
        <v>0</v>
      </c>
      <c r="G309" s="52">
        <f t="shared" ref="G309" si="192">+G311+G310</f>
        <v>0</v>
      </c>
      <c r="H309" s="267">
        <f>+H311+H310</f>
        <v>0</v>
      </c>
      <c r="I309" s="267">
        <f>+I311+I310</f>
        <v>0</v>
      </c>
      <c r="J309" s="52"/>
      <c r="K309" s="52"/>
      <c r="L309" s="52"/>
      <c r="M309" s="2670"/>
      <c r="N309" s="2670"/>
      <c r="O309" s="3212"/>
    </row>
    <row r="310" spans="1:15" s="1549" customFormat="1" ht="13.5" hidden="1" customHeight="1">
      <c r="A310" s="3227"/>
      <c r="B310" s="591" t="s">
        <v>106</v>
      </c>
      <c r="C310" s="3280"/>
      <c r="D310" s="949">
        <f>E310+F310+G310+H310+I310+J310+K310+L310</f>
        <v>0</v>
      </c>
      <c r="E310" s="267"/>
      <c r="F310" s="2671">
        <f>8419285-8419285</f>
        <v>0</v>
      </c>
      <c r="G310" s="2671">
        <f>8419285-8419285</f>
        <v>0</v>
      </c>
      <c r="H310" s="2672">
        <v>0</v>
      </c>
      <c r="I310" s="267">
        <v>0</v>
      </c>
      <c r="J310" s="52"/>
      <c r="K310" s="52"/>
      <c r="L310" s="52"/>
      <c r="M310" s="2670"/>
      <c r="N310" s="2670"/>
      <c r="O310" s="3212"/>
    </row>
    <row r="311" spans="1:15" s="1549" customFormat="1" ht="12.75" hidden="1" customHeight="1">
      <c r="A311" s="3227"/>
      <c r="B311" s="92" t="s">
        <v>15</v>
      </c>
      <c r="C311" s="3281"/>
      <c r="D311" s="949">
        <f>SUM(E311:I311)</f>
        <v>0</v>
      </c>
      <c r="E311" s="2646">
        <v>0</v>
      </c>
      <c r="F311" s="2673"/>
      <c r="G311" s="2673"/>
      <c r="H311" s="2674"/>
      <c r="I311" s="2674"/>
      <c r="J311" s="2673"/>
      <c r="K311" s="2673"/>
      <c r="L311" s="2673"/>
      <c r="M311" s="2670"/>
      <c r="N311" s="2670"/>
      <c r="O311" s="3212"/>
    </row>
    <row r="312" spans="1:15" s="1549" customFormat="1" ht="14.25" customHeight="1">
      <c r="A312" s="3227"/>
      <c r="B312" s="2641" t="s">
        <v>18</v>
      </c>
      <c r="C312" s="3281"/>
      <c r="D312" s="645">
        <f t="shared" ref="D312:I312" si="193">+D313</f>
        <v>173315000</v>
      </c>
      <c r="E312" s="2666">
        <f t="shared" si="193"/>
        <v>0</v>
      </c>
      <c r="F312" s="2599">
        <f t="shared" si="193"/>
        <v>121163250</v>
      </c>
      <c r="G312" s="2599">
        <f t="shared" si="193"/>
        <v>52151750</v>
      </c>
      <c r="H312" s="2666">
        <f t="shared" si="193"/>
        <v>0</v>
      </c>
      <c r="I312" s="2666">
        <f t="shared" si="193"/>
        <v>0</v>
      </c>
      <c r="J312" s="2599"/>
      <c r="K312" s="2599"/>
      <c r="L312" s="2599"/>
      <c r="M312" s="2670"/>
      <c r="N312" s="2670"/>
      <c r="O312" s="3212"/>
    </row>
    <row r="313" spans="1:15" s="1549" customFormat="1" ht="12.75" customHeight="1" thickBot="1">
      <c r="A313" s="3228"/>
      <c r="B313" s="981" t="s">
        <v>21</v>
      </c>
      <c r="C313" s="3282"/>
      <c r="D313" s="2391">
        <f>E313+F313+G313+H313+I313+J313+K313+L313</f>
        <v>173315000</v>
      </c>
      <c r="E313" s="2593">
        <v>0</v>
      </c>
      <c r="F313" s="57">
        <f>112200000-35870000+44833250</f>
        <v>121163250</v>
      </c>
      <c r="G313" s="57">
        <f>96900000-11679000+71234250-104303500</f>
        <v>52151750</v>
      </c>
      <c r="H313" s="2658">
        <v>0</v>
      </c>
      <c r="I313" s="2658">
        <f>11764000-11764000</f>
        <v>0</v>
      </c>
      <c r="J313" s="57"/>
      <c r="K313" s="57"/>
      <c r="L313" s="57"/>
      <c r="M313" s="2675"/>
      <c r="N313" s="2675"/>
      <c r="O313" s="3213"/>
    </row>
    <row r="314" spans="1:15" ht="28.5" customHeight="1">
      <c r="A314" s="3199" t="s">
        <v>95</v>
      </c>
      <c r="B314" s="74" t="s">
        <v>563</v>
      </c>
      <c r="C314" s="58" t="s">
        <v>109</v>
      </c>
      <c r="D314" s="59"/>
      <c r="E314" s="44"/>
      <c r="F314" s="44"/>
      <c r="G314" s="44"/>
      <c r="H314" s="44"/>
      <c r="I314" s="44"/>
      <c r="J314" s="44"/>
      <c r="K314" s="44"/>
      <c r="L314" s="44"/>
      <c r="M314" s="45"/>
      <c r="N314" s="45"/>
      <c r="O314" s="3294" t="s">
        <v>102</v>
      </c>
    </row>
    <row r="315" spans="1:15" ht="12.75" customHeight="1">
      <c r="A315" s="3200"/>
      <c r="B315" s="416" t="s">
        <v>10</v>
      </c>
      <c r="C315" s="22"/>
      <c r="D315" s="413">
        <f>+D316+D319</f>
        <v>122710000</v>
      </c>
      <c r="E315" s="2676">
        <f t="shared" ref="E315:G315" si="194">+E316+E319</f>
        <v>0</v>
      </c>
      <c r="F315" s="2676">
        <f t="shared" si="194"/>
        <v>0</v>
      </c>
      <c r="G315" s="413">
        <f t="shared" si="194"/>
        <v>122710000</v>
      </c>
      <c r="H315" s="413"/>
      <c r="I315" s="413"/>
      <c r="J315" s="413"/>
      <c r="K315" s="413"/>
      <c r="L315" s="413"/>
      <c r="M315" s="2677">
        <f>M316+M319</f>
        <v>122710000</v>
      </c>
      <c r="N315" s="2677">
        <f>N316+N319</f>
        <v>122710000</v>
      </c>
      <c r="O315" s="3212"/>
    </row>
    <row r="316" spans="1:15" ht="12.75" customHeight="1">
      <c r="A316" s="3200"/>
      <c r="B316" s="452" t="s">
        <v>24</v>
      </c>
      <c r="C316" s="3277" t="s">
        <v>98</v>
      </c>
      <c r="D316" s="78">
        <f>+D317+D318</f>
        <v>18406500</v>
      </c>
      <c r="E316" s="2303">
        <f t="shared" ref="E316:G316" si="195">+E317+E318</f>
        <v>0</v>
      </c>
      <c r="F316" s="2303">
        <f t="shared" si="195"/>
        <v>0</v>
      </c>
      <c r="G316" s="78">
        <f t="shared" si="195"/>
        <v>18406500</v>
      </c>
      <c r="H316" s="78"/>
      <c r="I316" s="78"/>
      <c r="J316" s="78"/>
      <c r="K316" s="78"/>
      <c r="L316" s="78"/>
      <c r="M316" s="2678">
        <f>+M317+M318</f>
        <v>18406500</v>
      </c>
      <c r="N316" s="2678">
        <f>+N317+N318</f>
        <v>18406500</v>
      </c>
      <c r="O316" s="3212"/>
    </row>
    <row r="317" spans="1:15" ht="12.75" customHeight="1">
      <c r="A317" s="3200"/>
      <c r="B317" s="876" t="s">
        <v>12</v>
      </c>
      <c r="C317" s="3236"/>
      <c r="D317" s="247">
        <f t="shared" ref="D317:D318" si="196">E317+F317+G317+H317+I317+J317+K317+L317</f>
        <v>18406500</v>
      </c>
      <c r="E317" s="2679">
        <v>0</v>
      </c>
      <c r="F317" s="2679">
        <v>0</v>
      </c>
      <c r="G317" s="463">
        <v>18406500</v>
      </c>
      <c r="H317" s="2680"/>
      <c r="I317" s="2680"/>
      <c r="J317" s="2680"/>
      <c r="K317" s="2680"/>
      <c r="L317" s="2680"/>
      <c r="M317" s="2681">
        <f>SUM(E317:H317)</f>
        <v>18406500</v>
      </c>
      <c r="N317" s="2682">
        <f>SUM(G317:I317)</f>
        <v>18406500</v>
      </c>
      <c r="O317" s="3212"/>
    </row>
    <row r="318" spans="1:15" ht="12.75" hidden="1" customHeight="1">
      <c r="A318" s="3200"/>
      <c r="B318" s="591" t="s">
        <v>17</v>
      </c>
      <c r="C318" s="3236"/>
      <c r="D318" s="247">
        <f t="shared" si="196"/>
        <v>0</v>
      </c>
      <c r="E318" s="2679">
        <v>0</v>
      </c>
      <c r="F318" s="2679">
        <v>0</v>
      </c>
      <c r="G318" s="463">
        <v>0</v>
      </c>
      <c r="H318" s="2683"/>
      <c r="I318" s="2683"/>
      <c r="J318" s="2683"/>
      <c r="K318" s="2683"/>
      <c r="L318" s="2683"/>
      <c r="M318" s="2682">
        <f>SUM(E318:H318)</f>
        <v>0</v>
      </c>
      <c r="N318" s="2682">
        <f>SUM(G318:I318)</f>
        <v>0</v>
      </c>
      <c r="O318" s="3212"/>
    </row>
    <row r="319" spans="1:15" ht="12.75" customHeight="1">
      <c r="A319" s="3200"/>
      <c r="B319" s="464" t="s">
        <v>18</v>
      </c>
      <c r="C319" s="3236"/>
      <c r="D319" s="414">
        <f>+D320</f>
        <v>104303500</v>
      </c>
      <c r="E319" s="2684">
        <f t="shared" ref="E319:G319" si="197">+E320</f>
        <v>0</v>
      </c>
      <c r="F319" s="2684">
        <f t="shared" si="197"/>
        <v>0</v>
      </c>
      <c r="G319" s="414">
        <f t="shared" si="197"/>
        <v>104303500</v>
      </c>
      <c r="H319" s="414"/>
      <c r="I319" s="414"/>
      <c r="J319" s="414"/>
      <c r="K319" s="414"/>
      <c r="L319" s="414"/>
      <c r="M319" s="2678">
        <f>M320</f>
        <v>104303500</v>
      </c>
      <c r="N319" s="2678">
        <f>N320</f>
        <v>104303500</v>
      </c>
      <c r="O319" s="3212"/>
    </row>
    <row r="320" spans="1:15" ht="12.75" customHeight="1">
      <c r="A320" s="3200"/>
      <c r="B320" s="2685" t="s">
        <v>21</v>
      </c>
      <c r="C320" s="3236"/>
      <c r="D320" s="247">
        <f>E320+F320+G320+H320+I320+J320+K320+L320</f>
        <v>104303500</v>
      </c>
      <c r="E320" s="673">
        <v>0</v>
      </c>
      <c r="F320" s="673">
        <v>0</v>
      </c>
      <c r="G320" s="939">
        <v>104303500</v>
      </c>
      <c r="H320" s="2683"/>
      <c r="I320" s="2683"/>
      <c r="J320" s="2683"/>
      <c r="K320" s="2683"/>
      <c r="L320" s="2683"/>
      <c r="M320" s="36">
        <f>SUM(E320:K320)</f>
        <v>104303500</v>
      </c>
      <c r="N320" s="36">
        <f>SUM(G320:L320)</f>
        <v>104303500</v>
      </c>
      <c r="O320" s="3212"/>
    </row>
    <row r="321" spans="1:17" ht="12.75" customHeight="1">
      <c r="A321" s="3227"/>
      <c r="B321" s="21" t="s">
        <v>22</v>
      </c>
      <c r="C321" s="22"/>
      <c r="D321" s="420">
        <f>+D324+D322</f>
        <v>104303500</v>
      </c>
      <c r="E321" s="2686">
        <f t="shared" ref="E321:G321" si="198">+E324+E322</f>
        <v>0</v>
      </c>
      <c r="F321" s="2686">
        <f t="shared" si="198"/>
        <v>0</v>
      </c>
      <c r="G321" s="420">
        <f t="shared" si="198"/>
        <v>104303500</v>
      </c>
      <c r="H321" s="420"/>
      <c r="I321" s="420"/>
      <c r="J321" s="420"/>
      <c r="K321" s="420"/>
      <c r="L321" s="420"/>
      <c r="M321" s="3268" t="s">
        <v>23</v>
      </c>
      <c r="N321" s="3268" t="s">
        <v>23</v>
      </c>
      <c r="O321" s="3212"/>
    </row>
    <row r="322" spans="1:17" ht="12.75" hidden="1" customHeight="1">
      <c r="A322" s="3227"/>
      <c r="B322" s="452" t="s">
        <v>24</v>
      </c>
      <c r="C322" s="3214" t="s">
        <v>390</v>
      </c>
      <c r="D322" s="2290">
        <f>D323</f>
        <v>0</v>
      </c>
      <c r="E322" s="2687">
        <f t="shared" ref="E322:G322" si="199">E323</f>
        <v>0</v>
      </c>
      <c r="F322" s="2687">
        <f t="shared" si="199"/>
        <v>0</v>
      </c>
      <c r="G322" s="2290">
        <f t="shared" si="199"/>
        <v>0</v>
      </c>
      <c r="H322" s="2688"/>
      <c r="I322" s="2688"/>
      <c r="J322" s="2688"/>
      <c r="K322" s="2688"/>
      <c r="L322" s="2688"/>
      <c r="M322" s="3209"/>
      <c r="N322" s="3209"/>
      <c r="O322" s="3212"/>
    </row>
    <row r="323" spans="1:17" ht="12.75" hidden="1" customHeight="1">
      <c r="A323" s="3227"/>
      <c r="B323" s="591" t="s">
        <v>17</v>
      </c>
      <c r="C323" s="3215"/>
      <c r="D323" s="1715">
        <f>E323+F323+G323+H323+I323+J323+K323+L323</f>
        <v>0</v>
      </c>
      <c r="E323" s="2689">
        <f t="shared" ref="E323:G323" si="200">F323+G323+H323+I323+J323+K323+L323+M323</f>
        <v>0</v>
      </c>
      <c r="F323" s="2689">
        <f t="shared" si="200"/>
        <v>0</v>
      </c>
      <c r="G323" s="1715">
        <f t="shared" si="200"/>
        <v>0</v>
      </c>
      <c r="H323" s="2688"/>
      <c r="I323" s="2688"/>
      <c r="J323" s="2688"/>
      <c r="K323" s="2688"/>
      <c r="L323" s="2688"/>
      <c r="M323" s="3209"/>
      <c r="N323" s="3209"/>
      <c r="O323" s="3212"/>
    </row>
    <row r="324" spans="1:17" ht="12.75" customHeight="1">
      <c r="A324" s="3227"/>
      <c r="B324" s="464" t="s">
        <v>18</v>
      </c>
      <c r="C324" s="3215"/>
      <c r="D324" s="1830">
        <f>+D325</f>
        <v>104303500</v>
      </c>
      <c r="E324" s="2690">
        <f t="shared" ref="E324:G324" si="201">+E325</f>
        <v>0</v>
      </c>
      <c r="F324" s="2690">
        <f t="shared" si="201"/>
        <v>0</v>
      </c>
      <c r="G324" s="1830">
        <f t="shared" si="201"/>
        <v>104303500</v>
      </c>
      <c r="H324" s="2691"/>
      <c r="I324" s="2691"/>
      <c r="J324" s="2691"/>
      <c r="K324" s="2691"/>
      <c r="L324" s="2691"/>
      <c r="M324" s="3209"/>
      <c r="N324" s="3209"/>
      <c r="O324" s="3212"/>
    </row>
    <row r="325" spans="1:17" ht="12.75" customHeight="1" thickBot="1">
      <c r="A325" s="3228"/>
      <c r="B325" s="360" t="s">
        <v>21</v>
      </c>
      <c r="C325" s="3216"/>
      <c r="D325" s="2391">
        <f>E325+F325+G325+H325+I325+J325+K325+L325</f>
        <v>104303500</v>
      </c>
      <c r="E325" s="2187">
        <v>0</v>
      </c>
      <c r="F325" s="2187">
        <v>0</v>
      </c>
      <c r="G325" s="2147">
        <v>104303500</v>
      </c>
      <c r="H325" s="480"/>
      <c r="I325" s="480"/>
      <c r="J325" s="480"/>
      <c r="K325" s="480"/>
      <c r="L325" s="480"/>
      <c r="M325" s="3210"/>
      <c r="N325" s="3210"/>
      <c r="O325" s="3213"/>
    </row>
    <row r="326" spans="1:17" ht="20.25" customHeight="1">
      <c r="A326" s="3333" t="s">
        <v>226</v>
      </c>
      <c r="B326" s="114" t="s">
        <v>236</v>
      </c>
      <c r="C326" s="879"/>
      <c r="D326" s="115"/>
      <c r="E326" s="116"/>
      <c r="F326" s="116"/>
      <c r="G326" s="116"/>
      <c r="H326" s="116"/>
      <c r="I326" s="116"/>
      <c r="J326" s="304"/>
      <c r="K326" s="305"/>
      <c r="L326" s="305"/>
      <c r="M326" s="117"/>
      <c r="N326" s="117"/>
      <c r="O326" s="3338"/>
    </row>
    <row r="327" spans="1:17" s="881" customFormat="1" ht="14.25" customHeight="1">
      <c r="A327" s="3334"/>
      <c r="B327" s="996" t="s">
        <v>10</v>
      </c>
      <c r="C327" s="90"/>
      <c r="D327" s="118">
        <f>+D328+D331</f>
        <v>47036305</v>
      </c>
      <c r="E327" s="118">
        <f t="shared" ref="E327:N327" si="202">+E328+E331</f>
        <v>843115</v>
      </c>
      <c r="F327" s="118">
        <f t="shared" si="202"/>
        <v>7695705</v>
      </c>
      <c r="G327" s="118">
        <f t="shared" si="202"/>
        <v>13781764</v>
      </c>
      <c r="H327" s="118">
        <f t="shared" si="202"/>
        <v>24633549</v>
      </c>
      <c r="I327" s="118">
        <f t="shared" si="202"/>
        <v>82172</v>
      </c>
      <c r="J327" s="118">
        <f t="shared" si="202"/>
        <v>0</v>
      </c>
      <c r="K327" s="118">
        <f t="shared" si="202"/>
        <v>0</v>
      </c>
      <c r="L327" s="118">
        <f t="shared" si="202"/>
        <v>0</v>
      </c>
      <c r="M327" s="954">
        <f t="shared" ref="M327" si="203">+M328+M331</f>
        <v>46193190</v>
      </c>
      <c r="N327" s="954">
        <f t="shared" si="202"/>
        <v>38497485</v>
      </c>
      <c r="O327" s="3339"/>
      <c r="P327" s="456"/>
      <c r="Q327" s="880"/>
    </row>
    <row r="328" spans="1:17" s="882" customFormat="1" ht="13.5" customHeight="1">
      <c r="A328" s="3334"/>
      <c r="B328" s="119" t="s">
        <v>11</v>
      </c>
      <c r="C328" s="120"/>
      <c r="D328" s="997">
        <f>+D329+D330</f>
        <v>12969986</v>
      </c>
      <c r="E328" s="997">
        <f>+E329+E330</f>
        <v>510058</v>
      </c>
      <c r="F328" s="997">
        <f t="shared" ref="F328:L328" si="204">+F329</f>
        <v>1882330</v>
      </c>
      <c r="G328" s="997">
        <f t="shared" si="204"/>
        <v>5090594</v>
      </c>
      <c r="H328" s="997">
        <f t="shared" si="204"/>
        <v>5474338</v>
      </c>
      <c r="I328" s="997">
        <f t="shared" si="204"/>
        <v>12666</v>
      </c>
      <c r="J328" s="997">
        <f t="shared" si="204"/>
        <v>0</v>
      </c>
      <c r="K328" s="997">
        <f t="shared" si="204"/>
        <v>0</v>
      </c>
      <c r="L328" s="997">
        <f t="shared" si="204"/>
        <v>0</v>
      </c>
      <c r="M328" s="644">
        <f>+M329</f>
        <v>12459928</v>
      </c>
      <c r="N328" s="644">
        <f>+N329</f>
        <v>10577598</v>
      </c>
      <c r="O328" s="3339"/>
      <c r="Q328" s="880"/>
    </row>
    <row r="329" spans="1:17" s="881" customFormat="1" ht="11.25" customHeight="1">
      <c r="A329" s="3334"/>
      <c r="B329" s="38" t="s">
        <v>12</v>
      </c>
      <c r="C329" s="39"/>
      <c r="D329" s="998">
        <f>+D341+D351+D408++D360+D372+D381+D390+D399+D423</f>
        <v>12912983</v>
      </c>
      <c r="E329" s="998">
        <f t="shared" ref="E329:J329" si="205">+E341+E351+E408++E360+E372+E381+E390+E399+E423</f>
        <v>453055</v>
      </c>
      <c r="F329" s="998">
        <f t="shared" si="205"/>
        <v>1882330</v>
      </c>
      <c r="G329" s="998">
        <f t="shared" si="205"/>
        <v>5090594</v>
      </c>
      <c r="H329" s="998">
        <f t="shared" si="205"/>
        <v>5474338</v>
      </c>
      <c r="I329" s="998">
        <f t="shared" si="205"/>
        <v>12666</v>
      </c>
      <c r="J329" s="998">
        <f t="shared" si="205"/>
        <v>0</v>
      </c>
      <c r="K329" s="998">
        <f t="shared" ref="K329:L329" si="206">+K341+K351+K408++K360+K372+K381+K390+K399</f>
        <v>0</v>
      </c>
      <c r="L329" s="998">
        <f t="shared" si="206"/>
        <v>0</v>
      </c>
      <c r="M329" s="975">
        <f>SUM(F329:K329)</f>
        <v>12459928</v>
      </c>
      <c r="N329" s="975">
        <f>SUM(G329:L329)</f>
        <v>10577598</v>
      </c>
      <c r="O329" s="3339"/>
      <c r="P329" s="880"/>
      <c r="Q329" s="880"/>
    </row>
    <row r="330" spans="1:17" s="881" customFormat="1" ht="11.25" customHeight="1">
      <c r="A330" s="3334"/>
      <c r="B330" s="38" t="s">
        <v>15</v>
      </c>
      <c r="C330" s="39"/>
      <c r="D330" s="998">
        <f>+D361</f>
        <v>57003</v>
      </c>
      <c r="E330" s="998">
        <f t="shared" ref="E330:L330" si="207">+E361</f>
        <v>57003</v>
      </c>
      <c r="F330" s="998">
        <f t="shared" si="207"/>
        <v>0</v>
      </c>
      <c r="G330" s="998">
        <f t="shared" si="207"/>
        <v>0</v>
      </c>
      <c r="H330" s="998">
        <f t="shared" si="207"/>
        <v>0</v>
      </c>
      <c r="I330" s="998">
        <f t="shared" si="207"/>
        <v>0</v>
      </c>
      <c r="J330" s="998">
        <f t="shared" si="207"/>
        <v>0</v>
      </c>
      <c r="K330" s="998">
        <f t="shared" si="207"/>
        <v>0</v>
      </c>
      <c r="L330" s="998">
        <f t="shared" si="207"/>
        <v>0</v>
      </c>
      <c r="M330" s="975">
        <f>SUM(F330:K330)</f>
        <v>0</v>
      </c>
      <c r="N330" s="975">
        <f>SUM(G330:L330)</f>
        <v>0</v>
      </c>
      <c r="O330" s="3339"/>
      <c r="P330" s="880"/>
      <c r="Q330" s="880"/>
    </row>
    <row r="331" spans="1:17" s="882" customFormat="1" ht="13.5" customHeight="1">
      <c r="A331" s="3334"/>
      <c r="B331" s="999" t="s">
        <v>100</v>
      </c>
      <c r="C331" s="1000"/>
      <c r="D331" s="1001">
        <f>+D332</f>
        <v>34066319</v>
      </c>
      <c r="E331" s="1001">
        <f t="shared" ref="E331:L331" si="208">+E332</f>
        <v>333057</v>
      </c>
      <c r="F331" s="1001">
        <f t="shared" si="208"/>
        <v>5813375</v>
      </c>
      <c r="G331" s="1001">
        <f t="shared" si="208"/>
        <v>8691170</v>
      </c>
      <c r="H331" s="1001">
        <f t="shared" si="208"/>
        <v>19159211</v>
      </c>
      <c r="I331" s="1001">
        <f t="shared" si="208"/>
        <v>69506</v>
      </c>
      <c r="J331" s="1001">
        <f t="shared" si="208"/>
        <v>0</v>
      </c>
      <c r="K331" s="1001">
        <f t="shared" si="208"/>
        <v>0</v>
      </c>
      <c r="L331" s="1001">
        <f t="shared" si="208"/>
        <v>0</v>
      </c>
      <c r="M331" s="644">
        <f>+M332</f>
        <v>33733262</v>
      </c>
      <c r="N331" s="644">
        <f>+N332</f>
        <v>27919887</v>
      </c>
      <c r="O331" s="3339"/>
      <c r="Q331" s="880"/>
    </row>
    <row r="332" spans="1:17" s="881" customFormat="1" ht="12.75" customHeight="1">
      <c r="A332" s="3334"/>
      <c r="B332" s="38" t="s">
        <v>20</v>
      </c>
      <c r="C332" s="39"/>
      <c r="D332" s="998">
        <f>+D343+D353+D413+D363+D374+D383+D392+D401+D428</f>
        <v>34066319</v>
      </c>
      <c r="E332" s="998">
        <f t="shared" ref="E332:K332" si="209">+E343+E353+E413+E363+E374+E383+E392+E401+E428</f>
        <v>333057</v>
      </c>
      <c r="F332" s="998">
        <f t="shared" si="209"/>
        <v>5813375</v>
      </c>
      <c r="G332" s="998">
        <f t="shared" si="209"/>
        <v>8691170</v>
      </c>
      <c r="H332" s="998">
        <f t="shared" si="209"/>
        <v>19159211</v>
      </c>
      <c r="I332" s="998">
        <f t="shared" si="209"/>
        <v>69506</v>
      </c>
      <c r="J332" s="998">
        <f t="shared" si="209"/>
        <v>0</v>
      </c>
      <c r="K332" s="998">
        <f t="shared" si="209"/>
        <v>0</v>
      </c>
      <c r="L332" s="998">
        <f t="shared" ref="L332" si="210">+L343+L353+L413+L363+L374+L383+L392+L401</f>
        <v>0</v>
      </c>
      <c r="M332" s="975">
        <f>SUM(F332:K332)</f>
        <v>33733262</v>
      </c>
      <c r="N332" s="975">
        <f>SUM(G332:L332)</f>
        <v>27919887</v>
      </c>
      <c r="O332" s="3339"/>
      <c r="P332" s="880"/>
      <c r="Q332" s="880"/>
    </row>
    <row r="333" spans="1:17" s="881" customFormat="1" ht="12" customHeight="1">
      <c r="A333" s="3335"/>
      <c r="B333" s="662" t="s">
        <v>22</v>
      </c>
      <c r="C333" s="748"/>
      <c r="D333" s="974">
        <f>+D336+D334</f>
        <v>34123322</v>
      </c>
      <c r="E333" s="974">
        <f t="shared" ref="E333:L333" si="211">+E336+E334</f>
        <v>57003</v>
      </c>
      <c r="F333" s="974">
        <f t="shared" si="211"/>
        <v>45734</v>
      </c>
      <c r="G333" s="974">
        <f t="shared" si="211"/>
        <v>7766162</v>
      </c>
      <c r="H333" s="974">
        <f t="shared" si="211"/>
        <v>16950539</v>
      </c>
      <c r="I333" s="974">
        <f t="shared" si="211"/>
        <v>9303884</v>
      </c>
      <c r="J333" s="974">
        <f t="shared" si="211"/>
        <v>0</v>
      </c>
      <c r="K333" s="974">
        <f t="shared" si="211"/>
        <v>0</v>
      </c>
      <c r="L333" s="974">
        <f t="shared" si="211"/>
        <v>0</v>
      </c>
      <c r="M333" s="3257" t="s">
        <v>23</v>
      </c>
      <c r="N333" s="3257" t="s">
        <v>23</v>
      </c>
      <c r="O333" s="122"/>
      <c r="P333" s="880"/>
    </row>
    <row r="334" spans="1:17" s="881" customFormat="1" ht="12" customHeight="1">
      <c r="A334" s="3335"/>
      <c r="B334" s="119" t="s">
        <v>24</v>
      </c>
      <c r="C334" s="120"/>
      <c r="D334" s="997">
        <f>+D335</f>
        <v>57003</v>
      </c>
      <c r="E334" s="997">
        <v>57003</v>
      </c>
      <c r="F334" s="997"/>
      <c r="G334" s="997"/>
      <c r="H334" s="997"/>
      <c r="I334" s="997"/>
      <c r="J334" s="997"/>
      <c r="K334" s="997"/>
      <c r="L334" s="997"/>
      <c r="M334" s="3209"/>
      <c r="N334" s="3209"/>
      <c r="O334" s="122"/>
      <c r="P334" s="880"/>
    </row>
    <row r="335" spans="1:17" s="881" customFormat="1" ht="12" customHeight="1">
      <c r="A335" s="3335"/>
      <c r="B335" s="38" t="s">
        <v>15</v>
      </c>
      <c r="C335" s="39"/>
      <c r="D335" s="998">
        <f>+D366</f>
        <v>57003</v>
      </c>
      <c r="E335" s="998">
        <f>+E361</f>
        <v>57003</v>
      </c>
      <c r="F335" s="998">
        <f>+F361</f>
        <v>0</v>
      </c>
      <c r="G335" s="998">
        <f t="shared" ref="G335:K335" si="212">+G361</f>
        <v>0</v>
      </c>
      <c r="H335" s="998">
        <f t="shared" si="212"/>
        <v>0</v>
      </c>
      <c r="I335" s="998">
        <f t="shared" si="212"/>
        <v>0</v>
      </c>
      <c r="J335" s="998">
        <f t="shared" si="212"/>
        <v>0</v>
      </c>
      <c r="K335" s="998">
        <f t="shared" si="212"/>
        <v>0</v>
      </c>
      <c r="L335" s="998">
        <f t="shared" ref="L335" si="213">+L366</f>
        <v>0</v>
      </c>
      <c r="M335" s="3209"/>
      <c r="N335" s="3209"/>
      <c r="O335" s="122"/>
      <c r="P335" s="880"/>
    </row>
    <row r="336" spans="1:17" s="881" customFormat="1" ht="12.75" customHeight="1">
      <c r="A336" s="3335"/>
      <c r="B336" s="1002" t="s">
        <v>18</v>
      </c>
      <c r="C336" s="883"/>
      <c r="D336" s="123">
        <f>+D337</f>
        <v>34066319</v>
      </c>
      <c r="E336" s="123">
        <v>0</v>
      </c>
      <c r="F336" s="123">
        <f t="shared" ref="F336:I336" si="214">+F337</f>
        <v>45734</v>
      </c>
      <c r="G336" s="123">
        <f t="shared" si="214"/>
        <v>7766162</v>
      </c>
      <c r="H336" s="123">
        <f t="shared" si="214"/>
        <v>16950539</v>
      </c>
      <c r="I336" s="123">
        <f t="shared" si="214"/>
        <v>9303884</v>
      </c>
      <c r="J336" s="123">
        <f>+J337</f>
        <v>0</v>
      </c>
      <c r="K336" s="123">
        <f>+K337</f>
        <v>0</v>
      </c>
      <c r="L336" s="123">
        <f>+L337</f>
        <v>0</v>
      </c>
      <c r="M336" s="3209"/>
      <c r="N336" s="3209"/>
      <c r="O336" s="2618"/>
      <c r="P336" s="880"/>
    </row>
    <row r="337" spans="1:16" s="881" customFormat="1" ht="13.5" customHeight="1" thickBot="1">
      <c r="A337" s="3336"/>
      <c r="B337" s="884" t="s">
        <v>20</v>
      </c>
      <c r="C337" s="885"/>
      <c r="D337" s="124">
        <f>+D346+D356+D419+D368+D377+D386+D395+D404+D434</f>
        <v>34066319</v>
      </c>
      <c r="E337" s="124">
        <f t="shared" ref="E337:L337" si="215">+E346+E356+E419+E368+E377+E386+E395+E404+E434</f>
        <v>0</v>
      </c>
      <c r="F337" s="124">
        <f t="shared" si="215"/>
        <v>45734</v>
      </c>
      <c r="G337" s="124">
        <f t="shared" si="215"/>
        <v>7766162</v>
      </c>
      <c r="H337" s="124">
        <f t="shared" si="215"/>
        <v>16950539</v>
      </c>
      <c r="I337" s="124">
        <f t="shared" si="215"/>
        <v>9303884</v>
      </c>
      <c r="J337" s="124">
        <f t="shared" si="215"/>
        <v>0</v>
      </c>
      <c r="K337" s="124">
        <f t="shared" si="215"/>
        <v>0</v>
      </c>
      <c r="L337" s="124">
        <f t="shared" si="215"/>
        <v>0</v>
      </c>
      <c r="M337" s="3210"/>
      <c r="N337" s="3210"/>
      <c r="O337" s="125"/>
      <c r="P337" s="880">
        <f>D337-D332</f>
        <v>0</v>
      </c>
    </row>
    <row r="338" spans="1:16" ht="13.5" hidden="1" thickBot="1">
      <c r="A338" s="3199"/>
      <c r="B338" s="282"/>
      <c r="C338" s="58" t="s">
        <v>81</v>
      </c>
      <c r="D338" s="128"/>
      <c r="E338" s="42"/>
      <c r="F338" s="44"/>
      <c r="G338" s="44"/>
      <c r="H338" s="288"/>
      <c r="I338" s="43"/>
      <c r="J338" s="288"/>
      <c r="K338" s="288"/>
      <c r="L338" s="288"/>
      <c r="M338" s="289"/>
      <c r="N338" s="289"/>
      <c r="O338" s="3224" t="s">
        <v>101</v>
      </c>
    </row>
    <row r="339" spans="1:16" ht="13.5" hidden="1" thickBot="1">
      <c r="A339" s="3200"/>
      <c r="B339" s="21" t="s">
        <v>10</v>
      </c>
      <c r="C339" s="22"/>
      <c r="D339" s="126">
        <f>+D340+D342</f>
        <v>0</v>
      </c>
      <c r="E339" s="126">
        <v>0</v>
      </c>
      <c r="F339" s="126"/>
      <c r="G339" s="126"/>
      <c r="H339" s="126"/>
      <c r="I339" s="126"/>
      <c r="J339" s="126"/>
      <c r="K339" s="126"/>
      <c r="L339" s="126"/>
      <c r="M339" s="65">
        <f>+M340+M342</f>
        <v>0</v>
      </c>
      <c r="N339" s="65">
        <f>+N340+N342</f>
        <v>0</v>
      </c>
      <c r="O339" s="3225"/>
    </row>
    <row r="340" spans="1:16" ht="13.5" hidden="1" thickBot="1">
      <c r="A340" s="3200"/>
      <c r="B340" s="171" t="s">
        <v>24</v>
      </c>
      <c r="C340" s="3233" t="s">
        <v>84</v>
      </c>
      <c r="D340" s="127">
        <f>+D341</f>
        <v>0</v>
      </c>
      <c r="E340" s="127">
        <v>0</v>
      </c>
      <c r="F340" s="127"/>
      <c r="G340" s="127"/>
      <c r="H340" s="127"/>
      <c r="I340" s="127"/>
      <c r="J340" s="127"/>
      <c r="K340" s="127"/>
      <c r="L340" s="127"/>
      <c r="M340" s="79">
        <f>+M341</f>
        <v>0</v>
      </c>
      <c r="N340" s="79">
        <f>+N341</f>
        <v>0</v>
      </c>
      <c r="O340" s="3225"/>
    </row>
    <row r="341" spans="1:16" ht="13.5" hidden="1" thickBot="1">
      <c r="A341" s="3200"/>
      <c r="B341" s="428" t="s">
        <v>12</v>
      </c>
      <c r="C341" s="3260"/>
      <c r="D341" s="247">
        <f>E341+F341+G341+H341+I341+J341+K341+L341</f>
        <v>0</v>
      </c>
      <c r="E341" s="284">
        <v>0</v>
      </c>
      <c r="F341" s="86"/>
      <c r="G341" s="86"/>
      <c r="H341" s="86"/>
      <c r="I341" s="86"/>
      <c r="J341" s="86"/>
      <c r="K341" s="86"/>
      <c r="L341" s="86"/>
      <c r="M341" s="36">
        <f>SUM(E341:H341)</f>
        <v>0</v>
      </c>
      <c r="N341" s="36">
        <f>SUM(F341:I341)</f>
        <v>0</v>
      </c>
      <c r="O341" s="3225"/>
    </row>
    <row r="342" spans="1:16" ht="12.75" hidden="1" customHeight="1">
      <c r="A342" s="3200"/>
      <c r="B342" s="464" t="s">
        <v>18</v>
      </c>
      <c r="C342" s="3260"/>
      <c r="D342" s="49">
        <f>+D343</f>
        <v>0</v>
      </c>
      <c r="E342" s="49">
        <v>0</v>
      </c>
      <c r="F342" s="49"/>
      <c r="G342" s="49"/>
      <c r="H342" s="49"/>
      <c r="I342" s="49"/>
      <c r="J342" s="49"/>
      <c r="K342" s="49"/>
      <c r="L342" s="49"/>
      <c r="M342" s="79">
        <f>+M343</f>
        <v>0</v>
      </c>
      <c r="N342" s="79">
        <f>+N343</f>
        <v>0</v>
      </c>
      <c r="O342" s="3225"/>
    </row>
    <row r="343" spans="1:16" ht="13.5" hidden="1" thickBot="1">
      <c r="A343" s="3200"/>
      <c r="B343" s="872" t="s">
        <v>237</v>
      </c>
      <c r="C343" s="3261"/>
      <c r="D343" s="247">
        <f>E343+F343+G343+H343+I343+J343+K343+L343</f>
        <v>0</v>
      </c>
      <c r="E343" s="284"/>
      <c r="F343" s="86"/>
      <c r="G343" s="86"/>
      <c r="H343" s="86"/>
      <c r="I343" s="86"/>
      <c r="J343" s="86"/>
      <c r="K343" s="86"/>
      <c r="L343" s="86"/>
      <c r="M343" s="36">
        <f>SUM(E343:H343)</f>
        <v>0</v>
      </c>
      <c r="N343" s="36">
        <f>SUM(F343:I343)</f>
        <v>0</v>
      </c>
      <c r="O343" s="3259"/>
      <c r="P343" s="456"/>
    </row>
    <row r="344" spans="1:16" ht="10.5" hidden="1" customHeight="1">
      <c r="A344" s="3227"/>
      <c r="B344" s="21" t="s">
        <v>22</v>
      </c>
      <c r="C344" s="22"/>
      <c r="D344" s="197">
        <f>+D345</f>
        <v>0</v>
      </c>
      <c r="E344" s="197">
        <v>0</v>
      </c>
      <c r="F344" s="197"/>
      <c r="G344" s="197"/>
      <c r="H344" s="197"/>
      <c r="I344" s="197"/>
      <c r="J344" s="197"/>
      <c r="K344" s="197"/>
      <c r="L344" s="197"/>
      <c r="M344" s="3275" t="s">
        <v>23</v>
      </c>
      <c r="N344" s="3275" t="s">
        <v>23</v>
      </c>
      <c r="O344" s="3362" t="s">
        <v>102</v>
      </c>
    </row>
    <row r="345" spans="1:16" s="265" customFormat="1" ht="12.75" hidden="1" customHeight="1">
      <c r="A345" s="3227"/>
      <c r="B345" s="464" t="s">
        <v>18</v>
      </c>
      <c r="C345" s="3233" t="s">
        <v>84</v>
      </c>
      <c r="D345" s="765">
        <f>+D346</f>
        <v>0</v>
      </c>
      <c r="E345" s="867">
        <v>0</v>
      </c>
      <c r="F345" s="765"/>
      <c r="G345" s="765"/>
      <c r="H345" s="765"/>
      <c r="I345" s="765"/>
      <c r="J345" s="765"/>
      <c r="K345" s="765"/>
      <c r="L345" s="765"/>
      <c r="M345" s="3209"/>
      <c r="N345" s="3209"/>
      <c r="O345" s="3212"/>
    </row>
    <row r="346" spans="1:16" ht="12" hidden="1" customHeight="1" thickBot="1">
      <c r="A346" s="3228"/>
      <c r="B346" s="55" t="s">
        <v>20</v>
      </c>
      <c r="C346" s="3217"/>
      <c r="D346" s="247">
        <f>E346+F346+G346+H346+I346+J346+K346+L346</f>
        <v>0</v>
      </c>
      <c r="E346" s="284">
        <v>0</v>
      </c>
      <c r="F346" s="72"/>
      <c r="G346" s="72"/>
      <c r="H346" s="72"/>
      <c r="I346" s="72"/>
      <c r="J346" s="72"/>
      <c r="K346" s="72"/>
      <c r="L346" s="72"/>
      <c r="M346" s="3210"/>
      <c r="N346" s="3210"/>
      <c r="O346" s="3213"/>
    </row>
    <row r="347" spans="1:16" ht="20.25" customHeight="1" thickBot="1">
      <c r="A347" s="290"/>
      <c r="B347" s="280" t="s">
        <v>238</v>
      </c>
      <c r="C347" s="205"/>
      <c r="D347" s="886"/>
      <c r="E347" s="204"/>
      <c r="F347" s="887"/>
      <c r="G347" s="887"/>
      <c r="H347" s="888"/>
      <c r="I347" s="206"/>
      <c r="J347" s="888"/>
      <c r="K347" s="888"/>
      <c r="L347" s="888"/>
      <c r="M347" s="291"/>
      <c r="N347" s="291"/>
      <c r="O347" s="292"/>
    </row>
    <row r="348" spans="1:16" ht="28.5" customHeight="1">
      <c r="A348" s="3199" t="s">
        <v>96</v>
      </c>
      <c r="B348" s="282" t="s">
        <v>572</v>
      </c>
      <c r="C348" s="58" t="s">
        <v>81</v>
      </c>
      <c r="D348" s="128"/>
      <c r="E348" s="42"/>
      <c r="F348" s="44"/>
      <c r="G348" s="44"/>
      <c r="H348" s="237"/>
      <c r="I348" s="43"/>
      <c r="J348" s="237"/>
      <c r="K348" s="237"/>
      <c r="L348" s="237"/>
      <c r="M348" s="62"/>
      <c r="N348" s="62"/>
      <c r="O348" s="3224" t="s">
        <v>86</v>
      </c>
    </row>
    <row r="349" spans="1:16">
      <c r="A349" s="3200"/>
      <c r="B349" s="662" t="s">
        <v>10</v>
      </c>
      <c r="C349" s="1800"/>
      <c r="D349" s="1825">
        <f>+D350+D352</f>
        <v>13000000</v>
      </c>
      <c r="E349" s="1825">
        <f t="shared" ref="E349" si="216">+E350+E352</f>
        <v>20256</v>
      </c>
      <c r="F349" s="1825">
        <f>+F350+F352</f>
        <v>7431430</v>
      </c>
      <c r="G349" s="1825">
        <f>+G350+G352</f>
        <v>5548314</v>
      </c>
      <c r="H349" s="1825"/>
      <c r="I349" s="1825"/>
      <c r="J349" s="1825"/>
      <c r="K349" s="1825"/>
      <c r="L349" s="1825"/>
      <c r="M349" s="1802">
        <f>+M350+M352</f>
        <v>12979744</v>
      </c>
      <c r="N349" s="1802">
        <f>+N350+N352</f>
        <v>5548314</v>
      </c>
      <c r="O349" s="3225"/>
    </row>
    <row r="350" spans="1:16">
      <c r="A350" s="3200"/>
      <c r="B350" s="633" t="s">
        <v>24</v>
      </c>
      <c r="C350" s="3214" t="s">
        <v>84</v>
      </c>
      <c r="D350" s="1826">
        <f>+D351</f>
        <v>5350000</v>
      </c>
      <c r="E350" s="1826">
        <f t="shared" ref="E350:G350" si="217">+E351</f>
        <v>20256</v>
      </c>
      <c r="F350" s="1826">
        <f t="shared" si="217"/>
        <v>1797584</v>
      </c>
      <c r="G350" s="1826">
        <f t="shared" si="217"/>
        <v>3532160</v>
      </c>
      <c r="H350" s="1826"/>
      <c r="I350" s="1826"/>
      <c r="J350" s="1826"/>
      <c r="K350" s="1826"/>
      <c r="L350" s="1826"/>
      <c r="M350" s="1805">
        <f>+M351</f>
        <v>5329744</v>
      </c>
      <c r="N350" s="1805">
        <f>+N351</f>
        <v>3532160</v>
      </c>
      <c r="O350" s="3225"/>
    </row>
    <row r="351" spans="1:16">
      <c r="A351" s="3200"/>
      <c r="B351" s="982" t="s">
        <v>12</v>
      </c>
      <c r="C351" s="3260"/>
      <c r="D351" s="1715">
        <f>E351+F351+G351+H351+I351+J351+K351+L351</f>
        <v>5350000</v>
      </c>
      <c r="E351" s="1775">
        <f>20256</f>
        <v>20256</v>
      </c>
      <c r="F351" s="1816">
        <f>1743624+383940+1505122+240000-1765801-309301</f>
        <v>1797584</v>
      </c>
      <c r="G351" s="1816">
        <f>3265801+266359</f>
        <v>3532160</v>
      </c>
      <c r="H351" s="1816"/>
      <c r="I351" s="1816"/>
      <c r="J351" s="1816"/>
      <c r="K351" s="1816"/>
      <c r="L351" s="1816"/>
      <c r="M351" s="1818">
        <f>SUM(F351:K351)</f>
        <v>5329744</v>
      </c>
      <c r="N351" s="1818">
        <f>SUM(G351:L351)</f>
        <v>3532160</v>
      </c>
      <c r="O351" s="3225"/>
    </row>
    <row r="352" spans="1:16">
      <c r="A352" s="3200"/>
      <c r="B352" s="978" t="s">
        <v>18</v>
      </c>
      <c r="C352" s="3260"/>
      <c r="D352" s="1804">
        <f>+D353</f>
        <v>7650000</v>
      </c>
      <c r="E352" s="2171">
        <f t="shared" ref="E352:G352" si="218">+E353</f>
        <v>0</v>
      </c>
      <c r="F352" s="1804">
        <f t="shared" si="218"/>
        <v>5633846</v>
      </c>
      <c r="G352" s="1804">
        <f t="shared" si="218"/>
        <v>2016154</v>
      </c>
      <c r="H352" s="1804"/>
      <c r="I352" s="1804"/>
      <c r="J352" s="1804"/>
      <c r="K352" s="1804"/>
      <c r="L352" s="1804"/>
      <c r="M352" s="1805">
        <f>+M353</f>
        <v>7650000</v>
      </c>
      <c r="N352" s="1805">
        <f>+N353</f>
        <v>2016154</v>
      </c>
      <c r="O352" s="3225"/>
    </row>
    <row r="353" spans="1:16">
      <c r="A353" s="3200"/>
      <c r="B353" s="2172" t="s">
        <v>237</v>
      </c>
      <c r="C353" s="3261"/>
      <c r="D353" s="1715">
        <f>E353+F353+G353+H353+I353+J353+K353+L353</f>
        <v>7650000</v>
      </c>
      <c r="E353" s="2692">
        <v>0</v>
      </c>
      <c r="F353" s="1816">
        <f>5576376+1196060+74622+760000-1086523-886689</f>
        <v>5633846</v>
      </c>
      <c r="G353" s="1816">
        <f>1086523+929631</f>
        <v>2016154</v>
      </c>
      <c r="H353" s="1816"/>
      <c r="I353" s="1816"/>
      <c r="J353" s="1816"/>
      <c r="K353" s="1816"/>
      <c r="L353" s="1816"/>
      <c r="M353" s="1818">
        <f>SUM(F353:K353)</f>
        <v>7650000</v>
      </c>
      <c r="N353" s="1818">
        <f>SUM(G353:L353)</f>
        <v>2016154</v>
      </c>
      <c r="O353" s="3259"/>
      <c r="P353" s="456"/>
    </row>
    <row r="354" spans="1:16">
      <c r="A354" s="3227"/>
      <c r="B354" s="662" t="s">
        <v>22</v>
      </c>
      <c r="C354" s="1800"/>
      <c r="D354" s="1801">
        <f>+D355</f>
        <v>7650000</v>
      </c>
      <c r="E354" s="2173">
        <f t="shared" ref="E354:H355" si="219">+E355</f>
        <v>0</v>
      </c>
      <c r="F354" s="2173">
        <f t="shared" si="219"/>
        <v>0</v>
      </c>
      <c r="G354" s="1801">
        <f t="shared" si="219"/>
        <v>6007058</v>
      </c>
      <c r="H354" s="1801">
        <f t="shared" si="219"/>
        <v>1642942</v>
      </c>
      <c r="I354" s="1801"/>
      <c r="J354" s="1801"/>
      <c r="K354" s="1801"/>
      <c r="L354" s="1801"/>
      <c r="M354" s="3208" t="s">
        <v>23</v>
      </c>
      <c r="N354" s="3208" t="s">
        <v>23</v>
      </c>
      <c r="O354" s="3211" t="s">
        <v>102</v>
      </c>
      <c r="P354" s="456"/>
    </row>
    <row r="355" spans="1:16" s="265" customFormat="1" ht="12.75" customHeight="1">
      <c r="A355" s="3227"/>
      <c r="B355" s="978" t="s">
        <v>18</v>
      </c>
      <c r="C355" s="3214" t="s">
        <v>84</v>
      </c>
      <c r="D355" s="1822">
        <f>+D356</f>
        <v>7650000</v>
      </c>
      <c r="E355" s="2690">
        <v>0</v>
      </c>
      <c r="F355" s="2690">
        <f t="shared" si="219"/>
        <v>0</v>
      </c>
      <c r="G355" s="1830">
        <f t="shared" si="219"/>
        <v>6007058</v>
      </c>
      <c r="H355" s="1830">
        <f t="shared" si="219"/>
        <v>1642942</v>
      </c>
      <c r="I355" s="1822"/>
      <c r="J355" s="1822"/>
      <c r="K355" s="1822"/>
      <c r="L355" s="1822"/>
      <c r="M355" s="3209"/>
      <c r="N355" s="3209"/>
      <c r="O355" s="3212"/>
    </row>
    <row r="356" spans="1:16" ht="12" customHeight="1" thickBot="1">
      <c r="A356" s="3228"/>
      <c r="B356" s="826" t="s">
        <v>20</v>
      </c>
      <c r="C356" s="3217"/>
      <c r="D356" s="1929">
        <f>E356+F356+G356+H356+I356+J356+K356+L356</f>
        <v>7650000</v>
      </c>
      <c r="E356" s="2693">
        <v>0</v>
      </c>
      <c r="F356" s="2182">
        <v>0</v>
      </c>
      <c r="G356" s="2181">
        <f>2861124+4745934-1600000</f>
        <v>6007058</v>
      </c>
      <c r="H356" s="2181">
        <v>1642942</v>
      </c>
      <c r="I356" s="2181"/>
      <c r="J356" s="2181"/>
      <c r="K356" s="2181"/>
      <c r="L356" s="2181"/>
      <c r="M356" s="3210"/>
      <c r="N356" s="3210"/>
      <c r="O356" s="3213"/>
    </row>
    <row r="357" spans="1:16" ht="24">
      <c r="A357" s="3199" t="s">
        <v>97</v>
      </c>
      <c r="B357" s="282" t="s">
        <v>573</v>
      </c>
      <c r="C357" s="58" t="s">
        <v>81</v>
      </c>
      <c r="D357" s="128"/>
      <c r="E357" s="42"/>
      <c r="F357" s="44"/>
      <c r="G357" s="44"/>
      <c r="H357" s="237"/>
      <c r="I357" s="43"/>
      <c r="J357" s="237"/>
      <c r="K357" s="237"/>
      <c r="L357" s="237"/>
      <c r="M357" s="62"/>
      <c r="N357" s="62"/>
      <c r="O357" s="3224" t="s">
        <v>86</v>
      </c>
    </row>
    <row r="358" spans="1:16">
      <c r="A358" s="3200"/>
      <c r="B358" s="662" t="s">
        <v>10</v>
      </c>
      <c r="C358" s="522"/>
      <c r="D358" s="2586">
        <f>+D359+D362</f>
        <v>8417660</v>
      </c>
      <c r="E358" s="2586">
        <f t="shared" ref="E358" si="220">+E359+E362</f>
        <v>395660</v>
      </c>
      <c r="F358" s="2587">
        <f t="shared" ref="F358:H358" si="221">+F359+F362</f>
        <v>0</v>
      </c>
      <c r="G358" s="2586">
        <f t="shared" si="221"/>
        <v>4011000</v>
      </c>
      <c r="H358" s="2586">
        <f t="shared" si="221"/>
        <v>4011000</v>
      </c>
      <c r="I358" s="2586"/>
      <c r="J358" s="2586"/>
      <c r="K358" s="2586"/>
      <c r="L358" s="2586"/>
      <c r="M358" s="2588">
        <f>+M359+M362</f>
        <v>8022000</v>
      </c>
      <c r="N358" s="2588">
        <f>+N359+N362</f>
        <v>8022000</v>
      </c>
      <c r="O358" s="3225"/>
    </row>
    <row r="359" spans="1:16">
      <c r="A359" s="3200"/>
      <c r="B359" s="633" t="s">
        <v>24</v>
      </c>
      <c r="C359" s="3232" t="s">
        <v>84</v>
      </c>
      <c r="D359" s="2589">
        <f>+D360+D361</f>
        <v>1598960</v>
      </c>
      <c r="E359" s="2589">
        <f t="shared" ref="E359" si="222">+E360+E361</f>
        <v>395660</v>
      </c>
      <c r="F359" s="2590">
        <v>0</v>
      </c>
      <c r="G359" s="2589">
        <f>+G360+G361</f>
        <v>601650</v>
      </c>
      <c r="H359" s="2589">
        <f>+H360+H361</f>
        <v>601650</v>
      </c>
      <c r="I359" s="2589"/>
      <c r="J359" s="2589"/>
      <c r="K359" s="2589"/>
      <c r="L359" s="2589"/>
      <c r="M359" s="644">
        <f>+M360</f>
        <v>1203300</v>
      </c>
      <c r="N359" s="644">
        <f>+N360</f>
        <v>1203300</v>
      </c>
      <c r="O359" s="3225"/>
    </row>
    <row r="360" spans="1:16">
      <c r="A360" s="3200"/>
      <c r="B360" s="982" t="s">
        <v>12</v>
      </c>
      <c r="C360" s="3260"/>
      <c r="D360" s="949">
        <f>E360+F360+G360+H360+I360+J360+K360+L360</f>
        <v>1541957</v>
      </c>
      <c r="E360" s="964">
        <v>338657</v>
      </c>
      <c r="F360" s="1868">
        <v>0</v>
      </c>
      <c r="G360" s="2637">
        <f>1887021+23820-1309191</f>
        <v>601650</v>
      </c>
      <c r="H360" s="2637">
        <v>601650</v>
      </c>
      <c r="I360" s="2637"/>
      <c r="J360" s="2637"/>
      <c r="K360" s="2637"/>
      <c r="L360" s="2637"/>
      <c r="M360" s="975">
        <f>SUM(F360:K360)</f>
        <v>1203300</v>
      </c>
      <c r="N360" s="975">
        <f>SUM(G360:L360)</f>
        <v>1203300</v>
      </c>
      <c r="O360" s="3225"/>
    </row>
    <row r="361" spans="1:16" ht="12" customHeight="1">
      <c r="A361" s="3200"/>
      <c r="B361" s="982" t="s">
        <v>15</v>
      </c>
      <c r="C361" s="3260"/>
      <c r="D361" s="949">
        <f>E361+F361+G361+H361+I361+J361+K361+L361</f>
        <v>57003</v>
      </c>
      <c r="E361" s="964">
        <v>57003</v>
      </c>
      <c r="F361" s="1868">
        <v>0</v>
      </c>
      <c r="G361" s="1868">
        <v>0</v>
      </c>
      <c r="H361" s="1868"/>
      <c r="I361" s="1868"/>
      <c r="J361" s="1868"/>
      <c r="K361" s="1868"/>
      <c r="L361" s="1868"/>
      <c r="M361" s="975">
        <f>SUM(F361:K361)</f>
        <v>0</v>
      </c>
      <c r="N361" s="975">
        <f>SUM(G361:L361)</f>
        <v>0</v>
      </c>
      <c r="O361" s="3225"/>
    </row>
    <row r="362" spans="1:16">
      <c r="A362" s="3200"/>
      <c r="B362" s="978" t="s">
        <v>18</v>
      </c>
      <c r="C362" s="3260"/>
      <c r="D362" s="645">
        <f>+D363</f>
        <v>6818700</v>
      </c>
      <c r="E362" s="645">
        <f t="shared" ref="E362:H362" si="223">+E363</f>
        <v>0</v>
      </c>
      <c r="F362" s="2590">
        <v>0</v>
      </c>
      <c r="G362" s="645">
        <f t="shared" si="223"/>
        <v>3409350</v>
      </c>
      <c r="H362" s="645">
        <f t="shared" si="223"/>
        <v>3409350</v>
      </c>
      <c r="I362" s="645"/>
      <c r="J362" s="645"/>
      <c r="K362" s="645"/>
      <c r="L362" s="645"/>
      <c r="M362" s="644">
        <f>+M363</f>
        <v>6818700</v>
      </c>
      <c r="N362" s="644">
        <f>+N363</f>
        <v>6818700</v>
      </c>
      <c r="O362" s="3225"/>
    </row>
    <row r="363" spans="1:16" ht="12" customHeight="1">
      <c r="A363" s="3200"/>
      <c r="B363" s="812" t="s">
        <v>237</v>
      </c>
      <c r="C363" s="3261"/>
      <c r="D363" s="949">
        <f>E363+F363+G363+H363+I363+J363+K363+L363</f>
        <v>6818700</v>
      </c>
      <c r="E363" s="964">
        <v>0</v>
      </c>
      <c r="F363" s="1868">
        <v>0</v>
      </c>
      <c r="G363" s="2637">
        <f>6034979+76180-2701809</f>
        <v>3409350</v>
      </c>
      <c r="H363" s="2637">
        <v>3409350</v>
      </c>
      <c r="I363" s="2637"/>
      <c r="J363" s="2637"/>
      <c r="K363" s="2637"/>
      <c r="L363" s="2637"/>
      <c r="M363" s="975">
        <f>SUM(F363:K363)</f>
        <v>6818700</v>
      </c>
      <c r="N363" s="975">
        <f>SUM(G363:L363)</f>
        <v>6818700</v>
      </c>
      <c r="O363" s="3259"/>
      <c r="P363" s="456"/>
    </row>
    <row r="364" spans="1:16" ht="11.25" customHeight="1">
      <c r="A364" s="3227"/>
      <c r="B364" s="662" t="s">
        <v>22</v>
      </c>
      <c r="C364" s="522"/>
      <c r="D364" s="709">
        <f>+D365+D367</f>
        <v>6875703</v>
      </c>
      <c r="E364" s="709">
        <f t="shared" ref="E364" si="224">+E365+E367</f>
        <v>57003</v>
      </c>
      <c r="F364" s="749">
        <f t="shared" ref="F364:H364" si="225">+F365+F367</f>
        <v>0</v>
      </c>
      <c r="G364" s="709">
        <f t="shared" si="225"/>
        <v>1500000</v>
      </c>
      <c r="H364" s="709">
        <f t="shared" si="225"/>
        <v>5318700</v>
      </c>
      <c r="I364" s="709"/>
      <c r="J364" s="709"/>
      <c r="K364" s="709"/>
      <c r="L364" s="709"/>
      <c r="M364" s="3257" t="s">
        <v>23</v>
      </c>
      <c r="N364" s="3257" t="s">
        <v>23</v>
      </c>
      <c r="O364" s="3258" t="s">
        <v>102</v>
      </c>
    </row>
    <row r="365" spans="1:16">
      <c r="A365" s="3227"/>
      <c r="B365" s="978" t="s">
        <v>24</v>
      </c>
      <c r="C365" s="3283" t="s">
        <v>84</v>
      </c>
      <c r="D365" s="2589">
        <f>+D366</f>
        <v>57003</v>
      </c>
      <c r="E365" s="2589">
        <f t="shared" ref="E365" si="226">+E366</f>
        <v>57003</v>
      </c>
      <c r="F365" s="2590">
        <v>0</v>
      </c>
      <c r="G365" s="2590">
        <v>0</v>
      </c>
      <c r="H365" s="2590">
        <v>0</v>
      </c>
      <c r="I365" s="2590"/>
      <c r="J365" s="2590"/>
      <c r="K365" s="2590"/>
      <c r="L365" s="2590"/>
      <c r="M365" s="3209"/>
      <c r="N365" s="3209"/>
      <c r="O365" s="3212"/>
    </row>
    <row r="366" spans="1:16">
      <c r="A366" s="3227"/>
      <c r="B366" s="812" t="s">
        <v>15</v>
      </c>
      <c r="C366" s="3284"/>
      <c r="D366" s="949">
        <f>E366+F366+G366+H366+I366+J366+K366+L366</f>
        <v>57003</v>
      </c>
      <c r="E366" s="964">
        <v>57003</v>
      </c>
      <c r="F366" s="1868">
        <v>0</v>
      </c>
      <c r="G366" s="1868">
        <v>0</v>
      </c>
      <c r="H366" s="1868">
        <v>0</v>
      </c>
      <c r="I366" s="1868"/>
      <c r="J366" s="1868"/>
      <c r="K366" s="1868"/>
      <c r="L366" s="1868"/>
      <c r="M366" s="3209"/>
      <c r="N366" s="3209"/>
      <c r="O366" s="3212"/>
    </row>
    <row r="367" spans="1:16" s="265" customFormat="1" ht="12.75" customHeight="1">
      <c r="A367" s="3227"/>
      <c r="B367" s="978" t="s">
        <v>18</v>
      </c>
      <c r="C367" s="3284"/>
      <c r="D367" s="889">
        <f>+D368</f>
        <v>6818700</v>
      </c>
      <c r="E367" s="2694">
        <f t="shared" ref="E367:H367" si="227">+E368</f>
        <v>0</v>
      </c>
      <c r="F367" s="2590">
        <v>0</v>
      </c>
      <c r="G367" s="2695">
        <f t="shared" si="227"/>
        <v>1500000</v>
      </c>
      <c r="H367" s="2695">
        <f t="shared" si="227"/>
        <v>5318700</v>
      </c>
      <c r="I367" s="889"/>
      <c r="J367" s="889"/>
      <c r="K367" s="889"/>
      <c r="L367" s="889"/>
      <c r="M367" s="3209"/>
      <c r="N367" s="3209"/>
      <c r="O367" s="3212"/>
    </row>
    <row r="368" spans="1:16" ht="12" customHeight="1" thickBot="1">
      <c r="A368" s="3228"/>
      <c r="B368" s="826" t="s">
        <v>20</v>
      </c>
      <c r="C368" s="3285"/>
      <c r="D368" s="2391">
        <f>E368+F368+G368+H368+I368+J368+K368+L368</f>
        <v>6818700</v>
      </c>
      <c r="E368" s="2391">
        <v>0</v>
      </c>
      <c r="F368" s="2595">
        <v>0</v>
      </c>
      <c r="G368" s="2181">
        <f>2555629+1141538-2197167</f>
        <v>1500000</v>
      </c>
      <c r="H368" s="2181">
        <f>2413992+2904708</f>
        <v>5318700</v>
      </c>
      <c r="I368" s="2181"/>
      <c r="J368" s="2181"/>
      <c r="K368" s="2181"/>
      <c r="L368" s="2181"/>
      <c r="M368" s="3210"/>
      <c r="N368" s="3210"/>
      <c r="O368" s="3213"/>
    </row>
    <row r="369" spans="1:16" ht="24.75" customHeight="1">
      <c r="A369" s="3199" t="s">
        <v>99</v>
      </c>
      <c r="B369" s="282" t="s">
        <v>574</v>
      </c>
      <c r="C369" s="58" t="s">
        <v>81</v>
      </c>
      <c r="D369" s="128"/>
      <c r="E369" s="642"/>
      <c r="F369" s="44"/>
      <c r="G369" s="44"/>
      <c r="H369" s="237"/>
      <c r="I369" s="43"/>
      <c r="J369" s="237"/>
      <c r="K369" s="237"/>
      <c r="L369" s="237"/>
      <c r="M369" s="62"/>
      <c r="N369" s="62"/>
      <c r="O369" s="3224" t="s">
        <v>86</v>
      </c>
      <c r="P369" s="233" t="s">
        <v>305</v>
      </c>
    </row>
    <row r="370" spans="1:16">
      <c r="A370" s="3200"/>
      <c r="B370" s="662" t="s">
        <v>10</v>
      </c>
      <c r="C370" s="1800"/>
      <c r="D370" s="1825">
        <f>+D371+D373</f>
        <v>9042058</v>
      </c>
      <c r="E370" s="1825">
        <f t="shared" ref="E370" si="228">+E371+E373</f>
        <v>5520</v>
      </c>
      <c r="F370" s="1825">
        <f t="shared" ref="F370:H370" si="229">+F371+F373</f>
        <v>40832</v>
      </c>
      <c r="G370" s="1825">
        <f t="shared" si="229"/>
        <v>2398712</v>
      </c>
      <c r="H370" s="1825">
        <f t="shared" si="229"/>
        <v>6596994</v>
      </c>
      <c r="I370" s="1825"/>
      <c r="J370" s="1825"/>
      <c r="K370" s="1825"/>
      <c r="L370" s="1825"/>
      <c r="M370" s="1802">
        <f>+M371+M373</f>
        <v>9036538</v>
      </c>
      <c r="N370" s="1802">
        <f>+N371+N373</f>
        <v>8995706</v>
      </c>
      <c r="O370" s="3225"/>
    </row>
    <row r="371" spans="1:16">
      <c r="A371" s="3200"/>
      <c r="B371" s="633" t="s">
        <v>24</v>
      </c>
      <c r="C371" s="3214" t="s">
        <v>84</v>
      </c>
      <c r="D371" s="1826">
        <f>+D372</f>
        <v>2153818</v>
      </c>
      <c r="E371" s="1826">
        <f t="shared" ref="E371:H371" si="230">+E372</f>
        <v>1315</v>
      </c>
      <c r="F371" s="1826">
        <f t="shared" si="230"/>
        <v>40832</v>
      </c>
      <c r="G371" s="1826">
        <f t="shared" si="230"/>
        <v>561502</v>
      </c>
      <c r="H371" s="1826">
        <f t="shared" si="230"/>
        <v>1550169</v>
      </c>
      <c r="I371" s="1826"/>
      <c r="J371" s="1826"/>
      <c r="K371" s="1826"/>
      <c r="L371" s="1826"/>
      <c r="M371" s="1805">
        <f>+M372</f>
        <v>2152503</v>
      </c>
      <c r="N371" s="1805">
        <f>+N372</f>
        <v>2111671</v>
      </c>
      <c r="O371" s="3225"/>
    </row>
    <row r="372" spans="1:16">
      <c r="A372" s="3200"/>
      <c r="B372" s="982" t="s">
        <v>12</v>
      </c>
      <c r="C372" s="3260"/>
      <c r="D372" s="949">
        <f>E372+F372+G372+H372+I372+J372+K372+L372</f>
        <v>2153818</v>
      </c>
      <c r="E372" s="1775">
        <v>1315</v>
      </c>
      <c r="F372" s="1816">
        <f>1853686+256180+42637-2094503-17167-1</f>
        <v>40832</v>
      </c>
      <c r="G372" s="1816">
        <f>1854503+17167-1310168</f>
        <v>561502</v>
      </c>
      <c r="H372" s="1816">
        <v>1550169</v>
      </c>
      <c r="I372" s="1816"/>
      <c r="J372" s="1816"/>
      <c r="K372" s="1816"/>
      <c r="L372" s="1816"/>
      <c r="M372" s="1818">
        <f>SUM(F372:K372)</f>
        <v>2152503</v>
      </c>
      <c r="N372" s="1818">
        <f>SUM(G372:L372)</f>
        <v>2111671</v>
      </c>
      <c r="O372" s="3225"/>
    </row>
    <row r="373" spans="1:16">
      <c r="A373" s="3200"/>
      <c r="B373" s="978" t="s">
        <v>18</v>
      </c>
      <c r="C373" s="3260"/>
      <c r="D373" s="1804">
        <f>+D374</f>
        <v>6888240</v>
      </c>
      <c r="E373" s="1804">
        <f t="shared" ref="E373:H373" si="231">+E374</f>
        <v>4205</v>
      </c>
      <c r="F373" s="1804">
        <f t="shared" si="231"/>
        <v>0</v>
      </c>
      <c r="G373" s="1804">
        <f t="shared" si="231"/>
        <v>1837210</v>
      </c>
      <c r="H373" s="1804">
        <f t="shared" si="231"/>
        <v>5046825</v>
      </c>
      <c r="I373" s="1804"/>
      <c r="J373" s="1804"/>
      <c r="K373" s="1804"/>
      <c r="L373" s="1804"/>
      <c r="M373" s="1805">
        <f>+M374</f>
        <v>6884035</v>
      </c>
      <c r="N373" s="1805">
        <f>+N374</f>
        <v>6884035</v>
      </c>
      <c r="O373" s="3225"/>
    </row>
    <row r="374" spans="1:16">
      <c r="A374" s="3200"/>
      <c r="B374" s="2172" t="s">
        <v>237</v>
      </c>
      <c r="C374" s="3261"/>
      <c r="D374" s="949">
        <f>E374+F374+G374+H374+I374+J374+K374+L374</f>
        <v>6888240</v>
      </c>
      <c r="E374" s="1775">
        <v>4205</v>
      </c>
      <c r="F374" s="1816">
        <f>5928372+953820+1843-6884035</f>
        <v>0</v>
      </c>
      <c r="G374" s="1816">
        <f>6124035-4286825</f>
        <v>1837210</v>
      </c>
      <c r="H374" s="1816">
        <v>5046825</v>
      </c>
      <c r="I374" s="1816"/>
      <c r="J374" s="1816"/>
      <c r="K374" s="1816"/>
      <c r="L374" s="1816"/>
      <c r="M374" s="1818">
        <f>SUM(F374:K374)</f>
        <v>6884035</v>
      </c>
      <c r="N374" s="1818">
        <f>SUM(G374:L374)</f>
        <v>6884035</v>
      </c>
      <c r="O374" s="3259"/>
      <c r="P374" s="456"/>
    </row>
    <row r="375" spans="1:16">
      <c r="A375" s="3227"/>
      <c r="B375" s="662" t="s">
        <v>22</v>
      </c>
      <c r="C375" s="1800"/>
      <c r="D375" s="1801">
        <f>+D376</f>
        <v>6888240</v>
      </c>
      <c r="E375" s="1801">
        <f t="shared" ref="E375:I376" si="232">+E376</f>
        <v>0</v>
      </c>
      <c r="F375" s="1801">
        <f t="shared" si="232"/>
        <v>0</v>
      </c>
      <c r="G375" s="1801">
        <f t="shared" si="232"/>
        <v>0</v>
      </c>
      <c r="H375" s="1801">
        <f t="shared" si="232"/>
        <v>2978360</v>
      </c>
      <c r="I375" s="1801">
        <f t="shared" si="232"/>
        <v>3909880</v>
      </c>
      <c r="J375" s="1801"/>
      <c r="K375" s="1801"/>
      <c r="L375" s="1801"/>
      <c r="M375" s="3208" t="s">
        <v>23</v>
      </c>
      <c r="N375" s="3208" t="s">
        <v>23</v>
      </c>
      <c r="O375" s="3211" t="s">
        <v>102</v>
      </c>
    </row>
    <row r="376" spans="1:16" s="265" customFormat="1" ht="12.75" customHeight="1">
      <c r="A376" s="3227"/>
      <c r="B376" s="978" t="s">
        <v>18</v>
      </c>
      <c r="C376" s="3214" t="s">
        <v>84</v>
      </c>
      <c r="D376" s="1822">
        <f>+D377</f>
        <v>6888240</v>
      </c>
      <c r="E376" s="1830">
        <f t="shared" si="232"/>
        <v>0</v>
      </c>
      <c r="F376" s="1830">
        <f t="shared" si="232"/>
        <v>0</v>
      </c>
      <c r="G376" s="1830">
        <f t="shared" si="232"/>
        <v>0</v>
      </c>
      <c r="H376" s="1830">
        <f t="shared" si="232"/>
        <v>2978360</v>
      </c>
      <c r="I376" s="1830">
        <f t="shared" si="232"/>
        <v>3909880</v>
      </c>
      <c r="J376" s="1822"/>
      <c r="K376" s="1822"/>
      <c r="L376" s="1822"/>
      <c r="M376" s="3209"/>
      <c r="N376" s="3209"/>
      <c r="O376" s="3212"/>
    </row>
    <row r="377" spans="1:16" ht="13.5" thickBot="1">
      <c r="A377" s="3228"/>
      <c r="B377" s="826" t="s">
        <v>20</v>
      </c>
      <c r="C377" s="3217"/>
      <c r="D377" s="1929">
        <f>E377+F377+G377+H377+I377+J377+K377+L377</f>
        <v>6888240</v>
      </c>
      <c r="E377" s="1929">
        <v>0</v>
      </c>
      <c r="F377" s="2181">
        <f>3909880-3909880</f>
        <v>0</v>
      </c>
      <c r="G377" s="2181">
        <f>2978360+931520-3909880</f>
        <v>0</v>
      </c>
      <c r="H377" s="2181">
        <f>2218360+760000</f>
        <v>2978360</v>
      </c>
      <c r="I377" s="2181">
        <v>3909880</v>
      </c>
      <c r="J377" s="2181"/>
      <c r="K377" s="2181"/>
      <c r="L377" s="2181"/>
      <c r="M377" s="3210"/>
      <c r="N377" s="3210"/>
      <c r="O377" s="3213"/>
    </row>
    <row r="378" spans="1:16" ht="22.5" customHeight="1">
      <c r="A378" s="3199" t="s">
        <v>291</v>
      </c>
      <c r="B378" s="282" t="s">
        <v>575</v>
      </c>
      <c r="C378" s="58" t="s">
        <v>81</v>
      </c>
      <c r="D378" s="128"/>
      <c r="E378" s="642"/>
      <c r="F378" s="44"/>
      <c r="G378" s="44"/>
      <c r="H378" s="237"/>
      <c r="I378" s="43"/>
      <c r="J378" s="237"/>
      <c r="K378" s="237"/>
      <c r="L378" s="237"/>
      <c r="M378" s="62"/>
      <c r="N378" s="62"/>
      <c r="O378" s="3224" t="s">
        <v>86</v>
      </c>
      <c r="P378" s="233" t="s">
        <v>305</v>
      </c>
    </row>
    <row r="379" spans="1:16" ht="12" customHeight="1">
      <c r="A379" s="3200"/>
      <c r="B379" s="662" t="s">
        <v>10</v>
      </c>
      <c r="C379" s="1824"/>
      <c r="D379" s="1825">
        <f>+D380+D382</f>
        <v>446038</v>
      </c>
      <c r="E379" s="1825">
        <f t="shared" ref="E379" si="233">+E380+E382</f>
        <v>373305</v>
      </c>
      <c r="F379" s="1825">
        <f t="shared" ref="F379:G379" si="234">+F380+F382</f>
        <v>72733</v>
      </c>
      <c r="G379" s="1825">
        <f t="shared" si="234"/>
        <v>0</v>
      </c>
      <c r="H379" s="1825"/>
      <c r="I379" s="1825"/>
      <c r="J379" s="1825"/>
      <c r="K379" s="1825"/>
      <c r="L379" s="1825"/>
      <c r="M379" s="1802">
        <f>+M380+M382</f>
        <v>72733</v>
      </c>
      <c r="N379" s="1802">
        <f>+N380+N382</f>
        <v>0</v>
      </c>
      <c r="O379" s="3225"/>
    </row>
    <row r="380" spans="1:16">
      <c r="A380" s="3200"/>
      <c r="B380" s="633" t="s">
        <v>24</v>
      </c>
      <c r="C380" s="3232" t="s">
        <v>84</v>
      </c>
      <c r="D380" s="1826">
        <f>+D381</f>
        <v>106442</v>
      </c>
      <c r="E380" s="1826">
        <f t="shared" ref="E380:G380" si="235">+E381</f>
        <v>85279</v>
      </c>
      <c r="F380" s="1826">
        <f t="shared" si="235"/>
        <v>21163</v>
      </c>
      <c r="G380" s="1826">
        <f t="shared" si="235"/>
        <v>0</v>
      </c>
      <c r="H380" s="1826"/>
      <c r="I380" s="1826"/>
      <c r="J380" s="1826"/>
      <c r="K380" s="1826"/>
      <c r="L380" s="1826"/>
      <c r="M380" s="1805">
        <f>+M381</f>
        <v>21163</v>
      </c>
      <c r="N380" s="1805">
        <f>+N381</f>
        <v>0</v>
      </c>
      <c r="O380" s="3225"/>
    </row>
    <row r="381" spans="1:16">
      <c r="A381" s="3200"/>
      <c r="B381" s="982" t="s">
        <v>12</v>
      </c>
      <c r="C381" s="3260"/>
      <c r="D381" s="949">
        <f>E381+F381+G381+H381+I381+J381+K381+L381</f>
        <v>106442</v>
      </c>
      <c r="E381" s="1775">
        <v>85279</v>
      </c>
      <c r="F381" s="1816">
        <f>630277+321489+13417-938336-5684</f>
        <v>21163</v>
      </c>
      <c r="G381" s="1816">
        <f>938336-938336</f>
        <v>0</v>
      </c>
      <c r="H381" s="1816"/>
      <c r="I381" s="1816"/>
      <c r="J381" s="1816"/>
      <c r="K381" s="1816"/>
      <c r="L381" s="1816"/>
      <c r="M381" s="1818">
        <f>SUM(F381:K381)</f>
        <v>21163</v>
      </c>
      <c r="N381" s="1818">
        <f>SUM(G381:L381)</f>
        <v>0</v>
      </c>
      <c r="O381" s="3225"/>
    </row>
    <row r="382" spans="1:16">
      <c r="A382" s="3200"/>
      <c r="B382" s="978" t="s">
        <v>18</v>
      </c>
      <c r="C382" s="3260"/>
      <c r="D382" s="1804">
        <f>+D383</f>
        <v>339596</v>
      </c>
      <c r="E382" s="1804">
        <f t="shared" ref="E382:G382" si="236">+E383</f>
        <v>288026</v>
      </c>
      <c r="F382" s="1804">
        <f t="shared" si="236"/>
        <v>51570</v>
      </c>
      <c r="G382" s="1804">
        <f t="shared" si="236"/>
        <v>0</v>
      </c>
      <c r="H382" s="1804"/>
      <c r="I382" s="1804"/>
      <c r="J382" s="1804"/>
      <c r="K382" s="1804"/>
      <c r="L382" s="1804"/>
      <c r="M382" s="1805">
        <f>+M383</f>
        <v>51570</v>
      </c>
      <c r="N382" s="1805">
        <f>+N383</f>
        <v>0</v>
      </c>
      <c r="O382" s="3225"/>
    </row>
    <row r="383" spans="1:16">
      <c r="A383" s="3200"/>
      <c r="B383" s="812" t="s">
        <v>237</v>
      </c>
      <c r="C383" s="3261"/>
      <c r="D383" s="949">
        <f>E383+F383+G383+H383+I383+J383+K383+L383</f>
        <v>339596</v>
      </c>
      <c r="E383" s="1775">
        <v>288026</v>
      </c>
      <c r="F383" s="1816">
        <f>2015723+1001511+47569+6709-3019942</f>
        <v>51570</v>
      </c>
      <c r="G383" s="1816">
        <f>3019942-3019942</f>
        <v>0</v>
      </c>
      <c r="H383" s="1816"/>
      <c r="I383" s="1816"/>
      <c r="J383" s="1816"/>
      <c r="K383" s="1816"/>
      <c r="L383" s="1816"/>
      <c r="M383" s="1818">
        <f>SUM(F383:K383)</f>
        <v>51570</v>
      </c>
      <c r="N383" s="1818">
        <f>SUM(G383:L383)</f>
        <v>0</v>
      </c>
      <c r="O383" s="3259"/>
      <c r="P383" s="456"/>
    </row>
    <row r="384" spans="1:16">
      <c r="A384" s="3227"/>
      <c r="B384" s="662" t="s">
        <v>22</v>
      </c>
      <c r="C384" s="1824"/>
      <c r="D384" s="1801">
        <f>+D385</f>
        <v>339596</v>
      </c>
      <c r="E384" s="1801">
        <f t="shared" ref="E384:H385" si="237">+E385</f>
        <v>0</v>
      </c>
      <c r="F384" s="1801">
        <f t="shared" si="237"/>
        <v>0</v>
      </c>
      <c r="G384" s="1801">
        <f t="shared" si="237"/>
        <v>0</v>
      </c>
      <c r="H384" s="1801">
        <f t="shared" si="237"/>
        <v>339596</v>
      </c>
      <c r="I384" s="1801"/>
      <c r="J384" s="1801"/>
      <c r="K384" s="1801"/>
      <c r="L384" s="1801"/>
      <c r="M384" s="3257" t="s">
        <v>23</v>
      </c>
      <c r="N384" s="3257" t="s">
        <v>23</v>
      </c>
      <c r="O384" s="3258" t="s">
        <v>102</v>
      </c>
    </row>
    <row r="385" spans="1:16" s="265" customFormat="1" ht="12.75" customHeight="1">
      <c r="A385" s="3227"/>
      <c r="B385" s="978" t="s">
        <v>18</v>
      </c>
      <c r="C385" s="3232" t="s">
        <v>84</v>
      </c>
      <c r="D385" s="1822">
        <f>+D386</f>
        <v>339596</v>
      </c>
      <c r="E385" s="1830">
        <f t="shared" si="237"/>
        <v>0</v>
      </c>
      <c r="F385" s="1830">
        <f t="shared" si="237"/>
        <v>0</v>
      </c>
      <c r="G385" s="1830">
        <f t="shared" si="237"/>
        <v>0</v>
      </c>
      <c r="H385" s="1830">
        <f t="shared" si="237"/>
        <v>339596</v>
      </c>
      <c r="I385" s="1822"/>
      <c r="J385" s="1822"/>
      <c r="K385" s="1822"/>
      <c r="L385" s="1822"/>
      <c r="M385" s="3209"/>
      <c r="N385" s="3209"/>
      <c r="O385" s="3212"/>
    </row>
    <row r="386" spans="1:16" ht="12" customHeight="1" thickBot="1">
      <c r="A386" s="3228"/>
      <c r="B386" s="826" t="s">
        <v>20</v>
      </c>
      <c r="C386" s="3217"/>
      <c r="D386" s="942">
        <f>E386+F386+G386+H386+I386+J386+K386+L386</f>
        <v>339596</v>
      </c>
      <c r="E386" s="942">
        <v>0</v>
      </c>
      <c r="F386" s="483">
        <f>2334228-2334228</f>
        <v>0</v>
      </c>
      <c r="G386" s="483">
        <f>1025310+1308918-2334228</f>
        <v>0</v>
      </c>
      <c r="H386" s="483">
        <f>1025310-685714</f>
        <v>339596</v>
      </c>
      <c r="I386" s="483"/>
      <c r="J386" s="483"/>
      <c r="K386" s="483"/>
      <c r="L386" s="483"/>
      <c r="M386" s="3210"/>
      <c r="N386" s="3210"/>
      <c r="O386" s="3213"/>
    </row>
    <row r="387" spans="1:16" ht="23.25" customHeight="1">
      <c r="A387" s="3199" t="s">
        <v>104</v>
      </c>
      <c r="B387" s="282" t="s">
        <v>300</v>
      </c>
      <c r="C387" s="58" t="s">
        <v>81</v>
      </c>
      <c r="D387" s="128"/>
      <c r="E387" s="642"/>
      <c r="F387" s="44"/>
      <c r="G387" s="44"/>
      <c r="H387" s="237"/>
      <c r="I387" s="43"/>
      <c r="J387" s="237"/>
      <c r="K387" s="237"/>
      <c r="L387" s="97"/>
      <c r="M387" s="62"/>
      <c r="N387" s="62"/>
      <c r="O387" s="3224" t="s">
        <v>86</v>
      </c>
      <c r="P387" s="233" t="s">
        <v>305</v>
      </c>
    </row>
    <row r="388" spans="1:16">
      <c r="A388" s="3200"/>
      <c r="B388" s="21" t="s">
        <v>10</v>
      </c>
      <c r="C388" s="22"/>
      <c r="D388" s="2696">
        <f>+D389+D391</f>
        <v>8537981</v>
      </c>
      <c r="E388" s="2696">
        <f t="shared" ref="E388:F388" si="238">+E389+E391</f>
        <v>0</v>
      </c>
      <c r="F388" s="2697">
        <f t="shared" si="238"/>
        <v>0</v>
      </c>
      <c r="G388" s="2696">
        <f>+G389+G391</f>
        <v>783216</v>
      </c>
      <c r="H388" s="2696">
        <f>+H389+H391</f>
        <v>7754765</v>
      </c>
      <c r="I388" s="2696"/>
      <c r="J388" s="2696"/>
      <c r="K388" s="2696"/>
      <c r="L388" s="2586"/>
      <c r="M388" s="643">
        <f>+M389+M391</f>
        <v>8537981</v>
      </c>
      <c r="N388" s="643">
        <f>+N389+N391</f>
        <v>8537981</v>
      </c>
      <c r="O388" s="3225"/>
    </row>
    <row r="389" spans="1:16" ht="13.5" customHeight="1">
      <c r="A389" s="3200"/>
      <c r="B389" s="171" t="s">
        <v>24</v>
      </c>
      <c r="C389" s="3277" t="s">
        <v>84</v>
      </c>
      <c r="D389" s="2698">
        <f>+D390</f>
        <v>2032750</v>
      </c>
      <c r="E389" s="2698">
        <f t="shared" ref="E389:H389" si="239">+E390</f>
        <v>0</v>
      </c>
      <c r="F389" s="2699">
        <f t="shared" si="239"/>
        <v>0</v>
      </c>
      <c r="G389" s="2698">
        <f t="shared" si="239"/>
        <v>186562</v>
      </c>
      <c r="H389" s="2698">
        <f t="shared" si="239"/>
        <v>1846188</v>
      </c>
      <c r="I389" s="2698"/>
      <c r="J389" s="2698"/>
      <c r="K389" s="2698"/>
      <c r="L389" s="2589"/>
      <c r="M389" s="644">
        <f>+M390</f>
        <v>2032750</v>
      </c>
      <c r="N389" s="644">
        <f>+N390</f>
        <v>2032750</v>
      </c>
      <c r="O389" s="3225"/>
    </row>
    <row r="390" spans="1:16">
      <c r="A390" s="3200"/>
      <c r="B390" s="428" t="s">
        <v>12</v>
      </c>
      <c r="C390" s="3260"/>
      <c r="D390" s="247">
        <f>E390+F390+G390+H390+I390+J390+K390+L390</f>
        <v>2032750</v>
      </c>
      <c r="E390" s="284">
        <v>0</v>
      </c>
      <c r="F390" s="2700">
        <v>0</v>
      </c>
      <c r="G390" s="2701">
        <f>621874-435312</f>
        <v>186562</v>
      </c>
      <c r="H390" s="2701">
        <f>1058866+787322</f>
        <v>1846188</v>
      </c>
      <c r="I390" s="2701"/>
      <c r="J390" s="2701"/>
      <c r="K390" s="2701"/>
      <c r="L390" s="2637"/>
      <c r="M390" s="975">
        <f>SUM(F390:K390)</f>
        <v>2032750</v>
      </c>
      <c r="N390" s="975">
        <f>SUM(G390:L390)</f>
        <v>2032750</v>
      </c>
      <c r="O390" s="3225"/>
    </row>
    <row r="391" spans="1:16">
      <c r="A391" s="3200"/>
      <c r="B391" s="464" t="s">
        <v>18</v>
      </c>
      <c r="C391" s="3260"/>
      <c r="D391" s="414">
        <f>+D392</f>
        <v>6505231</v>
      </c>
      <c r="E391" s="414">
        <f t="shared" ref="E391:H391" si="240">+E392</f>
        <v>0</v>
      </c>
      <c r="F391" s="2684">
        <f t="shared" si="240"/>
        <v>0</v>
      </c>
      <c r="G391" s="414">
        <f t="shared" si="240"/>
        <v>596654</v>
      </c>
      <c r="H391" s="414">
        <f t="shared" si="240"/>
        <v>5908577</v>
      </c>
      <c r="I391" s="414"/>
      <c r="J391" s="414"/>
      <c r="K391" s="414"/>
      <c r="L391" s="645"/>
      <c r="M391" s="644">
        <f>+M392</f>
        <v>6505231</v>
      </c>
      <c r="N391" s="644">
        <f>+N392</f>
        <v>6505231</v>
      </c>
      <c r="O391" s="3225"/>
    </row>
    <row r="392" spans="1:16" ht="11.25" customHeight="1">
      <c r="A392" s="3200"/>
      <c r="B392" s="2702" t="s">
        <v>237</v>
      </c>
      <c r="C392" s="3261"/>
      <c r="D392" s="247">
        <f>E392+F392+G392+H392+I392+J392+K392+L392</f>
        <v>6505231</v>
      </c>
      <c r="E392" s="284">
        <v>0</v>
      </c>
      <c r="F392" s="2700">
        <v>0</v>
      </c>
      <c r="G392" s="2701">
        <f>1988846-1392192</f>
        <v>596654</v>
      </c>
      <c r="H392" s="2701">
        <f>3386414+2522163</f>
        <v>5908577</v>
      </c>
      <c r="I392" s="2701"/>
      <c r="J392" s="2701"/>
      <c r="K392" s="2701"/>
      <c r="L392" s="2637"/>
      <c r="M392" s="975">
        <f>SUM(F392:K392)</f>
        <v>6505231</v>
      </c>
      <c r="N392" s="975">
        <f>SUM(G392:L392)</f>
        <v>6505231</v>
      </c>
      <c r="O392" s="3259"/>
      <c r="P392" s="456"/>
    </row>
    <row r="393" spans="1:16">
      <c r="A393" s="3227"/>
      <c r="B393" s="21" t="s">
        <v>22</v>
      </c>
      <c r="C393" s="22"/>
      <c r="D393" s="420">
        <f>+D394</f>
        <v>6505231</v>
      </c>
      <c r="E393" s="420">
        <f t="shared" ref="E393:I394" si="241">+E394</f>
        <v>0</v>
      </c>
      <c r="F393" s="2686">
        <f t="shared" si="241"/>
        <v>0</v>
      </c>
      <c r="G393" s="420">
        <f t="shared" si="241"/>
        <v>0</v>
      </c>
      <c r="H393" s="420">
        <f t="shared" si="241"/>
        <v>3657763</v>
      </c>
      <c r="I393" s="420">
        <f t="shared" si="241"/>
        <v>2847468</v>
      </c>
      <c r="J393" s="420"/>
      <c r="K393" s="420"/>
      <c r="L393" s="709"/>
      <c r="M393" s="3269" t="s">
        <v>23</v>
      </c>
      <c r="N393" s="3269" t="s">
        <v>23</v>
      </c>
      <c r="O393" s="3276" t="s">
        <v>102</v>
      </c>
    </row>
    <row r="394" spans="1:16" s="265" customFormat="1">
      <c r="A394" s="3227"/>
      <c r="B394" s="464" t="s">
        <v>18</v>
      </c>
      <c r="C394" s="3277" t="s">
        <v>84</v>
      </c>
      <c r="D394" s="2691">
        <f>+D395</f>
        <v>6505231</v>
      </c>
      <c r="E394" s="2703">
        <f t="shared" si="241"/>
        <v>0</v>
      </c>
      <c r="F394" s="2704">
        <f t="shared" si="241"/>
        <v>0</v>
      </c>
      <c r="G394" s="2703">
        <f t="shared" si="241"/>
        <v>0</v>
      </c>
      <c r="H394" s="2703">
        <f t="shared" si="241"/>
        <v>3657763</v>
      </c>
      <c r="I394" s="2703">
        <f t="shared" si="241"/>
        <v>2847468</v>
      </c>
      <c r="J394" s="2691"/>
      <c r="K394" s="2691"/>
      <c r="L394" s="889"/>
      <c r="M394" s="3270"/>
      <c r="N394" s="3270"/>
      <c r="O394" s="3212"/>
    </row>
    <row r="395" spans="1:16" ht="12" customHeight="1" thickBot="1">
      <c r="A395" s="3228"/>
      <c r="B395" s="55" t="s">
        <v>20</v>
      </c>
      <c r="C395" s="3217"/>
      <c r="D395" s="247">
        <f>E395+F395+G395+H395+I395+J395+K395+L395</f>
        <v>6505231</v>
      </c>
      <c r="E395" s="284">
        <v>0</v>
      </c>
      <c r="F395" s="286">
        <v>0</v>
      </c>
      <c r="G395" s="72">
        <v>0</v>
      </c>
      <c r="H395" s="72">
        <v>3657763</v>
      </c>
      <c r="I395" s="72">
        <f>1717497+1129971</f>
        <v>2847468</v>
      </c>
      <c r="J395" s="72"/>
      <c r="K395" s="72"/>
      <c r="L395" s="483"/>
      <c r="M395" s="3271"/>
      <c r="N395" s="3271"/>
      <c r="O395" s="3213"/>
    </row>
    <row r="396" spans="1:16" ht="21.75" customHeight="1">
      <c r="A396" s="3199" t="s">
        <v>292</v>
      </c>
      <c r="B396" s="282" t="s">
        <v>301</v>
      </c>
      <c r="C396" s="58" t="s">
        <v>81</v>
      </c>
      <c r="D396" s="128"/>
      <c r="E396" s="642"/>
      <c r="F396" s="481"/>
      <c r="G396" s="44"/>
      <c r="H396" s="237"/>
      <c r="I396" s="43"/>
      <c r="J396" s="237"/>
      <c r="K396" s="237"/>
      <c r="L396" s="97"/>
      <c r="M396" s="62"/>
      <c r="N396" s="62"/>
      <c r="O396" s="3224" t="s">
        <v>86</v>
      </c>
      <c r="P396" s="233" t="s">
        <v>305</v>
      </c>
    </row>
    <row r="397" spans="1:16" ht="10.5" customHeight="1">
      <c r="A397" s="3200"/>
      <c r="B397" s="662" t="s">
        <v>10</v>
      </c>
      <c r="C397" s="1800"/>
      <c r="D397" s="1825">
        <f>+D398+D400</f>
        <v>6647981</v>
      </c>
      <c r="E397" s="1825">
        <f t="shared" ref="E397" si="242">+E398+E400</f>
        <v>0</v>
      </c>
      <c r="F397" s="1831">
        <f t="shared" ref="F397:H397" si="243">+F398+F400</f>
        <v>0</v>
      </c>
      <c r="G397" s="1825">
        <f t="shared" si="243"/>
        <v>573426</v>
      </c>
      <c r="H397" s="1825">
        <f t="shared" si="243"/>
        <v>6074555</v>
      </c>
      <c r="I397" s="1825"/>
      <c r="J397" s="1825"/>
      <c r="K397" s="1825"/>
      <c r="L397" s="1825"/>
      <c r="M397" s="1871">
        <f>+M398+M400</f>
        <v>6647981</v>
      </c>
      <c r="N397" s="1871">
        <f>+N398+N400</f>
        <v>6647981</v>
      </c>
      <c r="O397" s="3225"/>
    </row>
    <row r="398" spans="1:16">
      <c r="A398" s="3200"/>
      <c r="B398" s="633" t="s">
        <v>24</v>
      </c>
      <c r="C398" s="3214" t="s">
        <v>84</v>
      </c>
      <c r="D398" s="1826">
        <f>+D399</f>
        <v>1582551</v>
      </c>
      <c r="E398" s="1826">
        <f t="shared" ref="E398:H398" si="244">+E399</f>
        <v>0</v>
      </c>
      <c r="F398" s="1829">
        <f t="shared" si="244"/>
        <v>0</v>
      </c>
      <c r="G398" s="1826">
        <f t="shared" si="244"/>
        <v>136590</v>
      </c>
      <c r="H398" s="1826">
        <f t="shared" si="244"/>
        <v>1445961</v>
      </c>
      <c r="I398" s="1826"/>
      <c r="J398" s="1826"/>
      <c r="K398" s="1826"/>
      <c r="L398" s="1826"/>
      <c r="M398" s="1805">
        <f>+M399</f>
        <v>1582551</v>
      </c>
      <c r="N398" s="1805">
        <f>+N399</f>
        <v>1582551</v>
      </c>
      <c r="O398" s="3225"/>
    </row>
    <row r="399" spans="1:16" ht="11.25" customHeight="1">
      <c r="A399" s="3200"/>
      <c r="B399" s="982" t="s">
        <v>12</v>
      </c>
      <c r="C399" s="3260"/>
      <c r="D399" s="1715">
        <f>E399+F399+G399+H399+I399+J399+K399+L399</f>
        <v>1582551</v>
      </c>
      <c r="E399" s="1816">
        <f>47545-47545</f>
        <v>0</v>
      </c>
      <c r="F399" s="1758">
        <v>0</v>
      </c>
      <c r="G399" s="1816">
        <f>455300-318710</f>
        <v>136590</v>
      </c>
      <c r="H399" s="1816">
        <f>775241+670720</f>
        <v>1445961</v>
      </c>
      <c r="I399" s="1816"/>
      <c r="J399" s="1816"/>
      <c r="K399" s="1816"/>
      <c r="L399" s="1816"/>
      <c r="M399" s="1818">
        <f>SUM(F399:K399)</f>
        <v>1582551</v>
      </c>
      <c r="N399" s="1818">
        <f>SUM(G399:L399)</f>
        <v>1582551</v>
      </c>
      <c r="O399" s="3225"/>
    </row>
    <row r="400" spans="1:16">
      <c r="A400" s="3200"/>
      <c r="B400" s="978" t="s">
        <v>18</v>
      </c>
      <c r="C400" s="3260"/>
      <c r="D400" s="1804">
        <f>+D401</f>
        <v>5065430</v>
      </c>
      <c r="E400" s="1804">
        <f t="shared" ref="E400:H400" si="245">+E401</f>
        <v>0</v>
      </c>
      <c r="F400" s="2171">
        <f t="shared" si="245"/>
        <v>0</v>
      </c>
      <c r="G400" s="1804">
        <f t="shared" si="245"/>
        <v>436836</v>
      </c>
      <c r="H400" s="1804">
        <f t="shared" si="245"/>
        <v>4628594</v>
      </c>
      <c r="I400" s="1804"/>
      <c r="J400" s="1804"/>
      <c r="K400" s="1804"/>
      <c r="L400" s="1804"/>
      <c r="M400" s="1805">
        <f>+M401</f>
        <v>5065430</v>
      </c>
      <c r="N400" s="1805">
        <f>+N401</f>
        <v>5065430</v>
      </c>
      <c r="O400" s="3225"/>
    </row>
    <row r="401" spans="1:16">
      <c r="A401" s="3200"/>
      <c r="B401" s="2172" t="s">
        <v>237</v>
      </c>
      <c r="C401" s="3261"/>
      <c r="D401" s="1715">
        <f>E401+F401+G401+H401+I401+J401+K401+L401</f>
        <v>5065430</v>
      </c>
      <c r="E401" s="1775">
        <v>0</v>
      </c>
      <c r="F401" s="1758">
        <v>0</v>
      </c>
      <c r="G401" s="1816">
        <f>1456120-1019284</f>
        <v>436836</v>
      </c>
      <c r="H401" s="1816">
        <f>2479339+2149255</f>
        <v>4628594</v>
      </c>
      <c r="I401" s="1816"/>
      <c r="J401" s="1816"/>
      <c r="K401" s="1816"/>
      <c r="L401" s="1816"/>
      <c r="M401" s="1818">
        <f>SUM(F401:K401)</f>
        <v>5065430</v>
      </c>
      <c r="N401" s="1818">
        <f>SUM(G401:L401)</f>
        <v>5065430</v>
      </c>
      <c r="O401" s="3259"/>
      <c r="P401" s="456"/>
    </row>
    <row r="402" spans="1:16" ht="12" customHeight="1">
      <c r="A402" s="3227"/>
      <c r="B402" s="662" t="s">
        <v>22</v>
      </c>
      <c r="C402" s="1800"/>
      <c r="D402" s="1801">
        <f>+D403</f>
        <v>5065430</v>
      </c>
      <c r="E402" s="1801">
        <f t="shared" ref="E402:I403" si="246">+E403</f>
        <v>0</v>
      </c>
      <c r="F402" s="2173">
        <f t="shared" si="246"/>
        <v>0</v>
      </c>
      <c r="G402" s="1801">
        <f t="shared" si="246"/>
        <v>0</v>
      </c>
      <c r="H402" s="1801">
        <f t="shared" si="246"/>
        <v>2671398</v>
      </c>
      <c r="I402" s="1801">
        <f t="shared" si="246"/>
        <v>2394032</v>
      </c>
      <c r="J402" s="1801"/>
      <c r="K402" s="1801"/>
      <c r="L402" s="1801"/>
      <c r="M402" s="3208" t="s">
        <v>23</v>
      </c>
      <c r="N402" s="3208" t="s">
        <v>23</v>
      </c>
      <c r="O402" s="3211" t="s">
        <v>102</v>
      </c>
    </row>
    <row r="403" spans="1:16" s="265" customFormat="1" ht="12.75" customHeight="1">
      <c r="A403" s="3227"/>
      <c r="B403" s="978" t="s">
        <v>18</v>
      </c>
      <c r="C403" s="3214" t="s">
        <v>84</v>
      </c>
      <c r="D403" s="1822">
        <f>+D404</f>
        <v>5065430</v>
      </c>
      <c r="E403" s="1830">
        <f t="shared" si="246"/>
        <v>0</v>
      </c>
      <c r="F403" s="2690">
        <f t="shared" si="246"/>
        <v>0</v>
      </c>
      <c r="G403" s="1830">
        <f t="shared" si="246"/>
        <v>0</v>
      </c>
      <c r="H403" s="1830">
        <f t="shared" si="246"/>
        <v>2671398</v>
      </c>
      <c r="I403" s="1830">
        <f t="shared" si="246"/>
        <v>2394032</v>
      </c>
      <c r="J403" s="1822"/>
      <c r="K403" s="1822"/>
      <c r="L403" s="1822"/>
      <c r="M403" s="3209"/>
      <c r="N403" s="3209"/>
      <c r="O403" s="3212"/>
    </row>
    <row r="404" spans="1:16" ht="12" customHeight="1" thickBot="1">
      <c r="A404" s="3228"/>
      <c r="B404" s="826" t="s">
        <v>20</v>
      </c>
      <c r="C404" s="3217"/>
      <c r="D404" s="1929">
        <f>E404+F404+G404+H404+I404+J404+K404+L404</f>
        <v>5065430</v>
      </c>
      <c r="E404" s="1929">
        <v>0</v>
      </c>
      <c r="F404" s="2182">
        <v>0</v>
      </c>
      <c r="G404" s="2181">
        <v>0</v>
      </c>
      <c r="H404" s="2181">
        <v>2671398</v>
      </c>
      <c r="I404" s="2181">
        <f>1264061+1129971</f>
        <v>2394032</v>
      </c>
      <c r="J404" s="2181"/>
      <c r="K404" s="2181"/>
      <c r="L404" s="2181"/>
      <c r="M404" s="3210"/>
      <c r="N404" s="3210"/>
      <c r="O404" s="3213"/>
    </row>
    <row r="405" spans="1:16" s="1549" customFormat="1" ht="27.75" customHeight="1">
      <c r="A405" s="3286" t="s">
        <v>221</v>
      </c>
      <c r="B405" s="282" t="s">
        <v>576</v>
      </c>
      <c r="C405" s="58" t="s">
        <v>109</v>
      </c>
      <c r="D405" s="44"/>
      <c r="E405" s="642"/>
      <c r="F405" s="44"/>
      <c r="G405" s="44"/>
      <c r="H405" s="44"/>
      <c r="I405" s="43"/>
      <c r="J405" s="237"/>
      <c r="K405" s="237"/>
      <c r="L405" s="237"/>
      <c r="M405" s="62"/>
      <c r="N405" s="62"/>
      <c r="O405" s="3224" t="s">
        <v>308</v>
      </c>
    </row>
    <row r="406" spans="1:16" s="1549" customFormat="1" ht="15.75" customHeight="1">
      <c r="A406" s="3287"/>
      <c r="B406" s="662" t="s">
        <v>10</v>
      </c>
      <c r="C406" s="522"/>
      <c r="D406" s="2586">
        <f>+D407+D412</f>
        <v>454666</v>
      </c>
      <c r="E406" s="2586">
        <f t="shared" ref="E406" si="247">+E407+E412</f>
        <v>48374</v>
      </c>
      <c r="F406" s="2586">
        <f>+F407+F412</f>
        <v>130976</v>
      </c>
      <c r="G406" s="2586">
        <f>+G407+G412</f>
        <v>247072</v>
      </c>
      <c r="H406" s="2586">
        <f>+H407+H412</f>
        <v>28244</v>
      </c>
      <c r="I406" s="2587">
        <v>0</v>
      </c>
      <c r="J406" s="2587">
        <v>0</v>
      </c>
      <c r="K406" s="2587">
        <v>0</v>
      </c>
      <c r="L406" s="2587">
        <v>0</v>
      </c>
      <c r="M406" s="2588">
        <f>+M407+M412</f>
        <v>406292</v>
      </c>
      <c r="N406" s="2588">
        <f>+N407+N412</f>
        <v>275316</v>
      </c>
      <c r="O406" s="3225"/>
    </row>
    <row r="407" spans="1:16" s="1549" customFormat="1" ht="12.75" customHeight="1">
      <c r="A407" s="3287"/>
      <c r="B407" s="633" t="s">
        <v>24</v>
      </c>
      <c r="C407" s="3232" t="s">
        <v>414</v>
      </c>
      <c r="D407" s="2589">
        <f>+D408</f>
        <v>70277</v>
      </c>
      <c r="E407" s="2589">
        <f t="shared" ref="E407" si="248">+E408</f>
        <v>7548</v>
      </c>
      <c r="F407" s="2589">
        <f>+F408</f>
        <v>19763</v>
      </c>
      <c r="G407" s="2589">
        <f>+G408</f>
        <v>38305</v>
      </c>
      <c r="H407" s="2589">
        <f>+H408</f>
        <v>4661</v>
      </c>
      <c r="I407" s="2590">
        <v>0</v>
      </c>
      <c r="J407" s="2590">
        <v>0</v>
      </c>
      <c r="K407" s="2590">
        <v>0</v>
      </c>
      <c r="L407" s="2590">
        <v>0</v>
      </c>
      <c r="M407" s="644">
        <f>M408</f>
        <v>62729</v>
      </c>
      <c r="N407" s="644">
        <f>N408</f>
        <v>42966</v>
      </c>
      <c r="O407" s="3225"/>
    </row>
    <row r="408" spans="1:16" s="1549" customFormat="1" ht="12.75" customHeight="1">
      <c r="A408" s="3287"/>
      <c r="B408" s="982" t="s">
        <v>12</v>
      </c>
      <c r="C408" s="3260"/>
      <c r="D408" s="949">
        <f>E408+F408+G408+H408+I408+J408+K408+L408</f>
        <v>70277</v>
      </c>
      <c r="E408" s="964">
        <f>+E410+E411</f>
        <v>7548</v>
      </c>
      <c r="F408" s="2637">
        <f>+F410+F411</f>
        <v>19763</v>
      </c>
      <c r="G408" s="2637">
        <f>+G410+G411</f>
        <v>38305</v>
      </c>
      <c r="H408" s="2637">
        <f>+H410+H411</f>
        <v>4661</v>
      </c>
      <c r="I408" s="2591">
        <v>0</v>
      </c>
      <c r="J408" s="2591">
        <v>0</v>
      </c>
      <c r="K408" s="2591">
        <v>0</v>
      </c>
      <c r="L408" s="2591">
        <v>0</v>
      </c>
      <c r="M408" s="975">
        <f>SUM(F408:L408)</f>
        <v>62729</v>
      </c>
      <c r="N408" s="975">
        <f>SUM(G408:L408)</f>
        <v>42966</v>
      </c>
      <c r="O408" s="3225"/>
    </row>
    <row r="409" spans="1:16" s="1549" customFormat="1" ht="12.75" hidden="1" customHeight="1">
      <c r="A409" s="3287"/>
      <c r="B409" s="982" t="s">
        <v>149</v>
      </c>
      <c r="C409" s="3260"/>
      <c r="D409" s="949"/>
      <c r="E409" s="674"/>
      <c r="F409" s="2637"/>
      <c r="G409" s="2637"/>
      <c r="H409" s="2637"/>
      <c r="I409" s="2591"/>
      <c r="J409" s="2591"/>
      <c r="K409" s="2591"/>
      <c r="L409" s="2591"/>
      <c r="M409" s="975"/>
      <c r="N409" s="975"/>
      <c r="O409" s="3225"/>
    </row>
    <row r="410" spans="1:16" s="1549" customFormat="1" ht="18" hidden="1" customHeight="1">
      <c r="A410" s="3287"/>
      <c r="B410" s="982" t="s">
        <v>110</v>
      </c>
      <c r="C410" s="3260"/>
      <c r="D410" s="949">
        <f>SUM(E410:H410)</f>
        <v>54138</v>
      </c>
      <c r="E410" s="2637">
        <v>3466</v>
      </c>
      <c r="F410" s="2637">
        <f>35747+1841-2300-20219</f>
        <v>15069</v>
      </c>
      <c r="G410" s="2637">
        <f>12993+600-951+20219</f>
        <v>32861</v>
      </c>
      <c r="H410" s="2637">
        <f>2242+500</f>
        <v>2742</v>
      </c>
      <c r="I410" s="2591"/>
      <c r="J410" s="2591"/>
      <c r="K410" s="2591"/>
      <c r="L410" s="2591"/>
      <c r="M410" s="975">
        <f>SUM(E410:G410)</f>
        <v>51396</v>
      </c>
      <c r="N410" s="975">
        <f>SUM(F410:H410)</f>
        <v>50672</v>
      </c>
      <c r="O410" s="3225"/>
    </row>
    <row r="411" spans="1:16" s="1549" customFormat="1" ht="18" hidden="1" customHeight="1">
      <c r="A411" s="3287"/>
      <c r="B411" s="982" t="s">
        <v>293</v>
      </c>
      <c r="C411" s="3260"/>
      <c r="D411" s="949">
        <f>SUM(E411:H411)</f>
        <v>16139</v>
      </c>
      <c r="E411" s="2637">
        <f>3291+791</f>
        <v>4082</v>
      </c>
      <c r="F411" s="2637">
        <f>4259+28+585-178</f>
        <v>4694</v>
      </c>
      <c r="G411" s="2637">
        <f>4315+951+178</f>
        <v>5444</v>
      </c>
      <c r="H411" s="2637">
        <f>995+924</f>
        <v>1919</v>
      </c>
      <c r="I411" s="2591"/>
      <c r="J411" s="2591"/>
      <c r="K411" s="2591"/>
      <c r="L411" s="2591"/>
      <c r="M411" s="975">
        <f>SUM(E411:G411)</f>
        <v>14220</v>
      </c>
      <c r="N411" s="975">
        <f>SUM(F411:H411)</f>
        <v>12057</v>
      </c>
      <c r="O411" s="3225"/>
    </row>
    <row r="412" spans="1:16" s="1549" customFormat="1" ht="12.75" customHeight="1">
      <c r="A412" s="3287"/>
      <c r="B412" s="978" t="s">
        <v>18</v>
      </c>
      <c r="C412" s="3260"/>
      <c r="D412" s="645">
        <f>+D413</f>
        <v>384389</v>
      </c>
      <c r="E412" s="645">
        <f t="shared" ref="E412" si="249">+E413</f>
        <v>40826</v>
      </c>
      <c r="F412" s="645">
        <f>+F413</f>
        <v>111213</v>
      </c>
      <c r="G412" s="645">
        <f>+G413</f>
        <v>208767</v>
      </c>
      <c r="H412" s="645">
        <f>+H413</f>
        <v>23583</v>
      </c>
      <c r="I412" s="979">
        <v>0</v>
      </c>
      <c r="J412" s="979">
        <v>0</v>
      </c>
      <c r="K412" s="979">
        <v>0</v>
      </c>
      <c r="L412" s="979">
        <v>0</v>
      </c>
      <c r="M412" s="644">
        <f>+M413</f>
        <v>343563</v>
      </c>
      <c r="N412" s="644">
        <f>+N413</f>
        <v>232350</v>
      </c>
      <c r="O412" s="3225"/>
    </row>
    <row r="413" spans="1:16" s="1549" customFormat="1" ht="12.75" customHeight="1">
      <c r="A413" s="3287"/>
      <c r="B413" s="812" t="s">
        <v>237</v>
      </c>
      <c r="C413" s="3261"/>
      <c r="D413" s="949">
        <f>E413+F413+G413+H413+I413+J413+K413+L413</f>
        <v>384389</v>
      </c>
      <c r="E413" s="964">
        <f>+E415+E416</f>
        <v>40826</v>
      </c>
      <c r="F413" s="2637">
        <f>+F415+F416</f>
        <v>111213</v>
      </c>
      <c r="G413" s="2637">
        <f>+G415+G416</f>
        <v>208767</v>
      </c>
      <c r="H413" s="2637">
        <f>+H415+H416</f>
        <v>23583</v>
      </c>
      <c r="I413" s="2591">
        <v>0</v>
      </c>
      <c r="J413" s="2591">
        <v>0</v>
      </c>
      <c r="K413" s="2591">
        <v>0</v>
      </c>
      <c r="L413" s="2591">
        <v>0</v>
      </c>
      <c r="M413" s="975">
        <f>SUM(F413:L413)</f>
        <v>343563</v>
      </c>
      <c r="N413" s="975">
        <f>SUM(G413:L413)</f>
        <v>232350</v>
      </c>
      <c r="O413" s="3225"/>
    </row>
    <row r="414" spans="1:16" s="1549" customFormat="1" ht="12.75" hidden="1" customHeight="1">
      <c r="A414" s="3287"/>
      <c r="B414" s="982" t="s">
        <v>149</v>
      </c>
      <c r="C414" s="2612"/>
      <c r="D414" s="949"/>
      <c r="E414" s="674"/>
      <c r="F414" s="2637"/>
      <c r="G414" s="2637"/>
      <c r="H414" s="2637"/>
      <c r="I414" s="2591"/>
      <c r="J414" s="2591"/>
      <c r="K414" s="2591"/>
      <c r="L414" s="2591"/>
      <c r="M414" s="2705"/>
      <c r="N414" s="2705"/>
      <c r="O414" s="3225"/>
    </row>
    <row r="415" spans="1:16" s="1549" customFormat="1" ht="21" hidden="1" customHeight="1">
      <c r="A415" s="3287"/>
      <c r="B415" s="982" t="s">
        <v>110</v>
      </c>
      <c r="C415" s="2706"/>
      <c r="D415" s="949">
        <f>+F415+G415+H415+E415</f>
        <v>292933</v>
      </c>
      <c r="E415" s="2637">
        <v>17695</v>
      </c>
      <c r="F415" s="2637">
        <f>202561+4760-13035-109673</f>
        <v>84613</v>
      </c>
      <c r="G415" s="2637">
        <f>73627-5379+109673</f>
        <v>177921</v>
      </c>
      <c r="H415" s="2637">
        <v>12704</v>
      </c>
      <c r="I415" s="2591"/>
      <c r="J415" s="2591"/>
      <c r="K415" s="2591"/>
      <c r="L415" s="2591"/>
      <c r="M415" s="975">
        <f>SUM(E415:G415)</f>
        <v>280229</v>
      </c>
      <c r="N415" s="975">
        <f>SUM(F415:H415)</f>
        <v>275238</v>
      </c>
      <c r="O415" s="3225"/>
    </row>
    <row r="416" spans="1:16" s="1549" customFormat="1" ht="14.25" hidden="1" customHeight="1">
      <c r="A416" s="3287"/>
      <c r="B416" s="982" t="s">
        <v>293</v>
      </c>
      <c r="C416" s="2706"/>
      <c r="D416" s="949">
        <f>+F416+G416+H416+E416</f>
        <v>91456</v>
      </c>
      <c r="E416" s="2637">
        <f>18646+4485</f>
        <v>23131</v>
      </c>
      <c r="F416" s="2637">
        <f>24139+163+3315-1017</f>
        <v>26600</v>
      </c>
      <c r="G416" s="2637">
        <f>24450+5379+1017</f>
        <v>30846</v>
      </c>
      <c r="H416" s="2637">
        <f>5644+5235</f>
        <v>10879</v>
      </c>
      <c r="I416" s="2591"/>
      <c r="J416" s="2591"/>
      <c r="K416" s="2591"/>
      <c r="L416" s="2591"/>
      <c r="M416" s="975">
        <f>SUM(E416:G416)</f>
        <v>80577</v>
      </c>
      <c r="N416" s="975">
        <f>SUM(F416:H416)</f>
        <v>68325</v>
      </c>
      <c r="O416" s="3225"/>
    </row>
    <row r="417" spans="1:16" s="1549" customFormat="1" ht="15.75" customHeight="1">
      <c r="A417" s="3287"/>
      <c r="B417" s="662" t="s">
        <v>22</v>
      </c>
      <c r="C417" s="522"/>
      <c r="D417" s="709">
        <f>SUM(E417:L417)</f>
        <v>384389</v>
      </c>
      <c r="E417" s="709">
        <v>0</v>
      </c>
      <c r="F417" s="709">
        <f t="shared" ref="F417:I418" si="250">+F418</f>
        <v>45734</v>
      </c>
      <c r="G417" s="709">
        <f t="shared" si="250"/>
        <v>164775</v>
      </c>
      <c r="H417" s="709">
        <f t="shared" si="250"/>
        <v>173880</v>
      </c>
      <c r="I417" s="749">
        <f t="shared" si="250"/>
        <v>0</v>
      </c>
      <c r="J417" s="749">
        <v>0</v>
      </c>
      <c r="K417" s="749">
        <v>0</v>
      </c>
      <c r="L417" s="749">
        <v>0</v>
      </c>
      <c r="M417" s="3257" t="s">
        <v>23</v>
      </c>
      <c r="N417" s="3257" t="s">
        <v>23</v>
      </c>
      <c r="O417" s="3225"/>
    </row>
    <row r="418" spans="1:16" s="1549" customFormat="1" ht="12.75" customHeight="1">
      <c r="A418" s="3287"/>
      <c r="B418" s="978" t="s">
        <v>18</v>
      </c>
      <c r="C418" s="3232" t="s">
        <v>111</v>
      </c>
      <c r="D418" s="889">
        <f>+D419</f>
        <v>384389</v>
      </c>
      <c r="E418" s="889">
        <v>0</v>
      </c>
      <c r="F418" s="2695">
        <f t="shared" si="250"/>
        <v>45734</v>
      </c>
      <c r="G418" s="2695">
        <f t="shared" si="250"/>
        <v>164775</v>
      </c>
      <c r="H418" s="2695">
        <f t="shared" si="250"/>
        <v>173880</v>
      </c>
      <c r="I418" s="2707">
        <f t="shared" si="250"/>
        <v>0</v>
      </c>
      <c r="J418" s="680">
        <v>0</v>
      </c>
      <c r="K418" s="680">
        <v>0</v>
      </c>
      <c r="L418" s="680">
        <v>0</v>
      </c>
      <c r="M418" s="3209"/>
      <c r="N418" s="3209"/>
      <c r="O418" s="3225"/>
    </row>
    <row r="419" spans="1:16" s="1549" customFormat="1" ht="12" customHeight="1" thickBot="1">
      <c r="A419" s="3288"/>
      <c r="B419" s="826" t="s">
        <v>20</v>
      </c>
      <c r="C419" s="3217"/>
      <c r="D419" s="2391">
        <f>E419+F419+G419+H419+I419+J419+K419+L419</f>
        <v>384389</v>
      </c>
      <c r="E419" s="2391">
        <v>0</v>
      </c>
      <c r="F419" s="2181">
        <f>20632+7848+17417-163</f>
        <v>45734</v>
      </c>
      <c r="G419" s="2181">
        <f>133982+66898+38178-74283</f>
        <v>164775</v>
      </c>
      <c r="H419" s="2181">
        <f>229775-109440-20901+74446</f>
        <v>173880</v>
      </c>
      <c r="I419" s="2182">
        <f>34694-34694</f>
        <v>0</v>
      </c>
      <c r="J419" s="2182">
        <v>0</v>
      </c>
      <c r="K419" s="2182">
        <v>0</v>
      </c>
      <c r="L419" s="2182">
        <v>0</v>
      </c>
      <c r="M419" s="3210"/>
      <c r="N419" s="3210"/>
      <c r="O419" s="3226"/>
      <c r="P419" s="2479">
        <f>D419-D413</f>
        <v>0</v>
      </c>
    </row>
    <row r="420" spans="1:16" ht="27.75" customHeight="1">
      <c r="A420" s="2708"/>
      <c r="B420" s="282" t="s">
        <v>415</v>
      </c>
      <c r="C420" s="58" t="s">
        <v>109</v>
      </c>
      <c r="D420" s="128"/>
      <c r="E420" s="642"/>
      <c r="F420" s="44"/>
      <c r="G420" s="44"/>
      <c r="H420" s="42"/>
      <c r="I420" s="43"/>
      <c r="J420" s="237"/>
      <c r="K420" s="237"/>
      <c r="L420" s="237"/>
      <c r="M420" s="62"/>
      <c r="N420" s="62"/>
      <c r="O420" s="2608"/>
    </row>
    <row r="421" spans="1:16" ht="15.75" customHeight="1">
      <c r="A421" s="2708"/>
      <c r="B421" s="662" t="s">
        <v>10</v>
      </c>
      <c r="C421" s="748"/>
      <c r="D421" s="2586">
        <f>+F421+G421+H421+I421</f>
        <v>489921</v>
      </c>
      <c r="E421" s="2586">
        <f>+E422+E427</f>
        <v>0</v>
      </c>
      <c r="F421" s="2586">
        <f>+F422+F427</f>
        <v>19734</v>
      </c>
      <c r="G421" s="2586">
        <f t="shared" ref="G421:I421" si="251">+G422+G427</f>
        <v>220024</v>
      </c>
      <c r="H421" s="2586">
        <f t="shared" si="251"/>
        <v>167991</v>
      </c>
      <c r="I421" s="2586">
        <f t="shared" si="251"/>
        <v>82172</v>
      </c>
      <c r="J421" s="2587">
        <v>0</v>
      </c>
      <c r="K421" s="2587">
        <v>0</v>
      </c>
      <c r="L421" s="2587">
        <v>0</v>
      </c>
      <c r="M421" s="1735">
        <f>+M422+M427</f>
        <v>489921</v>
      </c>
      <c r="N421" s="1735">
        <f>+N422+N427</f>
        <v>470187</v>
      </c>
      <c r="O421" s="2608"/>
    </row>
    <row r="422" spans="1:16" ht="12.75" customHeight="1">
      <c r="A422" s="2708"/>
      <c r="B422" s="633" t="s">
        <v>24</v>
      </c>
      <c r="C422" s="3214" t="s">
        <v>414</v>
      </c>
      <c r="D422" s="1826">
        <f t="shared" ref="D422:D426" si="252">+F422+G422+H422+I422</f>
        <v>75188</v>
      </c>
      <c r="E422" s="1826">
        <f>+E423</f>
        <v>0</v>
      </c>
      <c r="F422" s="1826">
        <f>+F423</f>
        <v>2988</v>
      </c>
      <c r="G422" s="1826">
        <f t="shared" ref="G422:I422" si="253">+G423</f>
        <v>33825</v>
      </c>
      <c r="H422" s="1826">
        <f t="shared" si="253"/>
        <v>25709</v>
      </c>
      <c r="I422" s="1826">
        <f t="shared" si="253"/>
        <v>12666</v>
      </c>
      <c r="J422" s="1829">
        <v>0</v>
      </c>
      <c r="K422" s="1829">
        <v>0</v>
      </c>
      <c r="L422" s="1829">
        <v>0</v>
      </c>
      <c r="M422" s="1805">
        <f>+M423</f>
        <v>75188</v>
      </c>
      <c r="N422" s="1805">
        <f>+N423</f>
        <v>72200</v>
      </c>
      <c r="O422" s="2608"/>
    </row>
    <row r="423" spans="1:16" ht="12.75" customHeight="1">
      <c r="A423" s="2708" t="s">
        <v>222</v>
      </c>
      <c r="B423" s="982" t="s">
        <v>12</v>
      </c>
      <c r="C423" s="3260"/>
      <c r="D423" s="949">
        <f>E423+F423+G423+H423+I423+J423+K423+L423</f>
        <v>75188</v>
      </c>
      <c r="E423" s="1775">
        <v>0</v>
      </c>
      <c r="F423" s="1816">
        <f>+F424</f>
        <v>2988</v>
      </c>
      <c r="G423" s="1816">
        <f t="shared" ref="G423:I423" si="254">+G424</f>
        <v>33825</v>
      </c>
      <c r="H423" s="1816">
        <f t="shared" si="254"/>
        <v>25709</v>
      </c>
      <c r="I423" s="1816">
        <f t="shared" si="254"/>
        <v>12666</v>
      </c>
      <c r="J423" s="1758">
        <v>0</v>
      </c>
      <c r="K423" s="1758">
        <v>0</v>
      </c>
      <c r="L423" s="1758">
        <v>0</v>
      </c>
      <c r="M423" s="1818">
        <f>SUM(F423:K423)</f>
        <v>75188</v>
      </c>
      <c r="N423" s="1818">
        <f>SUM(G423:L423)</f>
        <v>72200</v>
      </c>
      <c r="O423" s="2608" t="s">
        <v>308</v>
      </c>
    </row>
    <row r="424" spans="1:16" ht="12.75" hidden="1" customHeight="1">
      <c r="A424" s="2708"/>
      <c r="B424" s="982" t="s">
        <v>149</v>
      </c>
      <c r="C424" s="3260"/>
      <c r="D424" s="1816">
        <f t="shared" si="252"/>
        <v>75188</v>
      </c>
      <c r="E424" s="2692">
        <v>0</v>
      </c>
      <c r="F424" s="1816">
        <f>+F425+F426</f>
        <v>2988</v>
      </c>
      <c r="G424" s="1816">
        <f t="shared" ref="G424:I424" si="255">+G425+G426</f>
        <v>33825</v>
      </c>
      <c r="H424" s="1816">
        <f t="shared" si="255"/>
        <v>25709</v>
      </c>
      <c r="I424" s="1816">
        <f t="shared" si="255"/>
        <v>12666</v>
      </c>
      <c r="J424" s="1758">
        <v>0</v>
      </c>
      <c r="K424" s="1758">
        <v>0</v>
      </c>
      <c r="L424" s="1758">
        <v>0</v>
      </c>
      <c r="M424" s="1818">
        <f t="shared" ref="M424:N426" si="256">+H424+G424+F424+E424</f>
        <v>62522</v>
      </c>
      <c r="N424" s="1818">
        <f t="shared" si="256"/>
        <v>75188</v>
      </c>
      <c r="O424" s="2608"/>
    </row>
    <row r="425" spans="1:16" ht="12.75" hidden="1" customHeight="1">
      <c r="A425" s="2708"/>
      <c r="B425" s="982" t="s">
        <v>110</v>
      </c>
      <c r="C425" s="3260"/>
      <c r="D425" s="1816">
        <f t="shared" si="252"/>
        <v>61857</v>
      </c>
      <c r="E425" s="2692">
        <v>0</v>
      </c>
      <c r="F425" s="1816">
        <f>10714-1427-8380</f>
        <v>907</v>
      </c>
      <c r="G425" s="1816">
        <f>21623-548+8380</f>
        <v>29455</v>
      </c>
      <c r="H425" s="1816">
        <f>21679-604</f>
        <v>21075</v>
      </c>
      <c r="I425" s="1816">
        <f>10713-293</f>
        <v>10420</v>
      </c>
      <c r="J425" s="1758">
        <v>0</v>
      </c>
      <c r="K425" s="1758">
        <v>0</v>
      </c>
      <c r="L425" s="1758">
        <v>0</v>
      </c>
      <c r="M425" s="1818">
        <f t="shared" si="256"/>
        <v>51437</v>
      </c>
      <c r="N425" s="1818">
        <f t="shared" si="256"/>
        <v>61857</v>
      </c>
      <c r="O425" s="2608"/>
    </row>
    <row r="426" spans="1:16" ht="12.75" hidden="1" customHeight="1">
      <c r="A426" s="2708"/>
      <c r="B426" s="982" t="s">
        <v>293</v>
      </c>
      <c r="C426" s="3260"/>
      <c r="D426" s="1816">
        <f t="shared" si="252"/>
        <v>13331</v>
      </c>
      <c r="E426" s="2692">
        <v>0</v>
      </c>
      <c r="F426" s="1816">
        <f>1959+294-172</f>
        <v>2081</v>
      </c>
      <c r="G426" s="1816">
        <f>3650+548+172</f>
        <v>4370</v>
      </c>
      <c r="H426" s="1816">
        <f>4030+604</f>
        <v>4634</v>
      </c>
      <c r="I426" s="1816">
        <f>1953+293</f>
        <v>2246</v>
      </c>
      <c r="J426" s="1758">
        <v>0</v>
      </c>
      <c r="K426" s="1758">
        <v>0</v>
      </c>
      <c r="L426" s="1758">
        <v>0</v>
      </c>
      <c r="M426" s="1818">
        <f t="shared" si="256"/>
        <v>11085</v>
      </c>
      <c r="N426" s="1818">
        <f t="shared" si="256"/>
        <v>13331</v>
      </c>
      <c r="O426" s="2608"/>
    </row>
    <row r="427" spans="1:16" ht="12.75" customHeight="1">
      <c r="A427" s="2708"/>
      <c r="B427" s="978" t="s">
        <v>18</v>
      </c>
      <c r="C427" s="3260"/>
      <c r="D427" s="1804">
        <f>+E427+F427+G427+H427+I427+J427+K427+L427</f>
        <v>414733</v>
      </c>
      <c r="E427" s="1804">
        <f>+E428</f>
        <v>0</v>
      </c>
      <c r="F427" s="1804">
        <f>+F428</f>
        <v>16746</v>
      </c>
      <c r="G427" s="1804">
        <f t="shared" ref="G427:I427" si="257">+G428</f>
        <v>186199</v>
      </c>
      <c r="H427" s="1804">
        <f t="shared" si="257"/>
        <v>142282</v>
      </c>
      <c r="I427" s="1804">
        <f t="shared" si="257"/>
        <v>69506</v>
      </c>
      <c r="J427" s="2171">
        <v>0</v>
      </c>
      <c r="K427" s="2171">
        <v>0</v>
      </c>
      <c r="L427" s="2171">
        <v>0</v>
      </c>
      <c r="M427" s="1805">
        <f>+M428</f>
        <v>414733</v>
      </c>
      <c r="N427" s="1805">
        <f>+N428</f>
        <v>397987</v>
      </c>
      <c r="O427" s="2608"/>
    </row>
    <row r="428" spans="1:16" ht="12.75" customHeight="1">
      <c r="A428" s="2708"/>
      <c r="B428" s="2172" t="s">
        <v>237</v>
      </c>
      <c r="C428" s="3261"/>
      <c r="D428" s="949">
        <f>E428+F428+G428+H428+I428+J428+K428+L428</f>
        <v>414733</v>
      </c>
      <c r="E428" s="1775">
        <v>0</v>
      </c>
      <c r="F428" s="1816">
        <f>+F429</f>
        <v>16746</v>
      </c>
      <c r="G428" s="1816">
        <f t="shared" ref="G428:I428" si="258">+G429</f>
        <v>186199</v>
      </c>
      <c r="H428" s="1816">
        <f t="shared" si="258"/>
        <v>142282</v>
      </c>
      <c r="I428" s="1816">
        <f t="shared" si="258"/>
        <v>69506</v>
      </c>
      <c r="J428" s="1758">
        <v>0</v>
      </c>
      <c r="K428" s="1758">
        <v>0</v>
      </c>
      <c r="L428" s="1758">
        <v>0</v>
      </c>
      <c r="M428" s="1818">
        <f>SUM(F428:K428)</f>
        <v>414733</v>
      </c>
      <c r="N428" s="1818">
        <f>SUM(G428:L428)</f>
        <v>397987</v>
      </c>
      <c r="O428" s="2608"/>
      <c r="P428" s="456">
        <f>+F425+F430</f>
        <v>5859</v>
      </c>
    </row>
    <row r="429" spans="1:16" ht="12.75" hidden="1" customHeight="1">
      <c r="A429" s="2708"/>
      <c r="B429" s="982" t="s">
        <v>149</v>
      </c>
      <c r="C429" s="2612"/>
      <c r="D429" s="949">
        <f t="shared" ref="D429:D431" si="259">E429+F429+G429+H429+I429+J429+K429+L429</f>
        <v>414733</v>
      </c>
      <c r="E429" s="2692">
        <v>0</v>
      </c>
      <c r="F429" s="1816">
        <f>+F430+F431</f>
        <v>16746</v>
      </c>
      <c r="G429" s="1816">
        <f>+G430+G431</f>
        <v>186199</v>
      </c>
      <c r="H429" s="1816">
        <f>+H430+H431</f>
        <v>142282</v>
      </c>
      <c r="I429" s="1816">
        <f>+I430+I431</f>
        <v>69506</v>
      </c>
      <c r="J429" s="1758">
        <v>0</v>
      </c>
      <c r="K429" s="1758">
        <v>0</v>
      </c>
      <c r="L429" s="1758">
        <v>0</v>
      </c>
      <c r="M429" s="1816">
        <f t="shared" ref="M429:N431" si="260">+H429+G429+F429+E429</f>
        <v>345227</v>
      </c>
      <c r="N429" s="1816">
        <f t="shared" si="260"/>
        <v>414733</v>
      </c>
      <c r="O429" s="2608"/>
    </row>
    <row r="430" spans="1:16" ht="12.75" hidden="1" customHeight="1">
      <c r="A430" s="2708"/>
      <c r="B430" s="982" t="s">
        <v>110</v>
      </c>
      <c r="C430" s="2706"/>
      <c r="D430" s="949">
        <f t="shared" si="259"/>
        <v>339192</v>
      </c>
      <c r="E430" s="2692">
        <v>0</v>
      </c>
      <c r="F430" s="1816">
        <f>58446-8085-45409</f>
        <v>4952</v>
      </c>
      <c r="G430" s="1816">
        <f>119128-3103+45409</f>
        <v>161434</v>
      </c>
      <c r="H430" s="1816">
        <f>119450-3425</f>
        <v>116025</v>
      </c>
      <c r="I430" s="1816">
        <f>58441-1660</f>
        <v>56781</v>
      </c>
      <c r="J430" s="1758">
        <v>0</v>
      </c>
      <c r="K430" s="1758">
        <v>0</v>
      </c>
      <c r="L430" s="1758">
        <v>0</v>
      </c>
      <c r="M430" s="1816">
        <f t="shared" si="260"/>
        <v>282411</v>
      </c>
      <c r="N430" s="1816">
        <f t="shared" si="260"/>
        <v>339192</v>
      </c>
      <c r="O430" s="2608"/>
    </row>
    <row r="431" spans="1:16" ht="12" hidden="1" customHeight="1">
      <c r="A431" s="2708"/>
      <c r="B431" s="982" t="s">
        <v>293</v>
      </c>
      <c r="C431" s="2706"/>
      <c r="D431" s="949">
        <f t="shared" si="259"/>
        <v>75541</v>
      </c>
      <c r="E431" s="2692">
        <v>0</v>
      </c>
      <c r="F431" s="1816">
        <f>11101+1665-972</f>
        <v>11794</v>
      </c>
      <c r="G431" s="1816">
        <f>20690+3103+972</f>
        <v>24765</v>
      </c>
      <c r="H431" s="1816">
        <f>22832+3425</f>
        <v>26257</v>
      </c>
      <c r="I431" s="1816">
        <f>11065+1660</f>
        <v>12725</v>
      </c>
      <c r="J431" s="1758">
        <v>0</v>
      </c>
      <c r="K431" s="1758">
        <v>0</v>
      </c>
      <c r="L431" s="1758">
        <v>0</v>
      </c>
      <c r="M431" s="1816">
        <f t="shared" si="260"/>
        <v>62816</v>
      </c>
      <c r="N431" s="1816">
        <f t="shared" si="260"/>
        <v>75541</v>
      </c>
      <c r="O431" s="2608"/>
    </row>
    <row r="432" spans="1:16" ht="15.75" customHeight="1">
      <c r="A432" s="2708"/>
      <c r="B432" s="662" t="s">
        <v>22</v>
      </c>
      <c r="C432" s="1800"/>
      <c r="D432" s="1801">
        <f>+D433</f>
        <v>414733</v>
      </c>
      <c r="E432" s="1801">
        <f>+E433</f>
        <v>0</v>
      </c>
      <c r="F432" s="2173">
        <v>0</v>
      </c>
      <c r="G432" s="1801">
        <f>+G433</f>
        <v>94329</v>
      </c>
      <c r="H432" s="1801">
        <f t="shared" ref="H432:I432" si="261">+H433</f>
        <v>167900</v>
      </c>
      <c r="I432" s="1801">
        <f t="shared" si="261"/>
        <v>152504</v>
      </c>
      <c r="J432" s="2173">
        <v>0</v>
      </c>
      <c r="K432" s="2173">
        <v>0</v>
      </c>
      <c r="L432" s="2173">
        <v>0</v>
      </c>
      <c r="M432" s="3208" t="s">
        <v>23</v>
      </c>
      <c r="N432" s="3208" t="s">
        <v>23</v>
      </c>
      <c r="O432" s="2608"/>
    </row>
    <row r="433" spans="1:17" ht="12.75" customHeight="1">
      <c r="A433" s="2708"/>
      <c r="B433" s="978" t="s">
        <v>18</v>
      </c>
      <c r="C433" s="3214" t="s">
        <v>413</v>
      </c>
      <c r="D433" s="1822">
        <f>+D434</f>
        <v>414733</v>
      </c>
      <c r="E433" s="1830">
        <f>+E434</f>
        <v>0</v>
      </c>
      <c r="F433" s="2690">
        <v>0</v>
      </c>
      <c r="G433" s="1830">
        <f>+G434</f>
        <v>94329</v>
      </c>
      <c r="H433" s="1830">
        <f t="shared" ref="H433:I433" si="262">+H434</f>
        <v>167900</v>
      </c>
      <c r="I433" s="1830">
        <f t="shared" si="262"/>
        <v>152504</v>
      </c>
      <c r="J433" s="2174">
        <v>0</v>
      </c>
      <c r="K433" s="2174">
        <v>0</v>
      </c>
      <c r="L433" s="2174">
        <v>0</v>
      </c>
      <c r="M433" s="3209"/>
      <c r="N433" s="3209"/>
      <c r="O433" s="2608"/>
    </row>
    <row r="434" spans="1:17" ht="12.75" customHeight="1" thickBot="1">
      <c r="A434" s="2709"/>
      <c r="B434" s="826" t="s">
        <v>20</v>
      </c>
      <c r="C434" s="3217"/>
      <c r="D434" s="2147">
        <f>E434+F434+G434+H434+I434+J434+K434+L434</f>
        <v>414733</v>
      </c>
      <c r="E434" s="2147">
        <v>0</v>
      </c>
      <c r="F434" s="2182">
        <v>0</v>
      </c>
      <c r="G434" s="2710">
        <f>127804-6420-27055</f>
        <v>94329</v>
      </c>
      <c r="H434" s="2710">
        <f>140845+27055</f>
        <v>167900</v>
      </c>
      <c r="I434" s="2711">
        <v>152504</v>
      </c>
      <c r="J434" s="2182">
        <v>0</v>
      </c>
      <c r="K434" s="2182">
        <v>0</v>
      </c>
      <c r="L434" s="2182">
        <v>0</v>
      </c>
      <c r="M434" s="3210"/>
      <c r="N434" s="3210"/>
      <c r="O434" s="2609"/>
    </row>
    <row r="435" spans="1:17" ht="26.25" hidden="1" customHeight="1">
      <c r="A435" s="3229" t="s">
        <v>269</v>
      </c>
      <c r="B435" s="129" t="s">
        <v>103</v>
      </c>
      <c r="C435" s="890"/>
      <c r="D435" s="891"/>
      <c r="E435" s="893"/>
      <c r="F435" s="893"/>
      <c r="G435" s="893"/>
      <c r="H435" s="893"/>
      <c r="I435" s="893"/>
      <c r="J435" s="893"/>
      <c r="K435" s="893"/>
      <c r="L435" s="893"/>
      <c r="M435" s="894"/>
      <c r="N435" s="894"/>
      <c r="O435" s="3263"/>
    </row>
    <row r="436" spans="1:17" ht="12" hidden="1" customHeight="1">
      <c r="A436" s="3230"/>
      <c r="B436" s="21" t="s">
        <v>10</v>
      </c>
      <c r="C436" s="22"/>
      <c r="D436" s="130">
        <f>+D437+D441</f>
        <v>0</v>
      </c>
      <c r="E436" s="130">
        <f>+E437+E441</f>
        <v>0</v>
      </c>
      <c r="F436" s="130">
        <f t="shared" ref="F436:G436" si="263">+F437+F441</f>
        <v>0</v>
      </c>
      <c r="G436" s="130">
        <f t="shared" si="263"/>
        <v>0</v>
      </c>
      <c r="H436" s="130">
        <f t="shared" ref="H436:N436" si="264">+H437+H441</f>
        <v>0</v>
      </c>
      <c r="I436" s="130">
        <f t="shared" si="264"/>
        <v>0</v>
      </c>
      <c r="J436" s="130">
        <f t="shared" si="264"/>
        <v>0</v>
      </c>
      <c r="K436" s="130">
        <f t="shared" si="264"/>
        <v>0</v>
      </c>
      <c r="L436" s="130">
        <f t="shared" si="264"/>
        <v>0</v>
      </c>
      <c r="M436" s="32">
        <f t="shared" ref="M436" si="265">+M437+M441</f>
        <v>0</v>
      </c>
      <c r="N436" s="32">
        <f t="shared" si="264"/>
        <v>0</v>
      </c>
      <c r="O436" s="3264"/>
      <c r="P436" s="456" t="e">
        <f>+#REF!+#REF!</f>
        <v>#REF!</v>
      </c>
      <c r="Q436" s="456"/>
    </row>
    <row r="437" spans="1:17" s="844" customFormat="1" ht="12" hidden="1" customHeight="1">
      <c r="A437" s="3230"/>
      <c r="B437" s="895" t="s">
        <v>11</v>
      </c>
      <c r="C437" s="896"/>
      <c r="D437" s="121">
        <f>+D438+D439+D440</f>
        <v>0</v>
      </c>
      <c r="E437" s="121">
        <f>+E438+E439+E440</f>
        <v>0</v>
      </c>
      <c r="F437" s="121">
        <f t="shared" ref="F437:G437" si="266">+F438+F439+F440</f>
        <v>0</v>
      </c>
      <c r="G437" s="121">
        <f t="shared" si="266"/>
        <v>0</v>
      </c>
      <c r="H437" s="121">
        <f t="shared" ref="H437:N437" si="267">+H438+H439+H440</f>
        <v>0</v>
      </c>
      <c r="I437" s="121">
        <f t="shared" si="267"/>
        <v>0</v>
      </c>
      <c r="J437" s="121">
        <f t="shared" si="267"/>
        <v>0</v>
      </c>
      <c r="K437" s="121">
        <f t="shared" si="267"/>
        <v>0</v>
      </c>
      <c r="L437" s="121">
        <f t="shared" si="267"/>
        <v>0</v>
      </c>
      <c r="M437" s="34">
        <f t="shared" ref="M437" si="268">+M438+M439+M440</f>
        <v>0</v>
      </c>
      <c r="N437" s="34">
        <f t="shared" si="267"/>
        <v>0</v>
      </c>
      <c r="O437" s="3264"/>
      <c r="Q437" s="456"/>
    </row>
    <row r="438" spans="1:17" ht="12" hidden="1" customHeight="1">
      <c r="A438" s="3230"/>
      <c r="B438" s="897" t="s">
        <v>12</v>
      </c>
      <c r="C438" s="898"/>
      <c r="D438" s="35">
        <f>+D454+D472</f>
        <v>0</v>
      </c>
      <c r="E438" s="35">
        <f>+E454+E472</f>
        <v>0</v>
      </c>
      <c r="F438" s="35">
        <f t="shared" ref="F438:G438" si="269">+F454+F472</f>
        <v>0</v>
      </c>
      <c r="G438" s="35">
        <f t="shared" si="269"/>
        <v>0</v>
      </c>
      <c r="H438" s="35">
        <f>+H454+H472</f>
        <v>0</v>
      </c>
      <c r="I438" s="35">
        <f>+I454+I472</f>
        <v>0</v>
      </c>
      <c r="J438" s="35">
        <f>+J454+J472</f>
        <v>0</v>
      </c>
      <c r="K438" s="35">
        <f>+K454+K472</f>
        <v>0</v>
      </c>
      <c r="L438" s="35">
        <f>+L454+L472</f>
        <v>0</v>
      </c>
      <c r="M438" s="36">
        <f t="shared" ref="M438:N440" si="270">SUM(E438:H438)</f>
        <v>0</v>
      </c>
      <c r="N438" s="36">
        <f t="shared" si="270"/>
        <v>0</v>
      </c>
      <c r="O438" s="3264"/>
      <c r="P438" s="456"/>
      <c r="Q438" s="456"/>
    </row>
    <row r="439" spans="1:17" ht="12" hidden="1" customHeight="1">
      <c r="A439" s="3230"/>
      <c r="B439" s="857" t="s">
        <v>78</v>
      </c>
      <c r="C439" s="858"/>
      <c r="D439" s="35">
        <f>+D455</f>
        <v>0</v>
      </c>
      <c r="E439" s="35">
        <f>+E455</f>
        <v>0</v>
      </c>
      <c r="F439" s="35">
        <f t="shared" ref="F439:G440" si="271">+F455</f>
        <v>0</v>
      </c>
      <c r="G439" s="35">
        <f t="shared" si="271"/>
        <v>0</v>
      </c>
      <c r="H439" s="35">
        <f t="shared" ref="H439:L440" si="272">+H455</f>
        <v>0</v>
      </c>
      <c r="I439" s="35">
        <f t="shared" si="272"/>
        <v>0</v>
      </c>
      <c r="J439" s="35">
        <f t="shared" si="272"/>
        <v>0</v>
      </c>
      <c r="K439" s="35">
        <f t="shared" si="272"/>
        <v>0</v>
      </c>
      <c r="L439" s="35">
        <f t="shared" si="272"/>
        <v>0</v>
      </c>
      <c r="M439" s="36">
        <f t="shared" si="270"/>
        <v>0</v>
      </c>
      <c r="N439" s="36">
        <f t="shared" si="270"/>
        <v>0</v>
      </c>
      <c r="O439" s="3264"/>
      <c r="Q439" s="456"/>
    </row>
    <row r="440" spans="1:17" ht="12" hidden="1" customHeight="1">
      <c r="A440" s="3230"/>
      <c r="B440" s="899" t="s">
        <v>52</v>
      </c>
      <c r="C440" s="900"/>
      <c r="D440" s="35">
        <f>+D456</f>
        <v>0</v>
      </c>
      <c r="E440" s="35">
        <f>+E456</f>
        <v>0</v>
      </c>
      <c r="F440" s="35">
        <f t="shared" si="271"/>
        <v>0</v>
      </c>
      <c r="G440" s="35">
        <f t="shared" si="271"/>
        <v>0</v>
      </c>
      <c r="H440" s="35">
        <f t="shared" si="272"/>
        <v>0</v>
      </c>
      <c r="I440" s="35">
        <f t="shared" si="272"/>
        <v>0</v>
      </c>
      <c r="J440" s="35">
        <f t="shared" si="272"/>
        <v>0</v>
      </c>
      <c r="K440" s="35">
        <f t="shared" si="272"/>
        <v>0</v>
      </c>
      <c r="L440" s="35">
        <f t="shared" si="272"/>
        <v>0</v>
      </c>
      <c r="M440" s="36">
        <f t="shared" si="270"/>
        <v>0</v>
      </c>
      <c r="N440" s="36">
        <f t="shared" si="270"/>
        <v>0</v>
      </c>
      <c r="O440" s="3264"/>
      <c r="P440" s="456"/>
      <c r="Q440" s="456"/>
    </row>
    <row r="441" spans="1:17" s="902" customFormat="1" ht="12" hidden="1" customHeight="1">
      <c r="A441" s="3230"/>
      <c r="B441" s="860" t="s">
        <v>18</v>
      </c>
      <c r="C441" s="901"/>
      <c r="D441" s="33">
        <f>+D442+D443</f>
        <v>0</v>
      </c>
      <c r="E441" s="33">
        <f>+E442+E443</f>
        <v>0</v>
      </c>
      <c r="F441" s="33">
        <f t="shared" ref="F441:G441" si="273">+F442+F443</f>
        <v>0</v>
      </c>
      <c r="G441" s="33">
        <f t="shared" si="273"/>
        <v>0</v>
      </c>
      <c r="H441" s="33">
        <f t="shared" ref="H441:N441" si="274">+H442+H443</f>
        <v>0</v>
      </c>
      <c r="I441" s="33">
        <f t="shared" si="274"/>
        <v>0</v>
      </c>
      <c r="J441" s="33">
        <f t="shared" si="274"/>
        <v>0</v>
      </c>
      <c r="K441" s="33">
        <f t="shared" si="274"/>
        <v>0</v>
      </c>
      <c r="L441" s="33">
        <f t="shared" si="274"/>
        <v>0</v>
      </c>
      <c r="M441" s="131">
        <f t="shared" ref="M441" si="275">+M442+M443</f>
        <v>0</v>
      </c>
      <c r="N441" s="131">
        <f t="shared" si="274"/>
        <v>0</v>
      </c>
      <c r="O441" s="3264"/>
      <c r="P441" s="843"/>
      <c r="Q441" s="843"/>
    </row>
    <row r="442" spans="1:17" ht="12" hidden="1" customHeight="1">
      <c r="A442" s="3230"/>
      <c r="B442" s="861" t="s">
        <v>21</v>
      </c>
      <c r="C442" s="900"/>
      <c r="D442" s="35">
        <f>+D458+D474</f>
        <v>0</v>
      </c>
      <c r="E442" s="35">
        <f>+E458+E474</f>
        <v>0</v>
      </c>
      <c r="F442" s="35">
        <f t="shared" ref="F442:G442" si="276">+F458+F474</f>
        <v>0</v>
      </c>
      <c r="G442" s="35">
        <f t="shared" si="276"/>
        <v>0</v>
      </c>
      <c r="H442" s="35">
        <f>+H458+H474</f>
        <v>0</v>
      </c>
      <c r="I442" s="35">
        <f>+I458+I474</f>
        <v>0</v>
      </c>
      <c r="J442" s="35">
        <f>+J458+J474</f>
        <v>0</v>
      </c>
      <c r="K442" s="35">
        <f>+K458+K474</f>
        <v>0</v>
      </c>
      <c r="L442" s="35">
        <f>+L458+L474</f>
        <v>0</v>
      </c>
      <c r="M442" s="36">
        <f>SUM(E442:H442)</f>
        <v>0</v>
      </c>
      <c r="N442" s="36">
        <f>SUM(F442:I442)</f>
        <v>0</v>
      </c>
      <c r="O442" s="3264"/>
      <c r="P442" s="456"/>
      <c r="Q442" s="456"/>
    </row>
    <row r="443" spans="1:17" ht="12" hidden="1" customHeight="1">
      <c r="A443" s="3230"/>
      <c r="B443" s="861" t="s">
        <v>79</v>
      </c>
      <c r="C443" s="900"/>
      <c r="D443" s="35">
        <f>+D459</f>
        <v>0</v>
      </c>
      <c r="E443" s="35">
        <f>+E459</f>
        <v>0</v>
      </c>
      <c r="F443" s="35">
        <f t="shared" ref="F443:G443" si="277">+F459</f>
        <v>0</v>
      </c>
      <c r="G443" s="35">
        <f t="shared" si="277"/>
        <v>0</v>
      </c>
      <c r="H443" s="35">
        <f>+H459</f>
        <v>0</v>
      </c>
      <c r="I443" s="35">
        <f>+I459</f>
        <v>0</v>
      </c>
      <c r="J443" s="35">
        <f>+J459</f>
        <v>0</v>
      </c>
      <c r="K443" s="35">
        <f>+K459</f>
        <v>0</v>
      </c>
      <c r="L443" s="35">
        <f>+L459</f>
        <v>0</v>
      </c>
      <c r="M443" s="36">
        <f>SUM(E443:H443)</f>
        <v>0</v>
      </c>
      <c r="N443" s="36">
        <f>SUM(F443:I443)</f>
        <v>0</v>
      </c>
      <c r="O443" s="3264"/>
      <c r="P443" s="456"/>
      <c r="Q443" s="456"/>
    </row>
    <row r="444" spans="1:17" ht="12" hidden="1" customHeight="1">
      <c r="A444" s="3230"/>
      <c r="B444" s="21" t="s">
        <v>22</v>
      </c>
      <c r="C444" s="22"/>
      <c r="D444" s="197">
        <f>+D445+D448</f>
        <v>0</v>
      </c>
      <c r="E444" s="197">
        <f>+E445+E448</f>
        <v>0</v>
      </c>
      <c r="F444" s="197">
        <f t="shared" ref="F444:G444" si="278">+F445+F448</f>
        <v>0</v>
      </c>
      <c r="G444" s="197">
        <f t="shared" si="278"/>
        <v>0</v>
      </c>
      <c r="H444" s="197">
        <f>+H445+H448</f>
        <v>0</v>
      </c>
      <c r="I444" s="197">
        <f>+I445+I448</f>
        <v>0</v>
      </c>
      <c r="J444" s="197">
        <f>+J445+J448</f>
        <v>0</v>
      </c>
      <c r="K444" s="197">
        <f>+K445+K448</f>
        <v>0</v>
      </c>
      <c r="L444" s="197">
        <f>+L445+L448</f>
        <v>0</v>
      </c>
      <c r="M444" s="3275" t="s">
        <v>23</v>
      </c>
      <c r="N444" s="3275" t="s">
        <v>23</v>
      </c>
      <c r="O444" s="3264"/>
    </row>
    <row r="445" spans="1:17" ht="12" hidden="1" customHeight="1">
      <c r="A445" s="3230"/>
      <c r="B445" s="903" t="s">
        <v>24</v>
      </c>
      <c r="C445" s="904"/>
      <c r="D445" s="121">
        <f>+D446+D447</f>
        <v>0</v>
      </c>
      <c r="E445" s="121">
        <f>+E446+E447</f>
        <v>0</v>
      </c>
      <c r="F445" s="121">
        <f t="shared" ref="F445:G445" si="279">+F446+F447</f>
        <v>0</v>
      </c>
      <c r="G445" s="121">
        <f t="shared" si="279"/>
        <v>0</v>
      </c>
      <c r="H445" s="121">
        <f>+H446+H447</f>
        <v>0</v>
      </c>
      <c r="I445" s="121">
        <f>+I446+I447</f>
        <v>0</v>
      </c>
      <c r="J445" s="121">
        <f>+J446+J447</f>
        <v>0</v>
      </c>
      <c r="K445" s="121">
        <f>+K446+K447</f>
        <v>0</v>
      </c>
      <c r="L445" s="121">
        <f>+L446+L447</f>
        <v>0</v>
      </c>
      <c r="M445" s="3209"/>
      <c r="N445" s="3209"/>
      <c r="O445" s="3264"/>
      <c r="P445" s="456"/>
    </row>
    <row r="446" spans="1:17" ht="12" hidden="1" customHeight="1">
      <c r="A446" s="3230"/>
      <c r="B446" s="264" t="s">
        <v>78</v>
      </c>
      <c r="C446" s="900"/>
      <c r="D446" s="35">
        <f>+D462</f>
        <v>0</v>
      </c>
      <c r="E446" s="35">
        <f>+E462</f>
        <v>0</v>
      </c>
      <c r="F446" s="35">
        <f t="shared" ref="F446:L446" si="280">+F462</f>
        <v>0</v>
      </c>
      <c r="G446" s="35">
        <f t="shared" si="280"/>
        <v>0</v>
      </c>
      <c r="H446" s="35">
        <f t="shared" si="280"/>
        <v>0</v>
      </c>
      <c r="I446" s="35">
        <f t="shared" si="280"/>
        <v>0</v>
      </c>
      <c r="J446" s="35">
        <f t="shared" si="280"/>
        <v>0</v>
      </c>
      <c r="K446" s="35">
        <f t="shared" si="280"/>
        <v>0</v>
      </c>
      <c r="L446" s="35">
        <f t="shared" si="280"/>
        <v>0</v>
      </c>
      <c r="M446" s="3209"/>
      <c r="N446" s="3209"/>
      <c r="O446" s="3264"/>
    </row>
    <row r="447" spans="1:17" ht="12" hidden="1" customHeight="1">
      <c r="A447" s="3230"/>
      <c r="B447" s="905" t="s">
        <v>52</v>
      </c>
      <c r="C447" s="132"/>
      <c r="D447" s="35">
        <f>+D464</f>
        <v>0</v>
      </c>
      <c r="E447" s="35">
        <f>+E464</f>
        <v>0</v>
      </c>
      <c r="F447" s="35">
        <f t="shared" ref="F447:L447" si="281">+F464</f>
        <v>0</v>
      </c>
      <c r="G447" s="35">
        <f t="shared" si="281"/>
        <v>0</v>
      </c>
      <c r="H447" s="35">
        <f t="shared" si="281"/>
        <v>0</v>
      </c>
      <c r="I447" s="35">
        <f t="shared" si="281"/>
        <v>0</v>
      </c>
      <c r="J447" s="35">
        <f t="shared" si="281"/>
        <v>0</v>
      </c>
      <c r="K447" s="35">
        <f t="shared" si="281"/>
        <v>0</v>
      </c>
      <c r="L447" s="35">
        <f t="shared" si="281"/>
        <v>0</v>
      </c>
      <c r="M447" s="3209"/>
      <c r="N447" s="3209"/>
      <c r="O447" s="3264"/>
    </row>
    <row r="448" spans="1:17" s="902" customFormat="1" ht="12" hidden="1" customHeight="1">
      <c r="A448" s="3230"/>
      <c r="B448" s="906" t="s">
        <v>18</v>
      </c>
      <c r="C448" s="901"/>
      <c r="D448" s="133">
        <f>+D449+D450</f>
        <v>0</v>
      </c>
      <c r="E448" s="133">
        <f>+E449+E450</f>
        <v>0</v>
      </c>
      <c r="F448" s="133">
        <f t="shared" ref="F448:G448" si="282">+F449+F450</f>
        <v>0</v>
      </c>
      <c r="G448" s="133">
        <f t="shared" si="282"/>
        <v>0</v>
      </c>
      <c r="H448" s="133">
        <f>+H449+H450</f>
        <v>0</v>
      </c>
      <c r="I448" s="133">
        <f>+I449+I450</f>
        <v>0</v>
      </c>
      <c r="J448" s="133">
        <f>+J449+J450</f>
        <v>0</v>
      </c>
      <c r="K448" s="133">
        <f>+K449+K450</f>
        <v>0</v>
      </c>
      <c r="L448" s="133">
        <f>+L449+L450</f>
        <v>0</v>
      </c>
      <c r="M448" s="3209"/>
      <c r="N448" s="3209"/>
      <c r="O448" s="3264"/>
    </row>
    <row r="449" spans="1:16" ht="12" hidden="1" customHeight="1">
      <c r="A449" s="3230"/>
      <c r="B449" s="907" t="s">
        <v>21</v>
      </c>
      <c r="C449" s="900"/>
      <c r="D449" s="35">
        <f>+D467+D477</f>
        <v>0</v>
      </c>
      <c r="E449" s="35">
        <f>+E467+E477</f>
        <v>0</v>
      </c>
      <c r="F449" s="35">
        <f t="shared" ref="F449:G449" si="283">+F467+F477</f>
        <v>0</v>
      </c>
      <c r="G449" s="35">
        <f t="shared" si="283"/>
        <v>0</v>
      </c>
      <c r="H449" s="35">
        <f>+H467+H477</f>
        <v>0</v>
      </c>
      <c r="I449" s="35">
        <f>+I467+I477</f>
        <v>0</v>
      </c>
      <c r="J449" s="35">
        <f>+J467+J477</f>
        <v>0</v>
      </c>
      <c r="K449" s="35">
        <f>+K467+K477</f>
        <v>0</v>
      </c>
      <c r="L449" s="35">
        <f>+L467+L477</f>
        <v>0</v>
      </c>
      <c r="M449" s="3209"/>
      <c r="N449" s="3209"/>
      <c r="O449" s="3264"/>
    </row>
    <row r="450" spans="1:16" ht="12" hidden="1" customHeight="1" thickBot="1">
      <c r="A450" s="3231"/>
      <c r="B450" s="908" t="s">
        <v>79</v>
      </c>
      <c r="C450" s="885"/>
      <c r="D450" s="124">
        <f>+D468</f>
        <v>0</v>
      </c>
      <c r="E450" s="124">
        <f>+E468</f>
        <v>0</v>
      </c>
      <c r="F450" s="124">
        <f t="shared" ref="F450:G450" si="284">+F468</f>
        <v>0</v>
      </c>
      <c r="G450" s="124">
        <f t="shared" si="284"/>
        <v>0</v>
      </c>
      <c r="H450" s="251">
        <f>+H468</f>
        <v>0</v>
      </c>
      <c r="I450" s="252">
        <f>+I468</f>
        <v>0</v>
      </c>
      <c r="J450" s="252">
        <f>+J468</f>
        <v>0</v>
      </c>
      <c r="K450" s="252">
        <f>+K468</f>
        <v>0</v>
      </c>
      <c r="L450" s="252">
        <f>+L468</f>
        <v>0</v>
      </c>
      <c r="M450" s="3210"/>
      <c r="N450" s="3210"/>
      <c r="O450" s="909"/>
    </row>
    <row r="451" spans="1:16" hidden="1">
      <c r="A451" s="3199"/>
      <c r="B451" s="646"/>
      <c r="C451" s="58" t="s">
        <v>81</v>
      </c>
      <c r="D451" s="102"/>
      <c r="E451" s="104"/>
      <c r="F451" s="103"/>
      <c r="G451" s="647"/>
      <c r="H451" s="647"/>
      <c r="I451" s="647"/>
      <c r="J451" s="647"/>
      <c r="K451" s="647"/>
      <c r="L451" s="647"/>
      <c r="M451" s="45"/>
      <c r="N451" s="45"/>
      <c r="O451" s="3224" t="s">
        <v>105</v>
      </c>
    </row>
    <row r="452" spans="1:16" ht="15" hidden="1" customHeight="1">
      <c r="A452" s="3200"/>
      <c r="B452" s="21" t="s">
        <v>10</v>
      </c>
      <c r="C452" s="22"/>
      <c r="D452" s="105">
        <f t="shared" ref="D452:I452" si="285">+D453+D457</f>
        <v>0</v>
      </c>
      <c r="E452" s="105">
        <f t="shared" si="285"/>
        <v>0</v>
      </c>
      <c r="F452" s="105">
        <f t="shared" si="285"/>
        <v>0</v>
      </c>
      <c r="G452" s="105">
        <f t="shared" si="285"/>
        <v>0</v>
      </c>
      <c r="H452" s="105">
        <f t="shared" si="285"/>
        <v>0</v>
      </c>
      <c r="I452" s="105">
        <f t="shared" si="285"/>
        <v>0</v>
      </c>
      <c r="J452" s="105"/>
      <c r="K452" s="105"/>
      <c r="L452" s="105"/>
      <c r="M452" s="32">
        <f>+M453+M457</f>
        <v>0</v>
      </c>
      <c r="N452" s="32">
        <f>+N453+N457</f>
        <v>0</v>
      </c>
      <c r="O452" s="3225"/>
      <c r="P452" s="456" t="e">
        <f>+#REF!+#REF!</f>
        <v>#REF!</v>
      </c>
    </row>
    <row r="453" spans="1:16" hidden="1">
      <c r="A453" s="3200"/>
      <c r="B453" s="171" t="s">
        <v>24</v>
      </c>
      <c r="C453" s="3233" t="s">
        <v>98</v>
      </c>
      <c r="D453" s="106">
        <f t="shared" ref="D453:I453" si="286">+D454+D455+D456</f>
        <v>0</v>
      </c>
      <c r="E453" s="107">
        <f t="shared" si="286"/>
        <v>0</v>
      </c>
      <c r="F453" s="106">
        <f t="shared" si="286"/>
        <v>0</v>
      </c>
      <c r="G453" s="106">
        <f t="shared" si="286"/>
        <v>0</v>
      </c>
      <c r="H453" s="106">
        <f t="shared" si="286"/>
        <v>0</v>
      </c>
      <c r="I453" s="106">
        <f t="shared" si="286"/>
        <v>0</v>
      </c>
      <c r="J453" s="108"/>
      <c r="K453" s="108"/>
      <c r="L453" s="108"/>
      <c r="M453" s="79">
        <f>+M454+M455+M456</f>
        <v>0</v>
      </c>
      <c r="N453" s="79">
        <f>+N454+N455+N456</f>
        <v>0</v>
      </c>
      <c r="O453" s="3225"/>
    </row>
    <row r="454" spans="1:16" ht="11.25" hidden="1" customHeight="1">
      <c r="A454" s="3200"/>
      <c r="B454" s="435" t="s">
        <v>12</v>
      </c>
      <c r="C454" s="3215"/>
      <c r="D454" s="247">
        <f t="shared" ref="D454:D459" si="287">E454+F454+G454+H454+I454+J454+K454+L454</f>
        <v>0</v>
      </c>
      <c r="E454" s="284"/>
      <c r="F454" s="648">
        <v>0</v>
      </c>
      <c r="G454" s="648">
        <v>0</v>
      </c>
      <c r="H454" s="648">
        <v>0</v>
      </c>
      <c r="I454" s="648">
        <v>0</v>
      </c>
      <c r="J454" s="649"/>
      <c r="K454" s="649"/>
      <c r="L454" s="649"/>
      <c r="M454" s="36">
        <f t="shared" ref="M454:N456" si="288">SUM(E454:H454)</f>
        <v>0</v>
      </c>
      <c r="N454" s="36">
        <f t="shared" si="288"/>
        <v>0</v>
      </c>
      <c r="O454" s="3225"/>
      <c r="P454" s="456"/>
    </row>
    <row r="455" spans="1:16" hidden="1">
      <c r="A455" s="3200"/>
      <c r="B455" s="134" t="s">
        <v>78</v>
      </c>
      <c r="C455" s="3215"/>
      <c r="D455" s="247">
        <f t="shared" si="287"/>
        <v>0</v>
      </c>
      <c r="E455" s="284"/>
      <c r="F455" s="135">
        <v>0</v>
      </c>
      <c r="G455" s="135">
        <v>0</v>
      </c>
      <c r="H455" s="135">
        <v>0</v>
      </c>
      <c r="I455" s="135">
        <v>0</v>
      </c>
      <c r="J455" s="112"/>
      <c r="K455" s="112"/>
      <c r="L455" s="112"/>
      <c r="M455" s="36">
        <f t="shared" si="288"/>
        <v>0</v>
      </c>
      <c r="N455" s="36">
        <f t="shared" si="288"/>
        <v>0</v>
      </c>
      <c r="O455" s="3225"/>
    </row>
    <row r="456" spans="1:16" ht="12" hidden="1" customHeight="1">
      <c r="A456" s="3200"/>
      <c r="B456" s="591" t="s">
        <v>106</v>
      </c>
      <c r="C456" s="3260"/>
      <c r="D456" s="247">
        <f t="shared" si="287"/>
        <v>0</v>
      </c>
      <c r="E456" s="284"/>
      <c r="F456" s="648">
        <v>0</v>
      </c>
      <c r="G456" s="648">
        <v>0</v>
      </c>
      <c r="H456" s="648">
        <v>0</v>
      </c>
      <c r="I456" s="648">
        <v>0</v>
      </c>
      <c r="J456" s="649"/>
      <c r="K456" s="649"/>
      <c r="L456" s="649"/>
      <c r="M456" s="36">
        <f t="shared" si="288"/>
        <v>0</v>
      </c>
      <c r="N456" s="36">
        <f t="shared" si="288"/>
        <v>0</v>
      </c>
      <c r="O456" s="3225"/>
    </row>
    <row r="457" spans="1:16" s="902" customFormat="1" hidden="1">
      <c r="A457" s="3200"/>
      <c r="B457" s="464" t="s">
        <v>18</v>
      </c>
      <c r="C457" s="650"/>
      <c r="D457" s="49">
        <f>+D458+D459</f>
        <v>0</v>
      </c>
      <c r="E457" s="651">
        <f t="shared" ref="E457:N457" si="289">+E458+E459</f>
        <v>0</v>
      </c>
      <c r="F457" s="651">
        <f t="shared" si="289"/>
        <v>0</v>
      </c>
      <c r="G457" s="651">
        <f t="shared" si="289"/>
        <v>0</v>
      </c>
      <c r="H457" s="651">
        <f t="shared" si="289"/>
        <v>0</v>
      </c>
      <c r="I457" s="651">
        <f t="shared" si="289"/>
        <v>0</v>
      </c>
      <c r="J457" s="651"/>
      <c r="K457" s="651"/>
      <c r="L457" s="651"/>
      <c r="M457" s="79">
        <f t="shared" ref="M457" si="290">+M458+M459</f>
        <v>0</v>
      </c>
      <c r="N457" s="79">
        <f t="shared" si="289"/>
        <v>0</v>
      </c>
      <c r="O457" s="3225"/>
    </row>
    <row r="458" spans="1:16" hidden="1">
      <c r="A458" s="3200"/>
      <c r="B458" s="869" t="s">
        <v>21</v>
      </c>
      <c r="C458" s="2611"/>
      <c r="D458" s="247">
        <f t="shared" si="287"/>
        <v>0</v>
      </c>
      <c r="E458" s="284"/>
      <c r="F458" s="649">
        <v>0</v>
      </c>
      <c r="G458" s="649">
        <v>0</v>
      </c>
      <c r="H458" s="649">
        <v>0</v>
      </c>
      <c r="I458" s="649">
        <v>0</v>
      </c>
      <c r="J458" s="649"/>
      <c r="K458" s="649"/>
      <c r="L458" s="649"/>
      <c r="M458" s="36">
        <f>SUM(E458:H458)</f>
        <v>0</v>
      </c>
      <c r="N458" s="36">
        <f>SUM(F458:I458)</f>
        <v>0</v>
      </c>
      <c r="O458" s="3225"/>
    </row>
    <row r="459" spans="1:16" ht="12" hidden="1" customHeight="1">
      <c r="A459" s="3200"/>
      <c r="B459" s="869" t="s">
        <v>79</v>
      </c>
      <c r="C459" s="2611"/>
      <c r="D459" s="247">
        <f t="shared" si="287"/>
        <v>0</v>
      </c>
      <c r="E459" s="284"/>
      <c r="F459" s="649">
        <v>0</v>
      </c>
      <c r="G459" s="649">
        <v>0</v>
      </c>
      <c r="H459" s="649">
        <v>0</v>
      </c>
      <c r="I459" s="649">
        <v>0</v>
      </c>
      <c r="J459" s="649"/>
      <c r="K459" s="649"/>
      <c r="L459" s="649"/>
      <c r="M459" s="36">
        <f>SUM(E459:H459)</f>
        <v>0</v>
      </c>
      <c r="N459" s="36">
        <f>SUM(F459:I459)</f>
        <v>0</v>
      </c>
      <c r="O459" s="3225"/>
    </row>
    <row r="460" spans="1:16" ht="14.25" hidden="1" customHeight="1">
      <c r="A460" s="3200"/>
      <c r="B460" s="21" t="s">
        <v>22</v>
      </c>
      <c r="C460" s="22"/>
      <c r="D460" s="197">
        <f t="shared" ref="D460:I460" si="291">+D461+D465</f>
        <v>0</v>
      </c>
      <c r="E460" s="197">
        <f t="shared" si="291"/>
        <v>0</v>
      </c>
      <c r="F460" s="197">
        <f t="shared" si="291"/>
        <v>0</v>
      </c>
      <c r="G460" s="197">
        <f t="shared" si="291"/>
        <v>0</v>
      </c>
      <c r="H460" s="197">
        <f t="shared" si="291"/>
        <v>0</v>
      </c>
      <c r="I460" s="197">
        <f t="shared" si="291"/>
        <v>0</v>
      </c>
      <c r="J460" s="197"/>
      <c r="K460" s="197"/>
      <c r="L460" s="197"/>
      <c r="M460" s="3275" t="s">
        <v>23</v>
      </c>
      <c r="N460" s="3275" t="s">
        <v>23</v>
      </c>
      <c r="O460" s="3225"/>
      <c r="P460" s="456"/>
    </row>
    <row r="461" spans="1:16" s="910" customFormat="1" ht="12.75" hidden="1" customHeight="1">
      <c r="A461" s="3200"/>
      <c r="B461" s="171" t="s">
        <v>24</v>
      </c>
      <c r="C461" s="3233" t="s">
        <v>98</v>
      </c>
      <c r="D461" s="765">
        <f>+D462+D463+D464</f>
        <v>0</v>
      </c>
      <c r="E461" s="765">
        <f>SUM(E462:E464)</f>
        <v>0</v>
      </c>
      <c r="F461" s="765">
        <f>+F462+F464</f>
        <v>0</v>
      </c>
      <c r="G461" s="765">
        <f>+G462+G464</f>
        <v>0</v>
      </c>
      <c r="H461" s="765">
        <f>+H462+H464</f>
        <v>0</v>
      </c>
      <c r="I461" s="765">
        <f>+I462+I464</f>
        <v>0</v>
      </c>
      <c r="J461" s="765"/>
      <c r="K461" s="765"/>
      <c r="L461" s="765"/>
      <c r="M461" s="3209"/>
      <c r="N461" s="3209"/>
      <c r="O461" s="3225"/>
    </row>
    <row r="462" spans="1:16" s="265" customFormat="1" hidden="1">
      <c r="A462" s="3200"/>
      <c r="B462" s="134" t="s">
        <v>107</v>
      </c>
      <c r="C462" s="3215"/>
      <c r="D462" s="247">
        <f t="shared" ref="D462:D464" si="292">E462+F462+G462+H462+I462+J462+K462+L462</f>
        <v>0</v>
      </c>
      <c r="E462" s="284"/>
      <c r="F462" s="911">
        <v>0</v>
      </c>
      <c r="G462" s="911">
        <v>0</v>
      </c>
      <c r="H462" s="911">
        <v>0</v>
      </c>
      <c r="I462" s="911">
        <v>0</v>
      </c>
      <c r="J462" s="911"/>
      <c r="K462" s="911"/>
      <c r="L462" s="911"/>
      <c r="M462" s="3209"/>
      <c r="N462" s="3209"/>
      <c r="O462" s="3225"/>
      <c r="P462" s="877">
        <v>-14575000</v>
      </c>
    </row>
    <row r="463" spans="1:16" s="265" customFormat="1" ht="10.5" hidden="1" customHeight="1">
      <c r="A463" s="3200"/>
      <c r="B463" s="912" t="s">
        <v>108</v>
      </c>
      <c r="C463" s="3215"/>
      <c r="D463" s="247">
        <f t="shared" si="292"/>
        <v>0</v>
      </c>
      <c r="E463" s="284"/>
      <c r="F463" s="911"/>
      <c r="G463" s="911"/>
      <c r="H463" s="911"/>
      <c r="I463" s="911"/>
      <c r="J463" s="911"/>
      <c r="K463" s="911"/>
      <c r="L463" s="911"/>
      <c r="M463" s="3209"/>
      <c r="N463" s="3209"/>
      <c r="O463" s="3225"/>
    </row>
    <row r="464" spans="1:16" s="265" customFormat="1" hidden="1">
      <c r="A464" s="3200"/>
      <c r="B464" s="591" t="s">
        <v>106</v>
      </c>
      <c r="C464" s="3215"/>
      <c r="D464" s="247">
        <f t="shared" si="292"/>
        <v>0</v>
      </c>
      <c r="E464" s="284"/>
      <c r="F464" s="648">
        <v>0</v>
      </c>
      <c r="G464" s="648">
        <v>0</v>
      </c>
      <c r="H464" s="648">
        <v>0</v>
      </c>
      <c r="I464" s="648">
        <v>0</v>
      </c>
      <c r="J464" s="648"/>
      <c r="K464" s="648"/>
      <c r="L464" s="648"/>
      <c r="M464" s="3209"/>
      <c r="N464" s="3209"/>
      <c r="O464" s="3225"/>
      <c r="P464" s="877"/>
    </row>
    <row r="465" spans="1:19" s="910" customFormat="1" hidden="1">
      <c r="A465" s="3200"/>
      <c r="B465" s="913" t="s">
        <v>18</v>
      </c>
      <c r="C465" s="3215"/>
      <c r="D465" s="52">
        <f>+D466+D467+D468</f>
        <v>0</v>
      </c>
      <c r="E465" s="767"/>
      <c r="F465" s="767">
        <f>+F467</f>
        <v>0</v>
      </c>
      <c r="G465" s="767">
        <f>+G467</f>
        <v>0</v>
      </c>
      <c r="H465" s="767">
        <f>+H467</f>
        <v>0</v>
      </c>
      <c r="I465" s="767">
        <f>+I467</f>
        <v>0</v>
      </c>
      <c r="J465" s="767"/>
      <c r="K465" s="767"/>
      <c r="L465" s="767"/>
      <c r="M465" s="3209"/>
      <c r="N465" s="3209"/>
      <c r="O465" s="3225"/>
    </row>
    <row r="466" spans="1:19" s="910" customFormat="1" ht="10.5" hidden="1" customHeight="1">
      <c r="A466" s="3200"/>
      <c r="B466" s="912" t="s">
        <v>108</v>
      </c>
      <c r="C466" s="3215"/>
      <c r="D466" s="247">
        <f t="shared" ref="D466:D468" si="293">E466+F466+G466+H466+I466+J466+K466+L466</f>
        <v>0</v>
      </c>
      <c r="E466" s="1704"/>
      <c r="F466" s="914"/>
      <c r="G466" s="914"/>
      <c r="H466" s="914"/>
      <c r="I466" s="914"/>
      <c r="J466" s="914"/>
      <c r="K466" s="914"/>
      <c r="L466" s="914"/>
      <c r="M466" s="3209"/>
      <c r="N466" s="3209"/>
      <c r="O466" s="3225"/>
    </row>
    <row r="467" spans="1:19" s="265" customFormat="1" hidden="1">
      <c r="A467" s="3200"/>
      <c r="B467" s="435" t="s">
        <v>21</v>
      </c>
      <c r="C467" s="3215"/>
      <c r="D467" s="247">
        <f t="shared" si="293"/>
        <v>0</v>
      </c>
      <c r="E467" s="284"/>
      <c r="F467" s="652">
        <v>0</v>
      </c>
      <c r="G467" s="652">
        <v>0</v>
      </c>
      <c r="H467" s="652">
        <v>0</v>
      </c>
      <c r="I467" s="652">
        <v>0</v>
      </c>
      <c r="J467" s="652"/>
      <c r="K467" s="652"/>
      <c r="L467" s="652"/>
      <c r="M467" s="3209"/>
      <c r="N467" s="3209"/>
      <c r="O467" s="3225"/>
      <c r="P467" s="877"/>
    </row>
    <row r="468" spans="1:19" s="265" customFormat="1" ht="11.25" hidden="1" customHeight="1" thickBot="1">
      <c r="A468" s="3201"/>
      <c r="B468" s="76" t="s">
        <v>79</v>
      </c>
      <c r="C468" s="3216"/>
      <c r="D468" s="247">
        <f t="shared" si="293"/>
        <v>0</v>
      </c>
      <c r="E468" s="56"/>
      <c r="F468" s="653">
        <v>0</v>
      </c>
      <c r="G468" s="653">
        <v>0</v>
      </c>
      <c r="H468" s="654">
        <v>0</v>
      </c>
      <c r="I468" s="177">
        <v>0</v>
      </c>
      <c r="J468" s="177"/>
      <c r="K468" s="177"/>
      <c r="L468" s="177"/>
      <c r="M468" s="3210"/>
      <c r="N468" s="3210"/>
      <c r="O468" s="2609"/>
    </row>
    <row r="469" spans="1:19" hidden="1">
      <c r="A469" s="3199"/>
      <c r="B469" s="282"/>
      <c r="C469" s="58" t="s">
        <v>109</v>
      </c>
      <c r="D469" s="870"/>
      <c r="E469" s="94"/>
      <c r="F469" s="95"/>
      <c r="G469" s="95"/>
      <c r="H469" s="95"/>
      <c r="I469" s="95"/>
      <c r="J469" s="95"/>
      <c r="K469" s="95"/>
      <c r="L469" s="95"/>
      <c r="M469" s="45"/>
      <c r="N469" s="45"/>
      <c r="O469" s="3202" t="s">
        <v>102</v>
      </c>
      <c r="S469" s="868"/>
    </row>
    <row r="470" spans="1:19" ht="14.25" hidden="1" customHeight="1">
      <c r="A470" s="3200"/>
      <c r="B470" s="21" t="s">
        <v>10</v>
      </c>
      <c r="C470" s="22"/>
      <c r="D470" s="63">
        <f t="shared" ref="D470" si="294">+D471+D473</f>
        <v>0</v>
      </c>
      <c r="E470" s="63">
        <f>+E471+E473</f>
        <v>0</v>
      </c>
      <c r="F470" s="63"/>
      <c r="G470" s="63"/>
      <c r="H470" s="64"/>
      <c r="I470" s="63"/>
      <c r="J470" s="63"/>
      <c r="K470" s="63"/>
      <c r="L470" s="63"/>
      <c r="M470" s="65">
        <f>+M471+M473</f>
        <v>0</v>
      </c>
      <c r="N470" s="65">
        <f>+N471+N473</f>
        <v>0</v>
      </c>
      <c r="O470" s="3203"/>
      <c r="P470" s="456" t="e">
        <f>+#REF!+#REF!+F470+G470</f>
        <v>#REF!</v>
      </c>
      <c r="Q470" s="456"/>
      <c r="R470" s="456"/>
      <c r="S470" s="456"/>
    </row>
    <row r="471" spans="1:19" ht="14.25" hidden="1" customHeight="1">
      <c r="A471" s="3200"/>
      <c r="B471" s="171" t="s">
        <v>24</v>
      </c>
      <c r="C471" s="3233" t="s">
        <v>98</v>
      </c>
      <c r="D471" s="66">
        <f>+D472</f>
        <v>0</v>
      </c>
      <c r="E471" s="66">
        <f t="shared" ref="E471" si="295">+E472</f>
        <v>0</v>
      </c>
      <c r="F471" s="66"/>
      <c r="G471" s="66"/>
      <c r="H471" s="96"/>
      <c r="I471" s="66"/>
      <c r="J471" s="66"/>
      <c r="K471" s="66"/>
      <c r="L471" s="66"/>
      <c r="M471" s="79">
        <f>+M472</f>
        <v>0</v>
      </c>
      <c r="N471" s="79">
        <f>+N472</f>
        <v>0</v>
      </c>
      <c r="O471" s="3203"/>
      <c r="P471" s="456"/>
    </row>
    <row r="472" spans="1:19" hidden="1">
      <c r="A472" s="3200"/>
      <c r="B472" s="428" t="s">
        <v>12</v>
      </c>
      <c r="C472" s="3236"/>
      <c r="D472" s="247">
        <f t="shared" ref="D472" si="296">E472+F472+G472+H472+I472+J472+K472+L472</f>
        <v>0</v>
      </c>
      <c r="E472" s="284"/>
      <c r="F472" s="48"/>
      <c r="G472" s="48"/>
      <c r="H472" s="47"/>
      <c r="I472" s="48"/>
      <c r="J472" s="48"/>
      <c r="K472" s="48"/>
      <c r="L472" s="48"/>
      <c r="M472" s="36">
        <f>SUM(E472:H472)</f>
        <v>0</v>
      </c>
      <c r="N472" s="36">
        <f>SUM(F472:I472)</f>
        <v>0</v>
      </c>
      <c r="O472" s="3203"/>
    </row>
    <row r="473" spans="1:19" ht="14.25" hidden="1" customHeight="1">
      <c r="A473" s="3200"/>
      <c r="B473" s="464" t="s">
        <v>18</v>
      </c>
      <c r="C473" s="3236"/>
      <c r="D473" s="49">
        <f>+D474</f>
        <v>0</v>
      </c>
      <c r="E473" s="49">
        <f t="shared" ref="E473" si="297">+E474</f>
        <v>0</v>
      </c>
      <c r="F473" s="49"/>
      <c r="G473" s="49"/>
      <c r="H473" s="50"/>
      <c r="I473" s="49"/>
      <c r="J473" s="49"/>
      <c r="K473" s="49"/>
      <c r="L473" s="49"/>
      <c r="M473" s="79">
        <f>+M474</f>
        <v>0</v>
      </c>
      <c r="N473" s="79">
        <f>+N474</f>
        <v>0</v>
      </c>
      <c r="O473" s="3203"/>
    </row>
    <row r="474" spans="1:19" hidden="1">
      <c r="A474" s="3200"/>
      <c r="B474" s="872" t="s">
        <v>21</v>
      </c>
      <c r="C474" s="3236"/>
      <c r="D474" s="247">
        <f t="shared" ref="D474" si="298">E474+F474+G474+H474+I474+J474+K474+L474</f>
        <v>0</v>
      </c>
      <c r="E474" s="284"/>
      <c r="F474" s="48"/>
      <c r="G474" s="48"/>
      <c r="H474" s="47"/>
      <c r="I474" s="48"/>
      <c r="J474" s="48"/>
      <c r="K474" s="48"/>
      <c r="L474" s="48"/>
      <c r="M474" s="36">
        <f>SUM(E474:H474)</f>
        <v>0</v>
      </c>
      <c r="N474" s="36">
        <f>SUM(F474:I474)</f>
        <v>0</v>
      </c>
      <c r="O474" s="3203"/>
    </row>
    <row r="475" spans="1:19" ht="14.25" hidden="1" customHeight="1">
      <c r="A475" s="3227"/>
      <c r="B475" s="21" t="s">
        <v>22</v>
      </c>
      <c r="C475" s="22"/>
      <c r="D475" s="197">
        <f>+D476</f>
        <v>0</v>
      </c>
      <c r="E475" s="197">
        <f t="shared" ref="E475" si="299">+E476</f>
        <v>0</v>
      </c>
      <c r="F475" s="197"/>
      <c r="G475" s="197"/>
      <c r="H475" s="198"/>
      <c r="I475" s="197"/>
      <c r="J475" s="197"/>
      <c r="K475" s="197"/>
      <c r="L475" s="197"/>
      <c r="M475" s="3337" t="s">
        <v>23</v>
      </c>
      <c r="N475" s="3337" t="s">
        <v>23</v>
      </c>
      <c r="O475" s="3234"/>
      <c r="P475" s="456"/>
    </row>
    <row r="476" spans="1:19" s="265" customFormat="1" ht="14.25" hidden="1" customHeight="1">
      <c r="A476" s="3227"/>
      <c r="B476" s="464" t="s">
        <v>18</v>
      </c>
      <c r="C476" s="3233" t="s">
        <v>98</v>
      </c>
      <c r="D476" s="765">
        <f>+D477</f>
        <v>0</v>
      </c>
      <c r="E476" s="765"/>
      <c r="F476" s="765"/>
      <c r="G476" s="765"/>
      <c r="H476" s="767"/>
      <c r="I476" s="765"/>
      <c r="J476" s="765"/>
      <c r="K476" s="765"/>
      <c r="L476" s="765"/>
      <c r="M476" s="3273"/>
      <c r="N476" s="3273"/>
      <c r="O476" s="3234"/>
    </row>
    <row r="477" spans="1:19" s="265" customFormat="1" ht="14.25" hidden="1" customHeight="1" thickBot="1">
      <c r="A477" s="3228"/>
      <c r="B477" s="55" t="s">
        <v>21</v>
      </c>
      <c r="C477" s="3217"/>
      <c r="D477" s="247">
        <f t="shared" ref="D477" si="300">E477+F477+G477+H477+I477+J477+K477+L477</f>
        <v>0</v>
      </c>
      <c r="E477" s="871"/>
      <c r="F477" s="480"/>
      <c r="G477" s="480"/>
      <c r="H477" s="480"/>
      <c r="I477" s="480"/>
      <c r="J477" s="480"/>
      <c r="K477" s="480"/>
      <c r="L477" s="480"/>
      <c r="M477" s="3274"/>
      <c r="N477" s="3274"/>
      <c r="O477" s="3235"/>
    </row>
    <row r="478" spans="1:19" ht="27.75" hidden="1" customHeight="1">
      <c r="A478" s="3356" t="s">
        <v>270</v>
      </c>
      <c r="B478" s="208" t="s">
        <v>232</v>
      </c>
      <c r="C478" s="915"/>
      <c r="D478" s="892"/>
      <c r="E478" s="893"/>
      <c r="F478" s="893"/>
      <c r="G478" s="893"/>
      <c r="H478" s="893"/>
      <c r="I478" s="893"/>
      <c r="J478" s="893"/>
      <c r="K478" s="893"/>
      <c r="L478" s="893"/>
      <c r="M478" s="306"/>
      <c r="N478" s="306"/>
      <c r="O478" s="3246"/>
    </row>
    <row r="479" spans="1:19" ht="14.25" hidden="1" customHeight="1">
      <c r="A479" s="3357"/>
      <c r="B479" s="21" t="s">
        <v>10</v>
      </c>
      <c r="C479" s="137"/>
      <c r="D479" s="130">
        <f>+D480+D482</f>
        <v>0</v>
      </c>
      <c r="E479" s="130">
        <f t="shared" ref="E479:N479" si="301">+E480+E482</f>
        <v>0</v>
      </c>
      <c r="F479" s="130">
        <f t="shared" si="301"/>
        <v>0</v>
      </c>
      <c r="G479" s="130">
        <f t="shared" si="301"/>
        <v>0</v>
      </c>
      <c r="H479" s="130">
        <f t="shared" si="301"/>
        <v>0</v>
      </c>
      <c r="I479" s="130">
        <f t="shared" si="301"/>
        <v>0</v>
      </c>
      <c r="J479" s="130">
        <f t="shared" si="301"/>
        <v>0</v>
      </c>
      <c r="K479" s="130">
        <f t="shared" si="301"/>
        <v>0</v>
      </c>
      <c r="L479" s="130">
        <f t="shared" si="301"/>
        <v>0</v>
      </c>
      <c r="M479" s="65">
        <f t="shared" ref="M479" si="302">+M480+M482</f>
        <v>0</v>
      </c>
      <c r="N479" s="65">
        <f t="shared" si="301"/>
        <v>0</v>
      </c>
      <c r="O479" s="3247"/>
      <c r="P479" s="456" t="e">
        <f>+#REF!+#REF!+F479+G479</f>
        <v>#REF!</v>
      </c>
    </row>
    <row r="480" spans="1:19" ht="13.5" hidden="1" customHeight="1">
      <c r="A480" s="3357"/>
      <c r="B480" s="916" t="s">
        <v>24</v>
      </c>
      <c r="C480" s="138"/>
      <c r="D480" s="121">
        <f>+D481</f>
        <v>0</v>
      </c>
      <c r="E480" s="121">
        <f t="shared" ref="E480:N480" si="303">+E481</f>
        <v>0</v>
      </c>
      <c r="F480" s="121">
        <f t="shared" si="303"/>
        <v>0</v>
      </c>
      <c r="G480" s="121">
        <f t="shared" si="303"/>
        <v>0</v>
      </c>
      <c r="H480" s="121">
        <f t="shared" si="303"/>
        <v>0</v>
      </c>
      <c r="I480" s="121">
        <f t="shared" si="303"/>
        <v>0</v>
      </c>
      <c r="J480" s="121">
        <f t="shared" si="303"/>
        <v>0</v>
      </c>
      <c r="K480" s="121">
        <f t="shared" si="303"/>
        <v>0</v>
      </c>
      <c r="L480" s="121">
        <f t="shared" si="303"/>
        <v>0</v>
      </c>
      <c r="M480" s="67">
        <f t="shared" si="303"/>
        <v>0</v>
      </c>
      <c r="N480" s="67">
        <f t="shared" si="303"/>
        <v>0</v>
      </c>
      <c r="O480" s="3247"/>
    </row>
    <row r="481" spans="1:19" hidden="1">
      <c r="A481" s="3357"/>
      <c r="B481" s="263" t="s">
        <v>12</v>
      </c>
      <c r="C481" s="139"/>
      <c r="D481" s="35">
        <f>+D490</f>
        <v>0</v>
      </c>
      <c r="E481" s="35">
        <f>+E490</f>
        <v>0</v>
      </c>
      <c r="F481" s="35">
        <f t="shared" ref="F481:I481" si="304">+F490</f>
        <v>0</v>
      </c>
      <c r="G481" s="35">
        <f t="shared" si="304"/>
        <v>0</v>
      </c>
      <c r="H481" s="35">
        <f t="shared" si="304"/>
        <v>0</v>
      </c>
      <c r="I481" s="35">
        <f t="shared" si="304"/>
        <v>0</v>
      </c>
      <c r="J481" s="35">
        <f>+J490</f>
        <v>0</v>
      </c>
      <c r="K481" s="35">
        <f>+K490</f>
        <v>0</v>
      </c>
      <c r="L481" s="35">
        <f>+L490</f>
        <v>0</v>
      </c>
      <c r="M481" s="36">
        <f>SUM(E481:H481)</f>
        <v>0</v>
      </c>
      <c r="N481" s="36">
        <f>SUM(F481:I481)</f>
        <v>0</v>
      </c>
      <c r="O481" s="3247"/>
    </row>
    <row r="482" spans="1:19" ht="14.25" hidden="1" customHeight="1">
      <c r="A482" s="3357"/>
      <c r="B482" s="917" t="s">
        <v>18</v>
      </c>
      <c r="C482" s="140"/>
      <c r="D482" s="33">
        <f>+D483</f>
        <v>0</v>
      </c>
      <c r="E482" s="33">
        <f t="shared" ref="E482:N482" si="305">+E483</f>
        <v>0</v>
      </c>
      <c r="F482" s="33">
        <f t="shared" si="305"/>
        <v>0</v>
      </c>
      <c r="G482" s="33">
        <f t="shared" si="305"/>
        <v>0</v>
      </c>
      <c r="H482" s="33">
        <f t="shared" si="305"/>
        <v>0</v>
      </c>
      <c r="I482" s="33">
        <f t="shared" si="305"/>
        <v>0</v>
      </c>
      <c r="J482" s="33">
        <f t="shared" si="305"/>
        <v>0</v>
      </c>
      <c r="K482" s="33">
        <f t="shared" si="305"/>
        <v>0</v>
      </c>
      <c r="L482" s="33">
        <f t="shared" si="305"/>
        <v>0</v>
      </c>
      <c r="M482" s="67">
        <f t="shared" si="305"/>
        <v>0</v>
      </c>
      <c r="N482" s="67">
        <f t="shared" si="305"/>
        <v>0</v>
      </c>
      <c r="O482" s="3247"/>
    </row>
    <row r="483" spans="1:19" ht="11.25" hidden="1" customHeight="1">
      <c r="A483" s="3357"/>
      <c r="B483" s="264" t="s">
        <v>20</v>
      </c>
      <c r="C483" s="139"/>
      <c r="D483" s="35">
        <f>+D492</f>
        <v>0</v>
      </c>
      <c r="E483" s="35">
        <f t="shared" ref="E483:I483" si="306">+E492</f>
        <v>0</v>
      </c>
      <c r="F483" s="35">
        <f t="shared" si="306"/>
        <v>0</v>
      </c>
      <c r="G483" s="35">
        <f t="shared" si="306"/>
        <v>0</v>
      </c>
      <c r="H483" s="35">
        <f t="shared" si="306"/>
        <v>0</v>
      </c>
      <c r="I483" s="35">
        <f t="shared" si="306"/>
        <v>0</v>
      </c>
      <c r="J483" s="35">
        <f>+J492</f>
        <v>0</v>
      </c>
      <c r="K483" s="35">
        <f>+K492</f>
        <v>0</v>
      </c>
      <c r="L483" s="35">
        <f>+L492</f>
        <v>0</v>
      </c>
      <c r="M483" s="36">
        <f>SUM(E483:H483)</f>
        <v>0</v>
      </c>
      <c r="N483" s="36">
        <f>SUM(F483:I483)</f>
        <v>0</v>
      </c>
      <c r="O483" s="3247"/>
    </row>
    <row r="484" spans="1:19" ht="13.5" hidden="1" customHeight="1">
      <c r="A484" s="3357"/>
      <c r="B484" s="21" t="s">
        <v>22</v>
      </c>
      <c r="C484" s="137"/>
      <c r="D484" s="130">
        <f>+D485</f>
        <v>0</v>
      </c>
      <c r="E484" s="130">
        <f>+E485</f>
        <v>0</v>
      </c>
      <c r="F484" s="130">
        <f t="shared" ref="F484:L485" si="307">+F485</f>
        <v>0</v>
      </c>
      <c r="G484" s="130">
        <f t="shared" si="307"/>
        <v>0</v>
      </c>
      <c r="H484" s="130">
        <f t="shared" si="307"/>
        <v>0</v>
      </c>
      <c r="I484" s="130">
        <f t="shared" si="307"/>
        <v>0</v>
      </c>
      <c r="J484" s="130">
        <f t="shared" si="307"/>
        <v>0</v>
      </c>
      <c r="K484" s="130">
        <f t="shared" si="307"/>
        <v>0</v>
      </c>
      <c r="L484" s="130">
        <f t="shared" si="307"/>
        <v>0</v>
      </c>
      <c r="M484" s="3337" t="s">
        <v>23</v>
      </c>
      <c r="N484" s="3337" t="s">
        <v>23</v>
      </c>
      <c r="O484" s="3247"/>
    </row>
    <row r="485" spans="1:19" ht="12" hidden="1" customHeight="1">
      <c r="A485" s="3357"/>
      <c r="B485" s="918" t="s">
        <v>18</v>
      </c>
      <c r="C485" s="138"/>
      <c r="D485" s="121">
        <f>+D486</f>
        <v>0</v>
      </c>
      <c r="E485" s="121">
        <f>+E486</f>
        <v>0</v>
      </c>
      <c r="F485" s="121">
        <f t="shared" si="307"/>
        <v>0</v>
      </c>
      <c r="G485" s="121">
        <f t="shared" si="307"/>
        <v>0</v>
      </c>
      <c r="H485" s="121">
        <f t="shared" si="307"/>
        <v>0</v>
      </c>
      <c r="I485" s="121">
        <f t="shared" si="307"/>
        <v>0</v>
      </c>
      <c r="J485" s="121">
        <f t="shared" si="307"/>
        <v>0</v>
      </c>
      <c r="K485" s="121">
        <f t="shared" si="307"/>
        <v>0</v>
      </c>
      <c r="L485" s="121">
        <f t="shared" si="307"/>
        <v>0</v>
      </c>
      <c r="M485" s="3273"/>
      <c r="N485" s="3273"/>
      <c r="O485" s="3247"/>
    </row>
    <row r="486" spans="1:19" ht="13.5" hidden="1" customHeight="1" thickBot="1">
      <c r="A486" s="3358"/>
      <c r="B486" s="264" t="s">
        <v>20</v>
      </c>
      <c r="C486" s="139"/>
      <c r="D486" s="35">
        <f>+D495</f>
        <v>0</v>
      </c>
      <c r="E486" s="35">
        <f t="shared" ref="E486:I486" si="308">+E495</f>
        <v>0</v>
      </c>
      <c r="F486" s="35">
        <f t="shared" si="308"/>
        <v>0</v>
      </c>
      <c r="G486" s="35">
        <f t="shared" si="308"/>
        <v>0</v>
      </c>
      <c r="H486" s="251">
        <f t="shared" si="308"/>
        <v>0</v>
      </c>
      <c r="I486" s="252">
        <f t="shared" si="308"/>
        <v>0</v>
      </c>
      <c r="J486" s="252">
        <f>+J495</f>
        <v>0</v>
      </c>
      <c r="K486" s="252">
        <f>+K495</f>
        <v>0</v>
      </c>
      <c r="L486" s="252">
        <f>+L495</f>
        <v>0</v>
      </c>
      <c r="M486" s="3274"/>
      <c r="N486" s="3274"/>
      <c r="O486" s="3248"/>
    </row>
    <row r="487" spans="1:19" hidden="1">
      <c r="A487" s="3199" t="s">
        <v>286</v>
      </c>
      <c r="B487" s="282"/>
      <c r="C487" s="58" t="s">
        <v>109</v>
      </c>
      <c r="D487" s="870"/>
      <c r="E487" s="94"/>
      <c r="F487" s="95"/>
      <c r="G487" s="95"/>
      <c r="H487" s="95"/>
      <c r="I487" s="95"/>
      <c r="J487" s="95"/>
      <c r="K487" s="95"/>
      <c r="L487" s="95"/>
      <c r="M487" s="45"/>
      <c r="N487" s="45"/>
      <c r="O487" s="3202" t="s">
        <v>110</v>
      </c>
      <c r="S487" s="868"/>
    </row>
    <row r="488" spans="1:19" ht="14.25" hidden="1" customHeight="1">
      <c r="A488" s="3200"/>
      <c r="B488" s="662" t="s">
        <v>10</v>
      </c>
      <c r="C488" s="1800"/>
      <c r="D488" s="1814">
        <f>+D489+D491</f>
        <v>0</v>
      </c>
      <c r="E488" s="1814">
        <f t="shared" ref="E488:N488" si="309">+E489+E491</f>
        <v>0</v>
      </c>
      <c r="F488" s="2169">
        <f t="shared" si="309"/>
        <v>0</v>
      </c>
      <c r="G488" s="2169">
        <f t="shared" si="309"/>
        <v>0</v>
      </c>
      <c r="H488" s="2169">
        <f t="shared" si="309"/>
        <v>0</v>
      </c>
      <c r="I488" s="2169">
        <f t="shared" si="309"/>
        <v>0</v>
      </c>
      <c r="J488" s="2169">
        <f t="shared" si="309"/>
        <v>0</v>
      </c>
      <c r="K488" s="2169">
        <f t="shared" si="309"/>
        <v>0</v>
      </c>
      <c r="L488" s="2169">
        <f t="shared" si="309"/>
        <v>0</v>
      </c>
      <c r="M488" s="1802">
        <f t="shared" ref="M488" si="310">+M489+M491</f>
        <v>0</v>
      </c>
      <c r="N488" s="1802">
        <f t="shared" si="309"/>
        <v>0</v>
      </c>
      <c r="O488" s="3203"/>
      <c r="P488" s="456" t="e">
        <f>+#REF!+#REF!+F488+G488</f>
        <v>#REF!</v>
      </c>
      <c r="Q488" s="456"/>
      <c r="R488" s="456"/>
      <c r="S488" s="456"/>
    </row>
    <row r="489" spans="1:19" ht="14.25" hidden="1" customHeight="1">
      <c r="A489" s="3200"/>
      <c r="B489" s="633" t="s">
        <v>24</v>
      </c>
      <c r="C489" s="3214" t="s">
        <v>111</v>
      </c>
      <c r="D489" s="1815">
        <f>+D490</f>
        <v>0</v>
      </c>
      <c r="E489" s="1815">
        <f t="shared" ref="E489:N489" si="311">+E490</f>
        <v>0</v>
      </c>
      <c r="F489" s="2170">
        <f t="shared" si="311"/>
        <v>0</v>
      </c>
      <c r="G489" s="2170">
        <f t="shared" si="311"/>
        <v>0</v>
      </c>
      <c r="H489" s="2170">
        <f t="shared" si="311"/>
        <v>0</v>
      </c>
      <c r="I489" s="2170">
        <f t="shared" si="311"/>
        <v>0</v>
      </c>
      <c r="J489" s="2170">
        <f t="shared" si="311"/>
        <v>0</v>
      </c>
      <c r="K489" s="2170">
        <f t="shared" si="311"/>
        <v>0</v>
      </c>
      <c r="L489" s="2170">
        <f t="shared" si="311"/>
        <v>0</v>
      </c>
      <c r="M489" s="1805">
        <f t="shared" si="311"/>
        <v>0</v>
      </c>
      <c r="N489" s="1805">
        <f t="shared" si="311"/>
        <v>0</v>
      </c>
      <c r="O489" s="3203"/>
      <c r="P489" s="456"/>
    </row>
    <row r="490" spans="1:19" ht="14.25" hidden="1" customHeight="1">
      <c r="A490" s="3200"/>
      <c r="B490" s="982" t="s">
        <v>12</v>
      </c>
      <c r="C490" s="3236"/>
      <c r="D490" s="1715">
        <f t="shared" ref="D490" si="312">E490+F490+G490+H490+I490+J490+K490+L490</f>
        <v>0</v>
      </c>
      <c r="E490" s="1775"/>
      <c r="F490" s="1846">
        <v>0</v>
      </c>
      <c r="G490" s="1846">
        <v>0</v>
      </c>
      <c r="H490" s="1846">
        <v>0</v>
      </c>
      <c r="I490" s="1846">
        <v>0</v>
      </c>
      <c r="J490" s="1846">
        <v>0</v>
      </c>
      <c r="K490" s="1846">
        <v>0</v>
      </c>
      <c r="L490" s="1846">
        <v>0</v>
      </c>
      <c r="M490" s="1818">
        <f>SUM(E490:H490)</f>
        <v>0</v>
      </c>
      <c r="N490" s="1818">
        <f>SUM(F490:I490)</f>
        <v>0</v>
      </c>
      <c r="O490" s="3203"/>
    </row>
    <row r="491" spans="1:19" ht="14.25" hidden="1" customHeight="1">
      <c r="A491" s="3200"/>
      <c r="B491" s="978" t="s">
        <v>18</v>
      </c>
      <c r="C491" s="3236"/>
      <c r="D491" s="1804">
        <f t="shared" ref="D491:N491" si="313">+D492</f>
        <v>0</v>
      </c>
      <c r="E491" s="1804">
        <f t="shared" si="313"/>
        <v>0</v>
      </c>
      <c r="F491" s="2171">
        <f t="shared" si="313"/>
        <v>0</v>
      </c>
      <c r="G491" s="2171">
        <f t="shared" si="313"/>
        <v>0</v>
      </c>
      <c r="H491" s="2171">
        <f t="shared" si="313"/>
        <v>0</v>
      </c>
      <c r="I491" s="2171">
        <f t="shared" si="313"/>
        <v>0</v>
      </c>
      <c r="J491" s="2171">
        <f t="shared" si="313"/>
        <v>0</v>
      </c>
      <c r="K491" s="2171">
        <f t="shared" si="313"/>
        <v>0</v>
      </c>
      <c r="L491" s="2171">
        <f t="shared" si="313"/>
        <v>0</v>
      </c>
      <c r="M491" s="1805">
        <f t="shared" si="313"/>
        <v>0</v>
      </c>
      <c r="N491" s="1805">
        <f t="shared" si="313"/>
        <v>0</v>
      </c>
      <c r="O491" s="3203"/>
    </row>
    <row r="492" spans="1:19" ht="14.25" hidden="1" customHeight="1">
      <c r="A492" s="3200"/>
      <c r="B492" s="2172" t="s">
        <v>20</v>
      </c>
      <c r="C492" s="3236"/>
      <c r="D492" s="1715">
        <f t="shared" ref="D492" si="314">E492+F492+G492+H492+I492+J492+K492+L492</f>
        <v>0</v>
      </c>
      <c r="E492" s="1775">
        <v>0</v>
      </c>
      <c r="F492" s="1846">
        <v>0</v>
      </c>
      <c r="G492" s="1846">
        <v>0</v>
      </c>
      <c r="H492" s="1846">
        <v>0</v>
      </c>
      <c r="I492" s="1846">
        <v>0</v>
      </c>
      <c r="J492" s="1846">
        <v>0</v>
      </c>
      <c r="K492" s="1846">
        <v>0</v>
      </c>
      <c r="L492" s="1846">
        <v>0</v>
      </c>
      <c r="M492" s="1818">
        <f>SUM(E492:H492)</f>
        <v>0</v>
      </c>
      <c r="N492" s="1818">
        <f>SUM(F492:I492)</f>
        <v>0</v>
      </c>
      <c r="O492" s="3203"/>
    </row>
    <row r="493" spans="1:19" ht="14.25" hidden="1" customHeight="1">
      <c r="A493" s="3227"/>
      <c r="B493" s="662" t="s">
        <v>22</v>
      </c>
      <c r="C493" s="1800"/>
      <c r="D493" s="1801">
        <f>+D494</f>
        <v>0</v>
      </c>
      <c r="E493" s="1801">
        <f t="shared" ref="E493:L494" si="315">+E494</f>
        <v>0</v>
      </c>
      <c r="F493" s="2173">
        <f t="shared" si="315"/>
        <v>0</v>
      </c>
      <c r="G493" s="2173">
        <f t="shared" si="315"/>
        <v>0</v>
      </c>
      <c r="H493" s="2173">
        <f t="shared" si="315"/>
        <v>0</v>
      </c>
      <c r="I493" s="2173">
        <f t="shared" si="315"/>
        <v>0</v>
      </c>
      <c r="J493" s="2173">
        <f t="shared" si="315"/>
        <v>0</v>
      </c>
      <c r="K493" s="2173">
        <f t="shared" si="315"/>
        <v>0</v>
      </c>
      <c r="L493" s="2173">
        <f t="shared" si="315"/>
        <v>0</v>
      </c>
      <c r="M493" s="3302" t="s">
        <v>23</v>
      </c>
      <c r="N493" s="3302" t="s">
        <v>23</v>
      </c>
      <c r="O493" s="3234"/>
    </row>
    <row r="494" spans="1:19" s="265" customFormat="1" ht="14.25" hidden="1" customHeight="1">
      <c r="A494" s="3227"/>
      <c r="B494" s="978" t="s">
        <v>18</v>
      </c>
      <c r="C494" s="3214" t="s">
        <v>112</v>
      </c>
      <c r="D494" s="1822">
        <f>+D495</f>
        <v>0</v>
      </c>
      <c r="E494" s="1830">
        <f t="shared" si="315"/>
        <v>0</v>
      </c>
      <c r="F494" s="2174">
        <f t="shared" si="315"/>
        <v>0</v>
      </c>
      <c r="G494" s="2174">
        <f t="shared" si="315"/>
        <v>0</v>
      </c>
      <c r="H494" s="2174">
        <f t="shared" si="315"/>
        <v>0</v>
      </c>
      <c r="I494" s="2174">
        <f t="shared" si="315"/>
        <v>0</v>
      </c>
      <c r="J494" s="2174">
        <f t="shared" si="315"/>
        <v>0</v>
      </c>
      <c r="K494" s="2174">
        <f t="shared" si="315"/>
        <v>0</v>
      </c>
      <c r="L494" s="2174">
        <f t="shared" si="315"/>
        <v>0</v>
      </c>
      <c r="M494" s="3273"/>
      <c r="N494" s="3273"/>
      <c r="O494" s="3234"/>
    </row>
    <row r="495" spans="1:19" s="265" customFormat="1" ht="14.25" hidden="1" customHeight="1" thickBot="1">
      <c r="A495" s="3228"/>
      <c r="B495" s="826" t="s">
        <v>20</v>
      </c>
      <c r="C495" s="3217"/>
      <c r="D495" s="1929">
        <f t="shared" ref="D495" si="316">E495+F495+G495+H495+I495+J495+K495+L495</f>
        <v>0</v>
      </c>
      <c r="E495" s="2147">
        <v>0</v>
      </c>
      <c r="F495" s="919">
        <v>0</v>
      </c>
      <c r="G495" s="919">
        <v>0</v>
      </c>
      <c r="H495" s="919">
        <v>0</v>
      </c>
      <c r="I495" s="919">
        <v>0</v>
      </c>
      <c r="J495" s="919">
        <v>0</v>
      </c>
      <c r="K495" s="919">
        <v>0</v>
      </c>
      <c r="L495" s="919">
        <v>0</v>
      </c>
      <c r="M495" s="3274"/>
      <c r="N495" s="3274"/>
      <c r="O495" s="3235"/>
      <c r="P495" s="877">
        <f>D495-D492</f>
        <v>0</v>
      </c>
    </row>
    <row r="496" spans="1:19" ht="21" customHeight="1" thickBot="1">
      <c r="A496" s="141" t="s">
        <v>113</v>
      </c>
      <c r="B496" s="142"/>
      <c r="C496" s="143"/>
      <c r="D496" s="144"/>
      <c r="E496" s="144"/>
      <c r="F496" s="143"/>
      <c r="G496" s="143"/>
      <c r="H496" s="143"/>
      <c r="I496" s="143"/>
      <c r="J496" s="143"/>
      <c r="K496" s="143"/>
      <c r="L496" s="143"/>
      <c r="M496" s="143"/>
      <c r="N496" s="143"/>
      <c r="O496" s="145"/>
    </row>
    <row r="497" spans="1:17" s="922" customFormat="1" ht="15.75" customHeight="1">
      <c r="A497" s="3290"/>
      <c r="B497" s="218" t="s">
        <v>76</v>
      </c>
      <c r="C497" s="210"/>
      <c r="D497" s="219">
        <f>+D498+D499</f>
        <v>1100226652</v>
      </c>
      <c r="E497" s="219">
        <f t="shared" ref="E497" si="317">+E498+E499</f>
        <v>367324214</v>
      </c>
      <c r="F497" s="219">
        <f t="shared" ref="F497" si="318">+F498+F499</f>
        <v>167135344</v>
      </c>
      <c r="G497" s="219">
        <f t="shared" ref="G497:L497" si="319">+G498+G499</f>
        <v>199515504</v>
      </c>
      <c r="H497" s="219">
        <f t="shared" si="319"/>
        <v>184720092</v>
      </c>
      <c r="I497" s="219">
        <f t="shared" si="319"/>
        <v>177586498</v>
      </c>
      <c r="J497" s="219">
        <f t="shared" si="319"/>
        <v>3945000</v>
      </c>
      <c r="K497" s="219">
        <f t="shared" si="319"/>
        <v>0</v>
      </c>
      <c r="L497" s="219">
        <f t="shared" si="319"/>
        <v>0</v>
      </c>
      <c r="M497" s="16">
        <f>+M498+M499</f>
        <v>732902438</v>
      </c>
      <c r="N497" s="16">
        <f>+N498+N499</f>
        <v>565767094</v>
      </c>
      <c r="O497" s="920"/>
      <c r="P497" s="921"/>
    </row>
    <row r="498" spans="1:17" s="922" customFormat="1" ht="11.25" customHeight="1">
      <c r="A498" s="3291"/>
      <c r="B498" s="212" t="s">
        <v>77</v>
      </c>
      <c r="C498" s="438"/>
      <c r="D498" s="214">
        <f t="shared" ref="D498:N498" si="320">D513+D571+D575+D588+D596+D608+D612+D620</f>
        <v>889342176</v>
      </c>
      <c r="E498" s="214">
        <f t="shared" ref="E498" si="321">E513+E571+E575+E588+E596+E608+E612+E620</f>
        <v>328478944</v>
      </c>
      <c r="F498" s="214">
        <f t="shared" si="320"/>
        <v>125586332</v>
      </c>
      <c r="G498" s="214">
        <f t="shared" si="320"/>
        <v>149647802</v>
      </c>
      <c r="H498" s="214">
        <f t="shared" si="320"/>
        <v>139077600</v>
      </c>
      <c r="I498" s="214">
        <f t="shared" si="320"/>
        <v>142606498</v>
      </c>
      <c r="J498" s="214">
        <f t="shared" si="320"/>
        <v>3945000</v>
      </c>
      <c r="K498" s="214">
        <f t="shared" si="320"/>
        <v>0</v>
      </c>
      <c r="L498" s="214">
        <f t="shared" si="320"/>
        <v>0</v>
      </c>
      <c r="M498" s="18">
        <f t="shared" ref="M498" si="322">M513+M571+M575+M588+M596+M608+M612+M620</f>
        <v>560863232</v>
      </c>
      <c r="N498" s="18">
        <f t="shared" si="320"/>
        <v>435276900</v>
      </c>
      <c r="O498" s="920"/>
    </row>
    <row r="499" spans="1:17" s="922" customFormat="1" ht="13.5" customHeight="1">
      <c r="A499" s="3291"/>
      <c r="B499" s="827" t="s">
        <v>9</v>
      </c>
      <c r="C499" s="923"/>
      <c r="D499" s="924">
        <f t="shared" ref="D499:N499" si="323">D525+D533+D537+D549+D564+D604+D616+D628+D636+D640</f>
        <v>210884476</v>
      </c>
      <c r="E499" s="924">
        <f t="shared" ref="E499" si="324">E525+E533+E537+E549+E564+E604+E616+E628+E636+E640</f>
        <v>38845270</v>
      </c>
      <c r="F499" s="924">
        <f t="shared" si="323"/>
        <v>41549012</v>
      </c>
      <c r="G499" s="924">
        <f t="shared" si="323"/>
        <v>49867702</v>
      </c>
      <c r="H499" s="924">
        <f t="shared" si="323"/>
        <v>45642492</v>
      </c>
      <c r="I499" s="924">
        <f t="shared" si="323"/>
        <v>34980000</v>
      </c>
      <c r="J499" s="924">
        <f t="shared" si="323"/>
        <v>0</v>
      </c>
      <c r="K499" s="924">
        <f t="shared" si="323"/>
        <v>0</v>
      </c>
      <c r="L499" s="924">
        <f t="shared" si="323"/>
        <v>0</v>
      </c>
      <c r="M499" s="18">
        <f t="shared" ref="M499" si="325">M525+M533+M537+M549+M564+M604+M616+M628+M636+M640</f>
        <v>172039206</v>
      </c>
      <c r="N499" s="18">
        <f t="shared" si="323"/>
        <v>130490194</v>
      </c>
      <c r="O499" s="920"/>
      <c r="P499" s="921"/>
    </row>
    <row r="500" spans="1:17" s="922" customFormat="1" ht="14.25" customHeight="1">
      <c r="A500" s="3291"/>
      <c r="B500" s="30" t="s">
        <v>10</v>
      </c>
      <c r="C500" s="22"/>
      <c r="D500" s="31">
        <f>+D501</f>
        <v>1100226652</v>
      </c>
      <c r="E500" s="31">
        <f t="shared" ref="E500:L501" si="326">+E501</f>
        <v>367324214</v>
      </c>
      <c r="F500" s="31">
        <f t="shared" si="326"/>
        <v>167135344</v>
      </c>
      <c r="G500" s="31">
        <f t="shared" si="326"/>
        <v>199515504</v>
      </c>
      <c r="H500" s="31">
        <f t="shared" si="326"/>
        <v>184720092</v>
      </c>
      <c r="I500" s="31">
        <f t="shared" si="326"/>
        <v>177586498</v>
      </c>
      <c r="J500" s="31">
        <f t="shared" si="326"/>
        <v>3945000</v>
      </c>
      <c r="K500" s="31">
        <f t="shared" si="326"/>
        <v>0</v>
      </c>
      <c r="L500" s="31">
        <f t="shared" si="326"/>
        <v>0</v>
      </c>
      <c r="M500" s="32">
        <f>+M501</f>
        <v>732902438</v>
      </c>
      <c r="N500" s="32">
        <f>+N501</f>
        <v>565767094</v>
      </c>
      <c r="O500" s="925"/>
      <c r="P500" s="921">
        <f>N500-N497</f>
        <v>0</v>
      </c>
    </row>
    <row r="501" spans="1:17" s="929" customFormat="1" ht="12">
      <c r="A501" s="3291"/>
      <c r="B501" s="926" t="s">
        <v>24</v>
      </c>
      <c r="C501" s="927"/>
      <c r="D501" s="439">
        <f>SUM(D502:D505)</f>
        <v>1100226652</v>
      </c>
      <c r="E501" s="439">
        <f t="shared" ref="E501" si="327">SUM(E502:E505)</f>
        <v>367324214</v>
      </c>
      <c r="F501" s="439">
        <f t="shared" ref="F501:I501" si="328">SUM(F502:F505)</f>
        <v>167135344</v>
      </c>
      <c r="G501" s="439">
        <f t="shared" si="328"/>
        <v>199515504</v>
      </c>
      <c r="H501" s="439">
        <f t="shared" si="328"/>
        <v>184720092</v>
      </c>
      <c r="I501" s="439">
        <f t="shared" si="328"/>
        <v>177586498</v>
      </c>
      <c r="J501" s="439">
        <f t="shared" si="326"/>
        <v>3945000</v>
      </c>
      <c r="K501" s="439">
        <f t="shared" si="326"/>
        <v>0</v>
      </c>
      <c r="L501" s="439">
        <f t="shared" si="326"/>
        <v>0</v>
      </c>
      <c r="M501" s="79">
        <f>SUM(M502:M505)</f>
        <v>732902438</v>
      </c>
      <c r="N501" s="79">
        <f>SUM(N502:N505)</f>
        <v>565767094</v>
      </c>
      <c r="O501" s="2615"/>
      <c r="P501" s="928"/>
    </row>
    <row r="502" spans="1:17" s="922" customFormat="1" ht="12">
      <c r="A502" s="3291"/>
      <c r="B502" s="846" t="s">
        <v>12</v>
      </c>
      <c r="C502" s="847"/>
      <c r="D502" s="440">
        <f>+D515+D523+D527+D535+D539+D642+D543+D551+D558+D573+D577+D586+D590+D598+D606+D614+D566+D610+D618+D622+D630+D638</f>
        <v>1004296927</v>
      </c>
      <c r="E502" s="440">
        <f t="shared" ref="E502" si="329">+E515+E523+E527+E535+E539+E642+E543+E551+E558+E573+E577+E586+E590+E598+E606+E614+E566+E610+E618+E622+E630+E638</f>
        <v>362630450</v>
      </c>
      <c r="F502" s="440">
        <f t="shared" ref="F502:L502" si="330">+F515+F523+F527+F535+F539+F642+F543+F551+F558+F573+F577+F586+F590+F598+F606+F614+F566+F610+F618+F622+F630+F638</f>
        <v>129705608</v>
      </c>
      <c r="G502" s="440">
        <f t="shared" si="330"/>
        <v>174012139</v>
      </c>
      <c r="H502" s="440">
        <f t="shared" si="330"/>
        <v>170600092</v>
      </c>
      <c r="I502" s="440">
        <f t="shared" si="330"/>
        <v>163403638</v>
      </c>
      <c r="J502" s="440">
        <f t="shared" si="330"/>
        <v>3945000</v>
      </c>
      <c r="K502" s="440">
        <f t="shared" si="330"/>
        <v>0</v>
      </c>
      <c r="L502" s="440">
        <f t="shared" si="330"/>
        <v>0</v>
      </c>
      <c r="M502" s="975">
        <f t="shared" ref="M502:N505" si="331">SUM(F502:K502)</f>
        <v>641666477</v>
      </c>
      <c r="N502" s="975">
        <f t="shared" si="331"/>
        <v>511960869</v>
      </c>
      <c r="O502" s="3292"/>
      <c r="P502" s="921"/>
    </row>
    <row r="503" spans="1:17" s="922" customFormat="1" ht="12">
      <c r="A503" s="3291"/>
      <c r="B503" s="846" t="s">
        <v>78</v>
      </c>
      <c r="C503" s="847"/>
      <c r="D503" s="440">
        <f>D591+D599+D623</f>
        <v>23425991</v>
      </c>
      <c r="E503" s="440">
        <f t="shared" ref="E503" si="332">E591+E599+E623</f>
        <v>0</v>
      </c>
      <c r="F503" s="440">
        <f t="shared" ref="F503:L503" si="333">F591+F599+F623</f>
        <v>23425991</v>
      </c>
      <c r="G503" s="440">
        <f t="shared" si="333"/>
        <v>0</v>
      </c>
      <c r="H503" s="440">
        <f t="shared" si="333"/>
        <v>0</v>
      </c>
      <c r="I503" s="440">
        <f t="shared" si="333"/>
        <v>0</v>
      </c>
      <c r="J503" s="440">
        <f t="shared" si="333"/>
        <v>0</v>
      </c>
      <c r="K503" s="440">
        <f t="shared" si="333"/>
        <v>0</v>
      </c>
      <c r="L503" s="440">
        <f t="shared" si="333"/>
        <v>0</v>
      </c>
      <c r="M503" s="975">
        <f t="shared" si="331"/>
        <v>23425991</v>
      </c>
      <c r="N503" s="975">
        <f t="shared" si="331"/>
        <v>0</v>
      </c>
      <c r="O503" s="3292"/>
      <c r="P503" s="921"/>
    </row>
    <row r="504" spans="1:17" s="922" customFormat="1" ht="12">
      <c r="A504" s="3291"/>
      <c r="B504" s="846" t="s">
        <v>15</v>
      </c>
      <c r="C504" s="847"/>
      <c r="D504" s="440">
        <f t="shared" ref="D504:L504" si="334">+D528+D544+D559+D578+D631</f>
        <v>10054533</v>
      </c>
      <c r="E504" s="440">
        <f t="shared" ref="E504" si="335">+E528+E544+E559+E578+E631</f>
        <v>4693764</v>
      </c>
      <c r="F504" s="440">
        <f t="shared" si="334"/>
        <v>4000167</v>
      </c>
      <c r="G504" s="440">
        <f t="shared" si="334"/>
        <v>1360602</v>
      </c>
      <c r="H504" s="440">
        <f t="shared" si="334"/>
        <v>0</v>
      </c>
      <c r="I504" s="440">
        <f t="shared" si="334"/>
        <v>0</v>
      </c>
      <c r="J504" s="440">
        <f t="shared" si="334"/>
        <v>0</v>
      </c>
      <c r="K504" s="440">
        <f t="shared" si="334"/>
        <v>0</v>
      </c>
      <c r="L504" s="440">
        <f t="shared" si="334"/>
        <v>0</v>
      </c>
      <c r="M504" s="975">
        <f t="shared" si="331"/>
        <v>5360769</v>
      </c>
      <c r="N504" s="975">
        <f t="shared" si="331"/>
        <v>1360602</v>
      </c>
      <c r="O504" s="3292"/>
      <c r="P504" s="921"/>
    </row>
    <row r="505" spans="1:17" s="922" customFormat="1" ht="13.5" customHeight="1">
      <c r="A505" s="3291"/>
      <c r="B505" s="846" t="s">
        <v>106</v>
      </c>
      <c r="C505" s="847"/>
      <c r="D505" s="440">
        <f>D516</f>
        <v>62449201</v>
      </c>
      <c r="E505" s="440">
        <f t="shared" ref="E505" si="336">E516</f>
        <v>0</v>
      </c>
      <c r="F505" s="440">
        <f t="shared" ref="F505:L505" si="337">F516</f>
        <v>10003578</v>
      </c>
      <c r="G505" s="440">
        <f t="shared" si="337"/>
        <v>24142763</v>
      </c>
      <c r="H505" s="440">
        <f t="shared" si="337"/>
        <v>14120000</v>
      </c>
      <c r="I505" s="440">
        <f t="shared" si="337"/>
        <v>14182860</v>
      </c>
      <c r="J505" s="440">
        <f t="shared" si="337"/>
        <v>0</v>
      </c>
      <c r="K505" s="440">
        <f t="shared" si="337"/>
        <v>0</v>
      </c>
      <c r="L505" s="440">
        <f t="shared" si="337"/>
        <v>0</v>
      </c>
      <c r="M505" s="975">
        <f t="shared" si="331"/>
        <v>62449201</v>
      </c>
      <c r="N505" s="975">
        <f t="shared" si="331"/>
        <v>52445623</v>
      </c>
      <c r="O505" s="3292"/>
      <c r="P505" s="921"/>
    </row>
    <row r="506" spans="1:17" s="922" customFormat="1" ht="13.5" customHeight="1">
      <c r="A506" s="3291"/>
      <c r="B506" s="82" t="s">
        <v>22</v>
      </c>
      <c r="C506" s="22"/>
      <c r="D506" s="31">
        <f>+D507</f>
        <v>195449416</v>
      </c>
      <c r="E506" s="31">
        <f t="shared" ref="E506:L506" si="338">+E507</f>
        <v>56644776</v>
      </c>
      <c r="F506" s="31">
        <f t="shared" si="338"/>
        <v>49455283</v>
      </c>
      <c r="G506" s="31">
        <f t="shared" si="338"/>
        <v>29238187</v>
      </c>
      <c r="H506" s="31">
        <f t="shared" si="338"/>
        <v>30055585</v>
      </c>
      <c r="I506" s="31">
        <f t="shared" si="338"/>
        <v>30055585</v>
      </c>
      <c r="J506" s="31">
        <f t="shared" si="338"/>
        <v>0</v>
      </c>
      <c r="K506" s="31">
        <f t="shared" si="338"/>
        <v>0</v>
      </c>
      <c r="L506" s="31">
        <f t="shared" si="338"/>
        <v>0</v>
      </c>
      <c r="M506" s="3337" t="s">
        <v>23</v>
      </c>
      <c r="N506" s="3337" t="s">
        <v>23</v>
      </c>
      <c r="O506" s="3292"/>
    </row>
    <row r="507" spans="1:17" s="922" customFormat="1" ht="12" customHeight="1">
      <c r="A507" s="3291"/>
      <c r="B507" s="926" t="s">
        <v>24</v>
      </c>
      <c r="C507" s="852"/>
      <c r="D507" s="232">
        <f>+D508+D510+D509+D511</f>
        <v>195449416</v>
      </c>
      <c r="E507" s="232">
        <f t="shared" ref="E507" si="339">+E508+E510+E509+E511</f>
        <v>56644776</v>
      </c>
      <c r="F507" s="232">
        <f t="shared" ref="F507:L507" si="340">+F508+F510+F509+F511</f>
        <v>49455283</v>
      </c>
      <c r="G507" s="232">
        <f t="shared" si="340"/>
        <v>29238187</v>
      </c>
      <c r="H507" s="232">
        <f t="shared" si="340"/>
        <v>30055585</v>
      </c>
      <c r="I507" s="232">
        <f t="shared" si="340"/>
        <v>30055585</v>
      </c>
      <c r="J507" s="232">
        <f t="shared" si="340"/>
        <v>0</v>
      </c>
      <c r="K507" s="232">
        <f t="shared" si="340"/>
        <v>0</v>
      </c>
      <c r="L507" s="232">
        <f t="shared" si="340"/>
        <v>0</v>
      </c>
      <c r="M507" s="3273"/>
      <c r="N507" s="3273"/>
      <c r="O507" s="3292"/>
    </row>
    <row r="508" spans="1:17" s="922" customFormat="1" ht="12" customHeight="1">
      <c r="A508" s="3291"/>
      <c r="B508" s="846" t="s">
        <v>213</v>
      </c>
      <c r="C508" s="441"/>
      <c r="D508" s="146">
        <f>+D581+D569+D554</f>
        <v>99519691</v>
      </c>
      <c r="E508" s="146">
        <f t="shared" ref="E508" si="341">+E581+E569+E554</f>
        <v>23178951</v>
      </c>
      <c r="F508" s="146">
        <f t="shared" ref="F508:I508" si="342">+F581+F569+F554</f>
        <v>13609840</v>
      </c>
      <c r="G508" s="146">
        <f t="shared" si="342"/>
        <v>19458300</v>
      </c>
      <c r="H508" s="146">
        <f t="shared" si="342"/>
        <v>21636300</v>
      </c>
      <c r="I508" s="146">
        <f t="shared" si="342"/>
        <v>21636300</v>
      </c>
      <c r="J508" s="146">
        <f t="shared" ref="J508:L508" si="343">+J581+J569</f>
        <v>0</v>
      </c>
      <c r="K508" s="146">
        <f t="shared" si="343"/>
        <v>0</v>
      </c>
      <c r="L508" s="146">
        <f t="shared" si="343"/>
        <v>0</v>
      </c>
      <c r="M508" s="3273"/>
      <c r="N508" s="3273"/>
      <c r="O508" s="3292"/>
      <c r="Q508" s="921">
        <v>28500000</v>
      </c>
    </row>
    <row r="509" spans="1:17" s="922" customFormat="1" ht="12" customHeight="1">
      <c r="A509" s="2614"/>
      <c r="B509" s="846" t="s">
        <v>78</v>
      </c>
      <c r="C509" s="441"/>
      <c r="D509" s="440">
        <f>D594+D602+D626</f>
        <v>23425991</v>
      </c>
      <c r="E509" s="440">
        <f t="shared" ref="E509" si="344">E594+E602+E626</f>
        <v>0</v>
      </c>
      <c r="F509" s="440">
        <f t="shared" ref="F509:L509" si="345">F594+F602+F626</f>
        <v>23425991</v>
      </c>
      <c r="G509" s="440">
        <f t="shared" si="345"/>
        <v>0</v>
      </c>
      <c r="H509" s="440">
        <f t="shared" si="345"/>
        <v>0</v>
      </c>
      <c r="I509" s="440">
        <f t="shared" si="345"/>
        <v>0</v>
      </c>
      <c r="J509" s="440">
        <f t="shared" si="345"/>
        <v>0</v>
      </c>
      <c r="K509" s="440">
        <f t="shared" si="345"/>
        <v>0</v>
      </c>
      <c r="L509" s="440">
        <f t="shared" si="345"/>
        <v>0</v>
      </c>
      <c r="M509" s="3273"/>
      <c r="N509" s="3273"/>
      <c r="O509" s="3292"/>
      <c r="P509" s="921">
        <f>D509-D503</f>
        <v>0</v>
      </c>
      <c r="Q509" s="921">
        <v>4072498</v>
      </c>
    </row>
    <row r="510" spans="1:17" s="922" customFormat="1" ht="12" customHeight="1">
      <c r="A510" s="2614"/>
      <c r="B510" s="846" t="s">
        <v>15</v>
      </c>
      <c r="C510" s="441"/>
      <c r="D510" s="146">
        <f t="shared" ref="D510:L510" si="346">+D531+D547+D562+D582+D634</f>
        <v>10054533</v>
      </c>
      <c r="E510" s="146">
        <f t="shared" ref="E510" si="347">+E531+E547+E562+E582+E634</f>
        <v>4693764</v>
      </c>
      <c r="F510" s="146">
        <f t="shared" si="346"/>
        <v>4000167</v>
      </c>
      <c r="G510" s="146">
        <f t="shared" si="346"/>
        <v>1360602</v>
      </c>
      <c r="H510" s="146">
        <f t="shared" si="346"/>
        <v>0</v>
      </c>
      <c r="I510" s="146">
        <f t="shared" si="346"/>
        <v>0</v>
      </c>
      <c r="J510" s="146">
        <f t="shared" si="346"/>
        <v>0</v>
      </c>
      <c r="K510" s="146">
        <f t="shared" si="346"/>
        <v>0</v>
      </c>
      <c r="L510" s="146">
        <f t="shared" si="346"/>
        <v>0</v>
      </c>
      <c r="M510" s="3273"/>
      <c r="N510" s="3273"/>
      <c r="O510" s="3292"/>
      <c r="Q510" s="921">
        <v>1570791</v>
      </c>
    </row>
    <row r="511" spans="1:17" s="922" customFormat="1" ht="12" customHeight="1" thickBot="1">
      <c r="A511" s="2614"/>
      <c r="B511" s="846" t="s">
        <v>106</v>
      </c>
      <c r="C511" s="441"/>
      <c r="D511" s="146">
        <f>D519</f>
        <v>62449201</v>
      </c>
      <c r="E511" s="146">
        <f t="shared" ref="E511" si="348">E519</f>
        <v>28772061</v>
      </c>
      <c r="F511" s="146">
        <f t="shared" ref="F511:L511" si="349">F519</f>
        <v>8419285</v>
      </c>
      <c r="G511" s="146">
        <f t="shared" si="349"/>
        <v>8419285</v>
      </c>
      <c r="H511" s="146">
        <f t="shared" si="349"/>
        <v>8419285</v>
      </c>
      <c r="I511" s="146">
        <f t="shared" si="349"/>
        <v>8419285</v>
      </c>
      <c r="J511" s="146">
        <f t="shared" si="349"/>
        <v>0</v>
      </c>
      <c r="K511" s="146">
        <f t="shared" si="349"/>
        <v>0</v>
      </c>
      <c r="L511" s="146">
        <f t="shared" si="349"/>
        <v>0</v>
      </c>
      <c r="M511" s="3274"/>
      <c r="N511" s="3274"/>
      <c r="O511" s="3293"/>
    </row>
    <row r="512" spans="1:17" s="922" customFormat="1" ht="12">
      <c r="A512" s="3290" t="s">
        <v>63</v>
      </c>
      <c r="B512" s="74" t="s">
        <v>385</v>
      </c>
      <c r="C512" s="58" t="s">
        <v>109</v>
      </c>
      <c r="D512" s="102"/>
      <c r="E512" s="104"/>
      <c r="F512" s="103"/>
      <c r="G512" s="103"/>
      <c r="H512" s="242"/>
      <c r="I512" s="242"/>
      <c r="J512" s="242"/>
      <c r="K512" s="242"/>
      <c r="L512" s="242"/>
      <c r="M512" s="1448"/>
      <c r="N512" s="1448"/>
      <c r="O512" s="3253" t="s">
        <v>102</v>
      </c>
    </row>
    <row r="513" spans="1:16" s="922" customFormat="1" ht="12">
      <c r="A513" s="3291"/>
      <c r="B513" s="488" t="s">
        <v>10</v>
      </c>
      <c r="C513" s="1800"/>
      <c r="D513" s="2183">
        <f>+D514</f>
        <v>83298218</v>
      </c>
      <c r="E513" s="2183">
        <f t="shared" ref="E513:I513" si="350">+E514</f>
        <v>2184218</v>
      </c>
      <c r="F513" s="2183">
        <f t="shared" si="350"/>
        <v>12304401</v>
      </c>
      <c r="G513" s="2183">
        <f t="shared" si="350"/>
        <v>29695599</v>
      </c>
      <c r="H513" s="2183">
        <f t="shared" si="350"/>
        <v>17367600</v>
      </c>
      <c r="I513" s="2183">
        <f t="shared" si="350"/>
        <v>21746400</v>
      </c>
      <c r="J513" s="1831">
        <v>0</v>
      </c>
      <c r="K513" s="1831">
        <v>0</v>
      </c>
      <c r="L513" s="1831">
        <v>0</v>
      </c>
      <c r="M513" s="1864">
        <f>+M514</f>
        <v>81114000</v>
      </c>
      <c r="N513" s="1864">
        <f>+N514</f>
        <v>68809599</v>
      </c>
      <c r="O513" s="3254"/>
      <c r="P513" s="921"/>
    </row>
    <row r="514" spans="1:16" s="922" customFormat="1" ht="12">
      <c r="A514" s="3291"/>
      <c r="B514" s="668" t="s">
        <v>24</v>
      </c>
      <c r="C514" s="3214" t="s">
        <v>98</v>
      </c>
      <c r="D514" s="2184">
        <f>D515+D516</f>
        <v>83298218</v>
      </c>
      <c r="E514" s="2184">
        <f t="shared" ref="E514:G514" si="351">E515+E516</f>
        <v>2184218</v>
      </c>
      <c r="F514" s="2184">
        <f>F515+F516</f>
        <v>12304401</v>
      </c>
      <c r="G514" s="2184">
        <f t="shared" si="351"/>
        <v>29695599</v>
      </c>
      <c r="H514" s="2184">
        <f t="shared" ref="H514" si="352">H515+H516</f>
        <v>17367600</v>
      </c>
      <c r="I514" s="2184">
        <f t="shared" ref="I514" si="353">I515+I516</f>
        <v>21746400</v>
      </c>
      <c r="J514" s="1829">
        <v>0</v>
      </c>
      <c r="K514" s="1829">
        <v>0</v>
      </c>
      <c r="L514" s="1829">
        <v>0</v>
      </c>
      <c r="M514" s="1845">
        <f>+M515+M516</f>
        <v>81114000</v>
      </c>
      <c r="N514" s="1845">
        <f>+N515+N516</f>
        <v>68809599</v>
      </c>
      <c r="O514" s="3254"/>
    </row>
    <row r="515" spans="1:16" s="922" customFormat="1" ht="12">
      <c r="A515" s="3291"/>
      <c r="B515" s="732" t="s">
        <v>12</v>
      </c>
      <c r="C515" s="3262"/>
      <c r="D515" s="1715">
        <f>E515+F515+G515+H515+I515+J515+K515+L515</f>
        <v>20849017</v>
      </c>
      <c r="E515" s="1775">
        <v>2184218</v>
      </c>
      <c r="F515" s="2185">
        <f>23370000-5870000+3500000-18079000-620177</f>
        <v>2300823</v>
      </c>
      <c r="G515" s="2185">
        <f>29212500-15212500+7000000-16067341+620177</f>
        <v>5552836</v>
      </c>
      <c r="H515" s="2185">
        <f>3427000-179400</f>
        <v>3247600</v>
      </c>
      <c r="I515" s="2185">
        <f>7384140+179400</f>
        <v>7563540</v>
      </c>
      <c r="J515" s="1758">
        <v>0</v>
      </c>
      <c r="K515" s="1758">
        <v>0</v>
      </c>
      <c r="L515" s="1758">
        <v>0</v>
      </c>
      <c r="M515" s="1818">
        <f>SUM(F515:K515)</f>
        <v>18664799</v>
      </c>
      <c r="N515" s="1818">
        <f>SUM(G515:L515)</f>
        <v>16363976</v>
      </c>
      <c r="O515" s="3254"/>
      <c r="P515" s="921"/>
    </row>
    <row r="516" spans="1:16" s="922" customFormat="1" ht="12">
      <c r="A516" s="3291"/>
      <c r="B516" s="1449" t="s">
        <v>106</v>
      </c>
      <c r="C516" s="2613"/>
      <c r="D516" s="1782">
        <f>E516+F516+G516+H516+I516+J516+K516+L516</f>
        <v>62449201</v>
      </c>
      <c r="E516" s="1775">
        <v>0</v>
      </c>
      <c r="F516" s="111">
        <f>12700000-2696422</f>
        <v>10003578</v>
      </c>
      <c r="G516" s="111">
        <f>21446341+2696422</f>
        <v>24142763</v>
      </c>
      <c r="H516" s="111">
        <f>14900000-780000</f>
        <v>14120000</v>
      </c>
      <c r="I516" s="111">
        <f>13402860+780000</f>
        <v>14182860</v>
      </c>
      <c r="J516" s="1424">
        <v>0</v>
      </c>
      <c r="K516" s="1424">
        <v>0</v>
      </c>
      <c r="L516" s="1424">
        <v>0</v>
      </c>
      <c r="M516" s="1818">
        <f>SUM(F516:K516)</f>
        <v>62449201</v>
      </c>
      <c r="N516" s="1818">
        <f>SUM(G516:L516)</f>
        <v>52445623</v>
      </c>
      <c r="O516" s="3254"/>
      <c r="P516" s="921"/>
    </row>
    <row r="517" spans="1:16" s="922" customFormat="1" ht="12">
      <c r="A517" s="3291"/>
      <c r="B517" s="187" t="s">
        <v>22</v>
      </c>
      <c r="C517" s="90"/>
      <c r="D517" s="1450">
        <f>D518</f>
        <v>62449201</v>
      </c>
      <c r="E517" s="1450">
        <f t="shared" ref="E517:L518" si="354">E518</f>
        <v>28772061</v>
      </c>
      <c r="F517" s="1450">
        <f t="shared" si="354"/>
        <v>8419285</v>
      </c>
      <c r="G517" s="1450">
        <f t="shared" si="354"/>
        <v>8419285</v>
      </c>
      <c r="H517" s="1450">
        <f t="shared" si="354"/>
        <v>8419285</v>
      </c>
      <c r="I517" s="1450">
        <f t="shared" si="354"/>
        <v>8419285</v>
      </c>
      <c r="J517" s="1451">
        <f t="shared" si="354"/>
        <v>0</v>
      </c>
      <c r="K517" s="1451">
        <f t="shared" si="354"/>
        <v>0</v>
      </c>
      <c r="L517" s="1451">
        <f t="shared" si="354"/>
        <v>0</v>
      </c>
      <c r="M517" s="3360" t="s">
        <v>23</v>
      </c>
      <c r="N517" s="3360" t="s">
        <v>23</v>
      </c>
      <c r="O517" s="3254"/>
      <c r="P517" s="921"/>
    </row>
    <row r="518" spans="1:16" s="922" customFormat="1" ht="14.25" customHeight="1">
      <c r="A518" s="3291"/>
      <c r="B518" s="1880" t="s">
        <v>24</v>
      </c>
      <c r="C518" s="3214" t="s">
        <v>98</v>
      </c>
      <c r="D518" s="1782">
        <f>D519</f>
        <v>62449201</v>
      </c>
      <c r="E518" s="1782">
        <f t="shared" si="354"/>
        <v>28772061</v>
      </c>
      <c r="F518" s="1782">
        <f t="shared" si="354"/>
        <v>8419285</v>
      </c>
      <c r="G518" s="1782">
        <f t="shared" si="354"/>
        <v>8419285</v>
      </c>
      <c r="H518" s="1782">
        <f t="shared" si="354"/>
        <v>8419285</v>
      </c>
      <c r="I518" s="1782">
        <f t="shared" si="354"/>
        <v>8419285</v>
      </c>
      <c r="J518" s="2186">
        <f t="shared" si="354"/>
        <v>0</v>
      </c>
      <c r="K518" s="2186">
        <f t="shared" si="354"/>
        <v>0</v>
      </c>
      <c r="L518" s="2186">
        <f t="shared" si="354"/>
        <v>0</v>
      </c>
      <c r="M518" s="3360"/>
      <c r="N518" s="3360"/>
      <c r="O518" s="3254"/>
      <c r="P518" s="921"/>
    </row>
    <row r="519" spans="1:16" s="922" customFormat="1" thickBot="1">
      <c r="A519" s="3359"/>
      <c r="B519" s="1550" t="s">
        <v>106</v>
      </c>
      <c r="C519" s="3216"/>
      <c r="D519" s="2147">
        <f>E519+F519+G519+H519+I519+J519+K519+L519</f>
        <v>62449201</v>
      </c>
      <c r="E519" s="2147">
        <v>28772061</v>
      </c>
      <c r="F519" s="2147">
        <v>8419285</v>
      </c>
      <c r="G519" s="2147">
        <v>8419285</v>
      </c>
      <c r="H519" s="2147">
        <v>8419285</v>
      </c>
      <c r="I519" s="2147">
        <v>8419285</v>
      </c>
      <c r="J519" s="2187">
        <v>0</v>
      </c>
      <c r="K519" s="2187">
        <v>0</v>
      </c>
      <c r="L519" s="2187">
        <v>0</v>
      </c>
      <c r="M519" s="3361"/>
      <c r="N519" s="3361"/>
      <c r="O519" s="3255"/>
      <c r="P519" s="921"/>
    </row>
    <row r="520" spans="1:16" s="922" customFormat="1" ht="14.25" hidden="1" customHeight="1">
      <c r="A520" s="3291"/>
      <c r="B520" s="442"/>
      <c r="C520" s="930"/>
      <c r="D520" s="84"/>
      <c r="E520" s="255"/>
      <c r="F520" s="255"/>
      <c r="G520" s="255"/>
      <c r="H520" s="255"/>
      <c r="I520" s="255"/>
      <c r="J520" s="255"/>
      <c r="K520" s="255"/>
      <c r="L520" s="255"/>
      <c r="M520" s="256"/>
      <c r="N520" s="256"/>
      <c r="O520" s="3204"/>
    </row>
    <row r="521" spans="1:16" s="922" customFormat="1" ht="13.5" hidden="1" customHeight="1">
      <c r="A521" s="3291"/>
      <c r="B521" s="30"/>
      <c r="C521" s="90"/>
      <c r="D521" s="207"/>
      <c r="E521" s="207"/>
      <c r="F521" s="207"/>
      <c r="G521" s="207"/>
      <c r="H521" s="245"/>
      <c r="I521" s="245"/>
      <c r="J521" s="245"/>
      <c r="K521" s="245"/>
      <c r="L521" s="245"/>
      <c r="M521" s="239"/>
      <c r="N521" s="239"/>
      <c r="O521" s="3244"/>
    </row>
    <row r="522" spans="1:16" s="922" customFormat="1" ht="13.5" hidden="1" customHeight="1">
      <c r="A522" s="3291"/>
      <c r="B522" s="640"/>
      <c r="C522" s="3233"/>
      <c r="D522" s="78"/>
      <c r="E522" s="78"/>
      <c r="F522" s="78"/>
      <c r="G522" s="78"/>
      <c r="H522" s="243"/>
      <c r="I522" s="243"/>
      <c r="J522" s="243"/>
      <c r="K522" s="243"/>
      <c r="L522" s="243"/>
      <c r="M522" s="240"/>
      <c r="N522" s="240"/>
      <c r="O522" s="3244"/>
    </row>
    <row r="523" spans="1:16" s="922" customFormat="1" ht="13.5" hidden="1" customHeight="1" thickBot="1">
      <c r="A523" s="3359"/>
      <c r="B523" s="71"/>
      <c r="C523" s="3217"/>
      <c r="D523" s="87"/>
      <c r="E523" s="73"/>
      <c r="F523" s="51"/>
      <c r="G523" s="51"/>
      <c r="H523" s="246"/>
      <c r="I523" s="246"/>
      <c r="J523" s="246"/>
      <c r="K523" s="246"/>
      <c r="L523" s="246"/>
      <c r="M523" s="241"/>
      <c r="N523" s="241"/>
      <c r="O523" s="3245"/>
      <c r="P523" s="921"/>
    </row>
    <row r="524" spans="1:16" s="922" customFormat="1" ht="12" hidden="1">
      <c r="A524" s="3343"/>
      <c r="B524" s="74"/>
      <c r="C524" s="58" t="s">
        <v>81</v>
      </c>
      <c r="D524" s="870"/>
      <c r="E524" s="95"/>
      <c r="F524" s="95"/>
      <c r="G524" s="95"/>
      <c r="H524" s="95"/>
      <c r="I524" s="95"/>
      <c r="J524" s="95"/>
      <c r="K524" s="95"/>
      <c r="L524" s="95"/>
      <c r="M524" s="45"/>
      <c r="N524" s="45"/>
      <c r="O524" s="3202" t="s">
        <v>102</v>
      </c>
    </row>
    <row r="525" spans="1:16" s="922" customFormat="1" ht="15" hidden="1" customHeight="1">
      <c r="A525" s="3344"/>
      <c r="B525" s="488" t="s">
        <v>10</v>
      </c>
      <c r="C525" s="1824"/>
      <c r="D525" s="1734">
        <f>+D526</f>
        <v>0</v>
      </c>
      <c r="E525" s="1814">
        <f t="shared" ref="E525:N525" si="355">+E526</f>
        <v>0</v>
      </c>
      <c r="F525" s="1814">
        <f t="shared" si="355"/>
        <v>0</v>
      </c>
      <c r="G525" s="1831">
        <v>0</v>
      </c>
      <c r="H525" s="1831">
        <v>0</v>
      </c>
      <c r="I525" s="1831">
        <v>0</v>
      </c>
      <c r="J525" s="1831">
        <v>0</v>
      </c>
      <c r="K525" s="1831">
        <v>0</v>
      </c>
      <c r="L525" s="1831">
        <v>0</v>
      </c>
      <c r="M525" s="1735">
        <f t="shared" si="355"/>
        <v>0</v>
      </c>
      <c r="N525" s="1735">
        <f t="shared" si="355"/>
        <v>0</v>
      </c>
      <c r="O525" s="3347"/>
      <c r="P525" s="921"/>
    </row>
    <row r="526" spans="1:16" s="922" customFormat="1" ht="13.5" hidden="1" customHeight="1">
      <c r="A526" s="3344"/>
      <c r="B526" s="668" t="s">
        <v>24</v>
      </c>
      <c r="C526" s="3214"/>
      <c r="D526" s="1737">
        <f>+D527+D528</f>
        <v>0</v>
      </c>
      <c r="E526" s="1815">
        <f t="shared" ref="E526" si="356">+E527+E528</f>
        <v>0</v>
      </c>
      <c r="F526" s="1815">
        <f>+F527+F528</f>
        <v>0</v>
      </c>
      <c r="G526" s="1829">
        <v>0</v>
      </c>
      <c r="H526" s="1829">
        <v>0</v>
      </c>
      <c r="I526" s="1829">
        <v>0</v>
      </c>
      <c r="J526" s="1829">
        <v>0</v>
      </c>
      <c r="K526" s="1829">
        <v>0</v>
      </c>
      <c r="L526" s="1829">
        <v>0</v>
      </c>
      <c r="M526" s="1805">
        <f>+M527+M528</f>
        <v>0</v>
      </c>
      <c r="N526" s="1805">
        <f>+N527+N528</f>
        <v>0</v>
      </c>
      <c r="O526" s="3347"/>
    </row>
    <row r="527" spans="1:16" s="922" customFormat="1" ht="13.5" hidden="1" customHeight="1">
      <c r="A527" s="3344"/>
      <c r="B527" s="1832" t="s">
        <v>12</v>
      </c>
      <c r="C527" s="3236"/>
      <c r="D527" s="1715">
        <f>E527+F527+G527+H527+I527+J527+K527+L527</f>
        <v>0</v>
      </c>
      <c r="E527" s="1775"/>
      <c r="F527" s="1741"/>
      <c r="G527" s="1827">
        <v>0</v>
      </c>
      <c r="H527" s="1827">
        <v>0</v>
      </c>
      <c r="I527" s="1827">
        <v>0</v>
      </c>
      <c r="J527" s="1827">
        <v>0</v>
      </c>
      <c r="K527" s="1827">
        <v>0</v>
      </c>
      <c r="L527" s="1827">
        <v>0</v>
      </c>
      <c r="M527" s="975">
        <f>SUM(F527:K527)</f>
        <v>0</v>
      </c>
      <c r="N527" s="975">
        <f>SUM(G527:L527)</f>
        <v>0</v>
      </c>
      <c r="O527" s="3347"/>
    </row>
    <row r="528" spans="1:16" s="922" customFormat="1" ht="13.5" hidden="1" customHeight="1">
      <c r="A528" s="3344"/>
      <c r="B528" s="732" t="s">
        <v>114</v>
      </c>
      <c r="C528" s="3278"/>
      <c r="D528" s="1715">
        <f>E528+F528+G528+H528+I528+J528+K528+L528</f>
        <v>0</v>
      </c>
      <c r="E528" s="1775"/>
      <c r="F528" s="1827">
        <v>0</v>
      </c>
      <c r="G528" s="1827">
        <v>0</v>
      </c>
      <c r="H528" s="1827">
        <v>0</v>
      </c>
      <c r="I528" s="1827">
        <v>0</v>
      </c>
      <c r="J528" s="1827">
        <v>0</v>
      </c>
      <c r="K528" s="1827">
        <v>0</v>
      </c>
      <c r="L528" s="1827">
        <v>0</v>
      </c>
      <c r="M528" s="975">
        <f>SUM(F528:K528)</f>
        <v>0</v>
      </c>
      <c r="N528" s="975">
        <f>SUM(G528:L528)</f>
        <v>0</v>
      </c>
      <c r="O528" s="3347"/>
    </row>
    <row r="529" spans="1:131" s="922" customFormat="1" ht="12.75" hidden="1" customHeight="1">
      <c r="A529" s="3345"/>
      <c r="B529" s="662" t="s">
        <v>22</v>
      </c>
      <c r="C529" s="1824"/>
      <c r="D529" s="1734">
        <f>+D530</f>
        <v>0</v>
      </c>
      <c r="E529" s="1734">
        <f t="shared" ref="E529:E530" si="357">+E530</f>
        <v>0</v>
      </c>
      <c r="F529" s="1831">
        <v>0</v>
      </c>
      <c r="G529" s="1831">
        <v>0</v>
      </c>
      <c r="H529" s="1831">
        <v>0</v>
      </c>
      <c r="I529" s="1831">
        <v>0</v>
      </c>
      <c r="J529" s="1831">
        <v>0</v>
      </c>
      <c r="K529" s="1831">
        <v>0</v>
      </c>
      <c r="L529" s="1831">
        <v>0</v>
      </c>
      <c r="M529" s="3349" t="s">
        <v>23</v>
      </c>
      <c r="N529" s="3349" t="s">
        <v>23</v>
      </c>
      <c r="O529" s="3347"/>
    </row>
    <row r="530" spans="1:131" s="922" customFormat="1" ht="13.5" hidden="1" customHeight="1">
      <c r="A530" s="3345"/>
      <c r="B530" s="633" t="s">
        <v>24</v>
      </c>
      <c r="C530" s="3214"/>
      <c r="D530" s="1815">
        <f>+D531</f>
        <v>0</v>
      </c>
      <c r="E530" s="1815">
        <f t="shared" si="357"/>
        <v>0</v>
      </c>
      <c r="F530" s="1829">
        <v>0</v>
      </c>
      <c r="G530" s="1829">
        <v>0</v>
      </c>
      <c r="H530" s="1829">
        <v>0</v>
      </c>
      <c r="I530" s="1829">
        <v>0</v>
      </c>
      <c r="J530" s="1829">
        <v>0</v>
      </c>
      <c r="K530" s="1829">
        <v>0</v>
      </c>
      <c r="L530" s="1829">
        <v>0</v>
      </c>
      <c r="M530" s="3350"/>
      <c r="N530" s="3350"/>
      <c r="O530" s="3347"/>
    </row>
    <row r="531" spans="1:131" s="922" customFormat="1" ht="13.5" hidden="1" customHeight="1" thickBot="1">
      <c r="A531" s="3346"/>
      <c r="B531" s="360" t="s">
        <v>114</v>
      </c>
      <c r="C531" s="3217"/>
      <c r="D531" s="1715">
        <f>E531+F531+G531+H531+I531+J531+K531+L531</f>
        <v>0</v>
      </c>
      <c r="E531" s="1775"/>
      <c r="F531" s="987">
        <v>0</v>
      </c>
      <c r="G531" s="987">
        <v>0</v>
      </c>
      <c r="H531" s="987">
        <v>0</v>
      </c>
      <c r="I531" s="987">
        <v>0</v>
      </c>
      <c r="J531" s="987">
        <v>0</v>
      </c>
      <c r="K531" s="987">
        <v>0</v>
      </c>
      <c r="L531" s="987">
        <v>0</v>
      </c>
      <c r="M531" s="3351"/>
      <c r="N531" s="3351"/>
      <c r="O531" s="3348"/>
    </row>
    <row r="532" spans="1:131" s="932" customFormat="1" ht="12" customHeight="1">
      <c r="A532" s="3218" t="s">
        <v>64</v>
      </c>
      <c r="B532" s="74" t="s">
        <v>336</v>
      </c>
      <c r="C532" s="58" t="s">
        <v>81</v>
      </c>
      <c r="D532" s="2712"/>
      <c r="E532" s="2713"/>
      <c r="F532" s="2713"/>
      <c r="G532" s="2713"/>
      <c r="H532" s="2713"/>
      <c r="I532" s="2713"/>
      <c r="J532" s="2713"/>
      <c r="K532" s="2713"/>
      <c r="L532" s="2713"/>
      <c r="M532" s="45"/>
      <c r="N532" s="45"/>
      <c r="O532" s="3224" t="s">
        <v>86</v>
      </c>
      <c r="P532" s="931"/>
      <c r="Q532" s="931"/>
      <c r="R532" s="931"/>
      <c r="S532" s="931"/>
      <c r="T532" s="931"/>
      <c r="U532" s="931"/>
      <c r="V532" s="931"/>
      <c r="W532" s="931"/>
      <c r="X532" s="931"/>
      <c r="Y532" s="931"/>
      <c r="Z532" s="931"/>
      <c r="AA532" s="931"/>
      <c r="AB532" s="931"/>
      <c r="AC532" s="931"/>
      <c r="AD532" s="931"/>
      <c r="AE532" s="931"/>
      <c r="AF532" s="931"/>
      <c r="AG532" s="931"/>
      <c r="AH532" s="931"/>
      <c r="AI532" s="931"/>
      <c r="AJ532" s="931"/>
      <c r="AK532" s="931"/>
      <c r="AL532" s="931"/>
      <c r="AM532" s="931"/>
      <c r="AN532" s="931"/>
      <c r="AO532" s="931"/>
      <c r="AP532" s="931"/>
      <c r="AQ532" s="931"/>
      <c r="AR532" s="931"/>
      <c r="AS532" s="931"/>
      <c r="AT532" s="931"/>
      <c r="AU532" s="931"/>
      <c r="AV532" s="931"/>
      <c r="AW532" s="931"/>
      <c r="AX532" s="931"/>
      <c r="AY532" s="931"/>
      <c r="AZ532" s="931"/>
      <c r="BA532" s="931"/>
      <c r="BB532" s="931"/>
      <c r="BC532" s="931"/>
      <c r="BD532" s="931"/>
      <c r="BE532" s="931"/>
      <c r="BF532" s="931"/>
      <c r="BG532" s="931"/>
      <c r="BH532" s="931"/>
      <c r="BI532" s="931"/>
      <c r="BJ532" s="931"/>
      <c r="BK532" s="931"/>
      <c r="BL532" s="931"/>
      <c r="BM532" s="931"/>
      <c r="BN532" s="931"/>
      <c r="BO532" s="931"/>
      <c r="BP532" s="931"/>
      <c r="BQ532" s="931"/>
      <c r="BR532" s="931"/>
      <c r="BS532" s="931"/>
      <c r="BT532" s="931"/>
      <c r="BU532" s="931"/>
      <c r="BV532" s="931"/>
      <c r="BW532" s="931"/>
      <c r="BX532" s="931"/>
      <c r="BY532" s="931"/>
      <c r="BZ532" s="931"/>
      <c r="CA532" s="931"/>
      <c r="CB532" s="931"/>
      <c r="CC532" s="931"/>
      <c r="CD532" s="931"/>
      <c r="CE532" s="931"/>
      <c r="CF532" s="931"/>
      <c r="CG532" s="931"/>
      <c r="CH532" s="931"/>
      <c r="CI532" s="931"/>
      <c r="CJ532" s="931"/>
      <c r="CK532" s="931"/>
      <c r="CL532" s="931"/>
      <c r="CM532" s="931"/>
      <c r="CN532" s="931"/>
      <c r="CO532" s="931"/>
      <c r="CP532" s="931"/>
      <c r="CQ532" s="931"/>
      <c r="CR532" s="931"/>
      <c r="CS532" s="931"/>
      <c r="CT532" s="931"/>
      <c r="CU532" s="931"/>
      <c r="CV532" s="931"/>
      <c r="CW532" s="931"/>
      <c r="CX532" s="931"/>
      <c r="CY532" s="931"/>
      <c r="CZ532" s="931"/>
      <c r="DA532" s="931"/>
      <c r="DB532" s="931"/>
      <c r="DC532" s="931"/>
      <c r="DD532" s="931"/>
      <c r="DE532" s="931"/>
      <c r="DF532" s="931"/>
      <c r="DG532" s="931"/>
      <c r="DH532" s="931"/>
      <c r="DI532" s="931"/>
      <c r="DJ532" s="931"/>
      <c r="DK532" s="931"/>
      <c r="DL532" s="931"/>
      <c r="DM532" s="931"/>
      <c r="DN532" s="931"/>
      <c r="DO532" s="931"/>
      <c r="DP532" s="931"/>
      <c r="DQ532" s="931"/>
      <c r="DR532" s="931"/>
      <c r="DS532" s="931"/>
      <c r="DT532" s="931"/>
      <c r="DU532" s="931"/>
      <c r="DV532" s="931"/>
      <c r="DW532" s="931"/>
      <c r="DX532" s="931"/>
      <c r="DY532" s="931"/>
      <c r="DZ532" s="931"/>
      <c r="EA532" s="931"/>
    </row>
    <row r="533" spans="1:131" s="931" customFormat="1" ht="12">
      <c r="A533" s="3219"/>
      <c r="B533" s="488" t="s">
        <v>10</v>
      </c>
      <c r="C533" s="1824"/>
      <c r="D533" s="2714">
        <f>+D534</f>
        <v>8768560</v>
      </c>
      <c r="E533" s="1825">
        <f t="shared" ref="E533:I534" si="358">+E534</f>
        <v>3130167</v>
      </c>
      <c r="F533" s="1825">
        <f t="shared" si="358"/>
        <v>235933</v>
      </c>
      <c r="G533" s="1825">
        <f t="shared" si="358"/>
        <v>809968</v>
      </c>
      <c r="H533" s="1825">
        <f t="shared" si="358"/>
        <v>2392492</v>
      </c>
      <c r="I533" s="1825">
        <f t="shared" si="358"/>
        <v>2200000</v>
      </c>
      <c r="J533" s="1831">
        <v>0</v>
      </c>
      <c r="K533" s="1831">
        <v>0</v>
      </c>
      <c r="L533" s="1831">
        <v>0</v>
      </c>
      <c r="M533" s="1735">
        <f>+M534</f>
        <v>5638393</v>
      </c>
      <c r="N533" s="1735">
        <f>+N534</f>
        <v>5402460</v>
      </c>
      <c r="O533" s="3225"/>
      <c r="P533" s="921"/>
    </row>
    <row r="534" spans="1:131" s="931" customFormat="1" ht="14.25" customHeight="1">
      <c r="A534" s="3219"/>
      <c r="B534" s="668" t="s">
        <v>24</v>
      </c>
      <c r="C534" s="3214" t="s">
        <v>84</v>
      </c>
      <c r="D534" s="110">
        <f>+D535</f>
        <v>8768560</v>
      </c>
      <c r="E534" s="1826">
        <f t="shared" si="358"/>
        <v>3130167</v>
      </c>
      <c r="F534" s="1826">
        <f t="shared" si="358"/>
        <v>235933</v>
      </c>
      <c r="G534" s="1826">
        <f t="shared" si="358"/>
        <v>809968</v>
      </c>
      <c r="H534" s="1826">
        <f t="shared" si="358"/>
        <v>2392492</v>
      </c>
      <c r="I534" s="1826">
        <f t="shared" si="358"/>
        <v>2200000</v>
      </c>
      <c r="J534" s="1829">
        <v>0</v>
      </c>
      <c r="K534" s="1829">
        <v>0</v>
      </c>
      <c r="L534" s="1829">
        <v>0</v>
      </c>
      <c r="M534" s="1805">
        <f>+M535</f>
        <v>5638393</v>
      </c>
      <c r="N534" s="1805">
        <f>+N535</f>
        <v>5402460</v>
      </c>
      <c r="O534" s="3225"/>
    </row>
    <row r="535" spans="1:131" s="931" customFormat="1" thickBot="1">
      <c r="A535" s="3220"/>
      <c r="B535" s="981" t="s">
        <v>12</v>
      </c>
      <c r="C535" s="3217"/>
      <c r="D535" s="942">
        <f>E535+F535+G535+H535+I535+J535+K535+L535</f>
        <v>8768560</v>
      </c>
      <c r="E535" s="942">
        <v>3130167</v>
      </c>
      <c r="F535" s="483">
        <f>1925000+100000-1300000+50351+160000+51342-67533-683227</f>
        <v>235933</v>
      </c>
      <c r="G535" s="483">
        <f>1971200-850000-500000+67533+121235</f>
        <v>809968</v>
      </c>
      <c r="H535" s="483">
        <f>2020500+371992</f>
        <v>2392492</v>
      </c>
      <c r="I535" s="483">
        <f>2070000+130000</f>
        <v>2200000</v>
      </c>
      <c r="J535" s="987">
        <v>0</v>
      </c>
      <c r="K535" s="987">
        <v>0</v>
      </c>
      <c r="L535" s="987">
        <v>0</v>
      </c>
      <c r="M535" s="975">
        <f>SUM(F535:K535)</f>
        <v>5638393</v>
      </c>
      <c r="N535" s="975">
        <f>SUM(G535:L535)</f>
        <v>5402460</v>
      </c>
      <c r="O535" s="3226"/>
      <c r="P535" s="933"/>
    </row>
    <row r="536" spans="1:131" s="922" customFormat="1" ht="23.25" customHeight="1">
      <c r="A536" s="3237" t="s">
        <v>65</v>
      </c>
      <c r="B536" s="1365" t="s">
        <v>211</v>
      </c>
      <c r="C536" s="58" t="s">
        <v>81</v>
      </c>
      <c r="D536" s="102"/>
      <c r="E536" s="242"/>
      <c r="F536" s="242"/>
      <c r="G536" s="242"/>
      <c r="H536" s="242"/>
      <c r="I536" s="242"/>
      <c r="J536" s="242"/>
      <c r="K536" s="242"/>
      <c r="L536" s="242"/>
      <c r="M536" s="45"/>
      <c r="N536" s="45"/>
      <c r="O536" s="3240" t="s">
        <v>223</v>
      </c>
    </row>
    <row r="537" spans="1:131" s="922" customFormat="1" ht="12">
      <c r="A537" s="3238"/>
      <c r="B537" s="80" t="s">
        <v>10</v>
      </c>
      <c r="C537" s="22"/>
      <c r="D537" s="130">
        <f>+D538</f>
        <v>45601289</v>
      </c>
      <c r="E537" s="105">
        <f t="shared" ref="E537:N538" si="359">+E538</f>
        <v>31401289</v>
      </c>
      <c r="F537" s="105">
        <f t="shared" si="359"/>
        <v>5000000</v>
      </c>
      <c r="G537" s="105">
        <f t="shared" si="359"/>
        <v>5000000</v>
      </c>
      <c r="H537" s="105">
        <f t="shared" si="359"/>
        <v>2700000</v>
      </c>
      <c r="I537" s="105">
        <f t="shared" si="359"/>
        <v>1500000</v>
      </c>
      <c r="J537" s="105"/>
      <c r="K537" s="105"/>
      <c r="L537" s="105"/>
      <c r="M537" s="32">
        <f t="shared" si="359"/>
        <v>14200000</v>
      </c>
      <c r="N537" s="32">
        <f t="shared" si="359"/>
        <v>9200000</v>
      </c>
      <c r="O537" s="3241"/>
      <c r="P537" s="921"/>
    </row>
    <row r="538" spans="1:131" s="922" customFormat="1" ht="12">
      <c r="A538" s="3238"/>
      <c r="B538" s="227" t="s">
        <v>24</v>
      </c>
      <c r="C538" s="3233" t="s">
        <v>111</v>
      </c>
      <c r="D538" s="110">
        <f>+D539</f>
        <v>45601289</v>
      </c>
      <c r="E538" s="107">
        <f t="shared" si="359"/>
        <v>31401289</v>
      </c>
      <c r="F538" s="107">
        <f t="shared" si="359"/>
        <v>5000000</v>
      </c>
      <c r="G538" s="107">
        <f t="shared" si="359"/>
        <v>5000000</v>
      </c>
      <c r="H538" s="107">
        <f t="shared" si="359"/>
        <v>2700000</v>
      </c>
      <c r="I538" s="107">
        <f t="shared" si="359"/>
        <v>1500000</v>
      </c>
      <c r="J538" s="1366"/>
      <c r="K538" s="1366"/>
      <c r="L538" s="1366"/>
      <c r="M538" s="109">
        <f>+M539</f>
        <v>14200000</v>
      </c>
      <c r="N538" s="109">
        <f>+N539</f>
        <v>9200000</v>
      </c>
      <c r="O538" s="3241"/>
    </row>
    <row r="539" spans="1:131" s="922" customFormat="1" thickBot="1">
      <c r="A539" s="3239"/>
      <c r="B539" s="300" t="s">
        <v>12</v>
      </c>
      <c r="C539" s="3243"/>
      <c r="D539" s="247">
        <f>E539+F539+G539+H539+I539+J539+K539+L539</f>
        <v>45601289</v>
      </c>
      <c r="E539" s="284">
        <v>31401289</v>
      </c>
      <c r="F539" s="1367">
        <v>5000000</v>
      </c>
      <c r="G539" s="1367">
        <v>5000000</v>
      </c>
      <c r="H539" s="1367">
        <v>2700000</v>
      </c>
      <c r="I539" s="1367">
        <v>1500000</v>
      </c>
      <c r="J539" s="1368"/>
      <c r="K539" s="1368"/>
      <c r="L539" s="1368"/>
      <c r="M539" s="975">
        <f>SUM(F539:K539)</f>
        <v>14200000</v>
      </c>
      <c r="N539" s="975">
        <f>SUM(G539:L539)</f>
        <v>9200000</v>
      </c>
      <c r="O539" s="3242"/>
      <c r="P539" s="921"/>
    </row>
    <row r="540" spans="1:131" s="922" customFormat="1" ht="14.25" hidden="1" customHeight="1">
      <c r="A540" s="3218"/>
      <c r="B540" s="282"/>
      <c r="C540" s="58" t="s">
        <v>81</v>
      </c>
      <c r="D540" s="128"/>
      <c r="E540" s="44"/>
      <c r="F540" s="424"/>
      <c r="G540" s="424"/>
      <c r="H540" s="424"/>
      <c r="I540" s="424"/>
      <c r="J540" s="44"/>
      <c r="K540" s="44"/>
      <c r="L540" s="44"/>
      <c r="M540" s="45"/>
      <c r="N540" s="45"/>
      <c r="O540" s="3224" t="s">
        <v>86</v>
      </c>
    </row>
    <row r="541" spans="1:131" s="922" customFormat="1" ht="13.5" hidden="1" customHeight="1">
      <c r="A541" s="3219"/>
      <c r="B541" s="21" t="s">
        <v>10</v>
      </c>
      <c r="C541" s="22"/>
      <c r="D541" s="126">
        <f>+D542</f>
        <v>0</v>
      </c>
      <c r="E541" s="126">
        <v>0</v>
      </c>
      <c r="F541" s="293">
        <v>0</v>
      </c>
      <c r="G541" s="293">
        <v>0</v>
      </c>
      <c r="H541" s="293">
        <v>0</v>
      </c>
      <c r="I541" s="293">
        <v>0</v>
      </c>
      <c r="J541" s="293">
        <v>0</v>
      </c>
      <c r="K541" s="293">
        <v>0</v>
      </c>
      <c r="L541" s="293">
        <v>0</v>
      </c>
      <c r="M541" s="65">
        <f>+M542</f>
        <v>0</v>
      </c>
      <c r="N541" s="65">
        <f>+N542</f>
        <v>0</v>
      </c>
      <c r="O541" s="3225"/>
      <c r="P541" s="921" t="e">
        <f>+#REF!+#REF!+F541+G541</f>
        <v>#REF!</v>
      </c>
    </row>
    <row r="542" spans="1:131" s="922" customFormat="1" ht="12.75" hidden="1" customHeight="1">
      <c r="A542" s="3219"/>
      <c r="B542" s="171" t="s">
        <v>24</v>
      </c>
      <c r="C542" s="3233" t="s">
        <v>84</v>
      </c>
      <c r="D542" s="127">
        <f>+D543+D544</f>
        <v>0</v>
      </c>
      <c r="E542" s="127">
        <v>0</v>
      </c>
      <c r="F542" s="294">
        <v>0</v>
      </c>
      <c r="G542" s="294">
        <v>0</v>
      </c>
      <c r="H542" s="294">
        <v>0</v>
      </c>
      <c r="I542" s="294">
        <v>0</v>
      </c>
      <c r="J542" s="294">
        <v>0</v>
      </c>
      <c r="K542" s="294">
        <v>0</v>
      </c>
      <c r="L542" s="294">
        <v>0</v>
      </c>
      <c r="M542" s="79">
        <f>+M543+M544</f>
        <v>0</v>
      </c>
      <c r="N542" s="79">
        <f>+N543+N544</f>
        <v>0</v>
      </c>
      <c r="O542" s="3225"/>
      <c r="P542" s="922" t="s">
        <v>242</v>
      </c>
    </row>
    <row r="543" spans="1:131" s="922" customFormat="1" ht="12" hidden="1">
      <c r="A543" s="3219"/>
      <c r="B543" s="444" t="s">
        <v>12</v>
      </c>
      <c r="C543" s="3215"/>
      <c r="D543" s="247">
        <f>E543+F543+G543+H543+I543+J543+K543+L543</f>
        <v>0</v>
      </c>
      <c r="E543" s="86">
        <v>0</v>
      </c>
      <c r="F543" s="295">
        <v>0</v>
      </c>
      <c r="G543" s="295">
        <v>0</v>
      </c>
      <c r="H543" s="295">
        <v>0</v>
      </c>
      <c r="I543" s="295">
        <v>0</v>
      </c>
      <c r="J543" s="295">
        <v>0</v>
      </c>
      <c r="K543" s="295">
        <v>0</v>
      </c>
      <c r="L543" s="295">
        <v>0</v>
      </c>
      <c r="M543" s="36">
        <f>SUM(E543:H543)</f>
        <v>0</v>
      </c>
      <c r="N543" s="36">
        <f>SUM(F543:I543)</f>
        <v>0</v>
      </c>
      <c r="O543" s="3225"/>
    </row>
    <row r="544" spans="1:131" s="922" customFormat="1" ht="12" hidden="1">
      <c r="A544" s="3219"/>
      <c r="B544" s="445" t="s">
        <v>15</v>
      </c>
      <c r="C544" s="3262"/>
      <c r="D544" s="247">
        <f>E544+F544+G544+H544+I544+J544+K544+L544</f>
        <v>0</v>
      </c>
      <c r="E544" s="86">
        <v>0</v>
      </c>
      <c r="F544" s="295">
        <v>0</v>
      </c>
      <c r="G544" s="295">
        <v>0</v>
      </c>
      <c r="H544" s="295">
        <v>0</v>
      </c>
      <c r="I544" s="295">
        <v>0</v>
      </c>
      <c r="J544" s="295">
        <v>0</v>
      </c>
      <c r="K544" s="295">
        <v>0</v>
      </c>
      <c r="L544" s="295">
        <v>0</v>
      </c>
      <c r="M544" s="36">
        <f>SUM(E544:H544)</f>
        <v>0</v>
      </c>
      <c r="N544" s="36">
        <f>SUM(F544:I544)</f>
        <v>0</v>
      </c>
      <c r="O544" s="2610"/>
    </row>
    <row r="545" spans="1:16" s="922" customFormat="1" ht="10.5" hidden="1" customHeight="1">
      <c r="A545" s="3219"/>
      <c r="B545" s="21" t="s">
        <v>22</v>
      </c>
      <c r="C545" s="22"/>
      <c r="D545" s="126">
        <f>+D546</f>
        <v>0</v>
      </c>
      <c r="E545" s="126">
        <v>0</v>
      </c>
      <c r="F545" s="293">
        <v>0</v>
      </c>
      <c r="G545" s="293">
        <v>0</v>
      </c>
      <c r="H545" s="293">
        <v>0</v>
      </c>
      <c r="I545" s="293">
        <v>0</v>
      </c>
      <c r="J545" s="293">
        <v>0</v>
      </c>
      <c r="K545" s="293">
        <v>0</v>
      </c>
      <c r="L545" s="293">
        <v>0</v>
      </c>
      <c r="M545" s="3368" t="s">
        <v>23</v>
      </c>
      <c r="N545" s="3368" t="s">
        <v>23</v>
      </c>
      <c r="O545" s="3352" t="s">
        <v>102</v>
      </c>
    </row>
    <row r="546" spans="1:16" s="922" customFormat="1" ht="12.75" hidden="1" customHeight="1">
      <c r="A546" s="3219"/>
      <c r="B546" s="171" t="s">
        <v>24</v>
      </c>
      <c r="C546" s="3289" t="s">
        <v>84</v>
      </c>
      <c r="D546" s="127">
        <f>+D547</f>
        <v>0</v>
      </c>
      <c r="E546" s="127">
        <v>0</v>
      </c>
      <c r="F546" s="294">
        <v>0</v>
      </c>
      <c r="G546" s="294">
        <v>0</v>
      </c>
      <c r="H546" s="294">
        <v>0</v>
      </c>
      <c r="I546" s="294">
        <v>0</v>
      </c>
      <c r="J546" s="294">
        <v>0</v>
      </c>
      <c r="K546" s="294">
        <v>0</v>
      </c>
      <c r="L546" s="294">
        <v>0</v>
      </c>
      <c r="M546" s="3365"/>
      <c r="N546" s="3365"/>
      <c r="O546" s="3225"/>
    </row>
    <row r="547" spans="1:16" s="922" customFormat="1" ht="13.5" hidden="1" customHeight="1" thickBot="1">
      <c r="A547" s="3220"/>
      <c r="B547" s="443" t="s">
        <v>15</v>
      </c>
      <c r="C547" s="3252"/>
      <c r="D547" s="247">
        <f>E547+F547+G547+H547+I547+J547+K547+L547</f>
        <v>0</v>
      </c>
      <c r="E547" s="77">
        <v>0</v>
      </c>
      <c r="F547" s="295">
        <v>0</v>
      </c>
      <c r="G547" s="295">
        <v>0</v>
      </c>
      <c r="H547" s="295">
        <v>0</v>
      </c>
      <c r="I547" s="295">
        <v>0</v>
      </c>
      <c r="J547" s="295">
        <v>0</v>
      </c>
      <c r="K547" s="295">
        <v>0</v>
      </c>
      <c r="L547" s="295">
        <v>0</v>
      </c>
      <c r="M547" s="3366"/>
      <c r="N547" s="3366"/>
      <c r="O547" s="3226"/>
    </row>
    <row r="548" spans="1:16" s="922" customFormat="1" ht="23.25" customHeight="1">
      <c r="A548" s="3218" t="s">
        <v>66</v>
      </c>
      <c r="B548" s="282" t="s">
        <v>491</v>
      </c>
      <c r="C548" s="58" t="s">
        <v>81</v>
      </c>
      <c r="D548" s="42"/>
      <c r="E548" s="42"/>
      <c r="F548" s="44"/>
      <c r="G548" s="44"/>
      <c r="H548" s="44"/>
      <c r="I548" s="44"/>
      <c r="J548" s="44"/>
      <c r="K548" s="44"/>
      <c r="L548" s="44"/>
      <c r="M548" s="45"/>
      <c r="N548" s="45"/>
      <c r="O548" s="3224" t="s">
        <v>86</v>
      </c>
    </row>
    <row r="549" spans="1:16" s="922" customFormat="1" ht="12">
      <c r="A549" s="3219"/>
      <c r="B549" s="662" t="s">
        <v>10</v>
      </c>
      <c r="C549" s="522"/>
      <c r="D549" s="2586">
        <f>+D550</f>
        <v>1778306</v>
      </c>
      <c r="E549" s="2586">
        <f t="shared" ref="E549:G550" si="360">+E550</f>
        <v>503620</v>
      </c>
      <c r="F549" s="2587">
        <f t="shared" si="360"/>
        <v>0</v>
      </c>
      <c r="G549" s="2586">
        <f t="shared" si="360"/>
        <v>1274686</v>
      </c>
      <c r="H549" s="2587">
        <v>0</v>
      </c>
      <c r="I549" s="2587">
        <v>0</v>
      </c>
      <c r="J549" s="2587">
        <v>0</v>
      </c>
      <c r="K549" s="2587">
        <v>0</v>
      </c>
      <c r="L549" s="2587">
        <v>0</v>
      </c>
      <c r="M549" s="2588">
        <f>+M550</f>
        <v>1274686</v>
      </c>
      <c r="N549" s="2588">
        <f>+N550</f>
        <v>1274686</v>
      </c>
      <c r="O549" s="3225"/>
      <c r="P549" s="921"/>
    </row>
    <row r="550" spans="1:16" s="922" customFormat="1" ht="12.75" customHeight="1">
      <c r="A550" s="3219"/>
      <c r="B550" s="633" t="s">
        <v>24</v>
      </c>
      <c r="C550" s="3232" t="s">
        <v>84</v>
      </c>
      <c r="D550" s="2589">
        <f>+D551</f>
        <v>1778306</v>
      </c>
      <c r="E550" s="2589">
        <f t="shared" si="360"/>
        <v>503620</v>
      </c>
      <c r="F550" s="2590">
        <f t="shared" si="360"/>
        <v>0</v>
      </c>
      <c r="G550" s="2589">
        <f t="shared" si="360"/>
        <v>1274686</v>
      </c>
      <c r="H550" s="2590">
        <v>0</v>
      </c>
      <c r="I550" s="2590">
        <v>0</v>
      </c>
      <c r="J550" s="2590">
        <v>0</v>
      </c>
      <c r="K550" s="2590">
        <v>0</v>
      </c>
      <c r="L550" s="2590">
        <v>0</v>
      </c>
      <c r="M550" s="644">
        <f>+M551</f>
        <v>1274686</v>
      </c>
      <c r="N550" s="644">
        <f>+N551</f>
        <v>1274686</v>
      </c>
      <c r="O550" s="3225"/>
    </row>
    <row r="551" spans="1:16" s="922" customFormat="1" ht="12">
      <c r="A551" s="3219"/>
      <c r="B551" s="1567" t="s">
        <v>12</v>
      </c>
      <c r="C551" s="3260"/>
      <c r="D551" s="949">
        <f>E551+F551+G551+H551+I551+J551+K551+L551</f>
        <v>1778306</v>
      </c>
      <c r="E551" s="964">
        <f>503620</f>
        <v>503620</v>
      </c>
      <c r="F551" s="2591">
        <f>1239686+35000-1274686</f>
        <v>0</v>
      </c>
      <c r="G551" s="2592">
        <v>1274686</v>
      </c>
      <c r="H551" s="1868">
        <v>0</v>
      </c>
      <c r="I551" s="1868">
        <v>0</v>
      </c>
      <c r="J551" s="1868">
        <v>0</v>
      </c>
      <c r="K551" s="1868">
        <v>0</v>
      </c>
      <c r="L551" s="1868">
        <v>0</v>
      </c>
      <c r="M551" s="975">
        <f>SUM(F551:K551)</f>
        <v>1274686</v>
      </c>
      <c r="N551" s="975">
        <f>SUM(G551:L551)</f>
        <v>1274686</v>
      </c>
      <c r="O551" s="3259"/>
    </row>
    <row r="552" spans="1:16" s="922" customFormat="1" ht="12" customHeight="1">
      <c r="A552" s="3219"/>
      <c r="B552" s="82" t="s">
        <v>22</v>
      </c>
      <c r="C552" s="522"/>
      <c r="D552" s="2586">
        <f>+D553</f>
        <v>35000</v>
      </c>
      <c r="E552" s="2587">
        <v>0</v>
      </c>
      <c r="F552" s="2586">
        <f t="shared" ref="F552:L553" si="361">+F553</f>
        <v>35000</v>
      </c>
      <c r="G552" s="1545">
        <f t="shared" si="361"/>
        <v>0</v>
      </c>
      <c r="H552" s="2587">
        <f t="shared" si="361"/>
        <v>0</v>
      </c>
      <c r="I552" s="2587">
        <f t="shared" si="361"/>
        <v>0</v>
      </c>
      <c r="J552" s="2587">
        <f t="shared" si="361"/>
        <v>0</v>
      </c>
      <c r="K552" s="2587">
        <f t="shared" si="361"/>
        <v>0</v>
      </c>
      <c r="L552" s="2587">
        <f t="shared" si="361"/>
        <v>0</v>
      </c>
      <c r="M552" s="3369" t="s">
        <v>23</v>
      </c>
      <c r="N552" s="3369" t="s">
        <v>23</v>
      </c>
      <c r="O552" s="2608"/>
    </row>
    <row r="553" spans="1:16" s="922" customFormat="1" ht="12.75" customHeight="1">
      <c r="A553" s="3219"/>
      <c r="B553" s="633" t="s">
        <v>24</v>
      </c>
      <c r="C553" s="3232" t="s">
        <v>84</v>
      </c>
      <c r="D553" s="2589">
        <f>+D554</f>
        <v>35000</v>
      </c>
      <c r="E553" s="2590">
        <v>0</v>
      </c>
      <c r="F553" s="2589">
        <f t="shared" si="361"/>
        <v>35000</v>
      </c>
      <c r="G553" s="2590">
        <f t="shared" si="361"/>
        <v>0</v>
      </c>
      <c r="H553" s="2590">
        <f t="shared" si="361"/>
        <v>0</v>
      </c>
      <c r="I553" s="2590">
        <f t="shared" si="361"/>
        <v>0</v>
      </c>
      <c r="J553" s="2590">
        <f t="shared" si="361"/>
        <v>0</v>
      </c>
      <c r="K553" s="2590">
        <f t="shared" si="361"/>
        <v>0</v>
      </c>
      <c r="L553" s="2590">
        <f t="shared" si="361"/>
        <v>0</v>
      </c>
      <c r="M553" s="3354"/>
      <c r="N553" s="3354"/>
      <c r="O553" s="2608" t="s">
        <v>102</v>
      </c>
    </row>
    <row r="554" spans="1:16" s="922" customFormat="1" ht="13.5" customHeight="1" thickBot="1">
      <c r="A554" s="3220"/>
      <c r="B554" s="446" t="s">
        <v>12</v>
      </c>
      <c r="C554" s="3243"/>
      <c r="D554" s="2391">
        <f>E554+F554+G554+H554+I554+J554+K554+L554</f>
        <v>35000</v>
      </c>
      <c r="E554" s="2593">
        <v>0</v>
      </c>
      <c r="F554" s="2594">
        <f>35000</f>
        <v>35000</v>
      </c>
      <c r="G554" s="2595">
        <v>0</v>
      </c>
      <c r="H554" s="2595">
        <v>0</v>
      </c>
      <c r="I554" s="2595">
        <v>0</v>
      </c>
      <c r="J554" s="2595">
        <v>0</v>
      </c>
      <c r="K554" s="2595">
        <v>0</v>
      </c>
      <c r="L554" s="2595">
        <v>0</v>
      </c>
      <c r="M554" s="3355"/>
      <c r="N554" s="3355"/>
      <c r="O554" s="2609"/>
    </row>
    <row r="555" spans="1:16" s="922" customFormat="1" ht="22.5" hidden="1" customHeight="1">
      <c r="A555" s="3218"/>
      <c r="B555" s="282"/>
      <c r="C555" s="58" t="s">
        <v>81</v>
      </c>
      <c r="D555" s="128"/>
      <c r="E555" s="44"/>
      <c r="F555" s="44"/>
      <c r="G555" s="44"/>
      <c r="H555" s="237"/>
      <c r="I555" s="97"/>
      <c r="J555" s="237"/>
      <c r="K555" s="237"/>
      <c r="L555" s="237"/>
      <c r="M555" s="45"/>
      <c r="N555" s="45"/>
      <c r="O555" s="3224" t="s">
        <v>86</v>
      </c>
    </row>
    <row r="556" spans="1:16" s="922" customFormat="1" ht="12.75" hidden="1" customHeight="1">
      <c r="A556" s="3219"/>
      <c r="B556" s="662" t="s">
        <v>10</v>
      </c>
      <c r="C556" s="1800"/>
      <c r="D556" s="1825">
        <f>+D557</f>
        <v>0</v>
      </c>
      <c r="E556" s="1825">
        <v>0</v>
      </c>
      <c r="F556" s="1831">
        <v>0</v>
      </c>
      <c r="G556" s="1831">
        <v>0</v>
      </c>
      <c r="H556" s="1831">
        <v>0</v>
      </c>
      <c r="I556" s="1831">
        <v>0</v>
      </c>
      <c r="J556" s="1831">
        <v>0</v>
      </c>
      <c r="K556" s="1831">
        <v>0</v>
      </c>
      <c r="L556" s="1831">
        <v>0</v>
      </c>
      <c r="M556" s="1871">
        <f>+M557</f>
        <v>0</v>
      </c>
      <c r="N556" s="1871">
        <f>+N557</f>
        <v>0</v>
      </c>
      <c r="O556" s="3225"/>
      <c r="P556" s="921" t="e">
        <f>+#REF!+#REF!+F556+G556</f>
        <v>#REF!</v>
      </c>
    </row>
    <row r="557" spans="1:16" s="922" customFormat="1" ht="12.75" hidden="1" customHeight="1">
      <c r="A557" s="3219"/>
      <c r="B557" s="633" t="s">
        <v>24</v>
      </c>
      <c r="C557" s="3214" t="s">
        <v>84</v>
      </c>
      <c r="D557" s="1826">
        <f>+D558+D559</f>
        <v>0</v>
      </c>
      <c r="E557" s="1826">
        <v>0</v>
      </c>
      <c r="F557" s="1829">
        <v>0</v>
      </c>
      <c r="G557" s="1829">
        <v>0</v>
      </c>
      <c r="H557" s="1829">
        <v>0</v>
      </c>
      <c r="I557" s="1829">
        <v>0</v>
      </c>
      <c r="J557" s="1829">
        <v>0</v>
      </c>
      <c r="K557" s="1829">
        <v>0</v>
      </c>
      <c r="L557" s="1829">
        <v>0</v>
      </c>
      <c r="M557" s="1805">
        <f>+M558</f>
        <v>0</v>
      </c>
      <c r="N557" s="1805">
        <f>+N558</f>
        <v>0</v>
      </c>
      <c r="O557" s="3225"/>
    </row>
    <row r="558" spans="1:16" s="922" customFormat="1" ht="12.75" hidden="1" customHeight="1">
      <c r="A558" s="3219"/>
      <c r="B558" s="2383" t="s">
        <v>12</v>
      </c>
      <c r="C558" s="3215"/>
      <c r="D558" s="949">
        <f>E558+F558+G558+H558+I558+J558+K558+L558</f>
        <v>0</v>
      </c>
      <c r="E558" s="1775">
        <v>0</v>
      </c>
      <c r="F558" s="1868">
        <v>0</v>
      </c>
      <c r="G558" s="1868">
        <v>0</v>
      </c>
      <c r="H558" s="1868">
        <v>0</v>
      </c>
      <c r="I558" s="1868">
        <v>0</v>
      </c>
      <c r="J558" s="1868">
        <v>0</v>
      </c>
      <c r="K558" s="1868">
        <v>0</v>
      </c>
      <c r="L558" s="1868">
        <v>0</v>
      </c>
      <c r="M558" s="1818">
        <f>SUM(E558:H558)</f>
        <v>0</v>
      </c>
      <c r="N558" s="1818">
        <f>SUM(F558:I558)</f>
        <v>0</v>
      </c>
      <c r="O558" s="3225"/>
    </row>
    <row r="559" spans="1:16" s="922" customFormat="1" ht="12.75" hidden="1" customHeight="1">
      <c r="A559" s="3219"/>
      <c r="B559" s="445" t="s">
        <v>15</v>
      </c>
      <c r="C559" s="3262"/>
      <c r="D559" s="949">
        <f>E559+F559+G559+H559+I559+J559+K559+L559</f>
        <v>0</v>
      </c>
      <c r="E559" s="1775">
        <v>0</v>
      </c>
      <c r="F559" s="1868">
        <v>0</v>
      </c>
      <c r="G559" s="1868">
        <v>0</v>
      </c>
      <c r="H559" s="1868">
        <v>0</v>
      </c>
      <c r="I559" s="1868">
        <v>0</v>
      </c>
      <c r="J559" s="1868">
        <v>0</v>
      </c>
      <c r="K559" s="1868">
        <v>0</v>
      </c>
      <c r="L559" s="1868">
        <v>0</v>
      </c>
      <c r="M559" s="1818">
        <f>SUM(E559:H559)</f>
        <v>0</v>
      </c>
      <c r="N559" s="1818">
        <f>SUM(F559:I559)</f>
        <v>0</v>
      </c>
      <c r="O559" s="2610"/>
    </row>
    <row r="560" spans="1:16" s="922" customFormat="1" ht="12.75" hidden="1" customHeight="1">
      <c r="A560" s="3219"/>
      <c r="B560" s="662" t="s">
        <v>22</v>
      </c>
      <c r="C560" s="1800"/>
      <c r="D560" s="1825">
        <f>+D561</f>
        <v>0</v>
      </c>
      <c r="E560" s="1825">
        <v>0</v>
      </c>
      <c r="F560" s="1831">
        <v>0</v>
      </c>
      <c r="G560" s="1831">
        <v>0</v>
      </c>
      <c r="H560" s="1831">
        <v>0</v>
      </c>
      <c r="I560" s="1831">
        <v>0</v>
      </c>
      <c r="J560" s="1831">
        <v>0</v>
      </c>
      <c r="K560" s="1831">
        <v>0</v>
      </c>
      <c r="L560" s="1831">
        <v>0</v>
      </c>
      <c r="M560" s="3353" t="s">
        <v>23</v>
      </c>
      <c r="N560" s="3353" t="s">
        <v>23</v>
      </c>
      <c r="O560" s="3295" t="s">
        <v>102</v>
      </c>
    </row>
    <row r="561" spans="1:16" s="922" customFormat="1" ht="12.75" hidden="1" customHeight="1">
      <c r="A561" s="3219"/>
      <c r="B561" s="633" t="s">
        <v>24</v>
      </c>
      <c r="C561" s="3221" t="s">
        <v>84</v>
      </c>
      <c r="D561" s="1826">
        <f>+D562</f>
        <v>0</v>
      </c>
      <c r="E561" s="1826">
        <v>0</v>
      </c>
      <c r="F561" s="1829">
        <v>0</v>
      </c>
      <c r="G561" s="1829">
        <v>0</v>
      </c>
      <c r="H561" s="1829">
        <v>0</v>
      </c>
      <c r="I561" s="1829">
        <v>0</v>
      </c>
      <c r="J561" s="1829">
        <v>0</v>
      </c>
      <c r="K561" s="1829">
        <v>0</v>
      </c>
      <c r="L561" s="1829">
        <v>0</v>
      </c>
      <c r="M561" s="3354"/>
      <c r="N561" s="3354"/>
      <c r="O561" s="3225"/>
    </row>
    <row r="562" spans="1:16" s="922" customFormat="1" ht="13.5" hidden="1" customHeight="1" thickBot="1">
      <c r="A562" s="3220"/>
      <c r="B562" s="443" t="s">
        <v>15</v>
      </c>
      <c r="C562" s="3252"/>
      <c r="D562" s="949">
        <f>E562+F562+G562+H562+I562+J562+K562+L562</f>
        <v>0</v>
      </c>
      <c r="E562" s="1775"/>
      <c r="F562" s="1868">
        <v>0</v>
      </c>
      <c r="G562" s="1868">
        <v>0</v>
      </c>
      <c r="H562" s="1868">
        <v>0</v>
      </c>
      <c r="I562" s="1868">
        <v>0</v>
      </c>
      <c r="J562" s="1868">
        <v>0</v>
      </c>
      <c r="K562" s="1868">
        <v>0</v>
      </c>
      <c r="L562" s="1868">
        <v>0</v>
      </c>
      <c r="M562" s="3355"/>
      <c r="N562" s="3355"/>
      <c r="O562" s="3226"/>
    </row>
    <row r="563" spans="1:16" s="922" customFormat="1" ht="26.25" hidden="1" customHeight="1">
      <c r="A563" s="3218"/>
      <c r="B563" s="282"/>
      <c r="C563" s="58"/>
      <c r="D563" s="128"/>
      <c r="E563" s="44"/>
      <c r="F563" s="44"/>
      <c r="G563" s="44"/>
      <c r="H563" s="44"/>
      <c r="I563" s="98"/>
      <c r="J563" s="237"/>
      <c r="K563" s="237"/>
      <c r="L563" s="237"/>
      <c r="M563" s="237"/>
      <c r="N563" s="237"/>
      <c r="O563" s="3224" t="s">
        <v>86</v>
      </c>
    </row>
    <row r="564" spans="1:16" s="922" customFormat="1" hidden="1" thickBot="1">
      <c r="A564" s="3219"/>
      <c r="B564" s="662" t="s">
        <v>10</v>
      </c>
      <c r="C564" s="1800"/>
      <c r="D564" s="1825"/>
      <c r="E564" s="1831"/>
      <c r="F564" s="1831"/>
      <c r="G564" s="1831"/>
      <c r="H564" s="1831"/>
      <c r="I564" s="1831"/>
      <c r="J564" s="1831"/>
      <c r="K564" s="1831"/>
      <c r="L564" s="1831"/>
      <c r="M564" s="2384">
        <f>+M565</f>
        <v>0</v>
      </c>
      <c r="N564" s="2384">
        <f>+N565</f>
        <v>0</v>
      </c>
      <c r="O564" s="3225"/>
    </row>
    <row r="565" spans="1:16" s="922" customFormat="1" hidden="1" thickBot="1">
      <c r="A565" s="3219"/>
      <c r="B565" s="633" t="s">
        <v>24</v>
      </c>
      <c r="C565" s="3221" t="s">
        <v>84</v>
      </c>
      <c r="D565" s="1826"/>
      <c r="E565" s="1829"/>
      <c r="F565" s="1829"/>
      <c r="G565" s="1829"/>
      <c r="H565" s="1829"/>
      <c r="I565" s="1829"/>
      <c r="J565" s="1829"/>
      <c r="K565" s="1829"/>
      <c r="L565" s="1829"/>
      <c r="M565" s="1845">
        <f>+M566</f>
        <v>0</v>
      </c>
      <c r="N565" s="1845">
        <f>+N566</f>
        <v>0</v>
      </c>
      <c r="O565" s="3225"/>
    </row>
    <row r="566" spans="1:16" s="922" customFormat="1" hidden="1" thickBot="1">
      <c r="A566" s="3219"/>
      <c r="B566" s="2385" t="s">
        <v>12</v>
      </c>
      <c r="C566" s="3222"/>
      <c r="D566" s="1782"/>
      <c r="E566" s="1782"/>
      <c r="F566" s="1868"/>
      <c r="G566" s="1868"/>
      <c r="H566" s="1868"/>
      <c r="I566" s="1868"/>
      <c r="J566" s="1868"/>
      <c r="K566" s="1868"/>
      <c r="L566" s="1868"/>
      <c r="M566" s="1818">
        <f>SUM(E566:K566)</f>
        <v>0</v>
      </c>
      <c r="N566" s="1818">
        <f>SUM(F566:L566)</f>
        <v>0</v>
      </c>
      <c r="O566" s="3225"/>
    </row>
    <row r="567" spans="1:16" s="922" customFormat="1" hidden="1" thickBot="1">
      <c r="A567" s="3219"/>
      <c r="B567" s="662" t="s">
        <v>22</v>
      </c>
      <c r="C567" s="1800"/>
      <c r="D567" s="1825"/>
      <c r="E567" s="1831"/>
      <c r="F567" s="1831"/>
      <c r="G567" s="1831"/>
      <c r="H567" s="1831"/>
      <c r="I567" s="1831"/>
      <c r="J567" s="1831"/>
      <c r="K567" s="1831"/>
      <c r="L567" s="1831"/>
      <c r="M567" s="3353" t="s">
        <v>23</v>
      </c>
      <c r="N567" s="3353" t="s">
        <v>23</v>
      </c>
      <c r="O567" s="3295" t="s">
        <v>102</v>
      </c>
    </row>
    <row r="568" spans="1:16" s="922" customFormat="1" hidden="1" thickBot="1">
      <c r="A568" s="3219"/>
      <c r="B568" s="633" t="s">
        <v>24</v>
      </c>
      <c r="C568" s="3221">
        <v>75802</v>
      </c>
      <c r="D568" s="1826"/>
      <c r="E568" s="1829"/>
      <c r="F568" s="1829"/>
      <c r="G568" s="1829"/>
      <c r="H568" s="1829"/>
      <c r="I568" s="1829"/>
      <c r="J568" s="1829"/>
      <c r="K568" s="1829"/>
      <c r="L568" s="1829"/>
      <c r="M568" s="3354"/>
      <c r="N568" s="3354"/>
      <c r="O568" s="3225"/>
    </row>
    <row r="569" spans="1:16" s="922" customFormat="1" hidden="1" thickBot="1">
      <c r="A569" s="3220"/>
      <c r="B569" s="443" t="s">
        <v>298</v>
      </c>
      <c r="C569" s="3252"/>
      <c r="D569" s="1782"/>
      <c r="E569" s="1782"/>
      <c r="F569" s="2189"/>
      <c r="G569" s="2189"/>
      <c r="H569" s="2189"/>
      <c r="I569" s="2189"/>
      <c r="J569" s="2189"/>
      <c r="K569" s="2189"/>
      <c r="L569" s="2189"/>
      <c r="M569" s="3355"/>
      <c r="N569" s="3355"/>
      <c r="O569" s="3226"/>
    </row>
    <row r="570" spans="1:16" s="922" customFormat="1" ht="15" customHeight="1">
      <c r="A570" s="3218" t="s">
        <v>67</v>
      </c>
      <c r="B570" s="282" t="s">
        <v>450</v>
      </c>
      <c r="C570" s="58" t="s">
        <v>109</v>
      </c>
      <c r="D570" s="128"/>
      <c r="E570" s="44"/>
      <c r="F570" s="44"/>
      <c r="G570" s="44"/>
      <c r="H570" s="44"/>
      <c r="I570" s="98"/>
      <c r="J570" s="44"/>
      <c r="K570" s="44"/>
      <c r="L570" s="44"/>
      <c r="M570" s="45"/>
      <c r="N570" s="45"/>
      <c r="O570" s="3224" t="s">
        <v>102</v>
      </c>
    </row>
    <row r="571" spans="1:16" s="922" customFormat="1" ht="12">
      <c r="A571" s="3219"/>
      <c r="B571" s="662" t="s">
        <v>10</v>
      </c>
      <c r="C571" s="1800"/>
      <c r="D571" s="1825">
        <f>+D572</f>
        <v>23931912</v>
      </c>
      <c r="E571" s="1825">
        <f t="shared" ref="E571:J572" si="362">+E572</f>
        <v>6358217</v>
      </c>
      <c r="F571" s="1825">
        <f t="shared" si="362"/>
        <v>2573695</v>
      </c>
      <c r="G571" s="1825">
        <f t="shared" si="362"/>
        <v>3600000</v>
      </c>
      <c r="H571" s="1825">
        <f t="shared" si="362"/>
        <v>3800000</v>
      </c>
      <c r="I571" s="1825">
        <f t="shared" si="362"/>
        <v>3800000</v>
      </c>
      <c r="J571" s="1825">
        <f t="shared" si="362"/>
        <v>3800000</v>
      </c>
      <c r="K571" s="1831">
        <v>0</v>
      </c>
      <c r="L571" s="1831">
        <v>0</v>
      </c>
      <c r="M571" s="2384">
        <f>+M572</f>
        <v>17573695</v>
      </c>
      <c r="N571" s="2384">
        <f>+N572</f>
        <v>15000000</v>
      </c>
      <c r="O571" s="3225"/>
      <c r="P571" s="921"/>
    </row>
    <row r="572" spans="1:16" s="922" customFormat="1" ht="12">
      <c r="A572" s="3219"/>
      <c r="B572" s="633" t="s">
        <v>24</v>
      </c>
      <c r="C572" s="3221" t="s">
        <v>98</v>
      </c>
      <c r="D572" s="1826">
        <f>+D573</f>
        <v>23931912</v>
      </c>
      <c r="E572" s="1826">
        <f t="shared" si="362"/>
        <v>6358217</v>
      </c>
      <c r="F572" s="1826">
        <f t="shared" si="362"/>
        <v>2573695</v>
      </c>
      <c r="G572" s="1826">
        <f t="shared" si="362"/>
        <v>3600000</v>
      </c>
      <c r="H572" s="1826">
        <f t="shared" si="362"/>
        <v>3800000</v>
      </c>
      <c r="I572" s="1826">
        <f t="shared" si="362"/>
        <v>3800000</v>
      </c>
      <c r="J572" s="1826">
        <f t="shared" si="362"/>
        <v>3800000</v>
      </c>
      <c r="K572" s="1829">
        <v>0</v>
      </c>
      <c r="L572" s="1829">
        <v>0</v>
      </c>
      <c r="M572" s="1845">
        <f>+M573</f>
        <v>17573695</v>
      </c>
      <c r="N572" s="1845">
        <f>+N573</f>
        <v>15000000</v>
      </c>
      <c r="O572" s="3225"/>
    </row>
    <row r="573" spans="1:16" s="922" customFormat="1" thickBot="1">
      <c r="A573" s="3220"/>
      <c r="B573" s="446" t="s">
        <v>12</v>
      </c>
      <c r="C573" s="3252"/>
      <c r="D573" s="1929">
        <f>E573+F573+G573+H573+I573+J573+K573+L573</f>
        <v>23931912</v>
      </c>
      <c r="E573" s="1929">
        <v>6358217</v>
      </c>
      <c r="F573" s="2188">
        <f>3000000+500000-913378-12927</f>
        <v>2573695</v>
      </c>
      <c r="G573" s="2188">
        <f>3000000+500000+100000</f>
        <v>3600000</v>
      </c>
      <c r="H573" s="2188">
        <f>3000000+500000+300000</f>
        <v>3800000</v>
      </c>
      <c r="I573" s="2188">
        <f>3000000+500000+300000</f>
        <v>3800000</v>
      </c>
      <c r="J573" s="2188">
        <f>3000000+500000+300000</f>
        <v>3800000</v>
      </c>
      <c r="K573" s="2189">
        <v>0</v>
      </c>
      <c r="L573" s="2189">
        <v>0</v>
      </c>
      <c r="M573" s="2190">
        <f>SUM(F573:K573)</f>
        <v>17573695</v>
      </c>
      <c r="N573" s="2190">
        <f>SUM(G573:L573)</f>
        <v>15000000</v>
      </c>
      <c r="O573" s="3226"/>
    </row>
    <row r="574" spans="1:16" s="922" customFormat="1" ht="17.25" customHeight="1">
      <c r="A574" s="3218" t="s">
        <v>115</v>
      </c>
      <c r="B574" s="282" t="s">
        <v>210</v>
      </c>
      <c r="C574" s="58" t="s">
        <v>109</v>
      </c>
      <c r="D574" s="128"/>
      <c r="E574" s="44"/>
      <c r="F574" s="44"/>
      <c r="G574" s="44"/>
      <c r="H574" s="44"/>
      <c r="I574" s="98"/>
      <c r="J574" s="481"/>
      <c r="K574" s="481"/>
      <c r="L574" s="481"/>
      <c r="M574" s="45"/>
      <c r="N574" s="45"/>
      <c r="O574" s="3224" t="s">
        <v>102</v>
      </c>
    </row>
    <row r="575" spans="1:16" s="922" customFormat="1" ht="12">
      <c r="A575" s="3219"/>
      <c r="B575" s="662" t="s">
        <v>10</v>
      </c>
      <c r="C575" s="1824"/>
      <c r="D575" s="1825">
        <f>+D576</f>
        <v>674087245</v>
      </c>
      <c r="E575" s="1825">
        <f t="shared" ref="E575:I575" si="363">+E576</f>
        <v>319820454</v>
      </c>
      <c r="F575" s="1825">
        <f t="shared" si="363"/>
        <v>83406189</v>
      </c>
      <c r="G575" s="1825">
        <f t="shared" si="363"/>
        <v>89360602</v>
      </c>
      <c r="H575" s="1825">
        <f t="shared" si="363"/>
        <v>91500000</v>
      </c>
      <c r="I575" s="1825">
        <f t="shared" si="363"/>
        <v>90000000</v>
      </c>
      <c r="J575" s="1831">
        <v>0</v>
      </c>
      <c r="K575" s="1831">
        <v>0</v>
      </c>
      <c r="L575" s="1831">
        <v>0</v>
      </c>
      <c r="M575" s="1871">
        <f>+M576</f>
        <v>354266791</v>
      </c>
      <c r="N575" s="1871">
        <f>+N576</f>
        <v>270860602</v>
      </c>
      <c r="O575" s="3225"/>
      <c r="P575" s="921"/>
    </row>
    <row r="576" spans="1:16" s="922" customFormat="1" ht="12">
      <c r="A576" s="3219"/>
      <c r="B576" s="633" t="s">
        <v>24</v>
      </c>
      <c r="C576" s="3363" t="s">
        <v>98</v>
      </c>
      <c r="D576" s="1826">
        <f>+D577+D578</f>
        <v>674087245</v>
      </c>
      <c r="E576" s="1826">
        <f t="shared" ref="E576" si="364">+E577+E578</f>
        <v>319820454</v>
      </c>
      <c r="F576" s="1826">
        <f t="shared" ref="F576:G576" si="365">+F577+F578</f>
        <v>83406189</v>
      </c>
      <c r="G576" s="1826">
        <f t="shared" si="365"/>
        <v>89360602</v>
      </c>
      <c r="H576" s="1826">
        <f>+H577+H578</f>
        <v>91500000</v>
      </c>
      <c r="I576" s="1826">
        <f>+I577+I578</f>
        <v>90000000</v>
      </c>
      <c r="J576" s="1829">
        <v>0</v>
      </c>
      <c r="K576" s="1829">
        <v>0</v>
      </c>
      <c r="L576" s="1829">
        <v>0</v>
      </c>
      <c r="M576" s="1805">
        <f>+M577+M578</f>
        <v>354266791</v>
      </c>
      <c r="N576" s="1805">
        <f>+N577+N578</f>
        <v>270860602</v>
      </c>
      <c r="O576" s="3225"/>
    </row>
    <row r="577" spans="1:16" s="922" customFormat="1" ht="12">
      <c r="A577" s="3219"/>
      <c r="B577" s="1567" t="s">
        <v>12</v>
      </c>
      <c r="C577" s="3223"/>
      <c r="D577" s="949">
        <f>E577+F577+G577+H577+I577+J577+K577+L577</f>
        <v>666214712</v>
      </c>
      <c r="E577" s="1775">
        <v>315126690</v>
      </c>
      <c r="F577" s="1816">
        <f>79000000+2000000+1000000-411978</f>
        <v>81588022</v>
      </c>
      <c r="G577" s="1816">
        <f>79000000+2000000+7000000</f>
        <v>88000000</v>
      </c>
      <c r="H577" s="1816">
        <f>79000000+2000000+10500000</f>
        <v>91500000</v>
      </c>
      <c r="I577" s="1816">
        <f>79000000+2000000+9000000</f>
        <v>90000000</v>
      </c>
      <c r="J577" s="1758">
        <v>0</v>
      </c>
      <c r="K577" s="1758">
        <v>0</v>
      </c>
      <c r="L577" s="1758">
        <v>0</v>
      </c>
      <c r="M577" s="1818">
        <f>SUM(F577:K577)</f>
        <v>351088022</v>
      </c>
      <c r="N577" s="1818">
        <f>SUM(G577:L577)</f>
        <v>269500000</v>
      </c>
      <c r="O577" s="3225"/>
    </row>
    <row r="578" spans="1:16" s="922" customFormat="1" ht="12">
      <c r="A578" s="3219"/>
      <c r="B578" s="1565" t="s">
        <v>15</v>
      </c>
      <c r="C578" s="2619"/>
      <c r="D578" s="949">
        <f>E578+F578+G578+H578+I578+J578+K578+L578</f>
        <v>7872533</v>
      </c>
      <c r="E578" s="1775">
        <v>4693764</v>
      </c>
      <c r="F578" s="1568">
        <f>1397794+422214-1841</f>
        <v>1818167</v>
      </c>
      <c r="G578" s="1568">
        <v>1360602</v>
      </c>
      <c r="H578" s="1569">
        <v>0</v>
      </c>
      <c r="I578" s="1569">
        <v>0</v>
      </c>
      <c r="J578" s="482">
        <v>0</v>
      </c>
      <c r="K578" s="482">
        <v>0</v>
      </c>
      <c r="L578" s="482">
        <v>0</v>
      </c>
      <c r="M578" s="1818">
        <f>SUM(F578:K578)</f>
        <v>3178769</v>
      </c>
      <c r="N578" s="1818">
        <f>SUM(G578:L578)</f>
        <v>1360602</v>
      </c>
      <c r="O578" s="3225"/>
    </row>
    <row r="579" spans="1:16" s="922" customFormat="1" ht="12">
      <c r="A579" s="3219"/>
      <c r="B579" s="662" t="s">
        <v>22</v>
      </c>
      <c r="C579" s="1824"/>
      <c r="D579" s="1825">
        <f>+D580</f>
        <v>107357224</v>
      </c>
      <c r="E579" s="1825">
        <f t="shared" ref="E579:I579" si="366">+E580</f>
        <v>27872715</v>
      </c>
      <c r="F579" s="1872">
        <f t="shared" si="366"/>
        <v>15393007</v>
      </c>
      <c r="G579" s="1872">
        <f t="shared" si="366"/>
        <v>20818902</v>
      </c>
      <c r="H579" s="1872">
        <f t="shared" si="366"/>
        <v>21636300</v>
      </c>
      <c r="I579" s="1872">
        <f t="shared" si="366"/>
        <v>21636300</v>
      </c>
      <c r="J579" s="1873">
        <v>0</v>
      </c>
      <c r="K579" s="1873">
        <v>0</v>
      </c>
      <c r="L579" s="1873">
        <v>0</v>
      </c>
      <c r="M579" s="3364" t="s">
        <v>23</v>
      </c>
      <c r="N579" s="3364" t="s">
        <v>23</v>
      </c>
      <c r="O579" s="3225"/>
    </row>
    <row r="580" spans="1:16" s="922" customFormat="1" ht="12">
      <c r="A580" s="3219"/>
      <c r="B580" s="633" t="s">
        <v>24</v>
      </c>
      <c r="C580" s="3363" t="s">
        <v>98</v>
      </c>
      <c r="D580" s="1826">
        <f>+D581+D582</f>
        <v>107357224</v>
      </c>
      <c r="E580" s="1826">
        <f t="shared" ref="E580" si="367">+E581+E582</f>
        <v>27872715</v>
      </c>
      <c r="F580" s="1826">
        <f t="shared" ref="F580:G580" si="368">+F581+F582</f>
        <v>15393007</v>
      </c>
      <c r="G580" s="1826">
        <f t="shared" si="368"/>
        <v>20818902</v>
      </c>
      <c r="H580" s="1826">
        <f>+H581+H582</f>
        <v>21636300</v>
      </c>
      <c r="I580" s="1826">
        <f>+I581+I582</f>
        <v>21636300</v>
      </c>
      <c r="J580" s="1829">
        <v>0</v>
      </c>
      <c r="K580" s="1829">
        <v>0</v>
      </c>
      <c r="L580" s="1829">
        <v>0</v>
      </c>
      <c r="M580" s="3365"/>
      <c r="N580" s="3365"/>
      <c r="O580" s="3225"/>
    </row>
    <row r="581" spans="1:16" s="922" customFormat="1" ht="12">
      <c r="A581" s="3219"/>
      <c r="B581" s="1874" t="s">
        <v>214</v>
      </c>
      <c r="C581" s="3222"/>
      <c r="D581" s="949">
        <f>E581+F581+G581+H581+I581+J581+K581+L581</f>
        <v>99484691</v>
      </c>
      <c r="E581" s="1775">
        <v>23178951</v>
      </c>
      <c r="F581" s="1875">
        <f>10500000+1500000+1574800+40</f>
        <v>13574840</v>
      </c>
      <c r="G581" s="1875">
        <f>10500000+1500000+7458300</f>
        <v>19458300</v>
      </c>
      <c r="H581" s="1875">
        <f>10500000+1500000+9636300</f>
        <v>21636300</v>
      </c>
      <c r="I581" s="1875">
        <f>10500000+1500000+9636300</f>
        <v>21636300</v>
      </c>
      <c r="J581" s="1876">
        <v>0</v>
      </c>
      <c r="K581" s="1876">
        <v>0</v>
      </c>
      <c r="L581" s="1876">
        <v>0</v>
      </c>
      <c r="M581" s="3365"/>
      <c r="N581" s="3365"/>
      <c r="O581" s="3225"/>
    </row>
    <row r="582" spans="1:16" s="922" customFormat="1" ht="12" customHeight="1" thickBot="1">
      <c r="A582" s="3220"/>
      <c r="B582" s="443" t="s">
        <v>15</v>
      </c>
      <c r="C582" s="3252"/>
      <c r="D582" s="942">
        <f>E582+F582+G582+H582+I582+J582+K582+L582</f>
        <v>7872533</v>
      </c>
      <c r="E582" s="942">
        <v>4693764</v>
      </c>
      <c r="F582" s="484">
        <f>1397794+422214-1841</f>
        <v>1818167</v>
      </c>
      <c r="G582" s="484">
        <v>1360602</v>
      </c>
      <c r="H582" s="1877">
        <v>0</v>
      </c>
      <c r="I582" s="1877">
        <v>0</v>
      </c>
      <c r="J582" s="1877">
        <v>0</v>
      </c>
      <c r="K582" s="1877">
        <v>0</v>
      </c>
      <c r="L582" s="1877">
        <v>0</v>
      </c>
      <c r="M582" s="3366"/>
      <c r="N582" s="3366"/>
      <c r="O582" s="3226"/>
    </row>
    <row r="583" spans="1:16" s="922" customFormat="1" ht="12" hidden="1">
      <c r="A583" s="3218"/>
      <c r="B583" s="282"/>
      <c r="C583" s="58" t="s">
        <v>109</v>
      </c>
      <c r="D583" s="128"/>
      <c r="E583" s="44"/>
      <c r="F583" s="44"/>
      <c r="G583" s="44"/>
      <c r="H583" s="44"/>
      <c r="I583" s="44"/>
      <c r="J583" s="44"/>
      <c r="K583" s="44"/>
      <c r="L583" s="44"/>
      <c r="M583" s="45"/>
      <c r="N583" s="45"/>
      <c r="O583" s="3224" t="s">
        <v>102</v>
      </c>
    </row>
    <row r="584" spans="1:16" s="922" customFormat="1" ht="12" hidden="1">
      <c r="A584" s="3219"/>
      <c r="B584" s="21" t="s">
        <v>10</v>
      </c>
      <c r="C584" s="22"/>
      <c r="D584" s="126">
        <f>+D585</f>
        <v>0</v>
      </c>
      <c r="E584" s="126">
        <v>0</v>
      </c>
      <c r="F584" s="126"/>
      <c r="G584" s="126"/>
      <c r="H584" s="126"/>
      <c r="I584" s="126"/>
      <c r="J584" s="303"/>
      <c r="K584" s="303"/>
      <c r="L584" s="303"/>
      <c r="M584" s="91"/>
      <c r="N584" s="91"/>
      <c r="O584" s="3225"/>
      <c r="P584" s="921"/>
    </row>
    <row r="585" spans="1:16" s="922" customFormat="1" ht="12" hidden="1">
      <c r="A585" s="3219"/>
      <c r="B585" s="171" t="s">
        <v>24</v>
      </c>
      <c r="C585" s="448" t="s">
        <v>98</v>
      </c>
      <c r="D585" s="127">
        <f>+D586</f>
        <v>0</v>
      </c>
      <c r="E585" s="127">
        <v>0</v>
      </c>
      <c r="F585" s="127"/>
      <c r="G585" s="127"/>
      <c r="H585" s="127"/>
      <c r="I585" s="127"/>
      <c r="J585" s="302"/>
      <c r="K585" s="302"/>
      <c r="L585" s="302"/>
      <c r="M585" s="68"/>
      <c r="N585" s="68"/>
      <c r="O585" s="3225"/>
    </row>
    <row r="586" spans="1:16" s="922" customFormat="1" hidden="1" thickBot="1">
      <c r="A586" s="3219"/>
      <c r="B586" s="444" t="s">
        <v>12</v>
      </c>
      <c r="C586" s="449"/>
      <c r="D586" s="53">
        <f>SUM(E586:I586)</f>
        <v>0</v>
      </c>
      <c r="E586" s="202">
        <v>0</v>
      </c>
      <c r="F586" s="86"/>
      <c r="G586" s="86"/>
      <c r="H586" s="86"/>
      <c r="I586" s="86"/>
      <c r="J586" s="244"/>
      <c r="K586" s="244"/>
      <c r="L586" s="244"/>
      <c r="M586" s="69"/>
      <c r="N586" s="69"/>
      <c r="O586" s="3225"/>
    </row>
    <row r="587" spans="1:16" s="922" customFormat="1" ht="14.25" hidden="1" customHeight="1">
      <c r="A587" s="3218" t="s">
        <v>88</v>
      </c>
      <c r="B587" s="282"/>
      <c r="C587" s="58" t="s">
        <v>109</v>
      </c>
      <c r="D587" s="42"/>
      <c r="E587" s="44"/>
      <c r="F587" s="44"/>
      <c r="G587" s="44"/>
      <c r="H587" s="44"/>
      <c r="I587" s="44"/>
      <c r="J587" s="44"/>
      <c r="K587" s="44"/>
      <c r="L587" s="44"/>
      <c r="M587" s="45"/>
      <c r="N587" s="45"/>
      <c r="O587" s="3224" t="s">
        <v>86</v>
      </c>
    </row>
    <row r="588" spans="1:16" s="922" customFormat="1" ht="12" hidden="1">
      <c r="A588" s="3219"/>
      <c r="B588" s="21" t="s">
        <v>10</v>
      </c>
      <c r="C588" s="22"/>
      <c r="D588" s="126"/>
      <c r="E588" s="126"/>
      <c r="F588" s="126"/>
      <c r="G588" s="126"/>
      <c r="H588" s="126"/>
      <c r="I588" s="293"/>
      <c r="J588" s="293"/>
      <c r="K588" s="293"/>
      <c r="L588" s="293"/>
      <c r="M588" s="65">
        <f>+M589</f>
        <v>0</v>
      </c>
      <c r="N588" s="65">
        <f>+N589</f>
        <v>0</v>
      </c>
      <c r="O588" s="3225"/>
      <c r="P588" s="921"/>
    </row>
    <row r="589" spans="1:16" s="922" customFormat="1" ht="12" hidden="1">
      <c r="A589" s="3219"/>
      <c r="B589" s="171" t="s">
        <v>24</v>
      </c>
      <c r="C589" s="3289" t="s">
        <v>84</v>
      </c>
      <c r="D589" s="127"/>
      <c r="E589" s="127"/>
      <c r="F589" s="127"/>
      <c r="G589" s="127"/>
      <c r="H589" s="127"/>
      <c r="I589" s="294"/>
      <c r="J589" s="294"/>
      <c r="K589" s="294"/>
      <c r="L589" s="294"/>
      <c r="M589" s="79">
        <f>+M590+M591</f>
        <v>0</v>
      </c>
      <c r="N589" s="79">
        <f>+N590+N591</f>
        <v>0</v>
      </c>
      <c r="O589" s="3225"/>
    </row>
    <row r="590" spans="1:16" s="922" customFormat="1" ht="12" hidden="1">
      <c r="A590" s="3219"/>
      <c r="B590" s="447" t="s">
        <v>12</v>
      </c>
      <c r="C590" s="3222"/>
      <c r="D590" s="939"/>
      <c r="E590" s="939"/>
      <c r="F590" s="70"/>
      <c r="G590" s="70"/>
      <c r="H590" s="70"/>
      <c r="I590" s="295"/>
      <c r="J590" s="295"/>
      <c r="K590" s="295"/>
      <c r="L590" s="295"/>
      <c r="M590" s="36">
        <f>SUM(E590:K590)</f>
        <v>0</v>
      </c>
      <c r="N590" s="36">
        <f>SUM(F590:L590)</f>
        <v>0</v>
      </c>
      <c r="O590" s="3225"/>
    </row>
    <row r="591" spans="1:16" s="922" customFormat="1" ht="12" hidden="1">
      <c r="A591" s="3219"/>
      <c r="B591" s="134" t="s">
        <v>107</v>
      </c>
      <c r="C591" s="3223"/>
      <c r="D591" s="939"/>
      <c r="E591" s="939"/>
      <c r="F591" s="296"/>
      <c r="G591" s="296"/>
      <c r="H591" s="296"/>
      <c r="I591" s="296"/>
      <c r="J591" s="283"/>
      <c r="K591" s="283"/>
      <c r="L591" s="283"/>
      <c r="M591" s="36">
        <f>SUM(E591:K591)</f>
        <v>0</v>
      </c>
      <c r="N591" s="36">
        <f>SUM(F591:L591)</f>
        <v>0</v>
      </c>
      <c r="O591" s="3225"/>
    </row>
    <row r="592" spans="1:16" s="922" customFormat="1" ht="12" hidden="1">
      <c r="A592" s="3219"/>
      <c r="B592" s="80" t="s">
        <v>22</v>
      </c>
      <c r="C592" s="22"/>
      <c r="D592" s="126"/>
      <c r="E592" s="126"/>
      <c r="F592" s="293"/>
      <c r="G592" s="293"/>
      <c r="H592" s="293"/>
      <c r="I592" s="293"/>
      <c r="J592" s="293"/>
      <c r="K592" s="293"/>
      <c r="L592" s="293"/>
      <c r="M592" s="3367" t="s">
        <v>23</v>
      </c>
      <c r="N592" s="3367" t="s">
        <v>23</v>
      </c>
      <c r="O592" s="3225"/>
    </row>
    <row r="593" spans="1:16" s="922" customFormat="1" ht="12" hidden="1">
      <c r="A593" s="3219"/>
      <c r="B593" s="171" t="s">
        <v>24</v>
      </c>
      <c r="C593" s="3289" t="s">
        <v>84</v>
      </c>
      <c r="D593" s="50"/>
      <c r="E593" s="50"/>
      <c r="F593" s="287"/>
      <c r="G593" s="287"/>
      <c r="H593" s="297"/>
      <c r="I593" s="287"/>
      <c r="J593" s="287"/>
      <c r="K593" s="287"/>
      <c r="L593" s="287"/>
      <c r="M593" s="3350"/>
      <c r="N593" s="3350"/>
      <c r="O593" s="3225"/>
    </row>
    <row r="594" spans="1:16" s="922" customFormat="1" hidden="1" thickBot="1">
      <c r="A594" s="3220"/>
      <c r="B594" s="300" t="s">
        <v>13</v>
      </c>
      <c r="C594" s="3252"/>
      <c r="D594" s="939"/>
      <c r="E594" s="939"/>
      <c r="F594" s="298"/>
      <c r="G594" s="298"/>
      <c r="H594" s="299"/>
      <c r="I594" s="298"/>
      <c r="J594" s="298"/>
      <c r="K594" s="298"/>
      <c r="L594" s="298"/>
      <c r="M594" s="3351"/>
      <c r="N594" s="3351"/>
      <c r="O594" s="3226"/>
    </row>
    <row r="595" spans="1:16" s="922" customFormat="1" ht="24.75" hidden="1" customHeight="1">
      <c r="A595" s="3218" t="s">
        <v>91</v>
      </c>
      <c r="B595" s="282"/>
      <c r="C595" s="58"/>
      <c r="D595" s="42"/>
      <c r="E595" s="42"/>
      <c r="F595" s="42"/>
      <c r="G595" s="42"/>
      <c r="H595" s="44"/>
      <c r="I595" s="44"/>
      <c r="J595" s="44"/>
      <c r="K595" s="44"/>
      <c r="L595" s="44"/>
      <c r="M595" s="45"/>
      <c r="N595" s="45"/>
      <c r="O595" s="3224" t="s">
        <v>86</v>
      </c>
    </row>
    <row r="596" spans="1:16" s="922" customFormat="1" ht="12" hidden="1">
      <c r="A596" s="3219"/>
      <c r="B596" s="21" t="s">
        <v>10</v>
      </c>
      <c r="C596" s="22"/>
      <c r="D596" s="126"/>
      <c r="E596" s="126"/>
      <c r="F596" s="126"/>
      <c r="G596" s="126"/>
      <c r="H596" s="126"/>
      <c r="I596" s="293"/>
      <c r="J596" s="293"/>
      <c r="K596" s="293"/>
      <c r="L596" s="293"/>
      <c r="M596" s="65">
        <f>+M597</f>
        <v>0</v>
      </c>
      <c r="N596" s="65">
        <f>+N597</f>
        <v>0</v>
      </c>
      <c r="O596" s="3225"/>
      <c r="P596" s="921"/>
    </row>
    <row r="597" spans="1:16" s="922" customFormat="1" ht="12" hidden="1">
      <c r="A597" s="3219"/>
      <c r="B597" s="171" t="s">
        <v>24</v>
      </c>
      <c r="C597" s="3289" t="s">
        <v>84</v>
      </c>
      <c r="D597" s="127"/>
      <c r="E597" s="127"/>
      <c r="F597" s="127"/>
      <c r="G597" s="127"/>
      <c r="H597" s="127"/>
      <c r="I597" s="296"/>
      <c r="J597" s="283"/>
      <c r="K597" s="283"/>
      <c r="L597" s="283"/>
      <c r="M597" s="79">
        <f>+M598+M599</f>
        <v>0</v>
      </c>
      <c r="N597" s="79">
        <f>+N598+N599</f>
        <v>0</v>
      </c>
      <c r="O597" s="3225"/>
    </row>
    <row r="598" spans="1:16" s="922" customFormat="1" ht="12" hidden="1">
      <c r="A598" s="3219"/>
      <c r="B598" s="447" t="s">
        <v>12</v>
      </c>
      <c r="C598" s="3222"/>
      <c r="D598" s="939"/>
      <c r="E598" s="939"/>
      <c r="F598" s="75"/>
      <c r="G598" s="75"/>
      <c r="H598" s="75"/>
      <c r="I598" s="296"/>
      <c r="J598" s="283"/>
      <c r="K598" s="283"/>
      <c r="L598" s="283"/>
      <c r="M598" s="36">
        <f>SUM(E598:K598)</f>
        <v>0</v>
      </c>
      <c r="N598" s="36">
        <f>SUM(F598:L598)</f>
        <v>0</v>
      </c>
      <c r="O598" s="3225"/>
    </row>
    <row r="599" spans="1:16" s="922" customFormat="1" ht="12" hidden="1">
      <c r="A599" s="3219"/>
      <c r="B599" s="134" t="s">
        <v>78</v>
      </c>
      <c r="C599" s="3223"/>
      <c r="D599" s="939"/>
      <c r="E599" s="939"/>
      <c r="F599" s="75"/>
      <c r="G599" s="75"/>
      <c r="H599" s="296"/>
      <c r="I599" s="296"/>
      <c r="J599" s="283"/>
      <c r="K599" s="283"/>
      <c r="L599" s="283"/>
      <c r="M599" s="36">
        <f>SUM(E599:K599)</f>
        <v>0</v>
      </c>
      <c r="N599" s="36">
        <f>SUM(F599:L599)</f>
        <v>0</v>
      </c>
      <c r="O599" s="3225"/>
    </row>
    <row r="600" spans="1:16" s="922" customFormat="1" ht="12" hidden="1">
      <c r="A600" s="3219"/>
      <c r="B600" s="80" t="s">
        <v>22</v>
      </c>
      <c r="C600" s="22"/>
      <c r="D600" s="126"/>
      <c r="E600" s="126"/>
      <c r="F600" s="293"/>
      <c r="G600" s="293"/>
      <c r="H600" s="293"/>
      <c r="I600" s="293"/>
      <c r="J600" s="293"/>
      <c r="K600" s="293"/>
      <c r="L600" s="293"/>
      <c r="M600" s="3367" t="s">
        <v>23</v>
      </c>
      <c r="N600" s="3367" t="s">
        <v>23</v>
      </c>
      <c r="O600" s="3225"/>
    </row>
    <row r="601" spans="1:16" s="922" customFormat="1" ht="12" hidden="1">
      <c r="A601" s="3219"/>
      <c r="B601" s="171" t="s">
        <v>24</v>
      </c>
      <c r="C601" s="3289" t="s">
        <v>84</v>
      </c>
      <c r="D601" s="425"/>
      <c r="E601" s="425"/>
      <c r="F601" s="297"/>
      <c r="G601" s="297"/>
      <c r="H601" s="297"/>
      <c r="I601" s="287"/>
      <c r="J601" s="287"/>
      <c r="K601" s="287"/>
      <c r="L601" s="287"/>
      <c r="M601" s="3350"/>
      <c r="N601" s="3350"/>
      <c r="O601" s="3225"/>
    </row>
    <row r="602" spans="1:16" s="922" customFormat="1" hidden="1" thickBot="1">
      <c r="A602" s="3220"/>
      <c r="B602" s="134" t="s">
        <v>13</v>
      </c>
      <c r="C602" s="3252"/>
      <c r="D602" s="939"/>
      <c r="E602" s="939"/>
      <c r="F602" s="299"/>
      <c r="G602" s="299"/>
      <c r="H602" s="299"/>
      <c r="I602" s="298"/>
      <c r="J602" s="298"/>
      <c r="K602" s="298"/>
      <c r="L602" s="298"/>
      <c r="M602" s="3351"/>
      <c r="N602" s="3351"/>
      <c r="O602" s="3226"/>
    </row>
    <row r="603" spans="1:16" s="922" customFormat="1" ht="14.25" hidden="1" customHeight="1">
      <c r="A603" s="3218" t="s">
        <v>92</v>
      </c>
      <c r="B603" s="282"/>
      <c r="C603" s="58"/>
      <c r="D603" s="128"/>
      <c r="E603" s="44"/>
      <c r="F603" s="44"/>
      <c r="G603" s="44"/>
      <c r="H603" s="44"/>
      <c r="I603" s="44"/>
      <c r="J603" s="44"/>
      <c r="K603" s="44"/>
      <c r="L603" s="44"/>
      <c r="M603" s="45"/>
      <c r="N603" s="45"/>
      <c r="O603" s="3224" t="s">
        <v>86</v>
      </c>
    </row>
    <row r="604" spans="1:16" s="922" customFormat="1" ht="12" hidden="1">
      <c r="A604" s="3219"/>
      <c r="B604" s="21" t="s">
        <v>10</v>
      </c>
      <c r="C604" s="22"/>
      <c r="D604" s="126"/>
      <c r="E604" s="126"/>
      <c r="F604" s="126"/>
      <c r="G604" s="126"/>
      <c r="H604" s="293"/>
      <c r="I604" s="293"/>
      <c r="J604" s="293"/>
      <c r="K604" s="293"/>
      <c r="L604" s="293"/>
      <c r="M604" s="65">
        <f>+M605</f>
        <v>0</v>
      </c>
      <c r="N604" s="65">
        <f>+N605</f>
        <v>0</v>
      </c>
      <c r="O604" s="3225"/>
      <c r="P604" s="921"/>
    </row>
    <row r="605" spans="1:16" s="922" customFormat="1" ht="12" hidden="1">
      <c r="A605" s="3219"/>
      <c r="B605" s="171" t="s">
        <v>24</v>
      </c>
      <c r="C605" s="3289" t="s">
        <v>84</v>
      </c>
      <c r="D605" s="127"/>
      <c r="E605" s="127"/>
      <c r="F605" s="127"/>
      <c r="G605" s="127"/>
      <c r="H605" s="294"/>
      <c r="I605" s="294"/>
      <c r="J605" s="294"/>
      <c r="K605" s="294"/>
      <c r="L605" s="294"/>
      <c r="M605" s="79">
        <f>+M606</f>
        <v>0</v>
      </c>
      <c r="N605" s="79">
        <f>+N606</f>
        <v>0</v>
      </c>
      <c r="O605" s="3225"/>
    </row>
    <row r="606" spans="1:16" s="922" customFormat="1" hidden="1" thickBot="1">
      <c r="A606" s="3220"/>
      <c r="B606" s="446" t="s">
        <v>12</v>
      </c>
      <c r="C606" s="3252"/>
      <c r="D606" s="939"/>
      <c r="E606" s="939"/>
      <c r="F606" s="238"/>
      <c r="G606" s="238"/>
      <c r="H606" s="307"/>
      <c r="I606" s="307"/>
      <c r="J606" s="295"/>
      <c r="K606" s="295"/>
      <c r="L606" s="295"/>
      <c r="M606" s="36">
        <f>SUM(E606:K606)</f>
        <v>0</v>
      </c>
      <c r="N606" s="36">
        <f>SUM(F606:L606)</f>
        <v>0</v>
      </c>
      <c r="O606" s="3226"/>
    </row>
    <row r="607" spans="1:16" s="922" customFormat="1" ht="14.25" hidden="1" customHeight="1">
      <c r="A607" s="3218" t="s">
        <v>93</v>
      </c>
      <c r="B607" s="282"/>
      <c r="C607" s="58"/>
      <c r="D607" s="128"/>
      <c r="E607" s="44"/>
      <c r="F607" s="44"/>
      <c r="G607" s="44"/>
      <c r="H607" s="44"/>
      <c r="I607" s="44"/>
      <c r="J607" s="44"/>
      <c r="K607" s="44"/>
      <c r="L607" s="44"/>
      <c r="M607" s="45"/>
      <c r="N607" s="45"/>
      <c r="O607" s="3224" t="s">
        <v>86</v>
      </c>
    </row>
    <row r="608" spans="1:16" s="922" customFormat="1" ht="12" hidden="1">
      <c r="A608" s="3219"/>
      <c r="B608" s="21" t="s">
        <v>10</v>
      </c>
      <c r="C608" s="22"/>
      <c r="D608" s="126"/>
      <c r="E608" s="293"/>
      <c r="F608" s="126"/>
      <c r="G608" s="126"/>
      <c r="H608" s="126"/>
      <c r="I608" s="293"/>
      <c r="J608" s="293"/>
      <c r="K608" s="293"/>
      <c r="L608" s="293"/>
      <c r="M608" s="65">
        <f>+M609</f>
        <v>0</v>
      </c>
      <c r="N608" s="65">
        <f>+N609</f>
        <v>0</v>
      </c>
      <c r="O608" s="3225"/>
      <c r="P608" s="921"/>
    </row>
    <row r="609" spans="1:16" s="922" customFormat="1" ht="12" hidden="1">
      <c r="A609" s="3219"/>
      <c r="B609" s="171" t="s">
        <v>24</v>
      </c>
      <c r="C609" s="3289" t="s">
        <v>84</v>
      </c>
      <c r="D609" s="127"/>
      <c r="E609" s="294"/>
      <c r="F609" s="127"/>
      <c r="G609" s="127"/>
      <c r="H609" s="127"/>
      <c r="I609" s="294"/>
      <c r="J609" s="294"/>
      <c r="K609" s="294"/>
      <c r="L609" s="294"/>
      <c r="M609" s="79">
        <f>+M610</f>
        <v>0</v>
      </c>
      <c r="N609" s="79">
        <f>+N610</f>
        <v>0</v>
      </c>
      <c r="O609" s="3225"/>
    </row>
    <row r="610" spans="1:16" s="922" customFormat="1" hidden="1" thickBot="1">
      <c r="A610" s="3220"/>
      <c r="B610" s="446" t="s">
        <v>12</v>
      </c>
      <c r="C610" s="3252"/>
      <c r="D610" s="939"/>
      <c r="E610" s="673"/>
      <c r="F610" s="238"/>
      <c r="G610" s="238"/>
      <c r="H610" s="238"/>
      <c r="I610" s="307"/>
      <c r="J610" s="295"/>
      <c r="K610" s="295"/>
      <c r="L610" s="295"/>
      <c r="M610" s="36">
        <f>SUM(E610:K610)</f>
        <v>0</v>
      </c>
      <c r="N610" s="36">
        <f>SUM(F610:L610)</f>
        <v>0</v>
      </c>
      <c r="O610" s="3226"/>
    </row>
    <row r="611" spans="1:16" s="922" customFormat="1" ht="24.75" customHeight="1">
      <c r="A611" s="3218" t="s">
        <v>87</v>
      </c>
      <c r="B611" s="282" t="s">
        <v>451</v>
      </c>
      <c r="C611" s="1861" t="s">
        <v>109</v>
      </c>
      <c r="D611" s="1862"/>
      <c r="E611" s="424"/>
      <c r="F611" s="424"/>
      <c r="G611" s="424"/>
      <c r="H611" s="424"/>
      <c r="I611" s="42"/>
      <c r="J611" s="44"/>
      <c r="K611" s="44"/>
      <c r="L611" s="44"/>
      <c r="M611" s="45"/>
      <c r="N611" s="45"/>
      <c r="O611" s="3224" t="s">
        <v>102</v>
      </c>
    </row>
    <row r="612" spans="1:16" s="922" customFormat="1" ht="12">
      <c r="A612" s="3219"/>
      <c r="B612" s="21" t="s">
        <v>10</v>
      </c>
      <c r="C612" s="22"/>
      <c r="D612" s="126">
        <f>+D613</f>
        <v>767432</v>
      </c>
      <c r="E612" s="126">
        <f t="shared" ref="E612:J613" si="369">+E613</f>
        <v>116055</v>
      </c>
      <c r="F612" s="126">
        <f t="shared" si="369"/>
        <v>81377</v>
      </c>
      <c r="G612" s="126">
        <f t="shared" si="369"/>
        <v>135000</v>
      </c>
      <c r="H612" s="126">
        <f t="shared" si="369"/>
        <v>145000</v>
      </c>
      <c r="I612" s="126">
        <f t="shared" si="369"/>
        <v>145000</v>
      </c>
      <c r="J612" s="126">
        <f t="shared" si="369"/>
        <v>145000</v>
      </c>
      <c r="K612" s="293">
        <v>0</v>
      </c>
      <c r="L612" s="293">
        <v>0</v>
      </c>
      <c r="M612" s="65">
        <f>+M613</f>
        <v>651377</v>
      </c>
      <c r="N612" s="65">
        <f>+N613</f>
        <v>570000</v>
      </c>
      <c r="O612" s="3225"/>
      <c r="P612" s="921"/>
    </row>
    <row r="613" spans="1:16" s="922" customFormat="1" ht="12">
      <c r="A613" s="3219"/>
      <c r="B613" s="171" t="s">
        <v>24</v>
      </c>
      <c r="C613" s="3289" t="s">
        <v>98</v>
      </c>
      <c r="D613" s="127">
        <f>+D614</f>
        <v>767432</v>
      </c>
      <c r="E613" s="127">
        <f t="shared" si="369"/>
        <v>116055</v>
      </c>
      <c r="F613" s="127">
        <f t="shared" si="369"/>
        <v>81377</v>
      </c>
      <c r="G613" s="127">
        <f t="shared" si="369"/>
        <v>135000</v>
      </c>
      <c r="H613" s="127">
        <f t="shared" si="369"/>
        <v>145000</v>
      </c>
      <c r="I613" s="127">
        <f t="shared" si="369"/>
        <v>145000</v>
      </c>
      <c r="J613" s="127">
        <f>145000</f>
        <v>145000</v>
      </c>
      <c r="K613" s="294">
        <v>0</v>
      </c>
      <c r="L613" s="294">
        <v>0</v>
      </c>
      <c r="M613" s="79">
        <f>+M614</f>
        <v>651377</v>
      </c>
      <c r="N613" s="79">
        <f>+N614</f>
        <v>570000</v>
      </c>
      <c r="O613" s="3225"/>
    </row>
    <row r="614" spans="1:16" s="922" customFormat="1" thickBot="1">
      <c r="A614" s="3220"/>
      <c r="B614" s="443" t="s">
        <v>12</v>
      </c>
      <c r="C614" s="3252"/>
      <c r="D614" s="247">
        <f>E614+F614+G614+H614+I614+J614+K614+L614</f>
        <v>767432</v>
      </c>
      <c r="E614" s="284">
        <v>116055</v>
      </c>
      <c r="F614" s="238">
        <f>135000-44000-9623</f>
        <v>81377</v>
      </c>
      <c r="G614" s="238">
        <f>135000</f>
        <v>135000</v>
      </c>
      <c r="H614" s="238">
        <f>135000+10000</f>
        <v>145000</v>
      </c>
      <c r="I614" s="238">
        <f>135000+10000</f>
        <v>145000</v>
      </c>
      <c r="J614" s="238">
        <f>145000</f>
        <v>145000</v>
      </c>
      <c r="K614" s="307">
        <v>0</v>
      </c>
      <c r="L614" s="307">
        <v>0</v>
      </c>
      <c r="M614" s="975">
        <f>SUM(F614:K614)</f>
        <v>651377</v>
      </c>
      <c r="N614" s="975">
        <f>SUM(G614:L614)</f>
        <v>570000</v>
      </c>
      <c r="O614" s="3226"/>
    </row>
    <row r="615" spans="1:16" s="922" customFormat="1" ht="27" customHeight="1">
      <c r="A615" s="3218" t="s">
        <v>88</v>
      </c>
      <c r="B615" s="282" t="s">
        <v>452</v>
      </c>
      <c r="C615" s="58" t="s">
        <v>81</v>
      </c>
      <c r="D615" s="128"/>
      <c r="E615" s="44"/>
      <c r="F615" s="44"/>
      <c r="G615" s="44"/>
      <c r="H615" s="44"/>
      <c r="I615" s="44"/>
      <c r="J615" s="44"/>
      <c r="K615" s="44"/>
      <c r="L615" s="44"/>
      <c r="M615" s="45"/>
      <c r="N615" s="45"/>
      <c r="O615" s="3224" t="s">
        <v>86</v>
      </c>
    </row>
    <row r="616" spans="1:16" s="922" customFormat="1" ht="12">
      <c r="A616" s="3219"/>
      <c r="B616" s="662" t="s">
        <v>10</v>
      </c>
      <c r="C616" s="1800"/>
      <c r="D616" s="1825">
        <f>+D617</f>
        <v>6415000</v>
      </c>
      <c r="E616" s="1825">
        <v>3810194</v>
      </c>
      <c r="F616" s="1825">
        <f t="shared" ref="F616:G617" si="370">+F617</f>
        <v>2021758</v>
      </c>
      <c r="G616" s="1825">
        <f t="shared" si="370"/>
        <v>583048</v>
      </c>
      <c r="H616" s="1831">
        <v>0</v>
      </c>
      <c r="I616" s="1831">
        <v>0</v>
      </c>
      <c r="J616" s="1831">
        <v>0</v>
      </c>
      <c r="K616" s="1831">
        <v>0</v>
      </c>
      <c r="L616" s="1831">
        <v>0</v>
      </c>
      <c r="M616" s="1802">
        <f>+M617</f>
        <v>2604806</v>
      </c>
      <c r="N616" s="1802">
        <f>+N617</f>
        <v>583048</v>
      </c>
      <c r="O616" s="3225"/>
      <c r="P616" s="921"/>
    </row>
    <row r="617" spans="1:16" s="922" customFormat="1" ht="12">
      <c r="A617" s="3219"/>
      <c r="B617" s="633" t="s">
        <v>24</v>
      </c>
      <c r="C617" s="3221" t="s">
        <v>84</v>
      </c>
      <c r="D617" s="1826">
        <f>+D618</f>
        <v>6415000</v>
      </c>
      <c r="E617" s="1826">
        <v>3810194</v>
      </c>
      <c r="F617" s="1826">
        <f t="shared" si="370"/>
        <v>2021758</v>
      </c>
      <c r="G617" s="1826">
        <f t="shared" si="370"/>
        <v>583048</v>
      </c>
      <c r="H617" s="1829">
        <v>0</v>
      </c>
      <c r="I617" s="1829">
        <v>0</v>
      </c>
      <c r="J617" s="1829">
        <v>0</v>
      </c>
      <c r="K617" s="1829">
        <v>0</v>
      </c>
      <c r="L617" s="1829">
        <v>0</v>
      </c>
      <c r="M617" s="1805">
        <f>+M618</f>
        <v>2604806</v>
      </c>
      <c r="N617" s="1805">
        <f>+N618</f>
        <v>583048</v>
      </c>
      <c r="O617" s="3225"/>
    </row>
    <row r="618" spans="1:16" s="922" customFormat="1" thickBot="1">
      <c r="A618" s="3220"/>
      <c r="B618" s="446" t="s">
        <v>12</v>
      </c>
      <c r="C618" s="3252"/>
      <c r="D618" s="1929">
        <f>E618+F618+G618+H618+I618+J618+K618+L618</f>
        <v>6415000</v>
      </c>
      <c r="E618" s="1929">
        <v>3810194</v>
      </c>
      <c r="F618" s="2188">
        <f>1965000+93736+486070-523048</f>
        <v>2021758</v>
      </c>
      <c r="G618" s="2188">
        <f>523048+60000</f>
        <v>583048</v>
      </c>
      <c r="H618" s="2189">
        <v>0</v>
      </c>
      <c r="I618" s="2189">
        <v>0</v>
      </c>
      <c r="J618" s="2189">
        <v>0</v>
      </c>
      <c r="K618" s="2189">
        <v>0</v>
      </c>
      <c r="L618" s="2189">
        <v>0</v>
      </c>
      <c r="M618" s="2190">
        <f>SUM(F618:K618)</f>
        <v>2604806</v>
      </c>
      <c r="N618" s="2190">
        <f>SUM(G618:L618)</f>
        <v>583048</v>
      </c>
      <c r="O618" s="3226"/>
    </row>
    <row r="619" spans="1:16" s="922" customFormat="1" ht="16.5" customHeight="1">
      <c r="A619" s="3218" t="s">
        <v>89</v>
      </c>
      <c r="B619" s="282" t="s">
        <v>327</v>
      </c>
      <c r="C619" s="58" t="s">
        <v>109</v>
      </c>
      <c r="D619" s="128"/>
      <c r="E619" s="481"/>
      <c r="F619" s="44"/>
      <c r="G619" s="44"/>
      <c r="H619" s="44"/>
      <c r="I619" s="44"/>
      <c r="J619" s="44"/>
      <c r="K619" s="44"/>
      <c r="L619" s="44"/>
      <c r="M619" s="45"/>
      <c r="N619" s="45"/>
      <c r="O619" s="3224" t="s">
        <v>86</v>
      </c>
    </row>
    <row r="620" spans="1:16" s="922" customFormat="1" ht="12.75" customHeight="1">
      <c r="A620" s="3219"/>
      <c r="B620" s="21" t="s">
        <v>10</v>
      </c>
      <c r="C620" s="22"/>
      <c r="D620" s="436">
        <f>+D621</f>
        <v>107257369</v>
      </c>
      <c r="E620" s="436">
        <f t="shared" ref="E620:I620" si="371">+E621</f>
        <v>0</v>
      </c>
      <c r="F620" s="436">
        <f t="shared" si="371"/>
        <v>27220670</v>
      </c>
      <c r="G620" s="436">
        <f t="shared" si="371"/>
        <v>26856601</v>
      </c>
      <c r="H620" s="436">
        <f t="shared" si="371"/>
        <v>26265000</v>
      </c>
      <c r="I620" s="436">
        <f t="shared" si="371"/>
        <v>26915098</v>
      </c>
      <c r="J620" s="437">
        <v>0</v>
      </c>
      <c r="K620" s="437">
        <v>0</v>
      </c>
      <c r="L620" s="437">
        <v>0</v>
      </c>
      <c r="M620" s="450">
        <f>+M621</f>
        <v>107257369</v>
      </c>
      <c r="N620" s="450">
        <f>+N621</f>
        <v>80036699</v>
      </c>
      <c r="O620" s="3225"/>
      <c r="P620" s="921"/>
    </row>
    <row r="621" spans="1:16" s="922" customFormat="1" ht="12.75" customHeight="1">
      <c r="A621" s="3219"/>
      <c r="B621" s="633" t="s">
        <v>24</v>
      </c>
      <c r="C621" s="3370" t="s">
        <v>429</v>
      </c>
      <c r="D621" s="2589">
        <f>+D622+D623</f>
        <v>107257369</v>
      </c>
      <c r="E621" s="2589">
        <f t="shared" ref="E621" si="372">+E622+E623</f>
        <v>0</v>
      </c>
      <c r="F621" s="2589">
        <f t="shared" ref="F621:L621" si="373">+F622+F623</f>
        <v>27220670</v>
      </c>
      <c r="G621" s="2589">
        <f t="shared" si="373"/>
        <v>26856601</v>
      </c>
      <c r="H621" s="2589">
        <f t="shared" si="373"/>
        <v>26265000</v>
      </c>
      <c r="I621" s="2589">
        <f t="shared" si="373"/>
        <v>26915098</v>
      </c>
      <c r="J621" s="2590">
        <f t="shared" si="373"/>
        <v>0</v>
      </c>
      <c r="K621" s="2590">
        <f t="shared" si="373"/>
        <v>0</v>
      </c>
      <c r="L621" s="2590">
        <f t="shared" si="373"/>
        <v>0</v>
      </c>
      <c r="M621" s="644">
        <f>+M622+M623</f>
        <v>107257369</v>
      </c>
      <c r="N621" s="644">
        <f>+N622+N623</f>
        <v>80036699</v>
      </c>
      <c r="O621" s="3225"/>
    </row>
    <row r="622" spans="1:16" s="922" customFormat="1" ht="14.25" customHeight="1">
      <c r="A622" s="3219"/>
      <c r="B622" s="1567" t="s">
        <v>12</v>
      </c>
      <c r="C622" s="3222"/>
      <c r="D622" s="247">
        <f>E622+F622+G622+H622+I622+J622+K622+L622</f>
        <v>83831378</v>
      </c>
      <c r="E622" s="284">
        <v>0</v>
      </c>
      <c r="F622" s="2637">
        <f>24142831+86188+3000000-23425991-8349</f>
        <v>3794679</v>
      </c>
      <c r="G622" s="2637">
        <v>26856601</v>
      </c>
      <c r="H622" s="2637">
        <v>26265000</v>
      </c>
      <c r="I622" s="2637">
        <v>26915098</v>
      </c>
      <c r="J622" s="2591">
        <v>0</v>
      </c>
      <c r="K622" s="2591">
        <v>0</v>
      </c>
      <c r="L622" s="2591">
        <v>0</v>
      </c>
      <c r="M622" s="975">
        <f>SUM(F622:K622)</f>
        <v>83831378</v>
      </c>
      <c r="N622" s="975">
        <f>SUM(G622:L622)</f>
        <v>80036699</v>
      </c>
      <c r="O622" s="3225"/>
    </row>
    <row r="623" spans="1:16" s="922" customFormat="1" ht="14.25" customHeight="1">
      <c r="A623" s="3219"/>
      <c r="B623" s="1567" t="s">
        <v>78</v>
      </c>
      <c r="C623" s="3223"/>
      <c r="D623" s="1782">
        <f>E623+F623+G623+H623+I623+J623+K623+L623</f>
        <v>23425991</v>
      </c>
      <c r="E623" s="284">
        <v>0</v>
      </c>
      <c r="F623" s="2637">
        <f>23425991</f>
        <v>23425991</v>
      </c>
      <c r="G623" s="2591">
        <v>0</v>
      </c>
      <c r="H623" s="2591">
        <v>0</v>
      </c>
      <c r="I623" s="2591">
        <v>0</v>
      </c>
      <c r="J623" s="2591">
        <v>0</v>
      </c>
      <c r="K623" s="2591">
        <v>0</v>
      </c>
      <c r="L623" s="2591"/>
      <c r="M623" s="975">
        <f>SUM(F623:K623)</f>
        <v>23425991</v>
      </c>
      <c r="N623" s="975">
        <f>SUM(G623:L623)</f>
        <v>0</v>
      </c>
      <c r="O623" s="3259"/>
    </row>
    <row r="624" spans="1:16" s="922" customFormat="1" ht="14.25" customHeight="1">
      <c r="A624" s="3219"/>
      <c r="B624" s="82" t="s">
        <v>22</v>
      </c>
      <c r="C624" s="90"/>
      <c r="D624" s="2715">
        <f>+D625</f>
        <v>23425991</v>
      </c>
      <c r="E624" s="2715">
        <f t="shared" ref="E624:E625" si="374">+E625</f>
        <v>0</v>
      </c>
      <c r="F624" s="2715">
        <f t="shared" ref="F624:F625" si="375">+F625</f>
        <v>23425991</v>
      </c>
      <c r="G624" s="1545">
        <f t="shared" ref="G624:G625" si="376">+G625</f>
        <v>0</v>
      </c>
      <c r="H624" s="1545">
        <f t="shared" ref="H624:H625" si="377">+H625</f>
        <v>0</v>
      </c>
      <c r="I624" s="1545">
        <f t="shared" ref="I624:I625" si="378">+I625</f>
        <v>0</v>
      </c>
      <c r="J624" s="1545">
        <f t="shared" ref="J624:J625" si="379">+J625</f>
        <v>0</v>
      </c>
      <c r="K624" s="1545">
        <f t="shared" ref="K624:K625" si="380">+K625</f>
        <v>0</v>
      </c>
      <c r="L624" s="1545">
        <f t="shared" ref="L624:L625" si="381">+L625</f>
        <v>0</v>
      </c>
      <c r="M624" s="3371" t="s">
        <v>23</v>
      </c>
      <c r="N624" s="3371" t="s">
        <v>23</v>
      </c>
      <c r="O624" s="3372" t="s">
        <v>102</v>
      </c>
    </row>
    <row r="625" spans="1:16" s="922" customFormat="1" ht="14.25" customHeight="1">
      <c r="A625" s="3219"/>
      <c r="B625" s="171" t="s">
        <v>24</v>
      </c>
      <c r="C625" s="3233" t="s">
        <v>84</v>
      </c>
      <c r="D625" s="127">
        <f>+D626</f>
        <v>23425991</v>
      </c>
      <c r="E625" s="127">
        <f t="shared" si="374"/>
        <v>0</v>
      </c>
      <c r="F625" s="127">
        <f t="shared" si="375"/>
        <v>23425991</v>
      </c>
      <c r="G625" s="294">
        <f t="shared" si="376"/>
        <v>0</v>
      </c>
      <c r="H625" s="294">
        <f t="shared" si="377"/>
        <v>0</v>
      </c>
      <c r="I625" s="294">
        <f t="shared" si="378"/>
        <v>0</v>
      </c>
      <c r="J625" s="294">
        <f t="shared" si="379"/>
        <v>0</v>
      </c>
      <c r="K625" s="294">
        <f t="shared" si="380"/>
        <v>0</v>
      </c>
      <c r="L625" s="294">
        <f t="shared" si="381"/>
        <v>0</v>
      </c>
      <c r="M625" s="3350"/>
      <c r="N625" s="3350"/>
      <c r="O625" s="3225"/>
    </row>
    <row r="626" spans="1:16" s="922" customFormat="1" ht="14.25" customHeight="1" thickBot="1">
      <c r="A626" s="3220"/>
      <c r="B626" s="446" t="s">
        <v>78</v>
      </c>
      <c r="C626" s="3260"/>
      <c r="D626" s="247">
        <f>E626+F626+G626+H626+I626+J626+K626+L626</f>
        <v>23425991</v>
      </c>
      <c r="E626" s="284">
        <v>0</v>
      </c>
      <c r="F626" s="1367">
        <f>23425991</f>
        <v>23425991</v>
      </c>
      <c r="G626" s="307">
        <v>0</v>
      </c>
      <c r="H626" s="307">
        <v>0</v>
      </c>
      <c r="I626" s="307">
        <v>0</v>
      </c>
      <c r="J626" s="307">
        <v>0</v>
      </c>
      <c r="K626" s="307">
        <v>0</v>
      </c>
      <c r="L626" s="307">
        <v>0</v>
      </c>
      <c r="M626" s="3351"/>
      <c r="N626" s="3351"/>
      <c r="O626" s="3226"/>
    </row>
    <row r="627" spans="1:16" s="922" customFormat="1" ht="15.75" customHeight="1">
      <c r="A627" s="3218" t="s">
        <v>90</v>
      </c>
      <c r="B627" s="282" t="s">
        <v>328</v>
      </c>
      <c r="C627" s="58" t="s">
        <v>81</v>
      </c>
      <c r="D627" s="128"/>
      <c r="E627" s="481"/>
      <c r="F627" s="44"/>
      <c r="G627" s="44"/>
      <c r="H627" s="44"/>
      <c r="I627" s="44"/>
      <c r="J627" s="44"/>
      <c r="K627" s="44"/>
      <c r="L627" s="44"/>
      <c r="M627" s="45"/>
      <c r="N627" s="45"/>
      <c r="O627" s="3224" t="s">
        <v>86</v>
      </c>
    </row>
    <row r="628" spans="1:16" s="922" customFormat="1" ht="12.75" customHeight="1">
      <c r="A628" s="3219"/>
      <c r="B628" s="662" t="s">
        <v>10</v>
      </c>
      <c r="C628" s="1824"/>
      <c r="D628" s="1825">
        <f>+D629</f>
        <v>115321326</v>
      </c>
      <c r="E628" s="1825">
        <f t="shared" ref="E628:I628" si="382">+E629</f>
        <v>0</v>
      </c>
      <c r="F628" s="1825">
        <f t="shared" si="382"/>
        <v>24291326</v>
      </c>
      <c r="G628" s="1825">
        <f t="shared" si="382"/>
        <v>29200000</v>
      </c>
      <c r="H628" s="1825">
        <f t="shared" si="382"/>
        <v>30550000</v>
      </c>
      <c r="I628" s="1825">
        <f t="shared" si="382"/>
        <v>31280000</v>
      </c>
      <c r="J628" s="1831">
        <v>0</v>
      </c>
      <c r="K628" s="1831">
        <v>0</v>
      </c>
      <c r="L628" s="1831">
        <v>0</v>
      </c>
      <c r="M628" s="1735">
        <f>+M629</f>
        <v>115321326</v>
      </c>
      <c r="N628" s="1735">
        <f>+N629</f>
        <v>91030000</v>
      </c>
      <c r="O628" s="3225"/>
      <c r="P628" s="921"/>
    </row>
    <row r="629" spans="1:16" s="922" customFormat="1" ht="12.75" customHeight="1">
      <c r="A629" s="3219"/>
      <c r="B629" s="633" t="s">
        <v>24</v>
      </c>
      <c r="C629" s="3221" t="s">
        <v>84</v>
      </c>
      <c r="D629" s="1826">
        <f>+D630+D631</f>
        <v>115321326</v>
      </c>
      <c r="E629" s="1826">
        <f t="shared" ref="E629" si="383">+E630+E631</f>
        <v>0</v>
      </c>
      <c r="F629" s="1826">
        <f t="shared" ref="F629:L629" si="384">+F630+F631</f>
        <v>24291326</v>
      </c>
      <c r="G629" s="1826">
        <f t="shared" si="384"/>
        <v>29200000</v>
      </c>
      <c r="H629" s="1826">
        <f t="shared" si="384"/>
        <v>30550000</v>
      </c>
      <c r="I629" s="1826">
        <f t="shared" si="384"/>
        <v>31280000</v>
      </c>
      <c r="J629" s="1829">
        <f t="shared" si="384"/>
        <v>0</v>
      </c>
      <c r="K629" s="1829">
        <f t="shared" si="384"/>
        <v>0</v>
      </c>
      <c r="L629" s="1829">
        <f t="shared" si="384"/>
        <v>0</v>
      </c>
      <c r="M629" s="1805">
        <f>+M630+M631</f>
        <v>115321326</v>
      </c>
      <c r="N629" s="1805">
        <f>+N630+N631</f>
        <v>91030000</v>
      </c>
      <c r="O629" s="3225"/>
    </row>
    <row r="630" spans="1:16" s="922" customFormat="1" ht="12">
      <c r="A630" s="3219"/>
      <c r="B630" s="1567" t="s">
        <v>12</v>
      </c>
      <c r="C630" s="3222"/>
      <c r="D630" s="1715">
        <f>E630+F630+G630+H630+I630+J630+K630+L630</f>
        <v>113139326</v>
      </c>
      <c r="E630" s="1775">
        <v>0</v>
      </c>
      <c r="F630" s="1816">
        <f>22110000-674</f>
        <v>22109326</v>
      </c>
      <c r="G630" s="1816">
        <v>29200000</v>
      </c>
      <c r="H630" s="1816">
        <v>30550000</v>
      </c>
      <c r="I630" s="1816">
        <v>31280000</v>
      </c>
      <c r="J630" s="1758">
        <v>0</v>
      </c>
      <c r="K630" s="1758">
        <v>0</v>
      </c>
      <c r="L630" s="1758">
        <v>0</v>
      </c>
      <c r="M630" s="975">
        <f>SUM(F630:K630)</f>
        <v>113139326</v>
      </c>
      <c r="N630" s="975">
        <f>SUM(G630:L630)</f>
        <v>91030000</v>
      </c>
      <c r="O630" s="3225"/>
    </row>
    <row r="631" spans="1:16" s="922" customFormat="1" ht="13.5" customHeight="1">
      <c r="A631" s="3219"/>
      <c r="B631" s="2716" t="s">
        <v>114</v>
      </c>
      <c r="C631" s="3223"/>
      <c r="D631" s="1715">
        <f>E631+F631+G631+H631+I631+J631+K631+L631</f>
        <v>2182000</v>
      </c>
      <c r="E631" s="1775">
        <v>0</v>
      </c>
      <c r="F631" s="1816">
        <f>5000+1565000+235000+335000+53000+30000+200000-241000</f>
        <v>2182000</v>
      </c>
      <c r="G631" s="482">
        <v>0</v>
      </c>
      <c r="H631" s="482">
        <v>0</v>
      </c>
      <c r="I631" s="482">
        <v>0</v>
      </c>
      <c r="J631" s="482">
        <v>0</v>
      </c>
      <c r="K631" s="482">
        <v>0</v>
      </c>
      <c r="L631" s="482">
        <v>0</v>
      </c>
      <c r="M631" s="975">
        <f>SUM(F631:K631)</f>
        <v>2182000</v>
      </c>
      <c r="N631" s="975">
        <f>SUM(G631:L631)</f>
        <v>0</v>
      </c>
      <c r="O631" s="3225"/>
    </row>
    <row r="632" spans="1:16" s="922" customFormat="1" ht="12.75" customHeight="1">
      <c r="A632" s="3219"/>
      <c r="B632" s="662" t="s">
        <v>22</v>
      </c>
      <c r="C632" s="1824"/>
      <c r="D632" s="1734">
        <f>+D633</f>
        <v>2182000</v>
      </c>
      <c r="E632" s="1724">
        <f t="shared" ref="E632" si="385">+E633</f>
        <v>0</v>
      </c>
      <c r="F632" s="1825">
        <f>+F633</f>
        <v>2182000</v>
      </c>
      <c r="G632" s="1831">
        <v>0</v>
      </c>
      <c r="H632" s="1831">
        <v>0</v>
      </c>
      <c r="I632" s="1831">
        <v>0</v>
      </c>
      <c r="J632" s="1831">
        <v>0</v>
      </c>
      <c r="K632" s="1831">
        <v>0</v>
      </c>
      <c r="L632" s="1831">
        <v>0</v>
      </c>
      <c r="M632" s="3349" t="s">
        <v>23</v>
      </c>
      <c r="N632" s="3349" t="s">
        <v>23</v>
      </c>
      <c r="O632" s="3225"/>
    </row>
    <row r="633" spans="1:16" s="922" customFormat="1" ht="13.5" customHeight="1">
      <c r="A633" s="3219"/>
      <c r="B633" s="633" t="s">
        <v>24</v>
      </c>
      <c r="C633" s="3214" t="s">
        <v>84</v>
      </c>
      <c r="D633" s="1815">
        <f>+D634</f>
        <v>2182000</v>
      </c>
      <c r="E633" s="1826">
        <f>+E634</f>
        <v>0</v>
      </c>
      <c r="F633" s="1826">
        <f>+F634</f>
        <v>2182000</v>
      </c>
      <c r="G633" s="1829">
        <v>0</v>
      </c>
      <c r="H633" s="1829">
        <v>0</v>
      </c>
      <c r="I633" s="1829">
        <v>0</v>
      </c>
      <c r="J633" s="1829">
        <v>0</v>
      </c>
      <c r="K633" s="1829">
        <v>0</v>
      </c>
      <c r="L633" s="1829">
        <v>0</v>
      </c>
      <c r="M633" s="3350"/>
      <c r="N633" s="3350"/>
      <c r="O633" s="3225"/>
    </row>
    <row r="634" spans="1:16" s="922" customFormat="1" ht="13.5" customHeight="1" thickBot="1">
      <c r="A634" s="3220"/>
      <c r="B634" s="360" t="s">
        <v>114</v>
      </c>
      <c r="C634" s="3217"/>
      <c r="D634" s="942">
        <f>E634+F634+G634+H634+I634+J634+K634+L634</f>
        <v>2182000</v>
      </c>
      <c r="E634" s="942">
        <v>0</v>
      </c>
      <c r="F634" s="2717">
        <f>5000+1565000+235000+335000+53000+30000+200000-241000</f>
        <v>2182000</v>
      </c>
      <c r="G634" s="987">
        <v>0</v>
      </c>
      <c r="H634" s="987">
        <v>0</v>
      </c>
      <c r="I634" s="987">
        <v>0</v>
      </c>
      <c r="J634" s="987">
        <v>0</v>
      </c>
      <c r="K634" s="987">
        <v>0</v>
      </c>
      <c r="L634" s="987">
        <v>0</v>
      </c>
      <c r="M634" s="3351"/>
      <c r="N634" s="3351"/>
      <c r="O634" s="3226"/>
    </row>
    <row r="635" spans="1:16" s="922" customFormat="1" ht="12.75" customHeight="1">
      <c r="A635" s="3218" t="s">
        <v>91</v>
      </c>
      <c r="B635" s="282" t="s">
        <v>387</v>
      </c>
      <c r="C635" s="58" t="s">
        <v>81</v>
      </c>
      <c r="D635" s="128"/>
      <c r="E635" s="481"/>
      <c r="F635" s="44"/>
      <c r="G635" s="44"/>
      <c r="H635" s="44"/>
      <c r="I635" s="44"/>
      <c r="J635" s="44"/>
      <c r="K635" s="44"/>
      <c r="L635" s="44"/>
      <c r="M635" s="45"/>
      <c r="N635" s="45"/>
      <c r="O635" s="3224" t="s">
        <v>86</v>
      </c>
    </row>
    <row r="636" spans="1:16" s="922" customFormat="1" ht="12">
      <c r="A636" s="3219"/>
      <c r="B636" s="21" t="s">
        <v>10</v>
      </c>
      <c r="C636" s="22"/>
      <c r="D636" s="436">
        <f>+D637</f>
        <v>3000000</v>
      </c>
      <c r="E636" s="436">
        <f t="shared" ref="E636:I637" si="386">+E637</f>
        <v>0</v>
      </c>
      <c r="F636" s="436">
        <f t="shared" si="386"/>
        <v>0</v>
      </c>
      <c r="G636" s="436">
        <f t="shared" si="386"/>
        <v>3000000</v>
      </c>
      <c r="H636" s="436">
        <f t="shared" si="386"/>
        <v>0</v>
      </c>
      <c r="I636" s="436">
        <f t="shared" si="386"/>
        <v>0</v>
      </c>
      <c r="J636" s="437">
        <v>0</v>
      </c>
      <c r="K636" s="437">
        <v>0</v>
      </c>
      <c r="L636" s="437">
        <v>0</v>
      </c>
      <c r="M636" s="450">
        <f>+M637</f>
        <v>3000000</v>
      </c>
      <c r="N636" s="450">
        <f>+N637</f>
        <v>3000000</v>
      </c>
      <c r="O636" s="3225"/>
      <c r="P636" s="921"/>
    </row>
    <row r="637" spans="1:16" s="922" customFormat="1" ht="12">
      <c r="A637" s="3219"/>
      <c r="B637" s="171" t="s">
        <v>24</v>
      </c>
      <c r="C637" s="3251" t="s">
        <v>84</v>
      </c>
      <c r="D637" s="453">
        <f>+D638</f>
        <v>3000000</v>
      </c>
      <c r="E637" s="453">
        <f t="shared" si="386"/>
        <v>0</v>
      </c>
      <c r="F637" s="453">
        <f t="shared" si="386"/>
        <v>0</v>
      </c>
      <c r="G637" s="453">
        <f t="shared" si="386"/>
        <v>3000000</v>
      </c>
      <c r="H637" s="453">
        <f t="shared" si="386"/>
        <v>0</v>
      </c>
      <c r="I637" s="453">
        <f t="shared" si="386"/>
        <v>0</v>
      </c>
      <c r="J637" s="454">
        <v>0</v>
      </c>
      <c r="K637" s="454">
        <v>0</v>
      </c>
      <c r="L637" s="454">
        <v>0</v>
      </c>
      <c r="M637" s="451">
        <f>+M638</f>
        <v>3000000</v>
      </c>
      <c r="N637" s="451">
        <f>+N638</f>
        <v>3000000</v>
      </c>
      <c r="O637" s="3225"/>
    </row>
    <row r="638" spans="1:16" s="922" customFormat="1" thickBot="1">
      <c r="A638" s="3220"/>
      <c r="B638" s="446" t="s">
        <v>12</v>
      </c>
      <c r="C638" s="3252"/>
      <c r="D638" s="247">
        <f>E638+F638+G638+H638+I638+J638+K638+L638</f>
        <v>3000000</v>
      </c>
      <c r="E638" s="284">
        <v>0</v>
      </c>
      <c r="F638" s="238">
        <v>0</v>
      </c>
      <c r="G638" s="238">
        <v>3000000</v>
      </c>
      <c r="H638" s="238"/>
      <c r="I638" s="238"/>
      <c r="J638" s="307">
        <v>0</v>
      </c>
      <c r="K638" s="307">
        <v>0</v>
      </c>
      <c r="L638" s="307">
        <v>0</v>
      </c>
      <c r="M638" s="975">
        <f>SUM(F638:K638)</f>
        <v>3000000</v>
      </c>
      <c r="N638" s="975">
        <f>SUM(G638:L638)</f>
        <v>3000000</v>
      </c>
      <c r="O638" s="3226"/>
    </row>
    <row r="639" spans="1:16" s="922" customFormat="1" ht="17.25" customHeight="1">
      <c r="A639" s="3218" t="s">
        <v>92</v>
      </c>
      <c r="B639" s="282" t="s">
        <v>423</v>
      </c>
      <c r="C639" s="58" t="s">
        <v>81</v>
      </c>
      <c r="D639" s="128"/>
      <c r="E639" s="44"/>
      <c r="F639" s="44"/>
      <c r="G639" s="44"/>
      <c r="H639" s="44"/>
      <c r="I639" s="44"/>
      <c r="J639" s="44"/>
      <c r="K639" s="44"/>
      <c r="L639" s="44"/>
      <c r="M639" s="45"/>
      <c r="N639" s="45"/>
      <c r="O639" s="3224" t="s">
        <v>86</v>
      </c>
    </row>
    <row r="640" spans="1:16" s="922" customFormat="1" ht="12">
      <c r="A640" s="3219"/>
      <c r="B640" s="662" t="s">
        <v>10</v>
      </c>
      <c r="C640" s="1800"/>
      <c r="D640" s="1825">
        <f>+D641</f>
        <v>29999995</v>
      </c>
      <c r="E640" s="1825">
        <f t="shared" ref="E640:L641" si="387">+E641</f>
        <v>0</v>
      </c>
      <c r="F640" s="1825">
        <f t="shared" si="387"/>
        <v>9999995</v>
      </c>
      <c r="G640" s="1825">
        <f t="shared" si="387"/>
        <v>10000000</v>
      </c>
      <c r="H640" s="1825">
        <f t="shared" si="387"/>
        <v>10000000</v>
      </c>
      <c r="I640" s="1825">
        <f t="shared" si="387"/>
        <v>0</v>
      </c>
      <c r="J640" s="1825">
        <f t="shared" si="387"/>
        <v>0</v>
      </c>
      <c r="K640" s="1825">
        <f t="shared" si="387"/>
        <v>0</v>
      </c>
      <c r="L640" s="1825">
        <f t="shared" si="387"/>
        <v>0</v>
      </c>
      <c r="M640" s="1802">
        <f>+M641</f>
        <v>29999995</v>
      </c>
      <c r="N640" s="1802">
        <f>+N641</f>
        <v>20000000</v>
      </c>
      <c r="O640" s="3225"/>
    </row>
    <row r="641" spans="1:15" s="922" customFormat="1" ht="12">
      <c r="A641" s="3219"/>
      <c r="B641" s="633" t="s">
        <v>24</v>
      </c>
      <c r="C641" s="3214" t="s">
        <v>84</v>
      </c>
      <c r="D641" s="1826">
        <f>+D642</f>
        <v>29999995</v>
      </c>
      <c r="E641" s="1826">
        <f t="shared" si="387"/>
        <v>0</v>
      </c>
      <c r="F641" s="1826">
        <f t="shared" si="387"/>
        <v>9999995</v>
      </c>
      <c r="G641" s="1826">
        <f t="shared" si="387"/>
        <v>10000000</v>
      </c>
      <c r="H641" s="1826">
        <f t="shared" si="387"/>
        <v>10000000</v>
      </c>
      <c r="I641" s="1826">
        <f t="shared" si="387"/>
        <v>0</v>
      </c>
      <c r="J641" s="1826">
        <f t="shared" si="387"/>
        <v>0</v>
      </c>
      <c r="K641" s="1826">
        <f t="shared" si="387"/>
        <v>0</v>
      </c>
      <c r="L641" s="1826">
        <f t="shared" si="387"/>
        <v>0</v>
      </c>
      <c r="M641" s="1805">
        <f>+M642</f>
        <v>29999995</v>
      </c>
      <c r="N641" s="1805">
        <f>+N642</f>
        <v>20000000</v>
      </c>
      <c r="O641" s="3225"/>
    </row>
    <row r="642" spans="1:15" s="922" customFormat="1" thickBot="1">
      <c r="A642" s="3220"/>
      <c r="B642" s="443" t="s">
        <v>12</v>
      </c>
      <c r="C642" s="3243"/>
      <c r="D642" s="2147">
        <f>E642+F642+G642+H642+I642+J642+K642+L642</f>
        <v>29999995</v>
      </c>
      <c r="E642" s="2147">
        <v>0</v>
      </c>
      <c r="F642" s="2188">
        <f>10000000-5</f>
        <v>9999995</v>
      </c>
      <c r="G642" s="2188">
        <v>10000000</v>
      </c>
      <c r="H642" s="2188">
        <v>10000000</v>
      </c>
      <c r="I642" s="2188"/>
      <c r="J642" s="2718"/>
      <c r="K642" s="2234"/>
      <c r="L642" s="2188"/>
      <c r="M642" s="2190">
        <f>SUM(F642:K642)</f>
        <v>29999995</v>
      </c>
      <c r="N642" s="2190">
        <f>SUM(G642:L642)</f>
        <v>20000000</v>
      </c>
      <c r="O642" s="3226"/>
    </row>
    <row r="643" spans="1:15" hidden="1"/>
    <row r="644" spans="1:15" hidden="1">
      <c r="B644" s="233" t="s">
        <v>401</v>
      </c>
    </row>
    <row r="645" spans="1:15" hidden="1">
      <c r="B645" s="233" t="s">
        <v>402</v>
      </c>
      <c r="D645" s="456">
        <f>D417+D432</f>
        <v>799122</v>
      </c>
      <c r="E645" s="456">
        <f t="shared" ref="E645:M645" si="388">E417+E432</f>
        <v>0</v>
      </c>
      <c r="F645" s="456">
        <f t="shared" si="388"/>
        <v>45734</v>
      </c>
      <c r="G645" s="456">
        <f t="shared" si="388"/>
        <v>259104</v>
      </c>
      <c r="H645" s="456">
        <f t="shared" si="388"/>
        <v>341780</v>
      </c>
      <c r="I645" s="456">
        <f t="shared" si="388"/>
        <v>152504</v>
      </c>
      <c r="J645" s="456">
        <f t="shared" si="388"/>
        <v>0</v>
      </c>
      <c r="K645" s="456">
        <f t="shared" si="388"/>
        <v>0</v>
      </c>
      <c r="L645" s="456">
        <f t="shared" si="388"/>
        <v>0</v>
      </c>
      <c r="M645" s="456" t="e">
        <f t="shared" si="388"/>
        <v>#VALUE!</v>
      </c>
    </row>
    <row r="646" spans="1:15" hidden="1">
      <c r="B646" s="233" t="s">
        <v>403</v>
      </c>
      <c r="D646" s="456">
        <f>D22-D417-D432</f>
        <v>641371123</v>
      </c>
      <c r="E646" s="456">
        <f t="shared" ref="E646:M646" si="389">E22-E417-E432</f>
        <v>34852146</v>
      </c>
      <c r="F646" s="456">
        <f t="shared" si="389"/>
        <v>180894925</v>
      </c>
      <c r="G646" s="456">
        <f t="shared" si="389"/>
        <v>336411263</v>
      </c>
      <c r="H646" s="456">
        <f t="shared" si="389"/>
        <v>71088304</v>
      </c>
      <c r="I646" s="456">
        <f t="shared" si="389"/>
        <v>18124485</v>
      </c>
      <c r="J646" s="456">
        <f t="shared" si="389"/>
        <v>0</v>
      </c>
      <c r="K646" s="456">
        <f t="shared" si="389"/>
        <v>0</v>
      </c>
      <c r="L646" s="456">
        <f t="shared" si="389"/>
        <v>0</v>
      </c>
      <c r="M646" s="456" t="e">
        <f t="shared" si="389"/>
        <v>#VALUE!</v>
      </c>
    </row>
    <row r="647" spans="1:15" hidden="1">
      <c r="B647" s="233" t="s">
        <v>404</v>
      </c>
      <c r="D647" s="992">
        <f>D645+D646</f>
        <v>642170245</v>
      </c>
      <c r="E647" s="992">
        <f t="shared" ref="E647:L647" si="390">E645+E646</f>
        <v>34852146</v>
      </c>
      <c r="F647" s="992">
        <f t="shared" si="390"/>
        <v>180940659</v>
      </c>
      <c r="G647" s="992">
        <f t="shared" si="390"/>
        <v>336670367</v>
      </c>
      <c r="H647" s="992">
        <f t="shared" si="390"/>
        <v>71430084</v>
      </c>
      <c r="I647" s="992">
        <f t="shared" si="390"/>
        <v>18276989</v>
      </c>
      <c r="J647" s="992">
        <f t="shared" si="390"/>
        <v>0</v>
      </c>
      <c r="K647" s="992">
        <f t="shared" si="390"/>
        <v>0</v>
      </c>
      <c r="L647" s="992">
        <f t="shared" si="390"/>
        <v>0</v>
      </c>
    </row>
    <row r="648" spans="1:15" s="844" customFormat="1" hidden="1">
      <c r="B648" s="844" t="s">
        <v>42</v>
      </c>
      <c r="D648" s="841">
        <f>D22-D647</f>
        <v>0</v>
      </c>
      <c r="E648" s="841">
        <f t="shared" ref="E648:L648" si="391">E22-E647</f>
        <v>0</v>
      </c>
      <c r="F648" s="841">
        <f t="shared" si="391"/>
        <v>0</v>
      </c>
      <c r="G648" s="841">
        <f t="shared" si="391"/>
        <v>0</v>
      </c>
      <c r="H648" s="841">
        <f t="shared" si="391"/>
        <v>0</v>
      </c>
      <c r="I648" s="841">
        <f t="shared" si="391"/>
        <v>0</v>
      </c>
      <c r="J648" s="841">
        <f t="shared" si="391"/>
        <v>0</v>
      </c>
      <c r="K648" s="841">
        <f t="shared" si="391"/>
        <v>0</v>
      </c>
      <c r="L648" s="841">
        <f t="shared" si="391"/>
        <v>0</v>
      </c>
    </row>
    <row r="649" spans="1:15" hidden="1"/>
    <row r="650" spans="1:15" hidden="1"/>
    <row r="651" spans="1:15" hidden="1">
      <c r="B651" s="233" t="s">
        <v>493</v>
      </c>
    </row>
    <row r="652" spans="1:15" hidden="1">
      <c r="B652" s="233" t="s">
        <v>402</v>
      </c>
      <c r="D652" s="456">
        <f>D517+D579+D552+D624</f>
        <v>193267416</v>
      </c>
      <c r="E652" s="456">
        <f t="shared" ref="E652:L652" si="392">E517+E579+E552+E624</f>
        <v>56644776</v>
      </c>
      <c r="F652" s="456">
        <f t="shared" si="392"/>
        <v>47273283</v>
      </c>
      <c r="G652" s="456">
        <f t="shared" si="392"/>
        <v>29238187</v>
      </c>
      <c r="H652" s="456">
        <f t="shared" si="392"/>
        <v>30055585</v>
      </c>
      <c r="I652" s="456">
        <f t="shared" si="392"/>
        <v>30055585</v>
      </c>
      <c r="J652" s="456">
        <f t="shared" si="392"/>
        <v>0</v>
      </c>
      <c r="K652" s="456">
        <f t="shared" si="392"/>
        <v>0</v>
      </c>
      <c r="L652" s="456">
        <f t="shared" si="392"/>
        <v>0</v>
      </c>
    </row>
    <row r="653" spans="1:15" hidden="1">
      <c r="B653" s="233" t="s">
        <v>403</v>
      </c>
      <c r="D653" s="456">
        <f>D529+D632</f>
        <v>2182000</v>
      </c>
      <c r="E653" s="456">
        <f t="shared" ref="E653:L653" si="393">E529+E632</f>
        <v>0</v>
      </c>
      <c r="F653" s="456">
        <f t="shared" si="393"/>
        <v>2182000</v>
      </c>
      <c r="G653" s="456">
        <f t="shared" si="393"/>
        <v>0</v>
      </c>
      <c r="H653" s="456">
        <f t="shared" si="393"/>
        <v>0</v>
      </c>
      <c r="I653" s="456">
        <f t="shared" si="393"/>
        <v>0</v>
      </c>
      <c r="J653" s="456">
        <f t="shared" si="393"/>
        <v>0</v>
      </c>
      <c r="K653" s="456">
        <f t="shared" si="393"/>
        <v>0</v>
      </c>
      <c r="L653" s="456">
        <f t="shared" si="393"/>
        <v>0</v>
      </c>
    </row>
    <row r="654" spans="1:15" hidden="1">
      <c r="B654" s="233" t="s">
        <v>404</v>
      </c>
      <c r="D654" s="992">
        <f>D652+D653</f>
        <v>195449416</v>
      </c>
      <c r="E654" s="992">
        <f t="shared" ref="E654:L654" si="394">E652+E653</f>
        <v>56644776</v>
      </c>
      <c r="F654" s="992">
        <f t="shared" si="394"/>
        <v>49455283</v>
      </c>
      <c r="G654" s="992">
        <f t="shared" si="394"/>
        <v>29238187</v>
      </c>
      <c r="H654" s="992">
        <f t="shared" si="394"/>
        <v>30055585</v>
      </c>
      <c r="I654" s="992">
        <f t="shared" si="394"/>
        <v>30055585</v>
      </c>
      <c r="J654" s="992">
        <f t="shared" si="394"/>
        <v>0</v>
      </c>
      <c r="K654" s="992">
        <f t="shared" si="394"/>
        <v>0</v>
      </c>
      <c r="L654" s="992">
        <f t="shared" si="394"/>
        <v>0</v>
      </c>
    </row>
    <row r="655" spans="1:15" s="844" customFormat="1" hidden="1">
      <c r="B655" s="844" t="s">
        <v>42</v>
      </c>
      <c r="D655" s="841">
        <f>D506-D654</f>
        <v>0</v>
      </c>
      <c r="E655" s="841">
        <f t="shared" ref="E655:L655" si="395">E506-E654</f>
        <v>0</v>
      </c>
      <c r="F655" s="841">
        <f t="shared" si="395"/>
        <v>0</v>
      </c>
      <c r="G655" s="841">
        <f t="shared" si="395"/>
        <v>0</v>
      </c>
      <c r="H655" s="841">
        <f t="shared" si="395"/>
        <v>0</v>
      </c>
      <c r="I655" s="841">
        <f t="shared" si="395"/>
        <v>0</v>
      </c>
      <c r="J655" s="841">
        <f t="shared" si="395"/>
        <v>0</v>
      </c>
      <c r="K655" s="841">
        <f t="shared" si="395"/>
        <v>0</v>
      </c>
      <c r="L655" s="841">
        <f t="shared" si="395"/>
        <v>0</v>
      </c>
    </row>
    <row r="656" spans="1:15" hidden="1"/>
  </sheetData>
  <mergeCells count="360">
    <mergeCell ref="A264:A275"/>
    <mergeCell ref="O264:O270"/>
    <mergeCell ref="C266:C270"/>
    <mergeCell ref="M271:M275"/>
    <mergeCell ref="N271:N275"/>
    <mergeCell ref="O271:O275"/>
    <mergeCell ref="C272:C275"/>
    <mergeCell ref="M624:M626"/>
    <mergeCell ref="M354:M356"/>
    <mergeCell ref="M364:M368"/>
    <mergeCell ref="M375:M377"/>
    <mergeCell ref="M417:M419"/>
    <mergeCell ref="M432:M434"/>
    <mergeCell ref="M444:M450"/>
    <mergeCell ref="M460:M468"/>
    <mergeCell ref="M475:M477"/>
    <mergeCell ref="M529:M531"/>
    <mergeCell ref="M560:M562"/>
    <mergeCell ref="M567:M569"/>
    <mergeCell ref="O624:O626"/>
    <mergeCell ref="N624:N626"/>
    <mergeCell ref="O574:O582"/>
    <mergeCell ref="N579:N582"/>
    <mergeCell ref="N592:N594"/>
    <mergeCell ref="A639:A642"/>
    <mergeCell ref="O639:O642"/>
    <mergeCell ref="C641:C642"/>
    <mergeCell ref="C597:C599"/>
    <mergeCell ref="A587:A594"/>
    <mergeCell ref="C576:C577"/>
    <mergeCell ref="N632:N634"/>
    <mergeCell ref="C553:C554"/>
    <mergeCell ref="O563:O566"/>
    <mergeCell ref="C565:C566"/>
    <mergeCell ref="A595:A602"/>
    <mergeCell ref="O595:O602"/>
    <mergeCell ref="O587:O594"/>
    <mergeCell ref="C601:C602"/>
    <mergeCell ref="A583:A586"/>
    <mergeCell ref="N600:N602"/>
    <mergeCell ref="O583:O586"/>
    <mergeCell ref="C589:C591"/>
    <mergeCell ref="A611:A614"/>
    <mergeCell ref="M632:M634"/>
    <mergeCell ref="C625:C626"/>
    <mergeCell ref="A619:A626"/>
    <mergeCell ref="C621:C623"/>
    <mergeCell ref="O619:O623"/>
    <mergeCell ref="M211:M215"/>
    <mergeCell ref="M223:M227"/>
    <mergeCell ref="M235:M239"/>
    <mergeCell ref="M247:M251"/>
    <mergeCell ref="M283:M287"/>
    <mergeCell ref="M321:M325"/>
    <mergeCell ref="N560:N562"/>
    <mergeCell ref="N506:N511"/>
    <mergeCell ref="M545:M547"/>
    <mergeCell ref="M552:M554"/>
    <mergeCell ref="N235:N239"/>
    <mergeCell ref="N211:N215"/>
    <mergeCell ref="O344:O346"/>
    <mergeCell ref="A615:A618"/>
    <mergeCell ref="O615:O618"/>
    <mergeCell ref="C617:C618"/>
    <mergeCell ref="O603:O606"/>
    <mergeCell ref="C605:C606"/>
    <mergeCell ref="C593:C594"/>
    <mergeCell ref="A570:A573"/>
    <mergeCell ref="O570:O573"/>
    <mergeCell ref="C572:C573"/>
    <mergeCell ref="A574:A582"/>
    <mergeCell ref="O611:O614"/>
    <mergeCell ref="C613:C614"/>
    <mergeCell ref="A603:A606"/>
    <mergeCell ref="C580:C582"/>
    <mergeCell ref="M579:M582"/>
    <mergeCell ref="M592:M594"/>
    <mergeCell ref="M600:M602"/>
    <mergeCell ref="O532:O535"/>
    <mergeCell ref="N545:N547"/>
    <mergeCell ref="N552:N554"/>
    <mergeCell ref="C494:C495"/>
    <mergeCell ref="N484:N486"/>
    <mergeCell ref="N493:N495"/>
    <mergeCell ref="C514:C515"/>
    <mergeCell ref="A478:A486"/>
    <mergeCell ref="A512:A519"/>
    <mergeCell ref="N517:N519"/>
    <mergeCell ref="A520:A523"/>
    <mergeCell ref="A487:A495"/>
    <mergeCell ref="C518:C519"/>
    <mergeCell ref="M484:M486"/>
    <mergeCell ref="M493:M495"/>
    <mergeCell ref="M506:M511"/>
    <mergeCell ref="M517:M519"/>
    <mergeCell ref="O235:O239"/>
    <mergeCell ref="C476:C477"/>
    <mergeCell ref="N364:N368"/>
    <mergeCell ref="A548:A554"/>
    <mergeCell ref="O567:O569"/>
    <mergeCell ref="C568:C569"/>
    <mergeCell ref="A524:A531"/>
    <mergeCell ref="O524:O531"/>
    <mergeCell ref="C526:C528"/>
    <mergeCell ref="C530:C531"/>
    <mergeCell ref="N529:N531"/>
    <mergeCell ref="A532:A535"/>
    <mergeCell ref="A540:A547"/>
    <mergeCell ref="O540:O543"/>
    <mergeCell ref="C542:C544"/>
    <mergeCell ref="O545:O547"/>
    <mergeCell ref="C546:C547"/>
    <mergeCell ref="O548:O551"/>
    <mergeCell ref="C550:C551"/>
    <mergeCell ref="A563:A569"/>
    <mergeCell ref="N567:N569"/>
    <mergeCell ref="A555:A562"/>
    <mergeCell ref="C561:C562"/>
    <mergeCell ref="O240:O246"/>
    <mergeCell ref="C242:C246"/>
    <mergeCell ref="O247:O251"/>
    <mergeCell ref="C248:C251"/>
    <mergeCell ref="O378:O383"/>
    <mergeCell ref="O384:O386"/>
    <mergeCell ref="N475:N477"/>
    <mergeCell ref="C403:C404"/>
    <mergeCell ref="O451:O467"/>
    <mergeCell ref="C453:C456"/>
    <mergeCell ref="N384:N386"/>
    <mergeCell ref="C385:C386"/>
    <mergeCell ref="O326:O332"/>
    <mergeCell ref="O396:O401"/>
    <mergeCell ref="N283:N287"/>
    <mergeCell ref="N333:N337"/>
    <mergeCell ref="N344:N346"/>
    <mergeCell ref="N354:N356"/>
    <mergeCell ref="N247:N251"/>
    <mergeCell ref="O276:O282"/>
    <mergeCell ref="C284:C287"/>
    <mergeCell ref="C290:C294"/>
    <mergeCell ref="N295:N299"/>
    <mergeCell ref="C398:C401"/>
    <mergeCell ref="O314:O325"/>
    <mergeCell ref="A240:A251"/>
    <mergeCell ref="C176:C179"/>
    <mergeCell ref="A228:A239"/>
    <mergeCell ref="O288:O299"/>
    <mergeCell ref="A276:A287"/>
    <mergeCell ref="A156:A167"/>
    <mergeCell ref="A378:A386"/>
    <mergeCell ref="C380:C383"/>
    <mergeCell ref="N375:N377"/>
    <mergeCell ref="C376:C377"/>
    <mergeCell ref="A288:A299"/>
    <mergeCell ref="C359:C363"/>
    <mergeCell ref="A326:A337"/>
    <mergeCell ref="A314:A325"/>
    <mergeCell ref="C316:C320"/>
    <mergeCell ref="O169:O174"/>
    <mergeCell ref="C170:C174"/>
    <mergeCell ref="O175:O179"/>
    <mergeCell ref="O375:O377"/>
    <mergeCell ref="O228:O234"/>
    <mergeCell ref="C230:C234"/>
    <mergeCell ref="N175:N179"/>
    <mergeCell ref="C278:C282"/>
    <mergeCell ref="C236:C239"/>
    <mergeCell ref="O211:O215"/>
    <mergeCell ref="C212:C215"/>
    <mergeCell ref="A204:A215"/>
    <mergeCell ref="C206:C210"/>
    <mergeCell ref="O137:O143"/>
    <mergeCell ref="C138:C143"/>
    <mergeCell ref="A103:A111"/>
    <mergeCell ref="O104:O108"/>
    <mergeCell ref="C105:C108"/>
    <mergeCell ref="O109:O111"/>
    <mergeCell ref="C110:C111"/>
    <mergeCell ref="N151:N155"/>
    <mergeCell ref="N121:N127"/>
    <mergeCell ref="N137:N143"/>
    <mergeCell ref="A144:A155"/>
    <mergeCell ref="C146:C150"/>
    <mergeCell ref="C152:C155"/>
    <mergeCell ref="O129:O136"/>
    <mergeCell ref="C130:C136"/>
    <mergeCell ref="O193:O198"/>
    <mergeCell ref="C194:C198"/>
    <mergeCell ref="N199:N203"/>
    <mergeCell ref="O199:O203"/>
    <mergeCell ref="O187:O191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3:A66"/>
    <mergeCell ref="N61:N66"/>
    <mergeCell ref="O145:O150"/>
    <mergeCell ref="A91:A102"/>
    <mergeCell ref="O92:O97"/>
    <mergeCell ref="C75:C78"/>
    <mergeCell ref="O121:O127"/>
    <mergeCell ref="C122:C127"/>
    <mergeCell ref="M121:M127"/>
    <mergeCell ref="N109:N111"/>
    <mergeCell ref="A128:A143"/>
    <mergeCell ref="C69:C72"/>
    <mergeCell ref="N86:N90"/>
    <mergeCell ref="M61:M66"/>
    <mergeCell ref="M74:M78"/>
    <mergeCell ref="M86:M90"/>
    <mergeCell ref="M98:M102"/>
    <mergeCell ref="M109:M111"/>
    <mergeCell ref="M137:M143"/>
    <mergeCell ref="A192:A203"/>
    <mergeCell ref="O151:O155"/>
    <mergeCell ref="A180:A191"/>
    <mergeCell ref="O181:O186"/>
    <mergeCell ref="C182:C186"/>
    <mergeCell ref="N187:N191"/>
    <mergeCell ref="O157:O162"/>
    <mergeCell ref="C158:C162"/>
    <mergeCell ref="N163:N167"/>
    <mergeCell ref="O163:O167"/>
    <mergeCell ref="C164:C167"/>
    <mergeCell ref="A168:A179"/>
    <mergeCell ref="M187:M191"/>
    <mergeCell ref="M199:M203"/>
    <mergeCell ref="M151:M155"/>
    <mergeCell ref="M163:M167"/>
    <mergeCell ref="M175:M179"/>
    <mergeCell ref="O560:O562"/>
    <mergeCell ref="A113:A127"/>
    <mergeCell ref="O114:O120"/>
    <mergeCell ref="C115:C120"/>
    <mergeCell ref="O54:O60"/>
    <mergeCell ref="A79:A90"/>
    <mergeCell ref="O80:O85"/>
    <mergeCell ref="C81:C85"/>
    <mergeCell ref="O86:O90"/>
    <mergeCell ref="C87:C90"/>
    <mergeCell ref="C55:C60"/>
    <mergeCell ref="A67:A78"/>
    <mergeCell ref="O61:O66"/>
    <mergeCell ref="C62:C66"/>
    <mergeCell ref="O68:O73"/>
    <mergeCell ref="O74:O78"/>
    <mergeCell ref="N74:N78"/>
    <mergeCell ref="C93:C97"/>
    <mergeCell ref="O98:O102"/>
    <mergeCell ref="C99:C102"/>
    <mergeCell ref="N98:N102"/>
    <mergeCell ref="C200:C203"/>
    <mergeCell ref="N393:N395"/>
    <mergeCell ref="C188:C191"/>
    <mergeCell ref="O369:O374"/>
    <mergeCell ref="O402:O404"/>
    <mergeCell ref="A405:A419"/>
    <mergeCell ref="A607:A610"/>
    <mergeCell ref="O607:O610"/>
    <mergeCell ref="C609:C610"/>
    <mergeCell ref="C296:C299"/>
    <mergeCell ref="A348:A356"/>
    <mergeCell ref="O348:O353"/>
    <mergeCell ref="C350:C353"/>
    <mergeCell ref="O354:O356"/>
    <mergeCell ref="C355:C356"/>
    <mergeCell ref="O405:O419"/>
    <mergeCell ref="A357:A368"/>
    <mergeCell ref="O357:O363"/>
    <mergeCell ref="A497:A508"/>
    <mergeCell ref="O502:O511"/>
    <mergeCell ref="A387:A395"/>
    <mergeCell ref="O387:O392"/>
    <mergeCell ref="O364:O368"/>
    <mergeCell ref="N444:N450"/>
    <mergeCell ref="O300:O313"/>
    <mergeCell ref="N460:N468"/>
    <mergeCell ref="A300:A313"/>
    <mergeCell ref="C422:C428"/>
    <mergeCell ref="C433:C434"/>
    <mergeCell ref="N432:N434"/>
    <mergeCell ref="O435:O449"/>
    <mergeCell ref="C345:C346"/>
    <mergeCell ref="O283:O287"/>
    <mergeCell ref="C407:C413"/>
    <mergeCell ref="N417:N419"/>
    <mergeCell ref="N321:N325"/>
    <mergeCell ref="C322:C325"/>
    <mergeCell ref="M384:M386"/>
    <mergeCell ref="M393:M395"/>
    <mergeCell ref="M402:M404"/>
    <mergeCell ref="M295:M299"/>
    <mergeCell ref="M333:M337"/>
    <mergeCell ref="M344:M346"/>
    <mergeCell ref="O393:O395"/>
    <mergeCell ref="C394:C395"/>
    <mergeCell ref="N402:N404"/>
    <mergeCell ref="C302:C307"/>
    <mergeCell ref="C309:C313"/>
    <mergeCell ref="C365:C368"/>
    <mergeCell ref="C389:C392"/>
    <mergeCell ref="C371:C374"/>
    <mergeCell ref="P114:P120"/>
    <mergeCell ref="P158:P162"/>
    <mergeCell ref="P170:P174"/>
    <mergeCell ref="A635:A638"/>
    <mergeCell ref="O635:O638"/>
    <mergeCell ref="C637:C638"/>
    <mergeCell ref="O512:O519"/>
    <mergeCell ref="O204:O210"/>
    <mergeCell ref="A216:A227"/>
    <mergeCell ref="O216:O222"/>
    <mergeCell ref="C218:C222"/>
    <mergeCell ref="N223:N227"/>
    <mergeCell ref="O223:O227"/>
    <mergeCell ref="C224:C227"/>
    <mergeCell ref="O469:O477"/>
    <mergeCell ref="C471:C474"/>
    <mergeCell ref="A338:A346"/>
    <mergeCell ref="O338:O343"/>
    <mergeCell ref="C340:C343"/>
    <mergeCell ref="A396:A404"/>
    <mergeCell ref="O555:O558"/>
    <mergeCell ref="C557:C559"/>
    <mergeCell ref="A469:A477"/>
    <mergeCell ref="A451:A468"/>
    <mergeCell ref="A252:A263"/>
    <mergeCell ref="O252:O258"/>
    <mergeCell ref="C254:C258"/>
    <mergeCell ref="M259:M263"/>
    <mergeCell ref="N259:N263"/>
    <mergeCell ref="O259:O263"/>
    <mergeCell ref="C260:C263"/>
    <mergeCell ref="C633:C634"/>
    <mergeCell ref="A627:A634"/>
    <mergeCell ref="C629:C631"/>
    <mergeCell ref="O627:O634"/>
    <mergeCell ref="A369:A377"/>
    <mergeCell ref="A435:A450"/>
    <mergeCell ref="C418:C419"/>
    <mergeCell ref="C461:C468"/>
    <mergeCell ref="O487:O495"/>
    <mergeCell ref="C489:C492"/>
    <mergeCell ref="C534:C535"/>
    <mergeCell ref="A536:A539"/>
    <mergeCell ref="O536:O539"/>
    <mergeCell ref="C538:C539"/>
    <mergeCell ref="O520:O523"/>
    <mergeCell ref="C522:C523"/>
    <mergeCell ref="O478:O48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6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5" manualBreakCount="5">
    <brk id="111" max="14" man="1"/>
    <brk id="191" max="14" man="1"/>
    <brk id="239" max="14" man="1"/>
    <brk id="368" max="14" man="1"/>
    <brk id="419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55"/>
  <sheetViews>
    <sheetView showGridLines="0" view="pageBreakPreview" zoomScale="110" zoomScaleSheetLayoutView="110" workbookViewId="0">
      <selection activeCell="I251" sqref="I251:I254"/>
    </sheetView>
  </sheetViews>
  <sheetFormatPr defaultColWidth="9.140625" defaultRowHeight="12.75"/>
  <cols>
    <col min="1" max="1" width="4" style="400" customWidth="1"/>
    <col min="2" max="2" width="53.42578125" style="401" customWidth="1"/>
    <col min="3" max="3" width="10.42578125" style="401" customWidth="1"/>
    <col min="4" max="4" width="14.5703125" style="401" customWidth="1"/>
    <col min="5" max="5" width="12.85546875" style="401" customWidth="1"/>
    <col min="6" max="6" width="10.42578125" style="401" customWidth="1"/>
    <col min="7" max="7" width="10.7109375" style="401" customWidth="1"/>
    <col min="8" max="8" width="11.140625" style="401" customWidth="1"/>
    <col min="9" max="9" width="11.5703125" style="401" customWidth="1"/>
    <col min="10" max="10" width="10" style="401" customWidth="1"/>
    <col min="11" max="11" width="10.85546875" style="401" customWidth="1"/>
    <col min="12" max="12" width="9.42578125" style="401" bestFit="1" customWidth="1"/>
    <col min="13" max="13" width="12.7109375" style="401" hidden="1" customWidth="1"/>
    <col min="14" max="14" width="12.7109375" style="401" customWidth="1"/>
    <col min="15" max="15" width="14.5703125" style="401" customWidth="1"/>
    <col min="16" max="16" width="14" style="401" hidden="1" customWidth="1"/>
    <col min="17" max="17" width="12.140625" style="401" hidden="1" customWidth="1"/>
    <col min="18" max="18" width="9.5703125" style="401" hidden="1" customWidth="1"/>
    <col min="19" max="19" width="14.28515625" style="401" hidden="1" customWidth="1"/>
    <col min="20" max="20" width="12" style="401" hidden="1" customWidth="1"/>
    <col min="21" max="22" width="9.140625" style="401"/>
    <col min="23" max="23" width="12.5703125" style="401" customWidth="1"/>
    <col min="24" max="16384" width="9.140625" style="401"/>
  </cols>
  <sheetData>
    <row r="1" spans="1:17" s="399" customFormat="1" ht="17.25" customHeight="1">
      <c r="A1" s="1834"/>
      <c r="B1" s="1834"/>
      <c r="C1" s="1834"/>
      <c r="D1" s="1834"/>
      <c r="E1" s="1834"/>
      <c r="F1" s="1834"/>
      <c r="G1" s="1834"/>
      <c r="H1" s="1834"/>
      <c r="I1" s="323" t="s">
        <v>564</v>
      </c>
      <c r="J1" s="323"/>
      <c r="K1" s="323"/>
      <c r="L1" s="323"/>
      <c r="M1" s="6"/>
      <c r="N1" s="6"/>
      <c r="O1" s="7"/>
      <c r="P1" s="421"/>
    </row>
    <row r="2" spans="1:17" ht="12.75" customHeight="1">
      <c r="A2" s="1834"/>
      <c r="B2" s="1834"/>
      <c r="C2" s="1834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7"/>
      <c r="P2" s="422"/>
    </row>
    <row r="3" spans="1:17" ht="34.5" customHeight="1" thickBot="1">
      <c r="A3" s="3423" t="s">
        <v>116</v>
      </c>
      <c r="B3" s="3424"/>
      <c r="C3" s="3424"/>
      <c r="D3" s="3424"/>
      <c r="E3" s="3424"/>
      <c r="F3" s="3424"/>
      <c r="G3" s="3424"/>
      <c r="H3" s="3424"/>
      <c r="I3" s="3424"/>
      <c r="J3" s="3424"/>
      <c r="K3" s="3424"/>
      <c r="L3" s="3424"/>
      <c r="M3" s="3424"/>
      <c r="N3" s="3424"/>
      <c r="O3" s="3425"/>
      <c r="P3" s="400"/>
    </row>
    <row r="4" spans="1:17" ht="55.5" customHeight="1">
      <c r="A4" s="3435" t="s">
        <v>74</v>
      </c>
      <c r="B4" s="3433" t="s">
        <v>75</v>
      </c>
      <c r="C4" s="3426" t="s">
        <v>71</v>
      </c>
      <c r="D4" s="3426" t="s">
        <v>117</v>
      </c>
      <c r="E4" s="2624" t="s">
        <v>262</v>
      </c>
      <c r="F4" s="3330" t="s">
        <v>525</v>
      </c>
      <c r="G4" s="3327" t="s">
        <v>457</v>
      </c>
      <c r="H4" s="3328"/>
      <c r="I4" s="3328"/>
      <c r="J4" s="3328"/>
      <c r="K4" s="3328"/>
      <c r="L4" s="3329"/>
      <c r="M4" s="3431" t="s">
        <v>478</v>
      </c>
      <c r="N4" s="3431" t="s">
        <v>458</v>
      </c>
      <c r="O4" s="3429" t="s">
        <v>73</v>
      </c>
      <c r="P4" s="497"/>
    </row>
    <row r="5" spans="1:17" ht="16.5" customHeight="1" thickBot="1">
      <c r="A5" s="3436"/>
      <c r="B5" s="3434"/>
      <c r="C5" s="3427"/>
      <c r="D5" s="3428"/>
      <c r="E5" s="2634" t="s">
        <v>444</v>
      </c>
      <c r="F5" s="3331"/>
      <c r="G5" s="2617" t="s">
        <v>6</v>
      </c>
      <c r="H5" s="2617" t="s">
        <v>206</v>
      </c>
      <c r="I5" s="2617" t="s">
        <v>208</v>
      </c>
      <c r="J5" s="2617" t="s">
        <v>253</v>
      </c>
      <c r="K5" s="2617" t="s">
        <v>254</v>
      </c>
      <c r="L5" s="2617" t="s">
        <v>252</v>
      </c>
      <c r="M5" s="3432"/>
      <c r="N5" s="3432"/>
      <c r="O5" s="3430"/>
      <c r="P5" s="497"/>
    </row>
    <row r="6" spans="1:17" ht="13.5" customHeight="1">
      <c r="A6" s="1042">
        <v>1</v>
      </c>
      <c r="B6" s="1043">
        <v>2</v>
      </c>
      <c r="C6" s="1044" t="s">
        <v>118</v>
      </c>
      <c r="D6" s="1044" t="s">
        <v>119</v>
      </c>
      <c r="E6" s="1044">
        <v>5</v>
      </c>
      <c r="F6" s="1044">
        <v>6</v>
      </c>
      <c r="G6" s="1044">
        <v>7</v>
      </c>
      <c r="H6" s="1044">
        <v>8</v>
      </c>
      <c r="I6" s="1044">
        <v>9</v>
      </c>
      <c r="J6" s="1044">
        <v>10</v>
      </c>
      <c r="K6" s="1044">
        <v>11</v>
      </c>
      <c r="L6" s="1044">
        <v>12</v>
      </c>
      <c r="M6" s="1045">
        <v>13</v>
      </c>
      <c r="N6" s="1045">
        <v>13</v>
      </c>
      <c r="O6" s="1046">
        <v>14</v>
      </c>
      <c r="P6" s="497"/>
    </row>
    <row r="7" spans="1:17" ht="14.25" customHeight="1">
      <c r="A7" s="502"/>
      <c r="B7" s="1047" t="s">
        <v>76</v>
      </c>
      <c r="C7" s="1047"/>
      <c r="D7" s="1048">
        <f>+D8+D9</f>
        <v>123947447</v>
      </c>
      <c r="E7" s="1048">
        <f t="shared" ref="E7" si="0">+E8+E9</f>
        <v>10494544</v>
      </c>
      <c r="F7" s="1048">
        <f t="shared" ref="F7:G7" si="1">+F8+F9</f>
        <v>11954711</v>
      </c>
      <c r="G7" s="1048">
        <f t="shared" si="1"/>
        <v>27878384</v>
      </c>
      <c r="H7" s="1048">
        <f t="shared" ref="H7:N7" si="2">+H8+H9</f>
        <v>23674933</v>
      </c>
      <c r="I7" s="1048">
        <f t="shared" si="2"/>
        <v>16912484</v>
      </c>
      <c r="J7" s="1048">
        <f t="shared" si="2"/>
        <v>13780044</v>
      </c>
      <c r="K7" s="1048">
        <f t="shared" si="2"/>
        <v>10200659</v>
      </c>
      <c r="L7" s="1048">
        <f t="shared" si="2"/>
        <v>9051688</v>
      </c>
      <c r="M7" s="1049" t="e">
        <f t="shared" ref="M7" si="3">+M8+M9</f>
        <v>#REF!</v>
      </c>
      <c r="N7" s="1049">
        <f t="shared" si="2"/>
        <v>101498192</v>
      </c>
      <c r="O7" s="1050"/>
      <c r="P7" s="498">
        <f>+N7-N10</f>
        <v>0</v>
      </c>
      <c r="Q7" s="402"/>
    </row>
    <row r="8" spans="1:17" ht="13.5" customHeight="1">
      <c r="A8" s="426"/>
      <c r="B8" s="1047" t="s">
        <v>77</v>
      </c>
      <c r="C8" s="1047"/>
      <c r="D8" s="1048">
        <f>+D24+D44+D85+D61+D109+D122+D144+D174+D192+D207+D225</f>
        <v>123218209</v>
      </c>
      <c r="E8" s="1048">
        <f t="shared" ref="E8:N8" si="4">+E24+E44+E85+E61+E109+E122+E144+E174+E192+E207+E225</f>
        <v>10468589</v>
      </c>
      <c r="F8" s="1048">
        <f t="shared" si="4"/>
        <v>11874952</v>
      </c>
      <c r="G8" s="1048">
        <f t="shared" si="4"/>
        <v>27254860</v>
      </c>
      <c r="H8" s="1048">
        <f t="shared" si="4"/>
        <v>23674933</v>
      </c>
      <c r="I8" s="1048">
        <f t="shared" si="4"/>
        <v>16912484</v>
      </c>
      <c r="J8" s="1048">
        <f t="shared" si="4"/>
        <v>13780044</v>
      </c>
      <c r="K8" s="1048">
        <f t="shared" si="4"/>
        <v>10200659</v>
      </c>
      <c r="L8" s="1048">
        <f t="shared" si="4"/>
        <v>9051688</v>
      </c>
      <c r="M8" s="1048" t="e">
        <f t="shared" si="4"/>
        <v>#REF!</v>
      </c>
      <c r="N8" s="1049">
        <f t="shared" si="4"/>
        <v>100874668</v>
      </c>
      <c r="O8" s="1050"/>
      <c r="P8" s="498"/>
      <c r="Q8" s="402"/>
    </row>
    <row r="9" spans="1:17" ht="13.5" customHeight="1">
      <c r="A9" s="426"/>
      <c r="B9" s="1051" t="s">
        <v>9</v>
      </c>
      <c r="C9" s="1052"/>
      <c r="D9" s="1053">
        <f>+D73+D97+D134+D162+D240</f>
        <v>729238</v>
      </c>
      <c r="E9" s="1053">
        <f t="shared" ref="E9:N9" si="5">+E73+E97+E134+E162+E240</f>
        <v>25955</v>
      </c>
      <c r="F9" s="1053">
        <f t="shared" si="5"/>
        <v>79759</v>
      </c>
      <c r="G9" s="1053">
        <f t="shared" si="5"/>
        <v>623524</v>
      </c>
      <c r="H9" s="1053">
        <f t="shared" si="5"/>
        <v>0</v>
      </c>
      <c r="I9" s="1053">
        <f t="shared" si="5"/>
        <v>0</v>
      </c>
      <c r="J9" s="1053">
        <f t="shared" si="5"/>
        <v>0</v>
      </c>
      <c r="K9" s="1053">
        <f t="shared" si="5"/>
        <v>0</v>
      </c>
      <c r="L9" s="1053">
        <f t="shared" si="5"/>
        <v>0</v>
      </c>
      <c r="M9" s="1053" t="e">
        <f t="shared" si="5"/>
        <v>#REF!</v>
      </c>
      <c r="N9" s="1049">
        <f t="shared" si="5"/>
        <v>623524</v>
      </c>
      <c r="O9" s="1050"/>
      <c r="P9" s="497"/>
    </row>
    <row r="10" spans="1:17" ht="13.5" customHeight="1">
      <c r="A10" s="426"/>
      <c r="B10" s="956" t="s">
        <v>10</v>
      </c>
      <c r="C10" s="956"/>
      <c r="D10" s="1054">
        <f>+D11+D14</f>
        <v>123947447</v>
      </c>
      <c r="E10" s="1054">
        <f t="shared" ref="E10:L10" si="6">+E11+E14</f>
        <v>10494544</v>
      </c>
      <c r="F10" s="1054">
        <f t="shared" si="6"/>
        <v>11954711</v>
      </c>
      <c r="G10" s="1054">
        <f t="shared" si="6"/>
        <v>27878384</v>
      </c>
      <c r="H10" s="1054">
        <f t="shared" si="6"/>
        <v>23674933</v>
      </c>
      <c r="I10" s="1054">
        <f t="shared" si="6"/>
        <v>16912484</v>
      </c>
      <c r="J10" s="1054">
        <f t="shared" si="6"/>
        <v>13780044</v>
      </c>
      <c r="K10" s="1054">
        <f t="shared" si="6"/>
        <v>10200659</v>
      </c>
      <c r="L10" s="1054">
        <f t="shared" si="6"/>
        <v>9051688</v>
      </c>
      <c r="M10" s="954">
        <f>M11+M14</f>
        <v>112444745</v>
      </c>
      <c r="N10" s="954">
        <f>N11+N14</f>
        <v>101498192</v>
      </c>
      <c r="O10" s="1055"/>
      <c r="P10" s="498"/>
      <c r="Q10" s="402"/>
    </row>
    <row r="11" spans="1:17" s="403" customFormat="1" ht="13.5" customHeight="1">
      <c r="A11" s="426"/>
      <c r="B11" s="1056" t="s">
        <v>24</v>
      </c>
      <c r="C11" s="1056"/>
      <c r="D11" s="1057">
        <f>D12+D13</f>
        <v>16303922</v>
      </c>
      <c r="E11" s="1057">
        <f t="shared" ref="E11:L11" si="7">E12+E13</f>
        <v>1587046</v>
      </c>
      <c r="F11" s="1057">
        <f t="shared" si="7"/>
        <v>1762210</v>
      </c>
      <c r="G11" s="1057">
        <f t="shared" si="7"/>
        <v>2641968</v>
      </c>
      <c r="H11" s="1057">
        <f t="shared" si="7"/>
        <v>2923209</v>
      </c>
      <c r="I11" s="1057">
        <f t="shared" si="7"/>
        <v>2388605</v>
      </c>
      <c r="J11" s="1057">
        <f t="shared" si="7"/>
        <v>2097122</v>
      </c>
      <c r="K11" s="1057">
        <f t="shared" si="7"/>
        <v>1539628</v>
      </c>
      <c r="L11" s="1057">
        <f t="shared" si="7"/>
        <v>1364134</v>
      </c>
      <c r="M11" s="1058">
        <f>M12+M13</f>
        <v>13708718</v>
      </c>
      <c r="N11" s="1058">
        <f>N12+N13</f>
        <v>12954666</v>
      </c>
      <c r="O11" s="1050"/>
      <c r="P11" s="499"/>
    </row>
    <row r="12" spans="1:17" ht="12.75" customHeight="1">
      <c r="A12" s="426"/>
      <c r="B12" s="1059" t="s">
        <v>12</v>
      </c>
      <c r="C12" s="1059"/>
      <c r="D12" s="1060">
        <f>D46+D87+D63+D75+D26+D99+D111+D146+D164+D176+D209</f>
        <v>14043786</v>
      </c>
      <c r="E12" s="1060">
        <f t="shared" ref="E12:L12" si="8">E46+E87+E63+E75+E26+E99+E111+E146+E164+E176+E209</f>
        <v>1587046</v>
      </c>
      <c r="F12" s="1060">
        <f t="shared" si="8"/>
        <v>1762210</v>
      </c>
      <c r="G12" s="1060">
        <f t="shared" si="8"/>
        <v>2285967</v>
      </c>
      <c r="H12" s="1060">
        <f t="shared" si="8"/>
        <v>2027232</v>
      </c>
      <c r="I12" s="1060">
        <f t="shared" si="8"/>
        <v>1814995</v>
      </c>
      <c r="J12" s="1060">
        <f t="shared" si="8"/>
        <v>1731310</v>
      </c>
      <c r="K12" s="1060">
        <f t="shared" si="8"/>
        <v>1470892</v>
      </c>
      <c r="L12" s="1060">
        <f t="shared" si="8"/>
        <v>1364134</v>
      </c>
      <c r="M12" s="1061">
        <f>SUM(F12:L12)</f>
        <v>12456740</v>
      </c>
      <c r="N12" s="1061">
        <f>SUM(G12:L12)</f>
        <v>10694530</v>
      </c>
      <c r="O12" s="1050"/>
      <c r="P12" s="498"/>
    </row>
    <row r="13" spans="1:17" ht="13.5" customHeight="1">
      <c r="A13" s="426"/>
      <c r="B13" s="2394" t="s">
        <v>13</v>
      </c>
      <c r="C13" s="1059"/>
      <c r="D13" s="726">
        <f>D49+D30+D76+D149+D165+D179+D194+D212+D227+D242</f>
        <v>2260136</v>
      </c>
      <c r="E13" s="726">
        <f t="shared" ref="E13:L13" si="9">E49+E30+E76+E149+E165+E179+E194+E212+E227+E242</f>
        <v>0</v>
      </c>
      <c r="F13" s="726">
        <f t="shared" si="9"/>
        <v>0</v>
      </c>
      <c r="G13" s="726">
        <f t="shared" si="9"/>
        <v>356001</v>
      </c>
      <c r="H13" s="726">
        <f t="shared" si="9"/>
        <v>895977</v>
      </c>
      <c r="I13" s="726">
        <f t="shared" si="9"/>
        <v>573610</v>
      </c>
      <c r="J13" s="726">
        <f t="shared" si="9"/>
        <v>365812</v>
      </c>
      <c r="K13" s="726">
        <f t="shared" si="9"/>
        <v>68736</v>
      </c>
      <c r="L13" s="726">
        <f t="shared" si="9"/>
        <v>0</v>
      </c>
      <c r="M13" s="727">
        <f>SUM(F13:H13)</f>
        <v>1251978</v>
      </c>
      <c r="N13" s="727">
        <f>SUM(G13:L13)</f>
        <v>2260136</v>
      </c>
      <c r="O13" s="1050"/>
      <c r="P13" s="498">
        <f>D13-D19</f>
        <v>0</v>
      </c>
    </row>
    <row r="14" spans="1:17" s="403" customFormat="1" ht="12.75" customHeight="1">
      <c r="A14" s="426"/>
      <c r="B14" s="1062" t="s">
        <v>18</v>
      </c>
      <c r="C14" s="1062"/>
      <c r="D14" s="1057">
        <f>D16+D15</f>
        <v>107643525</v>
      </c>
      <c r="E14" s="1057">
        <f t="shared" ref="E14:L14" si="10">E16+E15</f>
        <v>8907498</v>
      </c>
      <c r="F14" s="1057">
        <f t="shared" si="10"/>
        <v>10192501</v>
      </c>
      <c r="G14" s="1057">
        <f t="shared" si="10"/>
        <v>25236416</v>
      </c>
      <c r="H14" s="1057">
        <f t="shared" si="10"/>
        <v>20751724</v>
      </c>
      <c r="I14" s="1057">
        <f t="shared" si="10"/>
        <v>14523879</v>
      </c>
      <c r="J14" s="1057">
        <f t="shared" si="10"/>
        <v>11682922</v>
      </c>
      <c r="K14" s="1057">
        <f t="shared" si="10"/>
        <v>8661031</v>
      </c>
      <c r="L14" s="1057">
        <f t="shared" si="10"/>
        <v>7687554</v>
      </c>
      <c r="M14" s="1058">
        <f t="shared" ref="M14" si="11">M16+M15</f>
        <v>98736027</v>
      </c>
      <c r="N14" s="1058">
        <f t="shared" ref="N14" si="12">N16+N15</f>
        <v>88543526</v>
      </c>
      <c r="O14" s="1050"/>
      <c r="P14" s="499"/>
    </row>
    <row r="15" spans="1:17" s="466" customFormat="1" ht="12.75" customHeight="1">
      <c r="A15" s="426"/>
      <c r="B15" s="1063" t="s">
        <v>20</v>
      </c>
      <c r="C15" s="1062"/>
      <c r="D15" s="1540">
        <f>+D32</f>
        <v>420817</v>
      </c>
      <c r="E15" s="1540">
        <f t="shared" ref="E15:L15" si="13">+E32</f>
        <v>45222</v>
      </c>
      <c r="F15" s="1540">
        <f t="shared" si="13"/>
        <v>172687</v>
      </c>
      <c r="G15" s="1540">
        <f t="shared" si="13"/>
        <v>144723</v>
      </c>
      <c r="H15" s="1540">
        <f t="shared" si="13"/>
        <v>44968</v>
      </c>
      <c r="I15" s="1540">
        <f t="shared" si="13"/>
        <v>13217</v>
      </c>
      <c r="J15" s="1540">
        <f t="shared" si="13"/>
        <v>0</v>
      </c>
      <c r="K15" s="1540">
        <f t="shared" si="13"/>
        <v>0</v>
      </c>
      <c r="L15" s="1540">
        <f t="shared" si="13"/>
        <v>0</v>
      </c>
      <c r="M15" s="1061">
        <f>SUM(F15:L15)</f>
        <v>375595</v>
      </c>
      <c r="N15" s="1061">
        <f>SUM(G15:L15)</f>
        <v>202908</v>
      </c>
      <c r="O15" s="1050"/>
      <c r="P15" s="499"/>
    </row>
    <row r="16" spans="1:17" ht="12.75" customHeight="1">
      <c r="A16" s="426"/>
      <c r="B16" s="1064" t="s">
        <v>21</v>
      </c>
      <c r="C16" s="1059"/>
      <c r="D16" s="1065">
        <f>+D51+D36+D90+D66+D78+D102+D115+D124+D136+D153+D167+D183+D198+D216+D231+D244</f>
        <v>107222708</v>
      </c>
      <c r="E16" s="1065">
        <f t="shared" ref="E16:L16" si="14">+E51+E36+E90+E66+E78+E102+E115+E124+E136+E153+E167+E183+E198+E216+E231+E244</f>
        <v>8862276</v>
      </c>
      <c r="F16" s="1065">
        <f t="shared" si="14"/>
        <v>10019814</v>
      </c>
      <c r="G16" s="1065">
        <f t="shared" si="14"/>
        <v>25091693</v>
      </c>
      <c r="H16" s="1065">
        <f t="shared" si="14"/>
        <v>20706756</v>
      </c>
      <c r="I16" s="1065">
        <f t="shared" si="14"/>
        <v>14510662</v>
      </c>
      <c r="J16" s="1065">
        <f t="shared" si="14"/>
        <v>11682922</v>
      </c>
      <c r="K16" s="1065">
        <f t="shared" si="14"/>
        <v>8661031</v>
      </c>
      <c r="L16" s="1065">
        <f t="shared" si="14"/>
        <v>7687554</v>
      </c>
      <c r="M16" s="1061">
        <f>SUM(F16:L16)</f>
        <v>98360432</v>
      </c>
      <c r="N16" s="1061">
        <f>SUM(G16:L16)</f>
        <v>88340618</v>
      </c>
      <c r="O16" s="1055"/>
      <c r="P16" s="498"/>
    </row>
    <row r="17" spans="1:17" ht="13.5" customHeight="1">
      <c r="A17" s="426"/>
      <c r="B17" s="1066" t="s">
        <v>22</v>
      </c>
      <c r="C17" s="956"/>
      <c r="D17" s="1054">
        <f>D18+D20</f>
        <v>109903661</v>
      </c>
      <c r="E17" s="1054">
        <f t="shared" ref="E17:L17" si="15">E18+E20</f>
        <v>8862276</v>
      </c>
      <c r="F17" s="1054">
        <f t="shared" si="15"/>
        <v>9935062</v>
      </c>
      <c r="G17" s="1054">
        <f t="shared" si="15"/>
        <v>28111723</v>
      </c>
      <c r="H17" s="1054">
        <f t="shared" si="15"/>
        <v>19971114</v>
      </c>
      <c r="I17" s="1054">
        <f t="shared" si="15"/>
        <v>14557431</v>
      </c>
      <c r="J17" s="1054">
        <f t="shared" si="15"/>
        <v>12048734</v>
      </c>
      <c r="K17" s="1054">
        <f t="shared" si="15"/>
        <v>8729767</v>
      </c>
      <c r="L17" s="1054">
        <f t="shared" si="15"/>
        <v>7687554</v>
      </c>
      <c r="M17" s="3442" t="s">
        <v>61</v>
      </c>
      <c r="N17" s="3442" t="s">
        <v>61</v>
      </c>
      <c r="O17" s="1050"/>
      <c r="P17" s="500">
        <f>+D7-D10</f>
        <v>0</v>
      </c>
    </row>
    <row r="18" spans="1:17" ht="12.75" customHeight="1">
      <c r="A18" s="426"/>
      <c r="B18" s="1067" t="s">
        <v>24</v>
      </c>
      <c r="C18" s="1068"/>
      <c r="D18" s="1069">
        <f>D19</f>
        <v>2260136</v>
      </c>
      <c r="E18" s="1069">
        <f t="shared" ref="E18:L18" si="16">E19</f>
        <v>0</v>
      </c>
      <c r="F18" s="1069">
        <f t="shared" si="16"/>
        <v>0</v>
      </c>
      <c r="G18" s="1069">
        <f t="shared" si="16"/>
        <v>356001</v>
      </c>
      <c r="H18" s="1069">
        <f t="shared" si="16"/>
        <v>895977</v>
      </c>
      <c r="I18" s="1069">
        <f t="shared" si="16"/>
        <v>573610</v>
      </c>
      <c r="J18" s="1069">
        <f t="shared" si="16"/>
        <v>365812</v>
      </c>
      <c r="K18" s="1069">
        <f t="shared" si="16"/>
        <v>68736</v>
      </c>
      <c r="L18" s="1069">
        <f t="shared" si="16"/>
        <v>0</v>
      </c>
      <c r="M18" s="3442"/>
      <c r="N18" s="3442"/>
      <c r="O18" s="1050"/>
      <c r="P18" s="497"/>
    </row>
    <row r="19" spans="1:17" ht="12" customHeight="1">
      <c r="A19" s="426"/>
      <c r="B19" s="1070" t="s">
        <v>13</v>
      </c>
      <c r="C19" s="1071"/>
      <c r="D19" s="1065">
        <f>+D56+D39+D81+D158+D170+D188+D203+D221+D236+D247</f>
        <v>2260136</v>
      </c>
      <c r="E19" s="1065">
        <f t="shared" ref="E19:L19" si="17">+E56+E39+E81+E158+E170+E188+E203+E221+E236+E247</f>
        <v>0</v>
      </c>
      <c r="F19" s="1065">
        <f t="shared" si="17"/>
        <v>0</v>
      </c>
      <c r="G19" s="1065">
        <f t="shared" si="17"/>
        <v>356001</v>
      </c>
      <c r="H19" s="1065">
        <f t="shared" si="17"/>
        <v>895977</v>
      </c>
      <c r="I19" s="1065">
        <f t="shared" si="17"/>
        <v>573610</v>
      </c>
      <c r="J19" s="1065">
        <f t="shared" si="17"/>
        <v>365812</v>
      </c>
      <c r="K19" s="1065">
        <f t="shared" si="17"/>
        <v>68736</v>
      </c>
      <c r="L19" s="1065">
        <f t="shared" si="17"/>
        <v>0</v>
      </c>
      <c r="M19" s="3442"/>
      <c r="N19" s="3442"/>
      <c r="O19" s="1050"/>
      <c r="P19" s="497"/>
    </row>
    <row r="20" spans="1:17" s="405" customFormat="1">
      <c r="A20" s="457"/>
      <c r="B20" s="1072" t="s">
        <v>18</v>
      </c>
      <c r="C20" s="1073"/>
      <c r="D20" s="1069">
        <f>D22+D21</f>
        <v>107643525</v>
      </c>
      <c r="E20" s="1069">
        <f t="shared" ref="E20:L20" si="18">E22+E21</f>
        <v>8862276</v>
      </c>
      <c r="F20" s="1069">
        <f t="shared" si="18"/>
        <v>9935062</v>
      </c>
      <c r="G20" s="1069">
        <f t="shared" si="18"/>
        <v>27755722</v>
      </c>
      <c r="H20" s="1069">
        <f t="shared" si="18"/>
        <v>19075137</v>
      </c>
      <c r="I20" s="1069">
        <f t="shared" si="18"/>
        <v>13983821</v>
      </c>
      <c r="J20" s="1069">
        <f t="shared" si="18"/>
        <v>11682922</v>
      </c>
      <c r="K20" s="1069">
        <f t="shared" si="18"/>
        <v>8661031</v>
      </c>
      <c r="L20" s="1069">
        <f t="shared" si="18"/>
        <v>7687554</v>
      </c>
      <c r="M20" s="3442"/>
      <c r="N20" s="3442"/>
      <c r="O20" s="1074"/>
      <c r="P20" s="501"/>
    </row>
    <row r="21" spans="1:17" s="465" customFormat="1">
      <c r="A21" s="457"/>
      <c r="B21" s="1063" t="s">
        <v>20</v>
      </c>
      <c r="C21" s="1073"/>
      <c r="D21" s="1851">
        <f>+D41</f>
        <v>420817</v>
      </c>
      <c r="E21" s="1851">
        <f t="shared" ref="E21:L21" si="19">+E41</f>
        <v>0</v>
      </c>
      <c r="F21" s="1851">
        <f t="shared" si="19"/>
        <v>84212</v>
      </c>
      <c r="G21" s="1851">
        <f t="shared" si="19"/>
        <v>168662</v>
      </c>
      <c r="H21" s="1851">
        <f t="shared" si="19"/>
        <v>119784</v>
      </c>
      <c r="I21" s="1851">
        <f t="shared" si="19"/>
        <v>48159</v>
      </c>
      <c r="J21" s="1851">
        <f t="shared" si="19"/>
        <v>0</v>
      </c>
      <c r="K21" s="1851">
        <f t="shared" si="19"/>
        <v>0</v>
      </c>
      <c r="L21" s="1851">
        <f t="shared" si="19"/>
        <v>0</v>
      </c>
      <c r="M21" s="3443"/>
      <c r="N21" s="3443"/>
      <c r="O21" s="504"/>
      <c r="P21" s="501"/>
    </row>
    <row r="22" spans="1:17" ht="13.5" thickBot="1">
      <c r="A22" s="458"/>
      <c r="B22" s="505" t="s">
        <v>21</v>
      </c>
      <c r="C22" s="505"/>
      <c r="D22" s="506">
        <f>+D58+D42+D59+D95+D71+D83+D107+D120+D132+D142+D160+D172+D190+D205+D223+D238+D249</f>
        <v>107222708</v>
      </c>
      <c r="E22" s="506">
        <f t="shared" ref="E22:L22" si="20">+E58+E42+E59+E95+E71+E83+E107+E120+E132+E142+E160+E172+E190+E205+E223+E238+E249</f>
        <v>8862276</v>
      </c>
      <c r="F22" s="506">
        <f t="shared" si="20"/>
        <v>9850850</v>
      </c>
      <c r="G22" s="506">
        <f t="shared" si="20"/>
        <v>27587060</v>
      </c>
      <c r="H22" s="506">
        <f t="shared" si="20"/>
        <v>18955353</v>
      </c>
      <c r="I22" s="506">
        <f t="shared" si="20"/>
        <v>13935662</v>
      </c>
      <c r="J22" s="506">
        <f t="shared" si="20"/>
        <v>11682922</v>
      </c>
      <c r="K22" s="506">
        <f t="shared" si="20"/>
        <v>8661031</v>
      </c>
      <c r="L22" s="506">
        <f t="shared" si="20"/>
        <v>7687554</v>
      </c>
      <c r="M22" s="3444"/>
      <c r="N22" s="3444"/>
      <c r="O22" s="507"/>
      <c r="P22" s="498">
        <f>D22-D16</f>
        <v>0</v>
      </c>
    </row>
    <row r="23" spans="1:17" ht="40.5" customHeight="1">
      <c r="A23" s="3437" t="s">
        <v>63</v>
      </c>
      <c r="B23" s="2719" t="s">
        <v>306</v>
      </c>
      <c r="C23" s="2720" t="s">
        <v>109</v>
      </c>
      <c r="D23" s="726"/>
      <c r="E23" s="2721"/>
      <c r="F23" s="2721"/>
      <c r="G23" s="2721"/>
      <c r="H23" s="2721"/>
      <c r="I23" s="2721"/>
      <c r="J23" s="2721"/>
      <c r="K23" s="2721"/>
      <c r="L23" s="2721"/>
      <c r="M23" s="954"/>
      <c r="N23" s="954"/>
      <c r="O23" s="3416" t="s">
        <v>316</v>
      </c>
      <c r="P23" s="497"/>
    </row>
    <row r="24" spans="1:17" s="405" customFormat="1" ht="13.5" customHeight="1">
      <c r="A24" s="3406"/>
      <c r="B24" s="955" t="s">
        <v>10</v>
      </c>
      <c r="C24" s="956"/>
      <c r="D24" s="694">
        <f t="shared" ref="D24:J24" si="21">+D25+D31</f>
        <v>499079</v>
      </c>
      <c r="E24" s="694">
        <f t="shared" ref="E24" si="22">+E25+E31</f>
        <v>53431</v>
      </c>
      <c r="F24" s="694">
        <f t="shared" si="21"/>
        <v>203738</v>
      </c>
      <c r="G24" s="694">
        <f t="shared" si="21"/>
        <v>171857</v>
      </c>
      <c r="H24" s="694">
        <f t="shared" si="21"/>
        <v>53703</v>
      </c>
      <c r="I24" s="694">
        <f t="shared" si="21"/>
        <v>16350</v>
      </c>
      <c r="J24" s="2389">
        <f t="shared" si="21"/>
        <v>0</v>
      </c>
      <c r="K24" s="2389">
        <v>0</v>
      </c>
      <c r="L24" s="2389">
        <v>0</v>
      </c>
      <c r="M24" s="957">
        <f>+M25+M31</f>
        <v>445648</v>
      </c>
      <c r="N24" s="957">
        <f>+N25+N31</f>
        <v>241910</v>
      </c>
      <c r="O24" s="3416"/>
      <c r="P24" s="2395"/>
      <c r="Q24" s="2396"/>
    </row>
    <row r="25" spans="1:17" s="405" customFormat="1" ht="13.5" customHeight="1">
      <c r="A25" s="3406"/>
      <c r="B25" s="2381" t="s">
        <v>24</v>
      </c>
      <c r="C25" s="3418" t="s">
        <v>347</v>
      </c>
      <c r="D25" s="733">
        <f t="shared" ref="D25" si="23">+D26+D30</f>
        <v>78262</v>
      </c>
      <c r="E25" s="733">
        <f t="shared" ref="E25" si="24">+E26+E30</f>
        <v>8209</v>
      </c>
      <c r="F25" s="733">
        <f>+F26+F30</f>
        <v>31051</v>
      </c>
      <c r="G25" s="733">
        <f>+G26+G30</f>
        <v>27134</v>
      </c>
      <c r="H25" s="733">
        <f>+H26+H30</f>
        <v>8735</v>
      </c>
      <c r="I25" s="733">
        <f>+I26</f>
        <v>3133</v>
      </c>
      <c r="J25" s="2390">
        <f>+J26</f>
        <v>0</v>
      </c>
      <c r="K25" s="2390">
        <v>0</v>
      </c>
      <c r="L25" s="2390">
        <v>0</v>
      </c>
      <c r="M25" s="1075">
        <f>+M26+M30</f>
        <v>70053</v>
      </c>
      <c r="N25" s="1075">
        <f>+N26+N30</f>
        <v>39002</v>
      </c>
      <c r="O25" s="3416"/>
      <c r="P25" s="501"/>
    </row>
    <row r="26" spans="1:17" s="405" customFormat="1">
      <c r="A26" s="3406"/>
      <c r="B26" s="990" t="s">
        <v>12</v>
      </c>
      <c r="C26" s="3419"/>
      <c r="D26" s="247">
        <f>E26+F26+G26+H26+I26+J26+K26+L26</f>
        <v>78262</v>
      </c>
      <c r="E26" s="284">
        <f>+E28+E29</f>
        <v>8209</v>
      </c>
      <c r="F26" s="718">
        <f t="shared" ref="F26:I26" si="25">+F28+F29</f>
        <v>31051</v>
      </c>
      <c r="G26" s="718">
        <f t="shared" si="25"/>
        <v>27134</v>
      </c>
      <c r="H26" s="718">
        <f t="shared" si="25"/>
        <v>8735</v>
      </c>
      <c r="I26" s="718">
        <f t="shared" si="25"/>
        <v>3133</v>
      </c>
      <c r="J26" s="725">
        <v>0</v>
      </c>
      <c r="K26" s="725">
        <v>0</v>
      </c>
      <c r="L26" s="725">
        <v>0</v>
      </c>
      <c r="M26" s="1061">
        <f>SUM(F26:K26)</f>
        <v>70053</v>
      </c>
      <c r="N26" s="1061">
        <f>SUM(G26:L26)</f>
        <v>39002</v>
      </c>
      <c r="O26" s="3416"/>
      <c r="P26" s="501"/>
    </row>
    <row r="27" spans="1:17" s="2397" customFormat="1" ht="13.5" hidden="1" customHeight="1">
      <c r="A27" s="3438"/>
      <c r="B27" s="2722" t="s">
        <v>149</v>
      </c>
      <c r="C27" s="3441"/>
      <c r="D27" s="961"/>
      <c r="E27" s="2723"/>
      <c r="F27" s="2724"/>
      <c r="G27" s="2724"/>
      <c r="H27" s="2724"/>
      <c r="I27" s="2724"/>
      <c r="J27" s="2723"/>
      <c r="K27" s="2723"/>
      <c r="L27" s="725"/>
      <c r="M27" s="960"/>
      <c r="N27" s="960"/>
      <c r="O27" s="3416"/>
      <c r="P27" s="501"/>
    </row>
    <row r="28" spans="1:17" s="2397" customFormat="1" ht="13.5" hidden="1" customHeight="1">
      <c r="A28" s="3438"/>
      <c r="B28" s="2722" t="s">
        <v>110</v>
      </c>
      <c r="C28" s="3441"/>
      <c r="D28" s="961">
        <f>+E28+F28+G28+H28+I28</f>
        <v>55839</v>
      </c>
      <c r="E28" s="2724">
        <v>3119</v>
      </c>
      <c r="F28" s="2724">
        <f>31679-1297-6985</f>
        <v>23397</v>
      </c>
      <c r="G28" s="2724">
        <f>12591-1089+6985</f>
        <v>18487</v>
      </c>
      <c r="H28" s="2724">
        <f>10929-2878-103</f>
        <v>7948</v>
      </c>
      <c r="I28" s="2724">
        <f>2920-32</f>
        <v>2888</v>
      </c>
      <c r="J28" s="2723"/>
      <c r="K28" s="2723"/>
      <c r="L28" s="725"/>
      <c r="M28" s="2382">
        <f t="shared" ref="M28:N30" si="26">SUM(E28:H28)</f>
        <v>52951</v>
      </c>
      <c r="N28" s="2382">
        <f t="shared" si="26"/>
        <v>52720</v>
      </c>
      <c r="O28" s="3416"/>
      <c r="P28" s="501"/>
    </row>
    <row r="29" spans="1:17" s="2397" customFormat="1" ht="13.5" hidden="1" customHeight="1">
      <c r="A29" s="3438"/>
      <c r="B29" s="2722" t="s">
        <v>293</v>
      </c>
      <c r="C29" s="3441"/>
      <c r="D29" s="961">
        <f>+E29+F29+G29+H29+I29</f>
        <v>22423</v>
      </c>
      <c r="E29" s="2724">
        <f>4426+664</f>
        <v>5090</v>
      </c>
      <c r="F29" s="2724">
        <f>7322+633-301</f>
        <v>7654</v>
      </c>
      <c r="G29" s="2724">
        <f>6473+784+1089+301</f>
        <v>8647</v>
      </c>
      <c r="H29" s="2724">
        <f>599+85+103</f>
        <v>787</v>
      </c>
      <c r="I29" s="2724">
        <f>186+27+32</f>
        <v>245</v>
      </c>
      <c r="J29" s="2723"/>
      <c r="K29" s="2723"/>
      <c r="L29" s="725"/>
      <c r="M29" s="2382">
        <f t="shared" si="26"/>
        <v>22178</v>
      </c>
      <c r="N29" s="2382">
        <f t="shared" si="26"/>
        <v>17333</v>
      </c>
      <c r="O29" s="3416"/>
      <c r="P29" s="501"/>
    </row>
    <row r="30" spans="1:17" s="405" customFormat="1" ht="14.25" hidden="1" customHeight="1">
      <c r="A30" s="3406"/>
      <c r="B30" s="990" t="s">
        <v>13</v>
      </c>
      <c r="C30" s="3419"/>
      <c r="D30" s="247">
        <f>E30+F30+G30+H30+I30+J30+K30+L30</f>
        <v>0</v>
      </c>
      <c r="E30" s="725">
        <v>0</v>
      </c>
      <c r="F30" s="718"/>
      <c r="G30" s="718"/>
      <c r="H30" s="718"/>
      <c r="I30" s="718"/>
      <c r="J30" s="725"/>
      <c r="K30" s="725"/>
      <c r="L30" s="725"/>
      <c r="M30" s="960">
        <f t="shared" si="26"/>
        <v>0</v>
      </c>
      <c r="N30" s="960">
        <f t="shared" si="26"/>
        <v>0</v>
      </c>
      <c r="O30" s="3416"/>
      <c r="P30" s="501"/>
    </row>
    <row r="31" spans="1:17" s="405" customFormat="1">
      <c r="A31" s="3406"/>
      <c r="B31" s="2725" t="s">
        <v>18</v>
      </c>
      <c r="C31" s="3419"/>
      <c r="D31" s="962">
        <f>+D36+D32</f>
        <v>420817</v>
      </c>
      <c r="E31" s="962">
        <f t="shared" ref="E31" si="27">+E36+E32</f>
        <v>45222</v>
      </c>
      <c r="F31" s="962">
        <f>+F36+F32</f>
        <v>172687</v>
      </c>
      <c r="G31" s="962">
        <f>+G36+G32</f>
        <v>144723</v>
      </c>
      <c r="H31" s="962">
        <f>+H36+H32</f>
        <v>44968</v>
      </c>
      <c r="I31" s="962">
        <f>+I32</f>
        <v>13217</v>
      </c>
      <c r="J31" s="984">
        <v>0</v>
      </c>
      <c r="K31" s="984">
        <v>0</v>
      </c>
      <c r="L31" s="984">
        <v>0</v>
      </c>
      <c r="M31" s="1076">
        <f>+M36+M32</f>
        <v>375595</v>
      </c>
      <c r="N31" s="1076">
        <f>+N36+N32</f>
        <v>202908</v>
      </c>
      <c r="O31" s="3416"/>
      <c r="P31" s="501"/>
    </row>
    <row r="32" spans="1:17" s="465" customFormat="1">
      <c r="A32" s="3406"/>
      <c r="B32" s="990" t="s">
        <v>20</v>
      </c>
      <c r="C32" s="3419"/>
      <c r="D32" s="247">
        <f>E32+F32+G32+H32+I32+J32+K32+L32</f>
        <v>420817</v>
      </c>
      <c r="E32" s="284">
        <f>+E34+E35</f>
        <v>45222</v>
      </c>
      <c r="F32" s="718">
        <f t="shared" ref="F32:I32" si="28">+F34+F35</f>
        <v>172687</v>
      </c>
      <c r="G32" s="718">
        <f t="shared" si="28"/>
        <v>144723</v>
      </c>
      <c r="H32" s="718">
        <f t="shared" si="28"/>
        <v>44968</v>
      </c>
      <c r="I32" s="718">
        <f t="shared" si="28"/>
        <v>13217</v>
      </c>
      <c r="J32" s="725">
        <v>0</v>
      </c>
      <c r="K32" s="725">
        <v>0</v>
      </c>
      <c r="L32" s="725">
        <v>0</v>
      </c>
      <c r="M32" s="1061">
        <f>SUM(F32:K32)</f>
        <v>375595</v>
      </c>
      <c r="N32" s="1061">
        <f>SUM(G32:L32)</f>
        <v>202908</v>
      </c>
      <c r="O32" s="3416"/>
      <c r="P32" s="2395">
        <f>D32-D41</f>
        <v>0</v>
      </c>
    </row>
    <row r="33" spans="1:16" s="2397" customFormat="1" ht="13.5" hidden="1" customHeight="1">
      <c r="A33" s="3406"/>
      <c r="B33" s="2722" t="s">
        <v>149</v>
      </c>
      <c r="C33" s="3419"/>
      <c r="D33" s="961"/>
      <c r="E33" s="725"/>
      <c r="F33" s="2724"/>
      <c r="G33" s="2724"/>
      <c r="H33" s="2724"/>
      <c r="I33" s="2724"/>
      <c r="J33" s="2723"/>
      <c r="K33" s="2723"/>
      <c r="L33" s="2723"/>
      <c r="M33" s="2382"/>
      <c r="N33" s="2382"/>
      <c r="O33" s="3416"/>
      <c r="P33" s="501"/>
    </row>
    <row r="34" spans="1:16" s="2397" customFormat="1" ht="13.5" hidden="1" customHeight="1">
      <c r="A34" s="3406"/>
      <c r="B34" s="2722" t="s">
        <v>110</v>
      </c>
      <c r="C34" s="3419"/>
      <c r="D34" s="961">
        <f>+E34+F34+G34+H34+I34</f>
        <v>293767</v>
      </c>
      <c r="E34" s="2724">
        <v>16375</v>
      </c>
      <c r="F34" s="2724">
        <f>1482+28167+1112+84605+3706+47478+5188-7334-35092</f>
        <v>129312</v>
      </c>
      <c r="G34" s="2724">
        <f>1482+13343+1112+47172+3706-6169+35092</f>
        <v>95738</v>
      </c>
      <c r="H34" s="2724">
        <f>1482+15195+1853+32381+6486-16307-582</f>
        <v>40508</v>
      </c>
      <c r="I34" s="2724">
        <f>3706+371+6085+1853-181</f>
        <v>11834</v>
      </c>
      <c r="J34" s="2723"/>
      <c r="K34" s="2723"/>
      <c r="L34" s="2723"/>
      <c r="M34" s="2382">
        <f t="shared" ref="M34:N36" si="29">SUM(E34:H34)</f>
        <v>281933</v>
      </c>
      <c r="N34" s="2382">
        <f t="shared" si="29"/>
        <v>277392</v>
      </c>
      <c r="O34" s="3416"/>
      <c r="P34" s="501"/>
    </row>
    <row r="35" spans="1:16" s="2397" customFormat="1" ht="13.5" hidden="1" customHeight="1">
      <c r="A35" s="3406"/>
      <c r="B35" s="2722" t="s">
        <v>293</v>
      </c>
      <c r="C35" s="3419"/>
      <c r="D35" s="961">
        <f>+E35+F35+G35+H35+I35</f>
        <v>127050</v>
      </c>
      <c r="E35" s="2724">
        <f>25085+3762</f>
        <v>28847</v>
      </c>
      <c r="F35" s="2724">
        <f>28369+1756+4789+710+1512+4359+3572-1692</f>
        <v>43375</v>
      </c>
      <c r="G35" s="2724">
        <f>28654+2364+4931+731+4444+6169+1692</f>
        <v>48985</v>
      </c>
      <c r="H35" s="2724">
        <f>2663+220+445+67+483+582</f>
        <v>4460</v>
      </c>
      <c r="I35" s="2724">
        <f>672+222+138+21+149+181</f>
        <v>1383</v>
      </c>
      <c r="J35" s="2723"/>
      <c r="K35" s="2723"/>
      <c r="L35" s="2723"/>
      <c r="M35" s="2382">
        <f t="shared" si="29"/>
        <v>125667</v>
      </c>
      <c r="N35" s="2382">
        <f t="shared" si="29"/>
        <v>98203</v>
      </c>
      <c r="O35" s="3416"/>
      <c r="P35" s="501"/>
    </row>
    <row r="36" spans="1:16" s="405" customFormat="1" ht="13.5" hidden="1" customHeight="1" collapsed="1">
      <c r="A36" s="3406"/>
      <c r="B36" s="990" t="s">
        <v>21</v>
      </c>
      <c r="C36" s="3419"/>
      <c r="D36" s="247">
        <f>E36+F36+G36+H36+I36+J36+K36+L36</f>
        <v>0</v>
      </c>
      <c r="E36" s="725">
        <v>0</v>
      </c>
      <c r="F36" s="718"/>
      <c r="G36" s="718"/>
      <c r="H36" s="718"/>
      <c r="I36" s="718"/>
      <c r="J36" s="725"/>
      <c r="K36" s="725"/>
      <c r="L36" s="725"/>
      <c r="M36" s="960">
        <f t="shared" si="29"/>
        <v>0</v>
      </c>
      <c r="N36" s="960">
        <f t="shared" si="29"/>
        <v>0</v>
      </c>
      <c r="O36" s="3416"/>
      <c r="P36" s="2395"/>
    </row>
    <row r="37" spans="1:16" s="405" customFormat="1" ht="12.75" customHeight="1">
      <c r="A37" s="3407"/>
      <c r="B37" s="955" t="s">
        <v>22</v>
      </c>
      <c r="C37" s="956"/>
      <c r="D37" s="710">
        <f>+D38+D40</f>
        <v>420817</v>
      </c>
      <c r="E37" s="722">
        <v>0</v>
      </c>
      <c r="F37" s="710">
        <f>+F38+F40</f>
        <v>84212</v>
      </c>
      <c r="G37" s="710">
        <f t="shared" ref="G37:J37" si="30">+G38+G40</f>
        <v>168662</v>
      </c>
      <c r="H37" s="710">
        <f t="shared" si="30"/>
        <v>119784</v>
      </c>
      <c r="I37" s="710">
        <f t="shared" si="30"/>
        <v>48159</v>
      </c>
      <c r="J37" s="722">
        <f t="shared" si="30"/>
        <v>0</v>
      </c>
      <c r="K37" s="722">
        <v>0</v>
      </c>
      <c r="L37" s="722">
        <v>0</v>
      </c>
      <c r="M37" s="3413" t="s">
        <v>61</v>
      </c>
      <c r="N37" s="3413" t="s">
        <v>61</v>
      </c>
      <c r="O37" s="3439"/>
      <c r="P37" s="2395">
        <f>G37-'[1]Tab. 6B Polit społ i rozwój prz'!$G$37</f>
        <v>-69130</v>
      </c>
    </row>
    <row r="38" spans="1:16" s="405" customFormat="1" ht="13.5" hidden="1" customHeight="1">
      <c r="A38" s="3407"/>
      <c r="B38" s="2381" t="s">
        <v>24</v>
      </c>
      <c r="C38" s="3420" t="s">
        <v>307</v>
      </c>
      <c r="D38" s="962">
        <f>+D39</f>
        <v>0</v>
      </c>
      <c r="E38" s="984">
        <v>0</v>
      </c>
      <c r="F38" s="962"/>
      <c r="G38" s="962"/>
      <c r="H38" s="962"/>
      <c r="I38" s="962"/>
      <c r="J38" s="984"/>
      <c r="K38" s="984"/>
      <c r="L38" s="984"/>
      <c r="M38" s="3413"/>
      <c r="N38" s="3413"/>
      <c r="O38" s="3439"/>
      <c r="P38" s="501"/>
    </row>
    <row r="39" spans="1:16" s="405" customFormat="1" ht="13.5" hidden="1" customHeight="1">
      <c r="A39" s="3407"/>
      <c r="B39" s="990" t="s">
        <v>13</v>
      </c>
      <c r="C39" s="3419"/>
      <c r="D39" s="247">
        <f>E39+F39+G39+H39+I39+J39+K39+L39</f>
        <v>0</v>
      </c>
      <c r="E39" s="2146"/>
      <c r="F39" s="961"/>
      <c r="G39" s="961"/>
      <c r="H39" s="961"/>
      <c r="I39" s="961"/>
      <c r="J39" s="2146"/>
      <c r="K39" s="2146"/>
      <c r="L39" s="2146"/>
      <c r="M39" s="3413"/>
      <c r="N39" s="3413"/>
      <c r="O39" s="3439"/>
      <c r="P39" s="501"/>
    </row>
    <row r="40" spans="1:16" s="405" customFormat="1">
      <c r="A40" s="3407"/>
      <c r="B40" s="2725" t="s">
        <v>18</v>
      </c>
      <c r="C40" s="3421"/>
      <c r="D40" s="962">
        <f>+D42+D41</f>
        <v>420817</v>
      </c>
      <c r="E40" s="984">
        <v>0</v>
      </c>
      <c r="F40" s="962">
        <f t="shared" ref="F40:J40" si="31">+F42+F41</f>
        <v>84212</v>
      </c>
      <c r="G40" s="962">
        <f t="shared" si="31"/>
        <v>168662</v>
      </c>
      <c r="H40" s="962">
        <f>+H42+H41</f>
        <v>119784</v>
      </c>
      <c r="I40" s="962">
        <f t="shared" si="31"/>
        <v>48159</v>
      </c>
      <c r="J40" s="984">
        <f t="shared" si="31"/>
        <v>0</v>
      </c>
      <c r="K40" s="984">
        <v>0</v>
      </c>
      <c r="L40" s="984">
        <v>0</v>
      </c>
      <c r="M40" s="3413"/>
      <c r="N40" s="3413"/>
      <c r="O40" s="3439"/>
      <c r="P40" s="501"/>
    </row>
    <row r="41" spans="1:16" s="465" customFormat="1" ht="15.75" customHeight="1" thickBot="1">
      <c r="A41" s="3407"/>
      <c r="B41" s="990" t="s">
        <v>20</v>
      </c>
      <c r="C41" s="3421"/>
      <c r="D41" s="247">
        <f>E41+F41+G41+H41+I41+J41+K41+L41</f>
        <v>420817</v>
      </c>
      <c r="E41" s="2726">
        <v>0</v>
      </c>
      <c r="F41" s="718">
        <f>88766-60286+55732</f>
        <v>84212</v>
      </c>
      <c r="G41" s="718">
        <f>154696+9365+11231+62500-69130</f>
        <v>168662</v>
      </c>
      <c r="H41" s="718">
        <f>103495-26700+4444-33621+72166</f>
        <v>119784</v>
      </c>
      <c r="I41" s="718">
        <f>60792+32027-15824-25800-3036</f>
        <v>48159</v>
      </c>
      <c r="J41" s="725">
        <f>13068+45594+149-58811</f>
        <v>0</v>
      </c>
      <c r="K41" s="725">
        <v>0</v>
      </c>
      <c r="L41" s="725">
        <v>0</v>
      </c>
      <c r="M41" s="3413"/>
      <c r="N41" s="3413"/>
      <c r="O41" s="3439"/>
      <c r="P41" s="501"/>
    </row>
    <row r="42" spans="1:16" ht="13.5" hidden="1" customHeight="1" thickBot="1">
      <c r="A42" s="3378"/>
      <c r="B42" s="2727" t="s">
        <v>21</v>
      </c>
      <c r="C42" s="3422"/>
      <c r="D42" s="247">
        <f>E42+F42+G42+H42+I42+J42+K42+L42</f>
        <v>0</v>
      </c>
      <c r="E42" s="985">
        <v>0</v>
      </c>
      <c r="F42" s="483"/>
      <c r="G42" s="483"/>
      <c r="H42" s="483"/>
      <c r="I42" s="483"/>
      <c r="J42" s="483"/>
      <c r="K42" s="483"/>
      <c r="L42" s="483"/>
      <c r="M42" s="3386"/>
      <c r="N42" s="3386"/>
      <c r="O42" s="3440"/>
      <c r="P42" s="497"/>
    </row>
    <row r="43" spans="1:16" ht="26.25" customHeight="1">
      <c r="A43" s="3405" t="s">
        <v>310</v>
      </c>
      <c r="B43" s="1452" t="s">
        <v>511</v>
      </c>
      <c r="C43" s="1453" t="s">
        <v>109</v>
      </c>
      <c r="D43" s="60"/>
      <c r="E43" s="642"/>
      <c r="F43" s="42"/>
      <c r="G43" s="42"/>
      <c r="H43" s="42"/>
      <c r="I43" s="42"/>
      <c r="J43" s="42"/>
      <c r="K43" s="42"/>
      <c r="L43" s="42"/>
      <c r="M43" s="655"/>
      <c r="N43" s="655"/>
      <c r="O43" s="3379" t="s">
        <v>317</v>
      </c>
      <c r="P43" s="497"/>
    </row>
    <row r="44" spans="1:16">
      <c r="A44" s="3406"/>
      <c r="B44" s="955" t="s">
        <v>10</v>
      </c>
      <c r="C44" s="1454"/>
      <c r="D44" s="1054">
        <f t="shared" ref="D44" si="32">+D45+D50</f>
        <v>1324368</v>
      </c>
      <c r="E44" s="2389">
        <f t="shared" ref="E44" si="33">+E45+E50</f>
        <v>0</v>
      </c>
      <c r="F44" s="2389">
        <f t="shared" ref="F44:H44" si="34">+F45+F50</f>
        <v>0</v>
      </c>
      <c r="G44" s="694">
        <f t="shared" si="34"/>
        <v>689604</v>
      </c>
      <c r="H44" s="694">
        <f t="shared" si="34"/>
        <v>634764</v>
      </c>
      <c r="I44" s="2389">
        <f t="shared" ref="I44:L44" si="35">+I45+I50</f>
        <v>0</v>
      </c>
      <c r="J44" s="2389">
        <f t="shared" si="35"/>
        <v>0</v>
      </c>
      <c r="K44" s="2389">
        <f t="shared" si="35"/>
        <v>0</v>
      </c>
      <c r="L44" s="2389">
        <f t="shared" si="35"/>
        <v>0</v>
      </c>
      <c r="M44" s="957">
        <f>+M45+M50</f>
        <v>1324368</v>
      </c>
      <c r="N44" s="957">
        <f>+N45+N50</f>
        <v>1324368</v>
      </c>
      <c r="O44" s="3380"/>
      <c r="P44" s="498"/>
    </row>
    <row r="45" spans="1:16" ht="12.75" customHeight="1">
      <c r="A45" s="3406"/>
      <c r="B45" s="958" t="s">
        <v>24</v>
      </c>
      <c r="C45" s="3408" t="s">
        <v>313</v>
      </c>
      <c r="D45" s="733">
        <f t="shared" ref="D45:N45" si="36">+D46+D49</f>
        <v>198655</v>
      </c>
      <c r="E45" s="2390">
        <f t="shared" ref="E45" si="37">+E46+E49</f>
        <v>0</v>
      </c>
      <c r="F45" s="2390">
        <f t="shared" si="36"/>
        <v>0</v>
      </c>
      <c r="G45" s="733">
        <f t="shared" si="36"/>
        <v>103441</v>
      </c>
      <c r="H45" s="733">
        <f t="shared" si="36"/>
        <v>95214</v>
      </c>
      <c r="I45" s="2390">
        <f t="shared" ref="I45:L45" si="38">+I46+I49</f>
        <v>0</v>
      </c>
      <c r="J45" s="2390">
        <f t="shared" si="38"/>
        <v>0</v>
      </c>
      <c r="K45" s="2390">
        <f t="shared" si="38"/>
        <v>0</v>
      </c>
      <c r="L45" s="2390">
        <f t="shared" si="38"/>
        <v>0</v>
      </c>
      <c r="M45" s="1075">
        <f t="shared" ref="M45" si="39">+M46+M49</f>
        <v>198655</v>
      </c>
      <c r="N45" s="1075">
        <f t="shared" si="36"/>
        <v>198655</v>
      </c>
      <c r="O45" s="3380"/>
      <c r="P45" s="497"/>
    </row>
    <row r="46" spans="1:16" ht="12.75" customHeight="1">
      <c r="A46" s="3406"/>
      <c r="B46" s="959" t="s">
        <v>12</v>
      </c>
      <c r="C46" s="3409"/>
      <c r="D46" s="247">
        <f>E46+F46+G46+H46+I46+J46+K46+L46</f>
        <v>198655</v>
      </c>
      <c r="E46" s="2398">
        <f t="shared" ref="E46:H46" si="40">+E47+E48</f>
        <v>0</v>
      </c>
      <c r="F46" s="2398">
        <f t="shared" si="40"/>
        <v>0</v>
      </c>
      <c r="G46" s="718">
        <f t="shared" si="40"/>
        <v>103441</v>
      </c>
      <c r="H46" s="718">
        <f t="shared" si="40"/>
        <v>95214</v>
      </c>
      <c r="I46" s="2398">
        <f t="shared" ref="I46:L46" si="41">+I47+I48</f>
        <v>0</v>
      </c>
      <c r="J46" s="2398">
        <f t="shared" si="41"/>
        <v>0</v>
      </c>
      <c r="K46" s="2398">
        <f t="shared" si="41"/>
        <v>0</v>
      </c>
      <c r="L46" s="2398">
        <f t="shared" si="41"/>
        <v>0</v>
      </c>
      <c r="M46" s="1061">
        <f>SUM(F46:K46)</f>
        <v>198655</v>
      </c>
      <c r="N46" s="1017">
        <f>SUM(G46:L46)</f>
        <v>198655</v>
      </c>
      <c r="O46" s="3380"/>
      <c r="P46" s="497"/>
    </row>
    <row r="47" spans="1:16" s="2404" customFormat="1" ht="13.5" hidden="1" customHeight="1">
      <c r="A47" s="3406"/>
      <c r="B47" s="2399" t="s">
        <v>293</v>
      </c>
      <c r="C47" s="3409"/>
      <c r="D47" s="2400">
        <f>SUM(E47:L47)</f>
        <v>101173</v>
      </c>
      <c r="E47" s="2401">
        <v>0</v>
      </c>
      <c r="F47" s="2402">
        <v>0</v>
      </c>
      <c r="G47" s="2403">
        <v>51272</v>
      </c>
      <c r="H47" s="2403">
        <v>49901</v>
      </c>
      <c r="I47" s="2402">
        <v>0</v>
      </c>
      <c r="J47" s="2402">
        <v>0</v>
      </c>
      <c r="K47" s="2402">
        <v>0</v>
      </c>
      <c r="L47" s="2402">
        <v>0</v>
      </c>
      <c r="M47" s="960"/>
      <c r="N47" s="1061">
        <f t="shared" ref="N47:N48" si="42">SUM(G47:L47)</f>
        <v>101173</v>
      </c>
      <c r="O47" s="3380"/>
      <c r="P47" s="497"/>
    </row>
    <row r="48" spans="1:16" s="2404" customFormat="1" ht="13.5" hidden="1" customHeight="1">
      <c r="A48" s="3406"/>
      <c r="B48" s="2405" t="s">
        <v>311</v>
      </c>
      <c r="C48" s="3409"/>
      <c r="D48" s="2406">
        <f>SUM(E48:L48)</f>
        <v>97482</v>
      </c>
      <c r="E48" s="2407">
        <v>0</v>
      </c>
      <c r="F48" s="2408">
        <v>0</v>
      </c>
      <c r="G48" s="2409">
        <v>52169</v>
      </c>
      <c r="H48" s="2409">
        <v>45313</v>
      </c>
      <c r="I48" s="2408">
        <v>0</v>
      </c>
      <c r="J48" s="2408">
        <v>0</v>
      </c>
      <c r="K48" s="2408">
        <v>0</v>
      </c>
      <c r="L48" s="2408">
        <v>0</v>
      </c>
      <c r="M48" s="960"/>
      <c r="N48" s="1061">
        <f t="shared" si="42"/>
        <v>97482</v>
      </c>
      <c r="O48" s="3380"/>
      <c r="P48" s="497"/>
    </row>
    <row r="49" spans="1:16" ht="12.75" hidden="1" customHeight="1">
      <c r="A49" s="3406"/>
      <c r="B49" s="959" t="s">
        <v>13</v>
      </c>
      <c r="C49" s="3409"/>
      <c r="D49" s="961">
        <f>SUM(E49:G49)</f>
        <v>0</v>
      </c>
      <c r="E49" s="725">
        <v>0</v>
      </c>
      <c r="F49" s="725"/>
      <c r="G49" s="718"/>
      <c r="H49" s="718"/>
      <c r="I49" s="725"/>
      <c r="J49" s="725"/>
      <c r="K49" s="725"/>
      <c r="L49" s="725"/>
      <c r="M49" s="960">
        <f>SUM(E49:K49)</f>
        <v>0</v>
      </c>
      <c r="N49" s="2382">
        <f>SUM(F49:L49)</f>
        <v>0</v>
      </c>
      <c r="O49" s="3380"/>
      <c r="P49" s="497"/>
    </row>
    <row r="50" spans="1:16" ht="13.5" customHeight="1">
      <c r="A50" s="3406"/>
      <c r="B50" s="958" t="s">
        <v>18</v>
      </c>
      <c r="C50" s="3409"/>
      <c r="D50" s="962">
        <f>+D51</f>
        <v>1125713</v>
      </c>
      <c r="E50" s="984">
        <f t="shared" ref="E50:L50" si="43">+E51</f>
        <v>0</v>
      </c>
      <c r="F50" s="984">
        <f t="shared" si="43"/>
        <v>0</v>
      </c>
      <c r="G50" s="962">
        <f t="shared" si="43"/>
        <v>586163</v>
      </c>
      <c r="H50" s="962">
        <f t="shared" si="43"/>
        <v>539550</v>
      </c>
      <c r="I50" s="984">
        <f t="shared" si="43"/>
        <v>0</v>
      </c>
      <c r="J50" s="984">
        <f t="shared" si="43"/>
        <v>0</v>
      </c>
      <c r="K50" s="984">
        <f t="shared" si="43"/>
        <v>0</v>
      </c>
      <c r="L50" s="984">
        <f t="shared" si="43"/>
        <v>0</v>
      </c>
      <c r="M50" s="1076">
        <f>+M51</f>
        <v>1125713</v>
      </c>
      <c r="N50" s="1076">
        <f>+N51</f>
        <v>1125713</v>
      </c>
      <c r="O50" s="3380"/>
      <c r="P50" s="497"/>
    </row>
    <row r="51" spans="1:16" ht="12" customHeight="1" collapsed="1">
      <c r="A51" s="3406"/>
      <c r="B51" s="959" t="s">
        <v>21</v>
      </c>
      <c r="C51" s="3409"/>
      <c r="D51" s="247">
        <f>E51+F51+G51+H51+I51+J51+K51+L51</f>
        <v>1125713</v>
      </c>
      <c r="E51" s="725">
        <f t="shared" ref="E51:H51" si="44">+E52+E53</f>
        <v>0</v>
      </c>
      <c r="F51" s="725">
        <f t="shared" si="44"/>
        <v>0</v>
      </c>
      <c r="G51" s="718">
        <f t="shared" si="44"/>
        <v>586163</v>
      </c>
      <c r="H51" s="718">
        <f t="shared" si="44"/>
        <v>539550</v>
      </c>
      <c r="I51" s="725">
        <f t="shared" ref="I51:L51" si="45">+I52+I53</f>
        <v>0</v>
      </c>
      <c r="J51" s="725">
        <f t="shared" si="45"/>
        <v>0</v>
      </c>
      <c r="K51" s="725">
        <f t="shared" si="45"/>
        <v>0</v>
      </c>
      <c r="L51" s="725">
        <f t="shared" si="45"/>
        <v>0</v>
      </c>
      <c r="M51" s="1061">
        <f>SUM(F51:K51)</f>
        <v>1125713</v>
      </c>
      <c r="N51" s="1061">
        <f>SUM(G51:L51)</f>
        <v>1125713</v>
      </c>
      <c r="O51" s="3393"/>
      <c r="P51" s="497"/>
    </row>
    <row r="52" spans="1:16" s="2404" customFormat="1" ht="13.5" hidden="1" customHeight="1">
      <c r="A52" s="3406"/>
      <c r="B52" s="2410" t="s">
        <v>293</v>
      </c>
      <c r="C52" s="991"/>
      <c r="D52" s="2411">
        <f>SUM(E52:L52)</f>
        <v>573315</v>
      </c>
      <c r="E52" s="2412">
        <v>0</v>
      </c>
      <c r="F52" s="2413">
        <v>0</v>
      </c>
      <c r="G52" s="2414">
        <v>290542</v>
      </c>
      <c r="H52" s="2414">
        <v>282773</v>
      </c>
      <c r="I52" s="2413">
        <v>0</v>
      </c>
      <c r="J52" s="2413">
        <v>0</v>
      </c>
      <c r="K52" s="2413">
        <v>0</v>
      </c>
      <c r="L52" s="2413">
        <v>0</v>
      </c>
      <c r="M52" s="960"/>
      <c r="N52" s="960"/>
      <c r="O52" s="2575"/>
      <c r="P52" s="497"/>
    </row>
    <row r="53" spans="1:16" s="2404" customFormat="1" ht="13.5" hidden="1" customHeight="1">
      <c r="A53" s="3406"/>
      <c r="B53" s="2415" t="s">
        <v>311</v>
      </c>
      <c r="C53" s="2416"/>
      <c r="D53" s="2417">
        <f>SUM(E53:L53)</f>
        <v>552398</v>
      </c>
      <c r="E53" s="2418">
        <v>0</v>
      </c>
      <c r="F53" s="2419">
        <v>0</v>
      </c>
      <c r="G53" s="2420">
        <v>295621</v>
      </c>
      <c r="H53" s="2420">
        <v>256777</v>
      </c>
      <c r="I53" s="2419">
        <v>0</v>
      </c>
      <c r="J53" s="2419">
        <v>0</v>
      </c>
      <c r="K53" s="2419">
        <v>0</v>
      </c>
      <c r="L53" s="2419">
        <v>0</v>
      </c>
      <c r="M53" s="960"/>
      <c r="N53" s="960"/>
      <c r="O53" s="2575"/>
      <c r="P53" s="497"/>
    </row>
    <row r="54" spans="1:16">
      <c r="A54" s="3407"/>
      <c r="B54" s="955" t="s">
        <v>22</v>
      </c>
      <c r="C54" s="956"/>
      <c r="D54" s="963">
        <f t="shared" ref="D54:H54" si="46">+D55+D57</f>
        <v>1125713</v>
      </c>
      <c r="E54" s="2421">
        <f t="shared" ref="E54" si="47">+E55+E57</f>
        <v>0</v>
      </c>
      <c r="F54" s="2421">
        <f t="shared" si="46"/>
        <v>0</v>
      </c>
      <c r="G54" s="963">
        <f t="shared" si="46"/>
        <v>586163</v>
      </c>
      <c r="H54" s="963">
        <f t="shared" si="46"/>
        <v>539550</v>
      </c>
      <c r="I54" s="2421">
        <f t="shared" ref="I54:L54" si="48">+I55+I57</f>
        <v>0</v>
      </c>
      <c r="J54" s="2421">
        <f t="shared" si="48"/>
        <v>0</v>
      </c>
      <c r="K54" s="2421">
        <f t="shared" si="48"/>
        <v>0</v>
      </c>
      <c r="L54" s="2421">
        <f t="shared" si="48"/>
        <v>0</v>
      </c>
      <c r="M54" s="3413" t="s">
        <v>61</v>
      </c>
      <c r="N54" s="3413" t="s">
        <v>61</v>
      </c>
      <c r="O54" s="3388" t="s">
        <v>311</v>
      </c>
      <c r="P54" s="498">
        <f>G54-'[1]Tab. 6B Polit społ i rozwój prz'!$G$54</f>
        <v>0</v>
      </c>
    </row>
    <row r="55" spans="1:16" ht="13.5" hidden="1" customHeight="1">
      <c r="A55" s="3407"/>
      <c r="B55" s="958" t="s">
        <v>24</v>
      </c>
      <c r="C55" s="3410" t="s">
        <v>312</v>
      </c>
      <c r="D55" s="962">
        <f>+D56</f>
        <v>0</v>
      </c>
      <c r="E55" s="984">
        <f t="shared" ref="E55:L55" si="49">+E56</f>
        <v>0</v>
      </c>
      <c r="F55" s="984">
        <f t="shared" si="49"/>
        <v>0</v>
      </c>
      <c r="G55" s="962">
        <f t="shared" si="49"/>
        <v>0</v>
      </c>
      <c r="H55" s="962">
        <f t="shared" si="49"/>
        <v>0</v>
      </c>
      <c r="I55" s="984">
        <f t="shared" si="49"/>
        <v>0</v>
      </c>
      <c r="J55" s="984">
        <f t="shared" si="49"/>
        <v>0</v>
      </c>
      <c r="K55" s="984">
        <f t="shared" si="49"/>
        <v>0</v>
      </c>
      <c r="L55" s="984">
        <f t="shared" si="49"/>
        <v>0</v>
      </c>
      <c r="M55" s="3413"/>
      <c r="N55" s="3413"/>
      <c r="O55" s="3388"/>
      <c r="P55" s="497"/>
    </row>
    <row r="56" spans="1:16" ht="13.5" hidden="1" customHeight="1">
      <c r="A56" s="3407"/>
      <c r="B56" s="959" t="s">
        <v>13</v>
      </c>
      <c r="C56" s="3411"/>
      <c r="D56" s="961">
        <f>SUM(E56:G56)</f>
        <v>0</v>
      </c>
      <c r="E56" s="2146"/>
      <c r="F56" s="2146"/>
      <c r="G56" s="961"/>
      <c r="H56" s="961"/>
      <c r="I56" s="2146"/>
      <c r="J56" s="2146"/>
      <c r="K56" s="2146"/>
      <c r="L56" s="2146"/>
      <c r="M56" s="3413"/>
      <c r="N56" s="3413"/>
      <c r="O56" s="3388"/>
      <c r="P56" s="497"/>
    </row>
    <row r="57" spans="1:16" ht="13.9" customHeight="1">
      <c r="A57" s="3407"/>
      <c r="B57" s="958" t="s">
        <v>18</v>
      </c>
      <c r="C57" s="3411"/>
      <c r="D57" s="962">
        <f t="shared" ref="D57:L57" si="50">+D58</f>
        <v>1125713</v>
      </c>
      <c r="E57" s="984">
        <f t="shared" si="50"/>
        <v>0</v>
      </c>
      <c r="F57" s="984">
        <f t="shared" si="50"/>
        <v>0</v>
      </c>
      <c r="G57" s="962">
        <f t="shared" si="50"/>
        <v>586163</v>
      </c>
      <c r="H57" s="962">
        <f t="shared" si="50"/>
        <v>539550</v>
      </c>
      <c r="I57" s="984">
        <f t="shared" si="50"/>
        <v>0</v>
      </c>
      <c r="J57" s="984">
        <f t="shared" si="50"/>
        <v>0</v>
      </c>
      <c r="K57" s="984">
        <f t="shared" si="50"/>
        <v>0</v>
      </c>
      <c r="L57" s="984">
        <f t="shared" si="50"/>
        <v>0</v>
      </c>
      <c r="M57" s="3413"/>
      <c r="N57" s="3413"/>
      <c r="O57" s="3388"/>
      <c r="P57" s="497"/>
    </row>
    <row r="58" spans="1:16" ht="13.5" customHeight="1" thickBot="1">
      <c r="A58" s="3378"/>
      <c r="B58" s="656" t="s">
        <v>21</v>
      </c>
      <c r="C58" s="3412"/>
      <c r="D58" s="941">
        <f>E58+F58+G58+H58+I58+J58+K58+L58</f>
        <v>1125713</v>
      </c>
      <c r="E58" s="638">
        <v>0</v>
      </c>
      <c r="F58" s="985">
        <v>0</v>
      </c>
      <c r="G58" s="483">
        <v>586163</v>
      </c>
      <c r="H58" s="483">
        <v>539550</v>
      </c>
      <c r="I58" s="985">
        <v>0</v>
      </c>
      <c r="J58" s="985">
        <v>0</v>
      </c>
      <c r="K58" s="985">
        <v>0</v>
      </c>
      <c r="L58" s="985">
        <v>0</v>
      </c>
      <c r="M58" s="3386"/>
      <c r="N58" s="3386"/>
      <c r="O58" s="3389"/>
      <c r="P58" s="497"/>
    </row>
    <row r="59" spans="1:16" ht="0.6" customHeight="1">
      <c r="A59" s="2621"/>
      <c r="B59" s="990" t="s">
        <v>21</v>
      </c>
      <c r="C59" s="2392"/>
      <c r="D59" s="961">
        <f>SUM(E59:G59)</f>
        <v>0</v>
      </c>
      <c r="E59" s="718">
        <v>0</v>
      </c>
      <c r="F59" s="718"/>
      <c r="G59" s="718"/>
      <c r="H59" s="718"/>
      <c r="I59" s="718"/>
      <c r="J59" s="718"/>
      <c r="K59" s="718"/>
      <c r="L59" s="718"/>
      <c r="M59" s="2620"/>
      <c r="N59" s="2620"/>
      <c r="O59" s="2622"/>
      <c r="P59" s="497"/>
    </row>
    <row r="60" spans="1:16" ht="27" customHeight="1">
      <c r="A60" s="3394" t="s">
        <v>65</v>
      </c>
      <c r="B60" s="2728" t="s">
        <v>543</v>
      </c>
      <c r="C60" s="2729" t="s">
        <v>109</v>
      </c>
      <c r="D60" s="1897"/>
      <c r="E60" s="2730"/>
      <c r="F60" s="2730"/>
      <c r="G60" s="2730"/>
      <c r="H60" s="2730"/>
      <c r="I60" s="2730"/>
      <c r="J60" s="2730"/>
      <c r="K60" s="2730"/>
      <c r="L60" s="2730"/>
      <c r="M60" s="1864"/>
      <c r="N60" s="1864"/>
      <c r="O60" s="3396" t="s">
        <v>465</v>
      </c>
      <c r="P60" s="497"/>
    </row>
    <row r="61" spans="1:16" ht="12" customHeight="1">
      <c r="A61" s="3394"/>
      <c r="B61" s="2731" t="s">
        <v>10</v>
      </c>
      <c r="C61" s="1923"/>
      <c r="D61" s="1863">
        <f t="shared" ref="D61:L61" si="51">+D62+D65</f>
        <v>12441351</v>
      </c>
      <c r="E61" s="1863">
        <f t="shared" ref="E61" si="52">+E62+E65</f>
        <v>1741141</v>
      </c>
      <c r="F61" s="1863">
        <f t="shared" si="51"/>
        <v>1271441</v>
      </c>
      <c r="G61" s="1863">
        <f t="shared" si="51"/>
        <v>2030017</v>
      </c>
      <c r="H61" s="1863">
        <f t="shared" si="51"/>
        <v>1885382</v>
      </c>
      <c r="I61" s="1863">
        <f t="shared" si="51"/>
        <v>1885382</v>
      </c>
      <c r="J61" s="1863">
        <f t="shared" si="51"/>
        <v>1855719</v>
      </c>
      <c r="K61" s="1863">
        <f t="shared" si="51"/>
        <v>886134</v>
      </c>
      <c r="L61" s="1863">
        <f t="shared" si="51"/>
        <v>886135</v>
      </c>
      <c r="M61" s="1802">
        <f>+M62+M65</f>
        <v>9814075</v>
      </c>
      <c r="N61" s="1802">
        <f>+N62+N65</f>
        <v>9428769</v>
      </c>
      <c r="O61" s="3396"/>
      <c r="P61" s="497"/>
    </row>
    <row r="62" spans="1:16" ht="12" customHeight="1">
      <c r="A62" s="3394"/>
      <c r="B62" s="2732" t="s">
        <v>24</v>
      </c>
      <c r="C62" s="3399" t="s">
        <v>120</v>
      </c>
      <c r="D62" s="2168">
        <f t="shared" ref="D62:L62" si="53">+D63+D64</f>
        <v>1955780</v>
      </c>
      <c r="E62" s="2168">
        <f t="shared" ref="E62" si="54">+E63+E64</f>
        <v>273708</v>
      </c>
      <c r="F62" s="2168">
        <f t="shared" si="53"/>
        <v>199870</v>
      </c>
      <c r="G62" s="2168">
        <f t="shared" si="53"/>
        <v>319119</v>
      </c>
      <c r="H62" s="2168">
        <f t="shared" si="53"/>
        <v>296382</v>
      </c>
      <c r="I62" s="2168">
        <f t="shared" si="53"/>
        <v>296382</v>
      </c>
      <c r="J62" s="2168">
        <f t="shared" si="53"/>
        <v>291719</v>
      </c>
      <c r="K62" s="2168">
        <f t="shared" si="53"/>
        <v>139300</v>
      </c>
      <c r="L62" s="2168">
        <f t="shared" si="53"/>
        <v>139300</v>
      </c>
      <c r="M62" s="2179">
        <f>+M63+M64</f>
        <v>1542772</v>
      </c>
      <c r="N62" s="2179">
        <f>+N63+N64</f>
        <v>1482202</v>
      </c>
      <c r="O62" s="3396"/>
      <c r="P62" s="497"/>
    </row>
    <row r="63" spans="1:16" ht="12" customHeight="1">
      <c r="A63" s="3394"/>
      <c r="B63" s="2733" t="s">
        <v>12</v>
      </c>
      <c r="C63" s="3400"/>
      <c r="D63" s="1715">
        <f>E63+F63+G63+H63+I63+J63+K63+L63</f>
        <v>1955780</v>
      </c>
      <c r="E63" s="1775">
        <v>273708</v>
      </c>
      <c r="F63" s="1813">
        <f>219137+39195+186-30030-28618</f>
        <v>199870</v>
      </c>
      <c r="G63" s="1813">
        <f>219137+40716-186+30030+29422</f>
        <v>319119</v>
      </c>
      <c r="H63" s="1813">
        <f>354390-58008</f>
        <v>296382</v>
      </c>
      <c r="I63" s="1813">
        <f>354390-58008</f>
        <v>296382</v>
      </c>
      <c r="J63" s="1813">
        <v>291719</v>
      </c>
      <c r="K63" s="1813">
        <v>139300</v>
      </c>
      <c r="L63" s="1813">
        <v>139300</v>
      </c>
      <c r="M63" s="2191">
        <f>SUM(F63:K63)</f>
        <v>1542772</v>
      </c>
      <c r="N63" s="2191">
        <f>SUM(G63:L63)</f>
        <v>1482202</v>
      </c>
      <c r="O63" s="3396"/>
      <c r="P63" s="497"/>
    </row>
    <row r="64" spans="1:16" ht="12" hidden="1" customHeight="1">
      <c r="A64" s="3394"/>
      <c r="B64" s="2733" t="s">
        <v>13</v>
      </c>
      <c r="C64" s="3400"/>
      <c r="D64" s="1821"/>
      <c r="E64" s="1813"/>
      <c r="F64" s="1813"/>
      <c r="G64" s="1813"/>
      <c r="H64" s="1813"/>
      <c r="I64" s="1813"/>
      <c r="J64" s="1813"/>
      <c r="K64" s="1813"/>
      <c r="L64" s="1813"/>
      <c r="M64" s="2191">
        <f>SUM(F64:K64)</f>
        <v>0</v>
      </c>
      <c r="N64" s="2191">
        <f>SUM(G64:L64)</f>
        <v>0</v>
      </c>
      <c r="O64" s="3396"/>
      <c r="P64" s="497"/>
    </row>
    <row r="65" spans="1:16" ht="12" customHeight="1">
      <c r="A65" s="3394"/>
      <c r="B65" s="2734" t="s">
        <v>18</v>
      </c>
      <c r="C65" s="3400"/>
      <c r="D65" s="1810">
        <f>+D66</f>
        <v>10485571</v>
      </c>
      <c r="E65" s="1810">
        <f t="shared" ref="E65:L65" si="55">+E66</f>
        <v>1467433</v>
      </c>
      <c r="F65" s="1810">
        <f t="shared" si="55"/>
        <v>1071571</v>
      </c>
      <c r="G65" s="1810">
        <f t="shared" si="55"/>
        <v>1710898</v>
      </c>
      <c r="H65" s="1810">
        <f t="shared" si="55"/>
        <v>1589000</v>
      </c>
      <c r="I65" s="1810">
        <f t="shared" si="55"/>
        <v>1589000</v>
      </c>
      <c r="J65" s="1810">
        <f t="shared" si="55"/>
        <v>1564000</v>
      </c>
      <c r="K65" s="1810">
        <f t="shared" si="55"/>
        <v>746834</v>
      </c>
      <c r="L65" s="1810">
        <f t="shared" si="55"/>
        <v>746835</v>
      </c>
      <c r="M65" s="1913">
        <f>+M66</f>
        <v>8271303</v>
      </c>
      <c r="N65" s="1913">
        <f>+N66</f>
        <v>7946567</v>
      </c>
      <c r="O65" s="3396"/>
      <c r="P65" s="497"/>
    </row>
    <row r="66" spans="1:16" ht="11.25" customHeight="1">
      <c r="A66" s="3394"/>
      <c r="B66" s="2733" t="s">
        <v>21</v>
      </c>
      <c r="C66" s="3400"/>
      <c r="D66" s="1715">
        <f>E66+F66+G66+H66+I66+J66+K66+L66</f>
        <v>10485571</v>
      </c>
      <c r="E66" s="1775">
        <v>1467433</v>
      </c>
      <c r="F66" s="1813">
        <f>1174863+210137+1000-161000-153429</f>
        <v>1071571</v>
      </c>
      <c r="G66" s="1813">
        <f>1174863+218294-1000+161000+157741</f>
        <v>1710898</v>
      </c>
      <c r="H66" s="1813">
        <f>1900000-311000</f>
        <v>1589000</v>
      </c>
      <c r="I66" s="1813">
        <f>1900000-311000</f>
        <v>1589000</v>
      </c>
      <c r="J66" s="1813">
        <v>1564000</v>
      </c>
      <c r="K66" s="1813">
        <v>746834</v>
      </c>
      <c r="L66" s="1813">
        <v>746835</v>
      </c>
      <c r="M66" s="2191">
        <f>SUM(F66:K66)</f>
        <v>8271303</v>
      </c>
      <c r="N66" s="2191">
        <f>SUM(G66:L66)</f>
        <v>7946567</v>
      </c>
      <c r="O66" s="3396"/>
      <c r="P66" s="497"/>
    </row>
    <row r="67" spans="1:16">
      <c r="A67" s="3394"/>
      <c r="B67" s="2731" t="s">
        <v>22</v>
      </c>
      <c r="C67" s="1923"/>
      <c r="D67" s="2192">
        <f t="shared" ref="D67" si="56">+D68+D70</f>
        <v>10485571</v>
      </c>
      <c r="E67" s="2192">
        <f t="shared" ref="E67" si="57">+E68+E70</f>
        <v>1467433</v>
      </c>
      <c r="F67" s="2192">
        <f>+F68+F70</f>
        <v>1071571</v>
      </c>
      <c r="G67" s="2192">
        <f>+G68+G70</f>
        <v>1710898</v>
      </c>
      <c r="H67" s="2192">
        <f t="shared" ref="H67:L67" si="58">+H68+H70</f>
        <v>1589000</v>
      </c>
      <c r="I67" s="2192">
        <f t="shared" si="58"/>
        <v>1589000</v>
      </c>
      <c r="J67" s="2192">
        <f t="shared" si="58"/>
        <v>1564000</v>
      </c>
      <c r="K67" s="2192">
        <f t="shared" si="58"/>
        <v>746834</v>
      </c>
      <c r="L67" s="2192">
        <f t="shared" si="58"/>
        <v>746835</v>
      </c>
      <c r="M67" s="3385" t="s">
        <v>61</v>
      </c>
      <c r="N67" s="3385" t="s">
        <v>61</v>
      </c>
      <c r="O67" s="3397"/>
      <c r="P67" s="1692">
        <f>'[2]Tab. 6B Polit społ i rozwój prz'!$M$162+'[2]Tab. 6B Polit społ i rozwój prz'!$P$162-E67</f>
        <v>0</v>
      </c>
    </row>
    <row r="68" spans="1:16" ht="12" hidden="1" customHeight="1">
      <c r="A68" s="3394"/>
      <c r="B68" s="2732" t="s">
        <v>24</v>
      </c>
      <c r="C68" s="3401" t="s">
        <v>120</v>
      </c>
      <c r="D68" s="1810">
        <f t="shared" ref="D68:L68" si="59">+D69</f>
        <v>0</v>
      </c>
      <c r="E68" s="1810">
        <f t="shared" si="59"/>
        <v>0</v>
      </c>
      <c r="F68" s="1810">
        <f t="shared" si="59"/>
        <v>0</v>
      </c>
      <c r="G68" s="1810">
        <f t="shared" si="59"/>
        <v>0</v>
      </c>
      <c r="H68" s="1810">
        <f t="shared" si="59"/>
        <v>0</v>
      </c>
      <c r="I68" s="1810">
        <f t="shared" si="59"/>
        <v>0</v>
      </c>
      <c r="J68" s="1810">
        <f t="shared" si="59"/>
        <v>0</v>
      </c>
      <c r="K68" s="1810">
        <f t="shared" si="59"/>
        <v>0</v>
      </c>
      <c r="L68" s="1810">
        <f t="shared" si="59"/>
        <v>0</v>
      </c>
      <c r="M68" s="3385"/>
      <c r="N68" s="3385"/>
      <c r="O68" s="3397"/>
      <c r="P68" s="497"/>
    </row>
    <row r="69" spans="1:16" ht="12" hidden="1" customHeight="1">
      <c r="A69" s="3394"/>
      <c r="B69" s="2733" t="s">
        <v>13</v>
      </c>
      <c r="C69" s="3400"/>
      <c r="D69" s="1821"/>
      <c r="E69" s="1821">
        <v>0</v>
      </c>
      <c r="F69" s="1821"/>
      <c r="G69" s="1821"/>
      <c r="H69" s="1821"/>
      <c r="I69" s="1821"/>
      <c r="J69" s="1821"/>
      <c r="K69" s="1821"/>
      <c r="L69" s="1821"/>
      <c r="M69" s="3385"/>
      <c r="N69" s="3385"/>
      <c r="O69" s="3397"/>
      <c r="P69" s="497"/>
    </row>
    <row r="70" spans="1:16" ht="12" customHeight="1">
      <c r="A70" s="3394"/>
      <c r="B70" s="2734" t="s">
        <v>18</v>
      </c>
      <c r="C70" s="3402"/>
      <c r="D70" s="1810">
        <f t="shared" ref="D70:L70" si="60">+D71</f>
        <v>10485571</v>
      </c>
      <c r="E70" s="1810">
        <f t="shared" si="60"/>
        <v>1467433</v>
      </c>
      <c r="F70" s="1810">
        <f t="shared" si="60"/>
        <v>1071571</v>
      </c>
      <c r="G70" s="1810">
        <f t="shared" si="60"/>
        <v>1710898</v>
      </c>
      <c r="H70" s="1810">
        <f t="shared" si="60"/>
        <v>1589000</v>
      </c>
      <c r="I70" s="1810">
        <f t="shared" si="60"/>
        <v>1589000</v>
      </c>
      <c r="J70" s="1810">
        <f t="shared" si="60"/>
        <v>1564000</v>
      </c>
      <c r="K70" s="1810">
        <f t="shared" si="60"/>
        <v>746834</v>
      </c>
      <c r="L70" s="1810">
        <f t="shared" si="60"/>
        <v>746835</v>
      </c>
      <c r="M70" s="3385"/>
      <c r="N70" s="3385"/>
      <c r="O70" s="3397"/>
      <c r="P70" s="498">
        <f>G67-'[1]Tab. 6B Polit społ i rozwój prz'!$G$67</f>
        <v>157741</v>
      </c>
    </row>
    <row r="71" spans="1:16" ht="12" customHeight="1" thickBot="1">
      <c r="A71" s="3395"/>
      <c r="B71" s="2735" t="s">
        <v>21</v>
      </c>
      <c r="C71" s="3403"/>
      <c r="D71" s="1929">
        <f>E71+F71+G71+H71+I71+J71+K71+L71</f>
        <v>10485571</v>
      </c>
      <c r="E71" s="1929">
        <v>1467433</v>
      </c>
      <c r="F71" s="2181">
        <f>1174863+210137+1000-161000-153429</f>
        <v>1071571</v>
      </c>
      <c r="G71" s="2181">
        <f>1174863+218294-1000+161000+157741</f>
        <v>1710898</v>
      </c>
      <c r="H71" s="2181">
        <f>1900000-311000</f>
        <v>1589000</v>
      </c>
      <c r="I71" s="2181">
        <f>1900000-311000</f>
        <v>1589000</v>
      </c>
      <c r="J71" s="2181">
        <v>1564000</v>
      </c>
      <c r="K71" s="2181">
        <v>746834</v>
      </c>
      <c r="L71" s="2181">
        <v>746835</v>
      </c>
      <c r="M71" s="3404"/>
      <c r="N71" s="3404"/>
      <c r="O71" s="3398"/>
      <c r="P71" s="497"/>
    </row>
    <row r="72" spans="1:16" ht="25.5" customHeight="1">
      <c r="A72" s="3414" t="s">
        <v>66</v>
      </c>
      <c r="B72" s="2736" t="s">
        <v>344</v>
      </c>
      <c r="C72" s="2737" t="s">
        <v>81</v>
      </c>
      <c r="D72" s="85"/>
      <c r="E72" s="2738"/>
      <c r="F72" s="2738"/>
      <c r="G72" s="2738"/>
      <c r="H72" s="2738"/>
      <c r="I72" s="2738"/>
      <c r="J72" s="2738"/>
      <c r="K72" s="2738"/>
      <c r="L72" s="2738"/>
      <c r="M72" s="2739"/>
      <c r="N72" s="2739"/>
      <c r="O72" s="3393" t="s">
        <v>466</v>
      </c>
      <c r="P72" s="497"/>
    </row>
    <row r="73" spans="1:16" ht="14.25" customHeight="1">
      <c r="A73" s="3415"/>
      <c r="B73" s="955" t="s">
        <v>10</v>
      </c>
      <c r="C73" s="956"/>
      <c r="D73" s="694">
        <f t="shared" ref="D73:F73" si="61">+D74+D77</f>
        <v>31387</v>
      </c>
      <c r="E73" s="694">
        <f t="shared" ref="E73" si="62">+E74+E77</f>
        <v>18705</v>
      </c>
      <c r="F73" s="694">
        <f t="shared" si="61"/>
        <v>12682</v>
      </c>
      <c r="G73" s="694"/>
      <c r="H73" s="694"/>
      <c r="I73" s="694"/>
      <c r="J73" s="694"/>
      <c r="K73" s="694"/>
      <c r="L73" s="694"/>
      <c r="M73" s="957">
        <f>+M74+M77</f>
        <v>12682</v>
      </c>
      <c r="N73" s="957">
        <f>+N74+N77</f>
        <v>0</v>
      </c>
      <c r="O73" s="3416"/>
      <c r="P73" s="497"/>
    </row>
    <row r="74" spans="1:16" ht="12" customHeight="1">
      <c r="A74" s="3415"/>
      <c r="B74" s="958" t="s">
        <v>24</v>
      </c>
      <c r="C74" s="3418" t="s">
        <v>120</v>
      </c>
      <c r="D74" s="733">
        <f t="shared" ref="D74:F74" si="63">+D75+D76</f>
        <v>4934</v>
      </c>
      <c r="E74" s="733">
        <f t="shared" ref="E74" si="64">+E75+E76</f>
        <v>2940</v>
      </c>
      <c r="F74" s="733">
        <f t="shared" si="63"/>
        <v>1994</v>
      </c>
      <c r="G74" s="733"/>
      <c r="H74" s="733"/>
      <c r="I74" s="733"/>
      <c r="J74" s="733"/>
      <c r="K74" s="733"/>
      <c r="L74" s="733"/>
      <c r="M74" s="731">
        <f>+M75+M76</f>
        <v>1994</v>
      </c>
      <c r="N74" s="731">
        <f>+N75+N76</f>
        <v>0</v>
      </c>
      <c r="O74" s="3416"/>
      <c r="P74" s="497"/>
    </row>
    <row r="75" spans="1:16" ht="12" customHeight="1">
      <c r="A75" s="3415"/>
      <c r="B75" s="959" t="s">
        <v>12</v>
      </c>
      <c r="C75" s="3419"/>
      <c r="D75" s="247">
        <f>E75+F75+G75+H75+I75+J75+K75+L75</f>
        <v>4934</v>
      </c>
      <c r="E75" s="284">
        <v>2940</v>
      </c>
      <c r="F75" s="718">
        <f>2798-804</f>
        <v>1994</v>
      </c>
      <c r="G75" s="718"/>
      <c r="H75" s="718"/>
      <c r="I75" s="718"/>
      <c r="J75" s="718"/>
      <c r="K75" s="718"/>
      <c r="L75" s="718"/>
      <c r="M75" s="1061">
        <f>SUM(F75:K75)</f>
        <v>1994</v>
      </c>
      <c r="N75" s="1061">
        <f>SUM(G75:L75)</f>
        <v>0</v>
      </c>
      <c r="O75" s="3416"/>
      <c r="P75" s="497"/>
    </row>
    <row r="76" spans="1:16" ht="12" hidden="1" customHeight="1">
      <c r="A76" s="3415"/>
      <c r="B76" s="959" t="s">
        <v>13</v>
      </c>
      <c r="C76" s="3419"/>
      <c r="D76" s="961"/>
      <c r="E76" s="718"/>
      <c r="F76" s="718"/>
      <c r="G76" s="718"/>
      <c r="H76" s="718"/>
      <c r="I76" s="718"/>
      <c r="J76" s="718"/>
      <c r="K76" s="718"/>
      <c r="L76" s="718"/>
      <c r="M76" s="1061">
        <f>SUM(F76:K76)</f>
        <v>0</v>
      </c>
      <c r="N76" s="1061">
        <f>SUM(G76:L76)</f>
        <v>0</v>
      </c>
      <c r="O76" s="3416"/>
      <c r="P76" s="497"/>
    </row>
    <row r="77" spans="1:16" ht="12" customHeight="1">
      <c r="A77" s="3415"/>
      <c r="B77" s="2740" t="s">
        <v>18</v>
      </c>
      <c r="C77" s="3419"/>
      <c r="D77" s="962">
        <f>+D78</f>
        <v>26453</v>
      </c>
      <c r="E77" s="962">
        <f t="shared" ref="E77:F77" si="65">+E78</f>
        <v>15765</v>
      </c>
      <c r="F77" s="962">
        <f t="shared" si="65"/>
        <v>10688</v>
      </c>
      <c r="G77" s="962"/>
      <c r="H77" s="962"/>
      <c r="I77" s="962"/>
      <c r="J77" s="962"/>
      <c r="K77" s="962"/>
      <c r="L77" s="962"/>
      <c r="M77" s="2741">
        <f>+M78</f>
        <v>10688</v>
      </c>
      <c r="N77" s="2741">
        <f>+N78</f>
        <v>0</v>
      </c>
      <c r="O77" s="3416"/>
      <c r="P77" s="497"/>
    </row>
    <row r="78" spans="1:16" ht="12" customHeight="1">
      <c r="A78" s="3415"/>
      <c r="B78" s="959" t="s">
        <v>21</v>
      </c>
      <c r="C78" s="3419"/>
      <c r="D78" s="247">
        <f>E78+F78+G78+H78+I78+J78+K78+L78</f>
        <v>26453</v>
      </c>
      <c r="E78" s="284">
        <v>15765</v>
      </c>
      <c r="F78" s="718">
        <f>15000-4312</f>
        <v>10688</v>
      </c>
      <c r="G78" s="718"/>
      <c r="H78" s="718"/>
      <c r="I78" s="718"/>
      <c r="J78" s="718"/>
      <c r="K78" s="718"/>
      <c r="L78" s="718"/>
      <c r="M78" s="1061">
        <f>SUM(F78:K78)</f>
        <v>10688</v>
      </c>
      <c r="N78" s="1061">
        <f>SUM(G78:L78)</f>
        <v>0</v>
      </c>
      <c r="O78" s="3416"/>
      <c r="P78" s="497"/>
    </row>
    <row r="79" spans="1:16">
      <c r="A79" s="3415"/>
      <c r="B79" s="955" t="s">
        <v>22</v>
      </c>
      <c r="C79" s="956"/>
      <c r="D79" s="963">
        <f t="shared" ref="D79" si="66">+D80+D82</f>
        <v>26453</v>
      </c>
      <c r="E79" s="963">
        <f t="shared" ref="E79" si="67">+E80+E82</f>
        <v>15765</v>
      </c>
      <c r="F79" s="963">
        <f>+F80+F82</f>
        <v>10688</v>
      </c>
      <c r="G79" s="963"/>
      <c r="H79" s="963"/>
      <c r="I79" s="963"/>
      <c r="J79" s="963"/>
      <c r="K79" s="963"/>
      <c r="L79" s="963"/>
      <c r="M79" s="3413" t="s">
        <v>61</v>
      </c>
      <c r="N79" s="3413" t="s">
        <v>61</v>
      </c>
      <c r="O79" s="3417"/>
      <c r="P79" s="497"/>
    </row>
    <row r="80" spans="1:16" ht="12" hidden="1" customHeight="1">
      <c r="A80" s="3415"/>
      <c r="B80" s="958" t="s">
        <v>24</v>
      </c>
      <c r="C80" s="3420" t="s">
        <v>120</v>
      </c>
      <c r="D80" s="962">
        <f t="shared" ref="D80:E80" si="68">+D81</f>
        <v>0</v>
      </c>
      <c r="E80" s="962">
        <f t="shared" si="68"/>
        <v>0</v>
      </c>
      <c r="F80" s="962"/>
      <c r="G80" s="962"/>
      <c r="H80" s="962"/>
      <c r="I80" s="962"/>
      <c r="J80" s="962"/>
      <c r="K80" s="962"/>
      <c r="L80" s="962"/>
      <c r="M80" s="3413"/>
      <c r="N80" s="3413"/>
      <c r="O80" s="3417"/>
      <c r="P80" s="497"/>
    </row>
    <row r="81" spans="1:19" ht="12" hidden="1" customHeight="1">
      <c r="A81" s="3415"/>
      <c r="B81" s="959" t="s">
        <v>13</v>
      </c>
      <c r="C81" s="3419"/>
      <c r="D81" s="961"/>
      <c r="E81" s="961">
        <v>0</v>
      </c>
      <c r="F81" s="961"/>
      <c r="G81" s="961"/>
      <c r="H81" s="961"/>
      <c r="I81" s="961"/>
      <c r="J81" s="961"/>
      <c r="K81" s="961"/>
      <c r="L81" s="961"/>
      <c r="M81" s="3413"/>
      <c r="N81" s="3413"/>
      <c r="O81" s="3417"/>
      <c r="P81" s="497"/>
    </row>
    <row r="82" spans="1:19" ht="12" customHeight="1">
      <c r="A82" s="3415"/>
      <c r="B82" s="2740" t="s">
        <v>18</v>
      </c>
      <c r="C82" s="3421"/>
      <c r="D82" s="962">
        <f t="shared" ref="D82:F82" si="69">+D83</f>
        <v>26453</v>
      </c>
      <c r="E82" s="962">
        <f t="shared" si="69"/>
        <v>15765</v>
      </c>
      <c r="F82" s="962">
        <f t="shared" si="69"/>
        <v>10688</v>
      </c>
      <c r="G82" s="962"/>
      <c r="H82" s="962"/>
      <c r="I82" s="962"/>
      <c r="J82" s="962"/>
      <c r="K82" s="962"/>
      <c r="L82" s="962"/>
      <c r="M82" s="3413"/>
      <c r="N82" s="3413"/>
      <c r="O82" s="3417"/>
      <c r="P82" s="497"/>
    </row>
    <row r="83" spans="1:19" ht="12" customHeight="1" thickBot="1">
      <c r="A83" s="3395"/>
      <c r="B83" s="2742" t="s">
        <v>21</v>
      </c>
      <c r="C83" s="3422"/>
      <c r="D83" s="941">
        <f>E83+F83+G83+H83+I83+J83+K83+L83</f>
        <v>26453</v>
      </c>
      <c r="E83" s="941">
        <v>15765</v>
      </c>
      <c r="F83" s="483">
        <f>15000-4312</f>
        <v>10688</v>
      </c>
      <c r="G83" s="483"/>
      <c r="H83" s="483"/>
      <c r="I83" s="483"/>
      <c r="J83" s="483"/>
      <c r="K83" s="483"/>
      <c r="L83" s="483"/>
      <c r="M83" s="3386"/>
      <c r="N83" s="3386"/>
      <c r="O83" s="3398"/>
      <c r="P83" s="497"/>
    </row>
    <row r="84" spans="1:19" ht="18" customHeight="1">
      <c r="A84" s="3415" t="s">
        <v>67</v>
      </c>
      <c r="B84" s="2743" t="s">
        <v>302</v>
      </c>
      <c r="C84" s="2744" t="s">
        <v>109</v>
      </c>
      <c r="D84" s="2745"/>
      <c r="E84" s="2746"/>
      <c r="F84" s="2746"/>
      <c r="G84" s="2746"/>
      <c r="H84" s="2746"/>
      <c r="I84" s="2746"/>
      <c r="J84" s="2746"/>
      <c r="K84" s="2746"/>
      <c r="L84" s="2746"/>
      <c r="M84" s="2747"/>
      <c r="N84" s="2747"/>
      <c r="O84" s="3416" t="s">
        <v>318</v>
      </c>
      <c r="P84" s="497"/>
      <c r="S84" s="404"/>
    </row>
    <row r="85" spans="1:19" ht="12" customHeight="1">
      <c r="A85" s="3415"/>
      <c r="B85" s="2748" t="s">
        <v>10</v>
      </c>
      <c r="C85" s="2749"/>
      <c r="D85" s="2750">
        <f>+D86+D89</f>
        <v>75114155</v>
      </c>
      <c r="E85" s="2750">
        <f t="shared" ref="E85" si="70">+E86+E89</f>
        <v>8674017</v>
      </c>
      <c r="F85" s="2750">
        <f t="shared" ref="F85:N85" si="71">+F86+F89</f>
        <v>9469610</v>
      </c>
      <c r="G85" s="2750">
        <f t="shared" si="71"/>
        <v>10487875</v>
      </c>
      <c r="H85" s="2750">
        <f t="shared" si="71"/>
        <v>10141275</v>
      </c>
      <c r="I85" s="2750">
        <f t="shared" si="71"/>
        <v>9701275</v>
      </c>
      <c r="J85" s="2750">
        <f t="shared" si="71"/>
        <v>9597275</v>
      </c>
      <c r="K85" s="2750">
        <f t="shared" si="71"/>
        <v>8877275</v>
      </c>
      <c r="L85" s="2750">
        <f t="shared" si="71"/>
        <v>8165553</v>
      </c>
      <c r="M85" s="2751">
        <f t="shared" ref="M85" si="72">+M86+M89</f>
        <v>66440138</v>
      </c>
      <c r="N85" s="2751">
        <f t="shared" si="71"/>
        <v>56970528</v>
      </c>
      <c r="O85" s="3416"/>
      <c r="P85" s="498"/>
      <c r="Q85" s="402"/>
      <c r="R85" s="402"/>
      <c r="S85" s="402"/>
    </row>
    <row r="86" spans="1:19" ht="14.25" customHeight="1">
      <c r="A86" s="3415"/>
      <c r="B86" s="2752" t="s">
        <v>24</v>
      </c>
      <c r="C86" s="3445" t="s">
        <v>120</v>
      </c>
      <c r="D86" s="1412">
        <f t="shared" ref="D86" si="73">+D87+D88</f>
        <v>11267123</v>
      </c>
      <c r="E86" s="1412">
        <f t="shared" ref="E86" si="74">+E87+E88</f>
        <v>1301102</v>
      </c>
      <c r="F86" s="1412">
        <f t="shared" ref="F86:N86" si="75">+F87+F88</f>
        <v>1420442</v>
      </c>
      <c r="G86" s="1412">
        <f t="shared" si="75"/>
        <v>1573180</v>
      </c>
      <c r="H86" s="1412">
        <f t="shared" si="75"/>
        <v>1521191</v>
      </c>
      <c r="I86" s="1412">
        <f t="shared" si="75"/>
        <v>1455191</v>
      </c>
      <c r="J86" s="1412">
        <f t="shared" si="75"/>
        <v>1439591</v>
      </c>
      <c r="K86" s="1412">
        <f t="shared" si="75"/>
        <v>1331592</v>
      </c>
      <c r="L86" s="1412">
        <f t="shared" si="75"/>
        <v>1224834</v>
      </c>
      <c r="M86" s="1414">
        <f t="shared" ref="M86" si="76">+M87+M88</f>
        <v>9966021</v>
      </c>
      <c r="N86" s="1414">
        <f t="shared" si="75"/>
        <v>8545579</v>
      </c>
      <c r="O86" s="3416"/>
      <c r="P86" s="497"/>
    </row>
    <row r="87" spans="1:19" ht="13.5" customHeight="1">
      <c r="A87" s="3415"/>
      <c r="B87" s="2753" t="s">
        <v>12</v>
      </c>
      <c r="C87" s="3446"/>
      <c r="D87" s="247">
        <f>E87+F87+G87+H87+I87+J87+K87+L87</f>
        <v>11267123</v>
      </c>
      <c r="E87" s="284">
        <v>1301102</v>
      </c>
      <c r="F87" s="2754">
        <f>1467941+1868-1500+27303+9532-84702</f>
        <v>1420442</v>
      </c>
      <c r="G87" s="2754">
        <f>1467941+12137+74749+18353</f>
        <v>1573180</v>
      </c>
      <c r="H87" s="2754">
        <f>1452191+69000</f>
        <v>1521191</v>
      </c>
      <c r="I87" s="2754">
        <v>1455191</v>
      </c>
      <c r="J87" s="2754">
        <v>1439591</v>
      </c>
      <c r="K87" s="2754">
        <v>1331592</v>
      </c>
      <c r="L87" s="2754">
        <f>1299583-74749</f>
        <v>1224834</v>
      </c>
      <c r="M87" s="1061">
        <f>SUM(F87:L87)</f>
        <v>9966021</v>
      </c>
      <c r="N87" s="1061">
        <f>SUM(G87:L87)</f>
        <v>8545579</v>
      </c>
      <c r="O87" s="3416"/>
      <c r="P87" s="498">
        <f>+N87-D87</f>
        <v>-2721544</v>
      </c>
    </row>
    <row r="88" spans="1:19" ht="13.5" hidden="1" customHeight="1">
      <c r="A88" s="3415"/>
      <c r="B88" s="2753" t="s">
        <v>13</v>
      </c>
      <c r="C88" s="3446"/>
      <c r="D88" s="247">
        <f>E88+F88+G88+H88+I88+J88+K88+L88</f>
        <v>0</v>
      </c>
      <c r="E88" s="2755">
        <v>0</v>
      </c>
      <c r="F88" s="2755"/>
      <c r="G88" s="2755"/>
      <c r="H88" s="2755"/>
      <c r="I88" s="2755"/>
      <c r="J88" s="2755"/>
      <c r="K88" s="2755"/>
      <c r="L88" s="2755"/>
      <c r="M88" s="1061">
        <f>SUM(F88:K88)</f>
        <v>0</v>
      </c>
      <c r="N88" s="1061">
        <f>SUM(G88:L88)</f>
        <v>0</v>
      </c>
      <c r="O88" s="3416"/>
      <c r="P88" s="497"/>
    </row>
    <row r="89" spans="1:19" ht="13.5" customHeight="1">
      <c r="A89" s="3415"/>
      <c r="B89" s="2756" t="s">
        <v>18</v>
      </c>
      <c r="C89" s="3446"/>
      <c r="D89" s="2757">
        <f>+D90</f>
        <v>63847032</v>
      </c>
      <c r="E89" s="2757">
        <f t="shared" ref="E89:N89" si="77">+E90</f>
        <v>7372915</v>
      </c>
      <c r="F89" s="2757">
        <f t="shared" si="77"/>
        <v>8049168</v>
      </c>
      <c r="G89" s="2757">
        <f t="shared" si="77"/>
        <v>8914695</v>
      </c>
      <c r="H89" s="2757">
        <f t="shared" si="77"/>
        <v>8620084</v>
      </c>
      <c r="I89" s="2757">
        <f t="shared" si="77"/>
        <v>8246084</v>
      </c>
      <c r="J89" s="2757">
        <f t="shared" si="77"/>
        <v>8157684</v>
      </c>
      <c r="K89" s="2757">
        <f t="shared" si="77"/>
        <v>7545683</v>
      </c>
      <c r="L89" s="2757">
        <f t="shared" si="77"/>
        <v>6940719</v>
      </c>
      <c r="M89" s="2758">
        <f t="shared" si="77"/>
        <v>56474117</v>
      </c>
      <c r="N89" s="2758">
        <f t="shared" si="77"/>
        <v>48424949</v>
      </c>
      <c r="O89" s="3416"/>
      <c r="P89" s="498">
        <f>+N89-D89</f>
        <v>-15422083</v>
      </c>
    </row>
    <row r="90" spans="1:19" ht="13.5" customHeight="1">
      <c r="A90" s="3415"/>
      <c r="B90" s="2753" t="s">
        <v>21</v>
      </c>
      <c r="C90" s="3446"/>
      <c r="D90" s="247">
        <f>E90+F90+G90+H90+I90+J90+K90+L90</f>
        <v>63847032</v>
      </c>
      <c r="E90" s="284">
        <v>7372915</v>
      </c>
      <c r="F90" s="2759">
        <f>8318334+10585-8500+154719+54018-479988</f>
        <v>8049168</v>
      </c>
      <c r="G90" s="2760">
        <f>8318334+68767+423581+104013</f>
        <v>8914695</v>
      </c>
      <c r="H90" s="2760">
        <f>8229084+391000</f>
        <v>8620084</v>
      </c>
      <c r="I90" s="2760">
        <v>8246084</v>
      </c>
      <c r="J90" s="2760">
        <v>8157684</v>
      </c>
      <c r="K90" s="2760">
        <v>7545683</v>
      </c>
      <c r="L90" s="2760">
        <f>7364300-423581</f>
        <v>6940719</v>
      </c>
      <c r="M90" s="1061">
        <f>SUM(F90:L90)</f>
        <v>56474117</v>
      </c>
      <c r="N90" s="1061">
        <f>SUM(G90:L90)</f>
        <v>48424949</v>
      </c>
      <c r="O90" s="3416"/>
      <c r="P90" s="497"/>
    </row>
    <row r="91" spans="1:19" s="405" customFormat="1" ht="13.5" customHeight="1">
      <c r="A91" s="3415"/>
      <c r="B91" s="2748" t="s">
        <v>22</v>
      </c>
      <c r="C91" s="2749"/>
      <c r="D91" s="1443">
        <f t="shared" ref="D91" si="78">+D92+D94</f>
        <v>63847032</v>
      </c>
      <c r="E91" s="1443">
        <f t="shared" ref="E91" si="79">+E92+E94</f>
        <v>7372915</v>
      </c>
      <c r="F91" s="1443">
        <f>+F92+F94</f>
        <v>8049168</v>
      </c>
      <c r="G91" s="1443">
        <f t="shared" ref="G91:L91" si="80">+G92+G94</f>
        <v>8914695</v>
      </c>
      <c r="H91" s="1443">
        <f t="shared" si="80"/>
        <v>8620084</v>
      </c>
      <c r="I91" s="1443">
        <f t="shared" si="80"/>
        <v>8246084</v>
      </c>
      <c r="J91" s="1443">
        <f t="shared" si="80"/>
        <v>8157684</v>
      </c>
      <c r="K91" s="1443">
        <f t="shared" si="80"/>
        <v>7545683</v>
      </c>
      <c r="L91" s="1443">
        <f t="shared" si="80"/>
        <v>6940719</v>
      </c>
      <c r="M91" s="3447" t="s">
        <v>61</v>
      </c>
      <c r="N91" s="3447" t="s">
        <v>61</v>
      </c>
      <c r="O91" s="3417"/>
      <c r="P91" s="2395">
        <f>G91-'[1]Tab. 6B Polit społ i rozwój prz'!$G$91</f>
        <v>104013</v>
      </c>
    </row>
    <row r="92" spans="1:19" ht="11.25" hidden="1" customHeight="1">
      <c r="A92" s="3415"/>
      <c r="B92" s="2752" t="s">
        <v>24</v>
      </c>
      <c r="C92" s="3448" t="s">
        <v>244</v>
      </c>
      <c r="D92" s="2757">
        <f t="shared" ref="D92:L92" si="81">+D93</f>
        <v>0</v>
      </c>
      <c r="E92" s="2757">
        <f t="shared" si="81"/>
        <v>0</v>
      </c>
      <c r="F92" s="2757">
        <f t="shared" si="81"/>
        <v>0</v>
      </c>
      <c r="G92" s="2757">
        <f t="shared" si="81"/>
        <v>0</v>
      </c>
      <c r="H92" s="2757">
        <f t="shared" si="81"/>
        <v>0</v>
      </c>
      <c r="I92" s="2757">
        <f t="shared" si="81"/>
        <v>0</v>
      </c>
      <c r="J92" s="2757">
        <f t="shared" si="81"/>
        <v>0</v>
      </c>
      <c r="K92" s="2757">
        <f t="shared" si="81"/>
        <v>0</v>
      </c>
      <c r="L92" s="2757">
        <f t="shared" si="81"/>
        <v>0</v>
      </c>
      <c r="M92" s="3447"/>
      <c r="N92" s="3447"/>
      <c r="O92" s="3417"/>
      <c r="P92" s="497"/>
    </row>
    <row r="93" spans="1:19" ht="11.25" hidden="1" customHeight="1">
      <c r="A93" s="3415"/>
      <c r="B93" s="2753" t="s">
        <v>13</v>
      </c>
      <c r="C93" s="3448"/>
      <c r="D93" s="247">
        <f>E93+F93+G93+H93+I93+J93+K93+L93</f>
        <v>0</v>
      </c>
      <c r="E93" s="2761"/>
      <c r="F93" s="2761"/>
      <c r="G93" s="2761"/>
      <c r="H93" s="2761"/>
      <c r="I93" s="2761"/>
      <c r="J93" s="2761"/>
      <c r="K93" s="2761"/>
      <c r="L93" s="2761"/>
      <c r="M93" s="3447"/>
      <c r="N93" s="3447"/>
      <c r="O93" s="3417"/>
      <c r="P93" s="497"/>
    </row>
    <row r="94" spans="1:19" ht="13.5" customHeight="1">
      <c r="A94" s="3415"/>
      <c r="B94" s="2756" t="s">
        <v>18</v>
      </c>
      <c r="C94" s="3448"/>
      <c r="D94" s="2757">
        <f t="shared" ref="D94:L94" si="82">+D95</f>
        <v>63847032</v>
      </c>
      <c r="E94" s="2757">
        <f t="shared" si="82"/>
        <v>7372915</v>
      </c>
      <c r="F94" s="2757">
        <f t="shared" si="82"/>
        <v>8049168</v>
      </c>
      <c r="G94" s="2757">
        <f t="shared" si="82"/>
        <v>8914695</v>
      </c>
      <c r="H94" s="2757">
        <f t="shared" si="82"/>
        <v>8620084</v>
      </c>
      <c r="I94" s="2757">
        <f t="shared" si="82"/>
        <v>8246084</v>
      </c>
      <c r="J94" s="2757">
        <f t="shared" si="82"/>
        <v>8157684</v>
      </c>
      <c r="K94" s="2757">
        <f t="shared" si="82"/>
        <v>7545683</v>
      </c>
      <c r="L94" s="2757">
        <f t="shared" si="82"/>
        <v>6940719</v>
      </c>
      <c r="M94" s="3447"/>
      <c r="N94" s="3447"/>
      <c r="O94" s="3417"/>
      <c r="P94" s="497"/>
    </row>
    <row r="95" spans="1:19" ht="15" customHeight="1" thickBot="1">
      <c r="A95" s="3395"/>
      <c r="B95" s="656" t="s">
        <v>21</v>
      </c>
      <c r="C95" s="3449"/>
      <c r="D95" s="941">
        <f>E95+F95+G95+H95+I95+J95+K95+L95</f>
        <v>63847032</v>
      </c>
      <c r="E95" s="941">
        <v>7372915</v>
      </c>
      <c r="F95" s="657">
        <f>8318334+10585-8500+154719+54018-479988</f>
        <v>8049168</v>
      </c>
      <c r="G95" s="657">
        <f>8318334+68767+423581+104013</f>
        <v>8914695</v>
      </c>
      <c r="H95" s="657">
        <f>8229084+391000</f>
        <v>8620084</v>
      </c>
      <c r="I95" s="657">
        <v>8246084</v>
      </c>
      <c r="J95" s="657">
        <v>8157684</v>
      </c>
      <c r="K95" s="657">
        <v>7545683</v>
      </c>
      <c r="L95" s="657">
        <f>7364300-423581</f>
        <v>6940719</v>
      </c>
      <c r="M95" s="3386"/>
      <c r="N95" s="3386"/>
      <c r="O95" s="3398"/>
      <c r="P95" s="497"/>
    </row>
    <row r="96" spans="1:19" ht="24">
      <c r="A96" s="3414" t="s">
        <v>115</v>
      </c>
      <c r="B96" s="2736" t="s">
        <v>337</v>
      </c>
      <c r="C96" s="2737" t="s">
        <v>81</v>
      </c>
      <c r="D96" s="85"/>
      <c r="E96" s="2738"/>
      <c r="F96" s="2738"/>
      <c r="G96" s="2738"/>
      <c r="H96" s="2738"/>
      <c r="I96" s="2738"/>
      <c r="J96" s="2738"/>
      <c r="K96" s="2738"/>
      <c r="L96" s="2738"/>
      <c r="M96" s="2739"/>
      <c r="N96" s="2739"/>
      <c r="O96" s="3393" t="s">
        <v>318</v>
      </c>
      <c r="P96" s="497"/>
    </row>
    <row r="97" spans="1:16">
      <c r="A97" s="3415"/>
      <c r="B97" s="955" t="s">
        <v>10</v>
      </c>
      <c r="C97" s="956"/>
      <c r="D97" s="694">
        <f t="shared" ref="D97:N97" si="83">+D98+D101</f>
        <v>65574</v>
      </c>
      <c r="E97" s="694">
        <f t="shared" ref="E97" si="84">+E98+E101</f>
        <v>7250</v>
      </c>
      <c r="F97" s="694">
        <f t="shared" si="83"/>
        <v>58324</v>
      </c>
      <c r="G97" s="694">
        <f t="shared" si="83"/>
        <v>0</v>
      </c>
      <c r="H97" s="694">
        <f t="shared" si="83"/>
        <v>0</v>
      </c>
      <c r="I97" s="694">
        <f t="shared" si="83"/>
        <v>0</v>
      </c>
      <c r="J97" s="694">
        <f t="shared" si="83"/>
        <v>0</v>
      </c>
      <c r="K97" s="694">
        <f t="shared" si="83"/>
        <v>0</v>
      </c>
      <c r="L97" s="694">
        <f t="shared" si="83"/>
        <v>0</v>
      </c>
      <c r="M97" s="957">
        <f t="shared" ref="M97" si="85">+M98+M101</f>
        <v>58324</v>
      </c>
      <c r="N97" s="957">
        <f t="shared" si="83"/>
        <v>0</v>
      </c>
      <c r="O97" s="3416"/>
      <c r="P97" s="497"/>
    </row>
    <row r="98" spans="1:16">
      <c r="A98" s="3415"/>
      <c r="B98" s="958" t="s">
        <v>24</v>
      </c>
      <c r="C98" s="3418" t="s">
        <v>120</v>
      </c>
      <c r="D98" s="733">
        <f t="shared" ref="D98:N98" si="86">+D99+D100</f>
        <v>9836</v>
      </c>
      <c r="E98" s="733">
        <f t="shared" ref="E98" si="87">+E99+E100</f>
        <v>1087</v>
      </c>
      <c r="F98" s="733">
        <f t="shared" si="86"/>
        <v>8749</v>
      </c>
      <c r="G98" s="733">
        <f t="shared" si="86"/>
        <v>0</v>
      </c>
      <c r="H98" s="733">
        <f t="shared" si="86"/>
        <v>0</v>
      </c>
      <c r="I98" s="733">
        <f t="shared" si="86"/>
        <v>0</v>
      </c>
      <c r="J98" s="733">
        <f t="shared" si="86"/>
        <v>0</v>
      </c>
      <c r="K98" s="733">
        <f t="shared" si="86"/>
        <v>0</v>
      </c>
      <c r="L98" s="733">
        <f t="shared" si="86"/>
        <v>0</v>
      </c>
      <c r="M98" s="731">
        <f t="shared" ref="M98" si="88">+M99+M100</f>
        <v>8749</v>
      </c>
      <c r="N98" s="731">
        <f t="shared" si="86"/>
        <v>0</v>
      </c>
      <c r="O98" s="3416"/>
      <c r="P98" s="497"/>
    </row>
    <row r="99" spans="1:16">
      <c r="A99" s="3415"/>
      <c r="B99" s="959" t="s">
        <v>12</v>
      </c>
      <c r="C99" s="3419"/>
      <c r="D99" s="247">
        <f>E99+F99+G99+H99+I99+J99+K99+L99</f>
        <v>9836</v>
      </c>
      <c r="E99" s="284">
        <v>1087</v>
      </c>
      <c r="F99" s="669">
        <f>1500+9900-2651</f>
        <v>8749</v>
      </c>
      <c r="G99" s="669"/>
      <c r="H99" s="669"/>
      <c r="I99" s="669"/>
      <c r="J99" s="669"/>
      <c r="K99" s="669"/>
      <c r="L99" s="669"/>
      <c r="M99" s="1061">
        <f>SUM(F99:K99)</f>
        <v>8749</v>
      </c>
      <c r="N99" s="1061">
        <f>SUM(G99:L99)</f>
        <v>0</v>
      </c>
      <c r="O99" s="3416"/>
      <c r="P99" s="497"/>
    </row>
    <row r="100" spans="1:16" hidden="1">
      <c r="A100" s="3415"/>
      <c r="B100" s="959" t="s">
        <v>13</v>
      </c>
      <c r="C100" s="3419"/>
      <c r="D100" s="247">
        <f>E100+F100+G100+H100+I100+J100+K100+L100</f>
        <v>0</v>
      </c>
      <c r="E100" s="718">
        <v>0</v>
      </c>
      <c r="F100" s="718"/>
      <c r="G100" s="718"/>
      <c r="H100" s="718"/>
      <c r="I100" s="718"/>
      <c r="J100" s="718"/>
      <c r="K100" s="718"/>
      <c r="L100" s="718"/>
      <c r="M100" s="1061">
        <f>SUM(F100:K100)</f>
        <v>0</v>
      </c>
      <c r="N100" s="1061">
        <f>SUM(G100:L100)</f>
        <v>0</v>
      </c>
      <c r="O100" s="3416"/>
      <c r="P100" s="497"/>
    </row>
    <row r="101" spans="1:16">
      <c r="A101" s="3394"/>
      <c r="B101" s="2734" t="s">
        <v>18</v>
      </c>
      <c r="C101" s="3400"/>
      <c r="D101" s="1810">
        <f>+D102</f>
        <v>55738</v>
      </c>
      <c r="E101" s="1810">
        <f t="shared" ref="E101:N101" si="89">+E102</f>
        <v>6163</v>
      </c>
      <c r="F101" s="1810">
        <f t="shared" si="89"/>
        <v>49575</v>
      </c>
      <c r="G101" s="1810">
        <f t="shared" si="89"/>
        <v>0</v>
      </c>
      <c r="H101" s="1810">
        <f t="shared" si="89"/>
        <v>0</v>
      </c>
      <c r="I101" s="1810">
        <f t="shared" si="89"/>
        <v>0</v>
      </c>
      <c r="J101" s="1810">
        <f t="shared" si="89"/>
        <v>0</v>
      </c>
      <c r="K101" s="1810">
        <f t="shared" si="89"/>
        <v>0</v>
      </c>
      <c r="L101" s="1810">
        <f t="shared" si="89"/>
        <v>0</v>
      </c>
      <c r="M101" s="1913">
        <f t="shared" si="89"/>
        <v>49575</v>
      </c>
      <c r="N101" s="1913">
        <f t="shared" si="89"/>
        <v>0</v>
      </c>
      <c r="O101" s="3396"/>
      <c r="P101" s="497"/>
    </row>
    <row r="102" spans="1:16">
      <c r="A102" s="3394"/>
      <c r="B102" s="2733" t="s">
        <v>21</v>
      </c>
      <c r="C102" s="3400"/>
      <c r="D102" s="949">
        <f>E102+F102+G102+H102+I102+J102+K102+L102</f>
        <v>55738</v>
      </c>
      <c r="E102" s="1775">
        <v>6163</v>
      </c>
      <c r="F102" s="3132">
        <f>8500+56100-15025</f>
        <v>49575</v>
      </c>
      <c r="G102" s="2799"/>
      <c r="H102" s="2799"/>
      <c r="I102" s="2799"/>
      <c r="J102" s="2799"/>
      <c r="K102" s="2799"/>
      <c r="L102" s="2799"/>
      <c r="M102" s="2191">
        <f>SUM(F102:K102)</f>
        <v>49575</v>
      </c>
      <c r="N102" s="2191">
        <f>SUM(G102:L102)</f>
        <v>0</v>
      </c>
      <c r="O102" s="3396"/>
      <c r="P102" s="497"/>
    </row>
    <row r="103" spans="1:16">
      <c r="A103" s="3394"/>
      <c r="B103" s="2731" t="s">
        <v>22</v>
      </c>
      <c r="C103" s="1923"/>
      <c r="D103" s="1870">
        <f t="shared" ref="D103" si="90">+D104+D106</f>
        <v>55738</v>
      </c>
      <c r="E103" s="1870">
        <f t="shared" ref="E103" si="91">+E104+E106</f>
        <v>6163</v>
      </c>
      <c r="F103" s="1870">
        <f>+F104+F106</f>
        <v>49575</v>
      </c>
      <c r="G103" s="1870">
        <f t="shared" ref="G103:L103" si="92">+G104+G106</f>
        <v>0</v>
      </c>
      <c r="H103" s="1870">
        <f t="shared" si="92"/>
        <v>0</v>
      </c>
      <c r="I103" s="1870">
        <f t="shared" si="92"/>
        <v>0</v>
      </c>
      <c r="J103" s="1870">
        <f t="shared" si="92"/>
        <v>0</v>
      </c>
      <c r="K103" s="1870">
        <f t="shared" si="92"/>
        <v>0</v>
      </c>
      <c r="L103" s="1870">
        <f t="shared" si="92"/>
        <v>0</v>
      </c>
      <c r="M103" s="3385" t="s">
        <v>61</v>
      </c>
      <c r="N103" s="3385" t="s">
        <v>61</v>
      </c>
      <c r="O103" s="3397"/>
      <c r="P103" s="497"/>
    </row>
    <row r="104" spans="1:16" hidden="1">
      <c r="A104" s="3394"/>
      <c r="B104" s="2732" t="s">
        <v>24</v>
      </c>
      <c r="C104" s="3455" t="s">
        <v>244</v>
      </c>
      <c r="D104" s="1810">
        <f t="shared" ref="D104:L104" si="93">+D105</f>
        <v>0</v>
      </c>
      <c r="E104" s="1810">
        <f t="shared" si="93"/>
        <v>0</v>
      </c>
      <c r="F104" s="1810">
        <f t="shared" si="93"/>
        <v>0</v>
      </c>
      <c r="G104" s="1810">
        <f t="shared" si="93"/>
        <v>0</v>
      </c>
      <c r="H104" s="1810">
        <f t="shared" si="93"/>
        <v>0</v>
      </c>
      <c r="I104" s="1810">
        <f t="shared" si="93"/>
        <v>0</v>
      </c>
      <c r="J104" s="1810">
        <f t="shared" si="93"/>
        <v>0</v>
      </c>
      <c r="K104" s="1810">
        <f t="shared" si="93"/>
        <v>0</v>
      </c>
      <c r="L104" s="1810">
        <f t="shared" si="93"/>
        <v>0</v>
      </c>
      <c r="M104" s="3385"/>
      <c r="N104" s="3385"/>
      <c r="O104" s="3397"/>
      <c r="P104" s="497"/>
    </row>
    <row r="105" spans="1:16" hidden="1">
      <c r="A105" s="3394"/>
      <c r="B105" s="2733" t="s">
        <v>13</v>
      </c>
      <c r="C105" s="3455"/>
      <c r="D105" s="949">
        <f>E105+F105+G105+H105+I105+J105+K105+L105</f>
        <v>0</v>
      </c>
      <c r="E105" s="1821"/>
      <c r="F105" s="1821"/>
      <c r="G105" s="1821"/>
      <c r="H105" s="1821"/>
      <c r="I105" s="1821"/>
      <c r="J105" s="1821"/>
      <c r="K105" s="1821"/>
      <c r="L105" s="1821"/>
      <c r="M105" s="3385"/>
      <c r="N105" s="3385"/>
      <c r="O105" s="3397"/>
      <c r="P105" s="497"/>
    </row>
    <row r="106" spans="1:16">
      <c r="A106" s="3394"/>
      <c r="B106" s="2734" t="s">
        <v>18</v>
      </c>
      <c r="C106" s="3455"/>
      <c r="D106" s="1810">
        <f t="shared" ref="D106:L106" si="94">+D107</f>
        <v>55738</v>
      </c>
      <c r="E106" s="1810">
        <f t="shared" si="94"/>
        <v>6163</v>
      </c>
      <c r="F106" s="1810">
        <f t="shared" si="94"/>
        <v>49575</v>
      </c>
      <c r="G106" s="1810">
        <f t="shared" si="94"/>
        <v>0</v>
      </c>
      <c r="H106" s="1810">
        <f t="shared" si="94"/>
        <v>0</v>
      </c>
      <c r="I106" s="1810">
        <f t="shared" si="94"/>
        <v>0</v>
      </c>
      <c r="J106" s="1810">
        <f t="shared" si="94"/>
        <v>0</v>
      </c>
      <c r="K106" s="1810">
        <f t="shared" si="94"/>
        <v>0</v>
      </c>
      <c r="L106" s="1810">
        <f t="shared" si="94"/>
        <v>0</v>
      </c>
      <c r="M106" s="3385"/>
      <c r="N106" s="3385"/>
      <c r="O106" s="3397"/>
      <c r="P106" s="497"/>
    </row>
    <row r="107" spans="1:16" ht="13.5" thickBot="1">
      <c r="A107" s="3395"/>
      <c r="B107" s="3133" t="s">
        <v>21</v>
      </c>
      <c r="C107" s="3456"/>
      <c r="D107" s="949">
        <f>E107+F107+G107+H107+I107+J107+K107+L107</f>
        <v>55738</v>
      </c>
      <c r="E107" s="1775">
        <v>6163</v>
      </c>
      <c r="F107" s="2106">
        <f>8500+56100-15025</f>
        <v>49575</v>
      </c>
      <c r="G107" s="2106"/>
      <c r="H107" s="2106"/>
      <c r="I107" s="2106"/>
      <c r="J107" s="2106"/>
      <c r="K107" s="2106"/>
      <c r="L107" s="2106"/>
      <c r="M107" s="3404"/>
      <c r="N107" s="3404"/>
      <c r="O107" s="3398"/>
      <c r="P107" s="497"/>
    </row>
    <row r="108" spans="1:16" ht="36" customHeight="1">
      <c r="A108" s="3405" t="s">
        <v>87</v>
      </c>
      <c r="B108" s="1452" t="s">
        <v>388</v>
      </c>
      <c r="C108" s="1453" t="s">
        <v>109</v>
      </c>
      <c r="D108" s="60"/>
      <c r="E108" s="42"/>
      <c r="F108" s="42"/>
      <c r="G108" s="42"/>
      <c r="H108" s="42"/>
      <c r="I108" s="42"/>
      <c r="J108" s="42"/>
      <c r="K108" s="42"/>
      <c r="L108" s="42"/>
      <c r="M108" s="655"/>
      <c r="N108" s="655"/>
      <c r="O108" s="3450" t="s">
        <v>317</v>
      </c>
    </row>
    <row r="109" spans="1:16">
      <c r="A109" s="3375"/>
      <c r="B109" s="2731" t="s">
        <v>10</v>
      </c>
      <c r="C109" s="1454"/>
      <c r="D109" s="2762">
        <f t="shared" ref="D109:N109" si="95">+D110+D114</f>
        <v>1698344</v>
      </c>
      <c r="E109" s="1863">
        <f t="shared" ref="E109" si="96">+E110+E114</f>
        <v>0</v>
      </c>
      <c r="F109" s="1863">
        <f t="shared" si="95"/>
        <v>667359</v>
      </c>
      <c r="G109" s="1863">
        <f t="shared" si="95"/>
        <v>1030985</v>
      </c>
      <c r="H109" s="1863">
        <f t="shared" si="95"/>
        <v>0</v>
      </c>
      <c r="I109" s="1863">
        <f t="shared" si="95"/>
        <v>0</v>
      </c>
      <c r="J109" s="1863">
        <f t="shared" si="95"/>
        <v>0</v>
      </c>
      <c r="K109" s="1863">
        <f t="shared" si="95"/>
        <v>0</v>
      </c>
      <c r="L109" s="1863">
        <f t="shared" si="95"/>
        <v>0</v>
      </c>
      <c r="M109" s="1802">
        <f t="shared" ref="M109" si="97">+M110+M114</f>
        <v>1698344</v>
      </c>
      <c r="N109" s="1802">
        <f t="shared" si="95"/>
        <v>1030985</v>
      </c>
      <c r="O109" s="3396"/>
    </row>
    <row r="110" spans="1:16">
      <c r="A110" s="3375"/>
      <c r="B110" s="2732" t="s">
        <v>24</v>
      </c>
      <c r="C110" s="3452" t="s">
        <v>313</v>
      </c>
      <c r="D110" s="2168">
        <f>+D111</f>
        <v>254752</v>
      </c>
      <c r="E110" s="2168">
        <f t="shared" ref="E110" si="98">+E111</f>
        <v>0</v>
      </c>
      <c r="F110" s="2168">
        <f t="shared" ref="F110:N110" si="99">+F111</f>
        <v>100104</v>
      </c>
      <c r="G110" s="2168">
        <f t="shared" si="99"/>
        <v>154648</v>
      </c>
      <c r="H110" s="2168">
        <f t="shared" si="99"/>
        <v>0</v>
      </c>
      <c r="I110" s="2168">
        <f t="shared" si="99"/>
        <v>0</v>
      </c>
      <c r="J110" s="2168">
        <f t="shared" si="99"/>
        <v>0</v>
      </c>
      <c r="K110" s="2168">
        <f t="shared" si="99"/>
        <v>0</v>
      </c>
      <c r="L110" s="2168">
        <f t="shared" si="99"/>
        <v>0</v>
      </c>
      <c r="M110" s="3134">
        <f t="shared" si="99"/>
        <v>254752</v>
      </c>
      <c r="N110" s="3134">
        <f t="shared" si="99"/>
        <v>154648</v>
      </c>
      <c r="O110" s="3396"/>
    </row>
    <row r="111" spans="1:16">
      <c r="A111" s="3375"/>
      <c r="B111" s="2733" t="s">
        <v>12</v>
      </c>
      <c r="C111" s="3382"/>
      <c r="D111" s="949">
        <f>E111+F111+G111+H111+I111+J111+K111+L111</f>
        <v>254752</v>
      </c>
      <c r="E111" s="1775">
        <v>0</v>
      </c>
      <c r="F111" s="2231">
        <f t="shared" ref="F111:L111" si="100">+F112+F113</f>
        <v>100104</v>
      </c>
      <c r="G111" s="2231">
        <f t="shared" si="100"/>
        <v>154648</v>
      </c>
      <c r="H111" s="1813">
        <f t="shared" si="100"/>
        <v>0</v>
      </c>
      <c r="I111" s="1813">
        <f t="shared" si="100"/>
        <v>0</v>
      </c>
      <c r="J111" s="1813">
        <f t="shared" si="100"/>
        <v>0</v>
      </c>
      <c r="K111" s="1813">
        <f t="shared" si="100"/>
        <v>0</v>
      </c>
      <c r="L111" s="1813">
        <f t="shared" si="100"/>
        <v>0</v>
      </c>
      <c r="M111" s="2191">
        <f>SUM(F111:K111)</f>
        <v>254752</v>
      </c>
      <c r="N111" s="2191">
        <f>SUM(G111:L111)</f>
        <v>154648</v>
      </c>
      <c r="O111" s="3396"/>
    </row>
    <row r="112" spans="1:16" hidden="1">
      <c r="A112" s="3375"/>
      <c r="B112" s="3135" t="s">
        <v>293</v>
      </c>
      <c r="C112" s="3382"/>
      <c r="D112" s="3136">
        <f>SUM(E112:L112)</f>
        <v>66119</v>
      </c>
      <c r="E112" s="3137">
        <v>0</v>
      </c>
      <c r="F112" s="3138">
        <f>31970-5265</f>
        <v>26705</v>
      </c>
      <c r="G112" s="3138">
        <f>34149+5265</f>
        <v>39414</v>
      </c>
      <c r="H112" s="3137"/>
      <c r="I112" s="3137"/>
      <c r="J112" s="3137"/>
      <c r="K112" s="3137"/>
      <c r="L112" s="3137"/>
      <c r="M112" s="3139"/>
      <c r="N112" s="3139"/>
      <c r="O112" s="3396"/>
    </row>
    <row r="113" spans="1:16" hidden="1">
      <c r="A113" s="3375"/>
      <c r="B113" s="3140" t="s">
        <v>311</v>
      </c>
      <c r="C113" s="3382"/>
      <c r="D113" s="3141">
        <f>SUM(E113:L113)</f>
        <v>188633</v>
      </c>
      <c r="E113" s="3142">
        <v>0</v>
      </c>
      <c r="F113" s="3143">
        <f>86239-12840</f>
        <v>73399</v>
      </c>
      <c r="G113" s="3143">
        <f>102394+12840</f>
        <v>115234</v>
      </c>
      <c r="H113" s="3142"/>
      <c r="I113" s="3142"/>
      <c r="J113" s="3142"/>
      <c r="K113" s="3142"/>
      <c r="L113" s="3142"/>
      <c r="M113" s="3139"/>
      <c r="N113" s="3139"/>
      <c r="O113" s="3396"/>
    </row>
    <row r="114" spans="1:16">
      <c r="A114" s="3375"/>
      <c r="B114" s="2732" t="s">
        <v>18</v>
      </c>
      <c r="C114" s="3382"/>
      <c r="D114" s="1810">
        <f>+D115</f>
        <v>1443592</v>
      </c>
      <c r="E114" s="1810">
        <f t="shared" ref="E114:L114" si="101">+E115</f>
        <v>0</v>
      </c>
      <c r="F114" s="1810">
        <f t="shared" si="101"/>
        <v>567255</v>
      </c>
      <c r="G114" s="1810">
        <f t="shared" si="101"/>
        <v>876337</v>
      </c>
      <c r="H114" s="1810">
        <f t="shared" si="101"/>
        <v>0</v>
      </c>
      <c r="I114" s="1810">
        <f t="shared" si="101"/>
        <v>0</v>
      </c>
      <c r="J114" s="1810">
        <f t="shared" si="101"/>
        <v>0</v>
      </c>
      <c r="K114" s="1810">
        <f t="shared" si="101"/>
        <v>0</v>
      </c>
      <c r="L114" s="1810">
        <f t="shared" si="101"/>
        <v>0</v>
      </c>
      <c r="M114" s="2193">
        <f>+M115</f>
        <v>1443592</v>
      </c>
      <c r="N114" s="2193">
        <f>+N115</f>
        <v>876337</v>
      </c>
      <c r="O114" s="3396"/>
    </row>
    <row r="115" spans="1:16">
      <c r="A115" s="3375"/>
      <c r="B115" s="2733" t="s">
        <v>21</v>
      </c>
      <c r="C115" s="3382"/>
      <c r="D115" s="949">
        <f>E115+F115+G115+H115+I115+J115+K115+L115</f>
        <v>1443592</v>
      </c>
      <c r="E115" s="1775">
        <v>0</v>
      </c>
      <c r="F115" s="1813">
        <f t="shared" ref="F115:L115" si="102">+F116+F117</f>
        <v>567255</v>
      </c>
      <c r="G115" s="1813">
        <f t="shared" si="102"/>
        <v>876337</v>
      </c>
      <c r="H115" s="1813">
        <f t="shared" si="102"/>
        <v>0</v>
      </c>
      <c r="I115" s="1813">
        <f t="shared" si="102"/>
        <v>0</v>
      </c>
      <c r="J115" s="1813">
        <f t="shared" si="102"/>
        <v>0</v>
      </c>
      <c r="K115" s="1813">
        <f t="shared" si="102"/>
        <v>0</v>
      </c>
      <c r="L115" s="1813">
        <f t="shared" si="102"/>
        <v>0</v>
      </c>
      <c r="M115" s="2191">
        <f>SUM(F115:K115)</f>
        <v>1443592</v>
      </c>
      <c r="N115" s="2191">
        <f>SUM(G115:L115)</f>
        <v>876337</v>
      </c>
      <c r="O115" s="3396"/>
    </row>
    <row r="116" spans="1:16" hidden="1">
      <c r="A116" s="3375"/>
      <c r="B116" s="3135" t="s">
        <v>293</v>
      </c>
      <c r="C116" s="3088"/>
      <c r="D116" s="3136">
        <f>SUM(E116:L116)</f>
        <v>374677</v>
      </c>
      <c r="E116" s="3137">
        <v>0</v>
      </c>
      <c r="F116" s="3137">
        <f>181163-29833</f>
        <v>151330</v>
      </c>
      <c r="G116" s="3137">
        <f>193514+29833</f>
        <v>223347</v>
      </c>
      <c r="H116" s="3137"/>
      <c r="I116" s="3137"/>
      <c r="J116" s="3137"/>
      <c r="K116" s="3137"/>
      <c r="L116" s="3137"/>
      <c r="M116" s="3139"/>
      <c r="N116" s="3139"/>
      <c r="O116" s="3396"/>
    </row>
    <row r="117" spans="1:16" hidden="1">
      <c r="A117" s="3375"/>
      <c r="B117" s="3140" t="s">
        <v>311</v>
      </c>
      <c r="C117" s="3144"/>
      <c r="D117" s="3141">
        <f>SUM(E117:L117)</f>
        <v>1068915</v>
      </c>
      <c r="E117" s="3142">
        <v>0</v>
      </c>
      <c r="F117" s="3142">
        <f>488685-72760</f>
        <v>415925</v>
      </c>
      <c r="G117" s="3142">
        <f>580230+72760</f>
        <v>652990</v>
      </c>
      <c r="H117" s="3142"/>
      <c r="I117" s="3142"/>
      <c r="J117" s="3142"/>
      <c r="K117" s="3142"/>
      <c r="L117" s="3142"/>
      <c r="M117" s="3139"/>
      <c r="N117" s="3139"/>
      <c r="O117" s="3396"/>
    </row>
    <row r="118" spans="1:16">
      <c r="A118" s="3377"/>
      <c r="B118" s="2731" t="s">
        <v>22</v>
      </c>
      <c r="C118" s="1923"/>
      <c r="D118" s="2192">
        <f>D119</f>
        <v>1443592</v>
      </c>
      <c r="E118" s="2192">
        <f>+E119</f>
        <v>0</v>
      </c>
      <c r="F118" s="2192">
        <f>+F119</f>
        <v>669848</v>
      </c>
      <c r="G118" s="2192">
        <f>+G119</f>
        <v>773744</v>
      </c>
      <c r="H118" s="2192">
        <f>+H119</f>
        <v>0</v>
      </c>
      <c r="I118" s="2192">
        <f>I119</f>
        <v>0</v>
      </c>
      <c r="J118" s="2192">
        <f>+J119</f>
        <v>0</v>
      </c>
      <c r="K118" s="2192">
        <f>+K119</f>
        <v>0</v>
      </c>
      <c r="L118" s="2192">
        <f>L119</f>
        <v>0</v>
      </c>
      <c r="M118" s="3385" t="s">
        <v>61</v>
      </c>
      <c r="N118" s="3385" t="s">
        <v>61</v>
      </c>
      <c r="O118" s="3451"/>
    </row>
    <row r="119" spans="1:16">
      <c r="A119" s="3377"/>
      <c r="B119" s="2732" t="s">
        <v>18</v>
      </c>
      <c r="C119" s="3453" t="s">
        <v>389</v>
      </c>
      <c r="D119" s="1810">
        <f t="shared" ref="D119:L119" si="103">+D120</f>
        <v>1443592</v>
      </c>
      <c r="E119" s="1810">
        <f t="shared" si="103"/>
        <v>0</v>
      </c>
      <c r="F119" s="1810">
        <f t="shared" si="103"/>
        <v>669848</v>
      </c>
      <c r="G119" s="1810">
        <f t="shared" si="103"/>
        <v>773744</v>
      </c>
      <c r="H119" s="1810">
        <f t="shared" si="103"/>
        <v>0</v>
      </c>
      <c r="I119" s="1810">
        <f t="shared" si="103"/>
        <v>0</v>
      </c>
      <c r="J119" s="1810">
        <f t="shared" si="103"/>
        <v>0</v>
      </c>
      <c r="K119" s="1810">
        <f t="shared" si="103"/>
        <v>0</v>
      </c>
      <c r="L119" s="1810">
        <f t="shared" si="103"/>
        <v>0</v>
      </c>
      <c r="M119" s="3385"/>
      <c r="N119" s="3385"/>
      <c r="O119" s="3451"/>
    </row>
    <row r="120" spans="1:16" ht="13.5" thickBot="1">
      <c r="A120" s="3378"/>
      <c r="B120" s="3133" t="s">
        <v>21</v>
      </c>
      <c r="C120" s="3454"/>
      <c r="D120" s="2989">
        <f>E120+F120+G120+H120+I120+J120+K120+L120</f>
        <v>1443592</v>
      </c>
      <c r="E120" s="2989">
        <v>0</v>
      </c>
      <c r="F120" s="2181">
        <v>669848</v>
      </c>
      <c r="G120" s="2181">
        <v>773744</v>
      </c>
      <c r="H120" s="2181">
        <v>0</v>
      </c>
      <c r="I120" s="2181">
        <v>0</v>
      </c>
      <c r="J120" s="2181">
        <v>0</v>
      </c>
      <c r="K120" s="2181">
        <v>0</v>
      </c>
      <c r="L120" s="2181">
        <v>0</v>
      </c>
      <c r="M120" s="3404"/>
      <c r="N120" s="3404"/>
      <c r="O120" s="3440"/>
    </row>
    <row r="121" spans="1:16" ht="37.5" customHeight="1">
      <c r="A121" s="3405" t="s">
        <v>88</v>
      </c>
      <c r="B121" s="1452" t="s">
        <v>482</v>
      </c>
      <c r="C121" s="1453" t="s">
        <v>109</v>
      </c>
      <c r="D121" s="60"/>
      <c r="E121" s="42"/>
      <c r="F121" s="42"/>
      <c r="G121" s="42"/>
      <c r="H121" s="42"/>
      <c r="I121" s="42"/>
      <c r="J121" s="42"/>
      <c r="K121" s="42"/>
      <c r="L121" s="42"/>
      <c r="M121" s="655"/>
      <c r="N121" s="655"/>
      <c r="O121" s="3450" t="s">
        <v>459</v>
      </c>
    </row>
    <row r="122" spans="1:16" ht="16.149999999999999" customHeight="1">
      <c r="A122" s="3375"/>
      <c r="B122" s="2731" t="s">
        <v>10</v>
      </c>
      <c r="C122" s="1454"/>
      <c r="D122" s="2762">
        <f>+D123</f>
        <v>13580221</v>
      </c>
      <c r="E122" s="1863">
        <f t="shared" ref="E122" si="104">+E123</f>
        <v>0</v>
      </c>
      <c r="F122" s="1863">
        <f t="shared" ref="F122:H122" si="105">+F123</f>
        <v>262804</v>
      </c>
      <c r="G122" s="1863">
        <f t="shared" si="105"/>
        <v>9114930</v>
      </c>
      <c r="H122" s="1863">
        <f t="shared" si="105"/>
        <v>3627487</v>
      </c>
      <c r="I122" s="1863">
        <f t="shared" ref="I122" si="106">+I123</f>
        <v>575000</v>
      </c>
      <c r="J122" s="1863">
        <f t="shared" ref="J122" si="107">+J123</f>
        <v>0</v>
      </c>
      <c r="K122" s="1863">
        <f t="shared" ref="K122" si="108">+K123</f>
        <v>0</v>
      </c>
      <c r="L122" s="1863">
        <f t="shared" ref="L122" si="109">+L123</f>
        <v>0</v>
      </c>
      <c r="M122" s="1802">
        <f>+M123</f>
        <v>13580221</v>
      </c>
      <c r="N122" s="1802">
        <f>+N123</f>
        <v>13317417</v>
      </c>
      <c r="O122" s="3396"/>
      <c r="P122" s="402">
        <f>G122-'[1]Tab. 6B Polit społ i rozwój prz'!$G$122</f>
        <v>1295230</v>
      </c>
    </row>
    <row r="123" spans="1:16" ht="15" customHeight="1">
      <c r="A123" s="3375"/>
      <c r="B123" s="2763" t="s">
        <v>18</v>
      </c>
      <c r="C123" s="3390" t="s">
        <v>393</v>
      </c>
      <c r="D123" s="1810">
        <f>+D124</f>
        <v>13580221</v>
      </c>
      <c r="E123" s="1810">
        <f>+E124</f>
        <v>0</v>
      </c>
      <c r="F123" s="1810">
        <f>+F124</f>
        <v>262804</v>
      </c>
      <c r="G123" s="1810">
        <f t="shared" ref="G123:L123" si="110">+G124</f>
        <v>9114930</v>
      </c>
      <c r="H123" s="1810">
        <f t="shared" si="110"/>
        <v>3627487</v>
      </c>
      <c r="I123" s="1810">
        <f t="shared" si="110"/>
        <v>575000</v>
      </c>
      <c r="J123" s="1810">
        <f t="shared" si="110"/>
        <v>0</v>
      </c>
      <c r="K123" s="1810">
        <f t="shared" si="110"/>
        <v>0</v>
      </c>
      <c r="L123" s="1810">
        <f t="shared" si="110"/>
        <v>0</v>
      </c>
      <c r="M123" s="2193">
        <f>+M124</f>
        <v>13580221</v>
      </c>
      <c r="N123" s="2193">
        <f>+N124</f>
        <v>13317417</v>
      </c>
      <c r="O123" s="3396"/>
    </row>
    <row r="124" spans="1:16" ht="22.5" customHeight="1" thickBot="1">
      <c r="A124" s="3459"/>
      <c r="B124" s="2766" t="s">
        <v>21</v>
      </c>
      <c r="C124" s="3392"/>
      <c r="D124" s="2989">
        <f>E124+F124+G124+H124+I124+J124+K124+L124</f>
        <v>13580221</v>
      </c>
      <c r="E124" s="2989">
        <v>0</v>
      </c>
      <c r="F124" s="2181">
        <f>+F125+F126+F127+F128+F129</f>
        <v>262804</v>
      </c>
      <c r="G124" s="2181">
        <f t="shared" ref="G124:H124" si="111">+G125+G126+G127+G128+G129</f>
        <v>9114930</v>
      </c>
      <c r="H124" s="2181">
        <f t="shared" si="111"/>
        <v>3627487</v>
      </c>
      <c r="I124" s="2181">
        <f t="shared" ref="I124" si="112">+I125+I126+I127+I128+I129</f>
        <v>575000</v>
      </c>
      <c r="J124" s="2181">
        <f t="shared" ref="J124" si="113">+J125+J126+J127+J128+J129</f>
        <v>0</v>
      </c>
      <c r="K124" s="2181">
        <f t="shared" ref="K124" si="114">+K125+K126+K127+K128+K129</f>
        <v>0</v>
      </c>
      <c r="L124" s="2181">
        <f t="shared" ref="L124" si="115">+L125+L126+L127+L128+L129</f>
        <v>0</v>
      </c>
      <c r="M124" s="3145">
        <f>SUM(F124:K124)</f>
        <v>13580221</v>
      </c>
      <c r="N124" s="3145">
        <f>SUM(G124:L124)</f>
        <v>13317417</v>
      </c>
      <c r="O124" s="3461"/>
    </row>
    <row r="125" spans="1:16" s="403" customFormat="1" hidden="1">
      <c r="A125" s="3460"/>
      <c r="B125" s="3095" t="s">
        <v>391</v>
      </c>
      <c r="C125" s="3391"/>
      <c r="D125" s="3096">
        <f>SUM(E125:L125)</f>
        <v>9576521</v>
      </c>
      <c r="E125" s="3097">
        <v>0</v>
      </c>
      <c r="F125" s="3097">
        <f>2700000-2610000</f>
        <v>90000</v>
      </c>
      <c r="G125" s="3097">
        <f>3169000+2619500+1103984</f>
        <v>6892484</v>
      </c>
      <c r="H125" s="3097">
        <f>2044159+946725-929847</f>
        <v>2061037</v>
      </c>
      <c r="I125" s="3097">
        <f>0+537137-4137</f>
        <v>533000</v>
      </c>
      <c r="J125" s="3097">
        <v>0</v>
      </c>
      <c r="K125" s="3097">
        <v>0</v>
      </c>
      <c r="L125" s="3097">
        <v>0</v>
      </c>
      <c r="M125" s="3098"/>
      <c r="N125" s="3098"/>
      <c r="O125" s="3393"/>
    </row>
    <row r="126" spans="1:16" s="403" customFormat="1" hidden="1">
      <c r="A126" s="3375"/>
      <c r="B126" s="2764" t="s">
        <v>392</v>
      </c>
      <c r="C126" s="3391"/>
      <c r="D126" s="2765">
        <f>SUM(E126:L126)</f>
        <v>1008500</v>
      </c>
      <c r="E126" s="2562">
        <v>0</v>
      </c>
      <c r="F126" s="2562">
        <f>293500-190200-8805</f>
        <v>94495</v>
      </c>
      <c r="G126" s="2562">
        <f>483000-13800+130805</f>
        <v>600005</v>
      </c>
      <c r="H126" s="2562">
        <f>378000-92000+28000</f>
        <v>314000</v>
      </c>
      <c r="I126" s="2562">
        <v>0</v>
      </c>
      <c r="J126" s="2562">
        <v>0</v>
      </c>
      <c r="K126" s="2562">
        <v>0</v>
      </c>
      <c r="L126" s="2562">
        <v>0</v>
      </c>
      <c r="M126" s="2440"/>
      <c r="N126" s="2440"/>
      <c r="O126" s="3396"/>
    </row>
    <row r="127" spans="1:16" s="2563" customFormat="1" hidden="1">
      <c r="A127" s="3375"/>
      <c r="B127" s="2764" t="s">
        <v>110</v>
      </c>
      <c r="C127" s="3391"/>
      <c r="D127" s="2765">
        <f>SUM(E127:L127)</f>
        <v>603500</v>
      </c>
      <c r="E127" s="2562">
        <v>0</v>
      </c>
      <c r="F127" s="2562">
        <f>174000-30000-144000</f>
        <v>0</v>
      </c>
      <c r="G127" s="2562">
        <f>453000-110000</f>
        <v>343000</v>
      </c>
      <c r="H127" s="2562">
        <f>228000+32500</f>
        <v>260500</v>
      </c>
      <c r="I127" s="2562">
        <v>0</v>
      </c>
      <c r="J127" s="2562">
        <v>0</v>
      </c>
      <c r="K127" s="2562">
        <v>0</v>
      </c>
      <c r="L127" s="2562">
        <v>0</v>
      </c>
      <c r="M127" s="2440"/>
      <c r="N127" s="2440"/>
      <c r="O127" s="3396"/>
    </row>
    <row r="128" spans="1:16" s="2563" customFormat="1" hidden="1">
      <c r="A128" s="3375"/>
      <c r="B128" s="2764" t="s">
        <v>223</v>
      </c>
      <c r="C128" s="3391"/>
      <c r="D128" s="2765">
        <f>SUM(E128:L128)</f>
        <v>1894000</v>
      </c>
      <c r="E128" s="2562">
        <v>0</v>
      </c>
      <c r="F128" s="2562">
        <f>1015500-784500-231000</f>
        <v>0</v>
      </c>
      <c r="G128" s="2562">
        <f>926500+110500+47050</f>
        <v>1084050</v>
      </c>
      <c r="H128" s="2562">
        <f>342000+284000+183950</f>
        <v>809950</v>
      </c>
      <c r="I128" s="2562">
        <v>0</v>
      </c>
      <c r="J128" s="2562">
        <v>0</v>
      </c>
      <c r="K128" s="2562">
        <v>0</v>
      </c>
      <c r="L128" s="2562">
        <v>0</v>
      </c>
      <c r="M128" s="2440"/>
      <c r="N128" s="2440"/>
      <c r="O128" s="3396"/>
    </row>
    <row r="129" spans="1:16" s="2563" customFormat="1" hidden="1">
      <c r="A129" s="3375"/>
      <c r="B129" s="2764" t="s">
        <v>293</v>
      </c>
      <c r="C129" s="3462"/>
      <c r="D129" s="2765">
        <f>SUM(E129:L129)</f>
        <v>497700</v>
      </c>
      <c r="E129" s="2562">
        <v>0</v>
      </c>
      <c r="F129" s="2562">
        <f>140000-48300-13391</f>
        <v>78309</v>
      </c>
      <c r="G129" s="2562">
        <f>260000-78000+13391</f>
        <v>195391</v>
      </c>
      <c r="H129" s="2562">
        <f>260000-78000</f>
        <v>182000</v>
      </c>
      <c r="I129" s="2562">
        <f>0+42000</f>
        <v>42000</v>
      </c>
      <c r="J129" s="2562">
        <v>0</v>
      </c>
      <c r="K129" s="2562">
        <v>0</v>
      </c>
      <c r="L129" s="2562">
        <v>0</v>
      </c>
      <c r="M129" s="2440"/>
      <c r="N129" s="2440"/>
      <c r="O129" s="3396"/>
    </row>
    <row r="130" spans="1:16">
      <c r="A130" s="3377"/>
      <c r="B130" s="2731" t="s">
        <v>22</v>
      </c>
      <c r="C130" s="1923"/>
      <c r="D130" s="2192">
        <f>D131</f>
        <v>13580221</v>
      </c>
      <c r="E130" s="2192">
        <f>+E131</f>
        <v>0</v>
      </c>
      <c r="F130" s="2192">
        <f>+F131</f>
        <v>0</v>
      </c>
      <c r="G130" s="2192">
        <f>+G131</f>
        <v>11704137</v>
      </c>
      <c r="H130" s="2192">
        <f>+H131</f>
        <v>1876084</v>
      </c>
      <c r="I130" s="2192">
        <f>I131</f>
        <v>0</v>
      </c>
      <c r="J130" s="2192">
        <f>+J131</f>
        <v>0</v>
      </c>
      <c r="K130" s="2192">
        <f>+K131</f>
        <v>0</v>
      </c>
      <c r="L130" s="2192">
        <f>L131</f>
        <v>0</v>
      </c>
      <c r="M130" s="3385" t="s">
        <v>61</v>
      </c>
      <c r="N130" s="3385" t="s">
        <v>61</v>
      </c>
      <c r="O130" s="3451"/>
      <c r="P130" s="402">
        <f>G130-'[1]Tab. 6B Polit społ i rozwój prz'!$G$130</f>
        <v>3368437</v>
      </c>
    </row>
    <row r="131" spans="1:16" s="405" customFormat="1" ht="13.5" customHeight="1">
      <c r="A131" s="3377"/>
      <c r="B131" s="2763" t="s">
        <v>18</v>
      </c>
      <c r="C131" s="3390" t="s">
        <v>390</v>
      </c>
      <c r="D131" s="1810">
        <f t="shared" ref="D131:L131" si="116">+D132</f>
        <v>13580221</v>
      </c>
      <c r="E131" s="1810">
        <f t="shared" si="116"/>
        <v>0</v>
      </c>
      <c r="F131" s="1810">
        <f t="shared" si="116"/>
        <v>0</v>
      </c>
      <c r="G131" s="1810">
        <f t="shared" si="116"/>
        <v>11704137</v>
      </c>
      <c r="H131" s="1810">
        <f t="shared" si="116"/>
        <v>1876084</v>
      </c>
      <c r="I131" s="1810">
        <f t="shared" si="116"/>
        <v>0</v>
      </c>
      <c r="J131" s="1810">
        <f t="shared" si="116"/>
        <v>0</v>
      </c>
      <c r="K131" s="1810">
        <f t="shared" si="116"/>
        <v>0</v>
      </c>
      <c r="L131" s="1810">
        <f t="shared" si="116"/>
        <v>0</v>
      </c>
      <c r="M131" s="3385"/>
      <c r="N131" s="3385"/>
      <c r="O131" s="3451"/>
    </row>
    <row r="132" spans="1:16" s="405" customFormat="1" ht="15" customHeight="1" thickBot="1">
      <c r="A132" s="3378"/>
      <c r="B132" s="2766" t="s">
        <v>21</v>
      </c>
      <c r="C132" s="3392"/>
      <c r="D132" s="1929">
        <f>E132+F132+G132+H132+I132+J132+K132+L132</f>
        <v>13580221</v>
      </c>
      <c r="E132" s="2147">
        <v>0</v>
      </c>
      <c r="F132" s="2234">
        <f>4323000-30000-4293000</f>
        <v>0</v>
      </c>
      <c r="G132" s="2234">
        <f>5291500+3044200+3368437</f>
        <v>11704137</v>
      </c>
      <c r="H132" s="2181">
        <f>3252159+1093225-2469300</f>
        <v>1876084</v>
      </c>
      <c r="I132" s="2181">
        <f>0+579137-579137</f>
        <v>0</v>
      </c>
      <c r="J132" s="2181">
        <v>0</v>
      </c>
      <c r="K132" s="2181">
        <v>0</v>
      </c>
      <c r="L132" s="2181">
        <v>0</v>
      </c>
      <c r="M132" s="3404"/>
      <c r="N132" s="3404"/>
      <c r="O132" s="3440"/>
      <c r="P132" s="2396">
        <f>D132-'[3]Tab. 6B Polit społ i rozwój prz'!$D$258</f>
        <v>743562</v>
      </c>
    </row>
    <row r="133" spans="1:16" ht="39" customHeight="1">
      <c r="A133" s="3405" t="s">
        <v>89</v>
      </c>
      <c r="B133" s="1452" t="s">
        <v>483</v>
      </c>
      <c r="C133" s="1453" t="s">
        <v>81</v>
      </c>
      <c r="D133" s="60"/>
      <c r="E133" s="42"/>
      <c r="F133" s="42"/>
      <c r="G133" s="42"/>
      <c r="H133" s="42"/>
      <c r="I133" s="42"/>
      <c r="J133" s="42"/>
      <c r="K133" s="42"/>
      <c r="L133" s="42"/>
      <c r="M133" s="655"/>
      <c r="N133" s="655"/>
      <c r="O133" s="3450" t="s">
        <v>467</v>
      </c>
    </row>
    <row r="134" spans="1:16">
      <c r="A134" s="3374"/>
      <c r="B134" s="1732" t="s">
        <v>10</v>
      </c>
      <c r="C134" s="1454"/>
      <c r="D134" s="1733">
        <f>+D135</f>
        <v>35876</v>
      </c>
      <c r="E134" s="1734">
        <f t="shared" ref="E134" si="117">E135</f>
        <v>0</v>
      </c>
      <c r="F134" s="1734">
        <f t="shared" ref="F134:L134" si="118">F135</f>
        <v>8753</v>
      </c>
      <c r="G134" s="1734">
        <f t="shared" si="118"/>
        <v>27123</v>
      </c>
      <c r="H134" s="1734">
        <f t="shared" si="118"/>
        <v>0</v>
      </c>
      <c r="I134" s="1734">
        <f t="shared" si="118"/>
        <v>0</v>
      </c>
      <c r="J134" s="1734">
        <f t="shared" si="118"/>
        <v>0</v>
      </c>
      <c r="K134" s="1734">
        <f t="shared" si="118"/>
        <v>0</v>
      </c>
      <c r="L134" s="1734">
        <f t="shared" si="118"/>
        <v>0</v>
      </c>
      <c r="M134" s="1735">
        <f>M135</f>
        <v>35876</v>
      </c>
      <c r="N134" s="1735">
        <f>N135</f>
        <v>27123</v>
      </c>
      <c r="O134" s="3396"/>
    </row>
    <row r="135" spans="1:16" ht="13.15" customHeight="1">
      <c r="A135" s="3374"/>
      <c r="B135" s="1736" t="s">
        <v>18</v>
      </c>
      <c r="C135" s="3457" t="s">
        <v>394</v>
      </c>
      <c r="D135" s="1745">
        <f>+D136</f>
        <v>35876</v>
      </c>
      <c r="E135" s="1745">
        <f t="shared" ref="E135:L135" si="119">+E136</f>
        <v>0</v>
      </c>
      <c r="F135" s="1745">
        <f t="shared" si="119"/>
        <v>8753</v>
      </c>
      <c r="G135" s="1745">
        <f t="shared" si="119"/>
        <v>27123</v>
      </c>
      <c r="H135" s="1745">
        <f t="shared" si="119"/>
        <v>0</v>
      </c>
      <c r="I135" s="1745">
        <f t="shared" si="119"/>
        <v>0</v>
      </c>
      <c r="J135" s="1745">
        <f t="shared" si="119"/>
        <v>0</v>
      </c>
      <c r="K135" s="1745">
        <f t="shared" si="119"/>
        <v>0</v>
      </c>
      <c r="L135" s="1745">
        <f t="shared" si="119"/>
        <v>0</v>
      </c>
      <c r="M135" s="1746">
        <f>+M136</f>
        <v>35876</v>
      </c>
      <c r="N135" s="1746">
        <f>+N136</f>
        <v>27123</v>
      </c>
      <c r="O135" s="3396"/>
    </row>
    <row r="136" spans="1:16">
      <c r="A136" s="3374"/>
      <c r="B136" s="1739" t="s">
        <v>21</v>
      </c>
      <c r="C136" s="3458"/>
      <c r="D136" s="1715">
        <f>E136+F136+G136+H136+I136+J136+K136+L136</f>
        <v>35876</v>
      </c>
      <c r="E136" s="1740">
        <v>0</v>
      </c>
      <c r="F136" s="1742">
        <f>+F137+F138+F139</f>
        <v>8753</v>
      </c>
      <c r="G136" s="1742">
        <f t="shared" ref="G136:K136" si="120">+G137+G138+G139</f>
        <v>27123</v>
      </c>
      <c r="H136" s="1742">
        <f t="shared" si="120"/>
        <v>0</v>
      </c>
      <c r="I136" s="1742">
        <f t="shared" si="120"/>
        <v>0</v>
      </c>
      <c r="J136" s="1742">
        <f t="shared" si="120"/>
        <v>0</v>
      </c>
      <c r="K136" s="1742">
        <f t="shared" si="120"/>
        <v>0</v>
      </c>
      <c r="L136" s="1742">
        <f t="shared" ref="L136" si="121">+L137+L138</f>
        <v>0</v>
      </c>
      <c r="M136" s="1061">
        <f>SUM(F136:K136)</f>
        <v>35876</v>
      </c>
      <c r="N136" s="1061">
        <f>SUM(G136:L136)</f>
        <v>27123</v>
      </c>
      <c r="O136" s="3396"/>
    </row>
    <row r="137" spans="1:16" ht="12" hidden="1" customHeight="1">
      <c r="A137" s="3374"/>
      <c r="B137" s="2767" t="s">
        <v>391</v>
      </c>
      <c r="C137" s="2238"/>
      <c r="D137" s="1744">
        <f>SUM(E137:L137)</f>
        <v>0</v>
      </c>
      <c r="E137" s="1742">
        <v>0</v>
      </c>
      <c r="F137" s="1742">
        <f>30000-30000</f>
        <v>0</v>
      </c>
      <c r="G137" s="1742">
        <f>500000-398000-102000</f>
        <v>0</v>
      </c>
      <c r="H137" s="1742">
        <f>100000-49000-51000</f>
        <v>0</v>
      </c>
      <c r="I137" s="1742">
        <f>0+17000-17000</f>
        <v>0</v>
      </c>
      <c r="J137" s="1742">
        <v>0</v>
      </c>
      <c r="K137" s="1742">
        <v>0</v>
      </c>
      <c r="L137" s="1742">
        <v>0</v>
      </c>
      <c r="M137" s="1743"/>
      <c r="N137" s="1743"/>
      <c r="O137" s="3396"/>
      <c r="P137" s="402">
        <f>D136-D142</f>
        <v>0</v>
      </c>
    </row>
    <row r="138" spans="1:16" ht="12" hidden="1" customHeight="1">
      <c r="A138" s="3374"/>
      <c r="B138" s="2767" t="s">
        <v>392</v>
      </c>
      <c r="C138" s="2623"/>
      <c r="D138" s="1744">
        <f>SUM(E138:L138)</f>
        <v>0</v>
      </c>
      <c r="E138" s="1742">
        <v>0</v>
      </c>
      <c r="F138" s="1742">
        <f>80000-80000</f>
        <v>0</v>
      </c>
      <c r="G138" s="1742">
        <f>130000-130000</f>
        <v>0</v>
      </c>
      <c r="H138" s="1742">
        <f>20000-20000</f>
        <v>0</v>
      </c>
      <c r="I138" s="1742">
        <v>0</v>
      </c>
      <c r="J138" s="1742">
        <v>0</v>
      </c>
      <c r="K138" s="1742">
        <v>0</v>
      </c>
      <c r="L138" s="1742">
        <v>0</v>
      </c>
      <c r="M138" s="1743"/>
      <c r="N138" s="1743"/>
      <c r="O138" s="3396"/>
    </row>
    <row r="139" spans="1:16" s="1847" customFormat="1" ht="12" hidden="1" customHeight="1">
      <c r="A139" s="3374"/>
      <c r="B139" s="2767" t="s">
        <v>110</v>
      </c>
      <c r="C139" s="2623"/>
      <c r="D139" s="1744">
        <f>SUM(E139:L139)</f>
        <v>35876</v>
      </c>
      <c r="E139" s="1742"/>
      <c r="F139" s="1742">
        <f>30000-21247</f>
        <v>8753</v>
      </c>
      <c r="G139" s="1742">
        <f>0+27123</f>
        <v>27123</v>
      </c>
      <c r="H139" s="1742">
        <v>0</v>
      </c>
      <c r="I139" s="1742">
        <v>0</v>
      </c>
      <c r="J139" s="1742">
        <v>0</v>
      </c>
      <c r="K139" s="1742">
        <v>0</v>
      </c>
      <c r="L139" s="1742">
        <v>0</v>
      </c>
      <c r="M139" s="1743"/>
      <c r="N139" s="1743"/>
      <c r="O139" s="3396"/>
    </row>
    <row r="140" spans="1:16">
      <c r="A140" s="3376"/>
      <c r="B140" s="1732" t="s">
        <v>22</v>
      </c>
      <c r="C140" s="1747"/>
      <c r="D140" s="1748">
        <f>D141</f>
        <v>35876</v>
      </c>
      <c r="E140" s="1748">
        <f>+E141</f>
        <v>0</v>
      </c>
      <c r="F140" s="1748">
        <f>+F141</f>
        <v>0</v>
      </c>
      <c r="G140" s="1748">
        <f>+G141</f>
        <v>35876</v>
      </c>
      <c r="H140" s="1748">
        <f>+H141</f>
        <v>0</v>
      </c>
      <c r="I140" s="1748">
        <f>I141</f>
        <v>0</v>
      </c>
      <c r="J140" s="1748">
        <f>+J141</f>
        <v>0</v>
      </c>
      <c r="K140" s="1748">
        <f>+K141</f>
        <v>0</v>
      </c>
      <c r="L140" s="1748">
        <f>L141</f>
        <v>0</v>
      </c>
      <c r="M140" s="3384" t="s">
        <v>61</v>
      </c>
      <c r="N140" s="3384" t="s">
        <v>61</v>
      </c>
      <c r="O140" s="3451"/>
    </row>
    <row r="141" spans="1:16">
      <c r="A141" s="3376"/>
      <c r="B141" s="1736" t="s">
        <v>18</v>
      </c>
      <c r="C141" s="3453" t="s">
        <v>390</v>
      </c>
      <c r="D141" s="1745">
        <f t="shared" ref="D141:L141" si="122">+D142</f>
        <v>35876</v>
      </c>
      <c r="E141" s="1745">
        <f t="shared" si="122"/>
        <v>0</v>
      </c>
      <c r="F141" s="1745">
        <f t="shared" si="122"/>
        <v>0</v>
      </c>
      <c r="G141" s="1745">
        <f t="shared" si="122"/>
        <v>35876</v>
      </c>
      <c r="H141" s="1745">
        <f t="shared" si="122"/>
        <v>0</v>
      </c>
      <c r="I141" s="1745">
        <f t="shared" si="122"/>
        <v>0</v>
      </c>
      <c r="J141" s="1745">
        <f t="shared" si="122"/>
        <v>0</v>
      </c>
      <c r="K141" s="1745">
        <f t="shared" si="122"/>
        <v>0</v>
      </c>
      <c r="L141" s="1745">
        <f t="shared" si="122"/>
        <v>0</v>
      </c>
      <c r="M141" s="3384"/>
      <c r="N141" s="3384"/>
      <c r="O141" s="3451"/>
    </row>
    <row r="142" spans="1:16" ht="13.5" thickBot="1">
      <c r="A142" s="3378"/>
      <c r="B142" s="656" t="s">
        <v>21</v>
      </c>
      <c r="C142" s="3454"/>
      <c r="D142" s="942">
        <f>E142+F142+G142+H142+I142+J142+K142+L142</f>
        <v>35876</v>
      </c>
      <c r="E142" s="942">
        <v>0</v>
      </c>
      <c r="F142" s="483">
        <f>110000+30000-140000</f>
        <v>0</v>
      </c>
      <c r="G142" s="483">
        <f>520000-252124-232000</f>
        <v>35876</v>
      </c>
      <c r="H142" s="483">
        <f>120000-49000-71000</f>
        <v>0</v>
      </c>
      <c r="I142" s="483">
        <f>0+17000-17000</f>
        <v>0</v>
      </c>
      <c r="J142" s="483">
        <v>0</v>
      </c>
      <c r="K142" s="483">
        <v>0</v>
      </c>
      <c r="L142" s="483">
        <v>0</v>
      </c>
      <c r="M142" s="3386"/>
      <c r="N142" s="3386"/>
      <c r="O142" s="3440"/>
      <c r="P142" s="402"/>
    </row>
    <row r="143" spans="1:16" ht="30" customHeight="1">
      <c r="A143" s="3405" t="s">
        <v>90</v>
      </c>
      <c r="B143" s="1452" t="s">
        <v>504</v>
      </c>
      <c r="C143" s="1453" t="s">
        <v>109</v>
      </c>
      <c r="D143" s="60"/>
      <c r="E143" s="42"/>
      <c r="F143" s="42"/>
      <c r="G143" s="42"/>
      <c r="H143" s="42"/>
      <c r="I143" s="42"/>
      <c r="J143" s="42"/>
      <c r="K143" s="42"/>
      <c r="L143" s="42"/>
      <c r="M143" s="655"/>
      <c r="N143" s="655"/>
      <c r="O143" s="3379" t="s">
        <v>317</v>
      </c>
      <c r="P143" s="402">
        <f>D144+D162</f>
        <v>1213780</v>
      </c>
    </row>
    <row r="144" spans="1:16" ht="14.25" customHeight="1">
      <c r="A144" s="3374"/>
      <c r="B144" s="1732" t="s">
        <v>10</v>
      </c>
      <c r="C144" s="1454"/>
      <c r="D144" s="1733">
        <f>+D145+D152</f>
        <v>1154280</v>
      </c>
      <c r="E144" s="2422">
        <f t="shared" ref="E144:N144" si="123">+E145+E152</f>
        <v>0</v>
      </c>
      <c r="F144" s="2422">
        <f t="shared" si="123"/>
        <v>0</v>
      </c>
      <c r="G144" s="1734">
        <f t="shared" si="123"/>
        <v>624754</v>
      </c>
      <c r="H144" s="1734">
        <f t="shared" si="123"/>
        <v>529526</v>
      </c>
      <c r="I144" s="2422">
        <f t="shared" si="123"/>
        <v>0</v>
      </c>
      <c r="J144" s="2422">
        <f t="shared" si="123"/>
        <v>0</v>
      </c>
      <c r="K144" s="2422">
        <f t="shared" si="123"/>
        <v>0</v>
      </c>
      <c r="L144" s="2422">
        <f t="shared" si="123"/>
        <v>0</v>
      </c>
      <c r="M144" s="1735">
        <f t="shared" si="123"/>
        <v>1033852</v>
      </c>
      <c r="N144" s="1735">
        <f t="shared" si="123"/>
        <v>1154280</v>
      </c>
      <c r="O144" s="3380"/>
    </row>
    <row r="145" spans="1:16">
      <c r="A145" s="3374"/>
      <c r="B145" s="1736" t="s">
        <v>24</v>
      </c>
      <c r="C145" s="3381" t="s">
        <v>503</v>
      </c>
      <c r="D145" s="1737">
        <f>+D146+D149</f>
        <v>173142</v>
      </c>
      <c r="E145" s="2423">
        <f t="shared" ref="E145:L145" si="124">+E146+E149</f>
        <v>0</v>
      </c>
      <c r="F145" s="2423">
        <f t="shared" si="124"/>
        <v>0</v>
      </c>
      <c r="G145" s="1737">
        <f t="shared" si="124"/>
        <v>93713</v>
      </c>
      <c r="H145" s="1737">
        <f t="shared" si="124"/>
        <v>79429</v>
      </c>
      <c r="I145" s="2423">
        <f t="shared" si="124"/>
        <v>0</v>
      </c>
      <c r="J145" s="2423">
        <f t="shared" si="124"/>
        <v>0</v>
      </c>
      <c r="K145" s="2423">
        <f t="shared" si="124"/>
        <v>0</v>
      </c>
      <c r="L145" s="2423">
        <f t="shared" si="124"/>
        <v>0</v>
      </c>
      <c r="M145" s="1738">
        <f t="shared" ref="M145" si="125">+M146</f>
        <v>52714</v>
      </c>
      <c r="N145" s="1738">
        <f>+N146+N149</f>
        <v>173142</v>
      </c>
      <c r="O145" s="3380"/>
    </row>
    <row r="146" spans="1:16">
      <c r="A146" s="3374"/>
      <c r="B146" s="1739" t="s">
        <v>12</v>
      </c>
      <c r="C146" s="3383"/>
      <c r="D146" s="1715">
        <f>E146+F146+G146+H146+I146+J146+K146+L146</f>
        <v>52714</v>
      </c>
      <c r="E146" s="2424">
        <v>0</v>
      </c>
      <c r="F146" s="2425">
        <v>0</v>
      </c>
      <c r="G146" s="1741">
        <f>G147+G148</f>
        <v>28419</v>
      </c>
      <c r="H146" s="1741">
        <f t="shared" ref="H146:L146" si="126">H147+H148</f>
        <v>24295</v>
      </c>
      <c r="I146" s="2425">
        <f t="shared" si="126"/>
        <v>0</v>
      </c>
      <c r="J146" s="2425">
        <f t="shared" si="126"/>
        <v>0</v>
      </c>
      <c r="K146" s="2425">
        <f t="shared" si="126"/>
        <v>0</v>
      </c>
      <c r="L146" s="2425">
        <f t="shared" si="126"/>
        <v>0</v>
      </c>
      <c r="M146" s="1017">
        <f>SUM(F146:K146)</f>
        <v>52714</v>
      </c>
      <c r="N146" s="1017">
        <f>SUM(G146:L146)</f>
        <v>52714</v>
      </c>
      <c r="O146" s="3380"/>
    </row>
    <row r="147" spans="1:16" s="403" customFormat="1" hidden="1">
      <c r="A147" s="3374"/>
      <c r="B147" s="2426" t="s">
        <v>293</v>
      </c>
      <c r="C147" s="3383"/>
      <c r="D147" s="2427">
        <f>SUM(E147:L147)</f>
        <v>28440</v>
      </c>
      <c r="E147" s="2428">
        <v>0</v>
      </c>
      <c r="F147" s="2429">
        <v>0</v>
      </c>
      <c r="G147" s="2430">
        <v>14220</v>
      </c>
      <c r="H147" s="2430">
        <v>14220</v>
      </c>
      <c r="I147" s="2428">
        <v>0</v>
      </c>
      <c r="J147" s="2428">
        <v>0</v>
      </c>
      <c r="K147" s="2428">
        <v>0</v>
      </c>
      <c r="L147" s="2428">
        <v>0</v>
      </c>
      <c r="M147" s="2431"/>
      <c r="N147" s="2432">
        <f>SUM(G147:L147)</f>
        <v>28440</v>
      </c>
      <c r="O147" s="3380"/>
    </row>
    <row r="148" spans="1:16" s="403" customFormat="1" hidden="1">
      <c r="A148" s="3374"/>
      <c r="B148" s="2433" t="s">
        <v>311</v>
      </c>
      <c r="C148" s="3383"/>
      <c r="D148" s="2434">
        <f>SUM(E148:L148)</f>
        <v>24274</v>
      </c>
      <c r="E148" s="2435">
        <v>0</v>
      </c>
      <c r="F148" s="2436">
        <v>0</v>
      </c>
      <c r="G148" s="2437">
        <v>14199</v>
      </c>
      <c r="H148" s="2437">
        <v>10075</v>
      </c>
      <c r="I148" s="2435">
        <v>0</v>
      </c>
      <c r="J148" s="2435">
        <v>0</v>
      </c>
      <c r="K148" s="2435">
        <v>0</v>
      </c>
      <c r="L148" s="2435">
        <v>0</v>
      </c>
      <c r="M148" s="2431"/>
      <c r="N148" s="2432">
        <f>SUM(G148:L148)</f>
        <v>24274</v>
      </c>
      <c r="O148" s="3380"/>
    </row>
    <row r="149" spans="1:16" s="2439" customFormat="1">
      <c r="A149" s="3375"/>
      <c r="B149" s="990" t="s">
        <v>13</v>
      </c>
      <c r="C149" s="3382"/>
      <c r="D149" s="1715">
        <f>E149+F149+G149+H149+I149+J149+K149+L149</f>
        <v>120428</v>
      </c>
      <c r="E149" s="2424">
        <v>0</v>
      </c>
      <c r="F149" s="2425">
        <v>0</v>
      </c>
      <c r="G149" s="1741">
        <f>G150+G151</f>
        <v>65294</v>
      </c>
      <c r="H149" s="1741">
        <f t="shared" ref="H149:L149" si="127">H150+H151</f>
        <v>55134</v>
      </c>
      <c r="I149" s="2425">
        <f t="shared" si="127"/>
        <v>0</v>
      </c>
      <c r="J149" s="2425">
        <f t="shared" si="127"/>
        <v>0</v>
      </c>
      <c r="K149" s="2425">
        <f t="shared" si="127"/>
        <v>0</v>
      </c>
      <c r="L149" s="2425">
        <f t="shared" si="127"/>
        <v>0</v>
      </c>
      <c r="M149" s="2438"/>
      <c r="N149" s="1017">
        <f t="shared" ref="N149:N151" si="128">SUM(G149:L149)</f>
        <v>120428</v>
      </c>
      <c r="O149" s="3380"/>
    </row>
    <row r="150" spans="1:16" s="2439" customFormat="1" hidden="1">
      <c r="A150" s="3375"/>
      <c r="B150" s="2426" t="s">
        <v>293</v>
      </c>
      <c r="C150" s="3382"/>
      <c r="D150" s="2427">
        <f>SUM(E150:L150)</f>
        <v>71880</v>
      </c>
      <c r="E150" s="2428">
        <v>0</v>
      </c>
      <c r="F150" s="2429">
        <v>0</v>
      </c>
      <c r="G150" s="2430">
        <v>36896</v>
      </c>
      <c r="H150" s="2430">
        <v>34984</v>
      </c>
      <c r="I150" s="2428">
        <v>0</v>
      </c>
      <c r="J150" s="2428">
        <v>0</v>
      </c>
      <c r="K150" s="2428">
        <v>0</v>
      </c>
      <c r="L150" s="2428">
        <v>0</v>
      </c>
      <c r="M150" s="2440"/>
      <c r="N150" s="1061">
        <f t="shared" si="128"/>
        <v>71880</v>
      </c>
      <c r="O150" s="3380"/>
    </row>
    <row r="151" spans="1:16" s="2439" customFormat="1" hidden="1">
      <c r="A151" s="3375"/>
      <c r="B151" s="2433" t="s">
        <v>311</v>
      </c>
      <c r="C151" s="3382"/>
      <c r="D151" s="2434">
        <f>SUM(E151:L151)</f>
        <v>48548</v>
      </c>
      <c r="E151" s="2435">
        <v>0</v>
      </c>
      <c r="F151" s="2436">
        <v>0</v>
      </c>
      <c r="G151" s="2437">
        <v>28398</v>
      </c>
      <c r="H151" s="2437">
        <v>20150</v>
      </c>
      <c r="I151" s="2435">
        <v>0</v>
      </c>
      <c r="J151" s="2435">
        <v>0</v>
      </c>
      <c r="K151" s="2435">
        <v>0</v>
      </c>
      <c r="L151" s="2435">
        <v>0</v>
      </c>
      <c r="M151" s="2440"/>
      <c r="N151" s="1061">
        <f t="shared" si="128"/>
        <v>48548</v>
      </c>
      <c r="O151" s="3380"/>
    </row>
    <row r="152" spans="1:16">
      <c r="A152" s="3374"/>
      <c r="B152" s="1736" t="s">
        <v>18</v>
      </c>
      <c r="C152" s="3383"/>
      <c r="D152" s="1745">
        <f>+D153</f>
        <v>981138</v>
      </c>
      <c r="E152" s="2237">
        <f t="shared" ref="E152:L152" si="129">+E153</f>
        <v>0</v>
      </c>
      <c r="F152" s="2237">
        <f t="shared" si="129"/>
        <v>0</v>
      </c>
      <c r="G152" s="1745">
        <f t="shared" si="129"/>
        <v>531041</v>
      </c>
      <c r="H152" s="1745">
        <f t="shared" si="129"/>
        <v>450097</v>
      </c>
      <c r="I152" s="2237">
        <f t="shared" si="129"/>
        <v>0</v>
      </c>
      <c r="J152" s="2237">
        <f t="shared" si="129"/>
        <v>0</v>
      </c>
      <c r="K152" s="2237">
        <f t="shared" si="129"/>
        <v>0</v>
      </c>
      <c r="L152" s="2237">
        <f t="shared" si="129"/>
        <v>0</v>
      </c>
      <c r="M152" s="1746">
        <f>+M153</f>
        <v>981138</v>
      </c>
      <c r="N152" s="1746">
        <f>+N153</f>
        <v>981138</v>
      </c>
      <c r="O152" s="3380"/>
    </row>
    <row r="153" spans="1:16">
      <c r="A153" s="3374"/>
      <c r="B153" s="1739" t="s">
        <v>21</v>
      </c>
      <c r="C153" s="3383"/>
      <c r="D153" s="1715">
        <f>E153+F153+G153+H153+I153+J153+K153+L153</f>
        <v>981138</v>
      </c>
      <c r="E153" s="2424">
        <v>0</v>
      </c>
      <c r="F153" s="2441">
        <v>0</v>
      </c>
      <c r="G153" s="1742">
        <f>G154+G155</f>
        <v>531041</v>
      </c>
      <c r="H153" s="1742">
        <f t="shared" ref="H153" si="130">H154+H155</f>
        <v>450097</v>
      </c>
      <c r="I153" s="2441">
        <f t="shared" ref="I153" si="131">I154+I155</f>
        <v>0</v>
      </c>
      <c r="J153" s="2441">
        <f t="shared" ref="J153" si="132">J154+J155</f>
        <v>0</v>
      </c>
      <c r="K153" s="2441">
        <f t="shared" ref="K153" si="133">K154+K155</f>
        <v>0</v>
      </c>
      <c r="L153" s="2441">
        <f t="shared" ref="L153" si="134">L154+L155</f>
        <v>0</v>
      </c>
      <c r="M153" s="1061">
        <f>SUM(F153:K153)</f>
        <v>981138</v>
      </c>
      <c r="N153" s="1061">
        <f>SUM(G153:L153)</f>
        <v>981138</v>
      </c>
      <c r="O153" s="3380"/>
    </row>
    <row r="154" spans="1:16" s="403" customFormat="1" hidden="1">
      <c r="A154" s="3374"/>
      <c r="B154" s="2426" t="s">
        <v>293</v>
      </c>
      <c r="C154" s="2442"/>
      <c r="D154" s="2427">
        <f>SUM(E154:L154)</f>
        <v>568480</v>
      </c>
      <c r="E154" s="2428">
        <v>0</v>
      </c>
      <c r="F154" s="2428">
        <v>0</v>
      </c>
      <c r="G154" s="2430">
        <v>289658</v>
      </c>
      <c r="H154" s="2430">
        <v>278822</v>
      </c>
      <c r="I154" s="2428">
        <v>0</v>
      </c>
      <c r="J154" s="2428">
        <v>0</v>
      </c>
      <c r="K154" s="2428">
        <v>0</v>
      </c>
      <c r="L154" s="2428">
        <v>0</v>
      </c>
      <c r="M154" s="2431"/>
      <c r="N154" s="2432">
        <f>SUM(G154:L154)</f>
        <v>568480</v>
      </c>
      <c r="O154" s="3380"/>
    </row>
    <row r="155" spans="1:16" s="403" customFormat="1" hidden="1">
      <c r="A155" s="3374"/>
      <c r="B155" s="2433" t="s">
        <v>311</v>
      </c>
      <c r="C155" s="2443"/>
      <c r="D155" s="2434">
        <f>SUM(E155:L155)</f>
        <v>412658</v>
      </c>
      <c r="E155" s="2435">
        <v>0</v>
      </c>
      <c r="F155" s="2435">
        <v>0</v>
      </c>
      <c r="G155" s="2437">
        <v>241383</v>
      </c>
      <c r="H155" s="2437">
        <v>171275</v>
      </c>
      <c r="I155" s="2435">
        <v>0</v>
      </c>
      <c r="J155" s="2435">
        <v>0</v>
      </c>
      <c r="K155" s="2435">
        <v>0</v>
      </c>
      <c r="L155" s="2435">
        <v>0</v>
      </c>
      <c r="M155" s="2431"/>
      <c r="N155" s="2432">
        <f>SUM(G155:L155)</f>
        <v>412658</v>
      </c>
      <c r="O155" s="3393"/>
    </row>
    <row r="156" spans="1:16">
      <c r="A156" s="3376"/>
      <c r="B156" s="1732" t="s">
        <v>22</v>
      </c>
      <c r="C156" s="1732"/>
      <c r="D156" s="1748">
        <f>D159+D157</f>
        <v>1101566</v>
      </c>
      <c r="E156" s="2444">
        <f t="shared" ref="E156:L156" si="135">E159+E157</f>
        <v>0</v>
      </c>
      <c r="F156" s="2444">
        <f t="shared" si="135"/>
        <v>0</v>
      </c>
      <c r="G156" s="1748">
        <f t="shared" si="135"/>
        <v>596335</v>
      </c>
      <c r="H156" s="1748">
        <f t="shared" si="135"/>
        <v>505231</v>
      </c>
      <c r="I156" s="2444">
        <f t="shared" si="135"/>
        <v>0</v>
      </c>
      <c r="J156" s="2444">
        <f t="shared" si="135"/>
        <v>0</v>
      </c>
      <c r="K156" s="2444">
        <f t="shared" si="135"/>
        <v>0</v>
      </c>
      <c r="L156" s="2444">
        <f t="shared" si="135"/>
        <v>0</v>
      </c>
      <c r="M156" s="3384" t="s">
        <v>61</v>
      </c>
      <c r="N156" s="3384" t="s">
        <v>61</v>
      </c>
      <c r="O156" s="3387" t="s">
        <v>577</v>
      </c>
    </row>
    <row r="157" spans="1:16" s="2445" customFormat="1">
      <c r="A157" s="3377"/>
      <c r="B157" s="2381" t="s">
        <v>24</v>
      </c>
      <c r="C157" s="3390" t="s">
        <v>389</v>
      </c>
      <c r="D157" s="1745">
        <f t="shared" ref="D157:L159" si="136">+D158</f>
        <v>120428</v>
      </c>
      <c r="E157" s="2237">
        <f t="shared" si="136"/>
        <v>0</v>
      </c>
      <c r="F157" s="2237">
        <f t="shared" si="136"/>
        <v>0</v>
      </c>
      <c r="G157" s="1745">
        <f t="shared" si="136"/>
        <v>65294</v>
      </c>
      <c r="H157" s="1745">
        <f t="shared" si="136"/>
        <v>55134</v>
      </c>
      <c r="I157" s="2237">
        <f t="shared" si="136"/>
        <v>0</v>
      </c>
      <c r="J157" s="2237">
        <f t="shared" si="136"/>
        <v>0</v>
      </c>
      <c r="K157" s="2237">
        <f t="shared" si="136"/>
        <v>0</v>
      </c>
      <c r="L157" s="2237">
        <f t="shared" si="136"/>
        <v>0</v>
      </c>
      <c r="M157" s="3385"/>
      <c r="N157" s="3385"/>
      <c r="O157" s="3388"/>
    </row>
    <row r="158" spans="1:16" s="2445" customFormat="1">
      <c r="A158" s="3377"/>
      <c r="B158" s="990" t="s">
        <v>13</v>
      </c>
      <c r="C158" s="3391"/>
      <c r="D158" s="1782">
        <f>E158+F158+G158+H158+I158+J158+K158+L158</f>
        <v>120428</v>
      </c>
      <c r="E158" s="2446">
        <v>0</v>
      </c>
      <c r="F158" s="2446">
        <v>0</v>
      </c>
      <c r="G158" s="2447">
        <v>65294</v>
      </c>
      <c r="H158" s="2447">
        <v>55134</v>
      </c>
      <c r="I158" s="2446">
        <v>0</v>
      </c>
      <c r="J158" s="2446">
        <v>0</v>
      </c>
      <c r="K158" s="2446">
        <v>0</v>
      </c>
      <c r="L158" s="2446">
        <v>0</v>
      </c>
      <c r="M158" s="3385"/>
      <c r="N158" s="3385"/>
      <c r="O158" s="3388"/>
      <c r="P158" s="2448">
        <f>D158-D149</f>
        <v>0</v>
      </c>
    </row>
    <row r="159" spans="1:16" ht="12.75" customHeight="1">
      <c r="A159" s="3376"/>
      <c r="B159" s="1736" t="s">
        <v>18</v>
      </c>
      <c r="C159" s="3391"/>
      <c r="D159" s="2302">
        <f t="shared" si="136"/>
        <v>981138</v>
      </c>
      <c r="E159" s="2237">
        <f t="shared" si="136"/>
        <v>0</v>
      </c>
      <c r="F159" s="2237">
        <f t="shared" si="136"/>
        <v>0</v>
      </c>
      <c r="G159" s="1745">
        <f t="shared" si="136"/>
        <v>531041</v>
      </c>
      <c r="H159" s="1745">
        <f t="shared" si="136"/>
        <v>450097</v>
      </c>
      <c r="I159" s="2237">
        <f t="shared" si="136"/>
        <v>0</v>
      </c>
      <c r="J159" s="2237">
        <f t="shared" si="136"/>
        <v>0</v>
      </c>
      <c r="K159" s="2237">
        <f t="shared" si="136"/>
        <v>0</v>
      </c>
      <c r="L159" s="2237">
        <f t="shared" si="136"/>
        <v>0</v>
      </c>
      <c r="M159" s="3384"/>
      <c r="N159" s="3384"/>
      <c r="O159" s="3388"/>
    </row>
    <row r="160" spans="1:16" ht="13.5" thickBot="1">
      <c r="A160" s="3378"/>
      <c r="B160" s="656" t="s">
        <v>21</v>
      </c>
      <c r="C160" s="3392"/>
      <c r="D160" s="942">
        <f>E160+F160+G160+H160+I160+J160+K160+L160</f>
        <v>981138</v>
      </c>
      <c r="E160" s="677">
        <v>0</v>
      </c>
      <c r="F160" s="985">
        <v>0</v>
      </c>
      <c r="G160" s="483">
        <v>531041</v>
      </c>
      <c r="H160" s="483">
        <v>450097</v>
      </c>
      <c r="I160" s="985">
        <v>0</v>
      </c>
      <c r="J160" s="985">
        <v>0</v>
      </c>
      <c r="K160" s="985">
        <v>0</v>
      </c>
      <c r="L160" s="985">
        <v>0</v>
      </c>
      <c r="M160" s="3386"/>
      <c r="N160" s="3386"/>
      <c r="O160" s="3389"/>
      <c r="P160" s="402">
        <f>D160-D153</f>
        <v>0</v>
      </c>
    </row>
    <row r="161" spans="1:16" ht="32.25" customHeight="1">
      <c r="A161" s="3405" t="s">
        <v>91</v>
      </c>
      <c r="B161" s="1452" t="s">
        <v>505</v>
      </c>
      <c r="C161" s="1453" t="s">
        <v>81</v>
      </c>
      <c r="D161" s="60"/>
      <c r="E161" s="42"/>
      <c r="F161" s="42"/>
      <c r="G161" s="42"/>
      <c r="H161" s="42"/>
      <c r="I161" s="42"/>
      <c r="J161" s="42"/>
      <c r="K161" s="42"/>
      <c r="L161" s="42"/>
      <c r="M161" s="655"/>
      <c r="N161" s="655"/>
      <c r="O161" s="3379" t="s">
        <v>311</v>
      </c>
    </row>
    <row r="162" spans="1:16">
      <c r="A162" s="3375"/>
      <c r="B162" s="1732" t="s">
        <v>10</v>
      </c>
      <c r="C162" s="1454"/>
      <c r="D162" s="1733">
        <f t="shared" ref="D162:N162" si="137">+D163+D166</f>
        <v>59500</v>
      </c>
      <c r="E162" s="2422">
        <f t="shared" si="137"/>
        <v>0</v>
      </c>
      <c r="F162" s="2422">
        <f t="shared" si="137"/>
        <v>0</v>
      </c>
      <c r="G162" s="1734">
        <f t="shared" si="137"/>
        <v>59500</v>
      </c>
      <c r="H162" s="2422">
        <f t="shared" si="137"/>
        <v>0</v>
      </c>
      <c r="I162" s="2422">
        <f t="shared" si="137"/>
        <v>0</v>
      </c>
      <c r="J162" s="2422">
        <f t="shared" si="137"/>
        <v>0</v>
      </c>
      <c r="K162" s="2422">
        <f t="shared" si="137"/>
        <v>0</v>
      </c>
      <c r="L162" s="2422">
        <f t="shared" si="137"/>
        <v>0</v>
      </c>
      <c r="M162" s="1735">
        <f t="shared" si="137"/>
        <v>53550</v>
      </c>
      <c r="N162" s="1735">
        <f t="shared" si="137"/>
        <v>59500</v>
      </c>
      <c r="O162" s="3380"/>
    </row>
    <row r="163" spans="1:16">
      <c r="A163" s="3375"/>
      <c r="B163" s="1736" t="s">
        <v>24</v>
      </c>
      <c r="C163" s="3381" t="s">
        <v>506</v>
      </c>
      <c r="D163" s="1737">
        <f t="shared" ref="D163:L163" si="138">+D164+D165</f>
        <v>8925</v>
      </c>
      <c r="E163" s="2423">
        <f t="shared" si="138"/>
        <v>0</v>
      </c>
      <c r="F163" s="2423">
        <f t="shared" si="138"/>
        <v>0</v>
      </c>
      <c r="G163" s="1737">
        <f t="shared" si="138"/>
        <v>8925</v>
      </c>
      <c r="H163" s="2423">
        <f t="shared" si="138"/>
        <v>0</v>
      </c>
      <c r="I163" s="2423">
        <f t="shared" si="138"/>
        <v>0</v>
      </c>
      <c r="J163" s="2423">
        <f t="shared" si="138"/>
        <v>0</v>
      </c>
      <c r="K163" s="2423">
        <f t="shared" si="138"/>
        <v>0</v>
      </c>
      <c r="L163" s="2423">
        <f t="shared" si="138"/>
        <v>0</v>
      </c>
      <c r="M163" s="1738">
        <f t="shared" ref="M163" si="139">+M164</f>
        <v>2975</v>
      </c>
      <c r="N163" s="1738">
        <f>+N164+N165</f>
        <v>8925</v>
      </c>
      <c r="O163" s="3380"/>
    </row>
    <row r="164" spans="1:16">
      <c r="A164" s="3375"/>
      <c r="B164" s="1739" t="s">
        <v>12</v>
      </c>
      <c r="C164" s="3383"/>
      <c r="D164" s="1715">
        <f>E164+F164+G164+H164+I164+J164+K164+L164</f>
        <v>2975</v>
      </c>
      <c r="E164" s="2424">
        <v>0</v>
      </c>
      <c r="F164" s="2425">
        <v>0</v>
      </c>
      <c r="G164" s="1741">
        <v>2975</v>
      </c>
      <c r="H164" s="2425">
        <v>0</v>
      </c>
      <c r="I164" s="2425">
        <v>0</v>
      </c>
      <c r="J164" s="2425">
        <v>0</v>
      </c>
      <c r="K164" s="2425">
        <v>0</v>
      </c>
      <c r="L164" s="2425">
        <v>0</v>
      </c>
      <c r="M164" s="1017">
        <f>SUM(F164:K164)</f>
        <v>2975</v>
      </c>
      <c r="N164" s="1017">
        <f>SUM(G164:L164)</f>
        <v>2975</v>
      </c>
      <c r="O164" s="3380"/>
    </row>
    <row r="165" spans="1:16" s="2439" customFormat="1">
      <c r="A165" s="3375"/>
      <c r="B165" s="990" t="s">
        <v>13</v>
      </c>
      <c r="C165" s="3382"/>
      <c r="D165" s="1715">
        <f>E165+F165+G165+H165+I165+J165+K165+L165</f>
        <v>5950</v>
      </c>
      <c r="E165" s="2424">
        <v>0</v>
      </c>
      <c r="F165" s="2425">
        <v>0</v>
      </c>
      <c r="G165" s="1741">
        <v>5950</v>
      </c>
      <c r="H165" s="2425">
        <v>0</v>
      </c>
      <c r="I165" s="2425">
        <v>0</v>
      </c>
      <c r="J165" s="2425">
        <v>0</v>
      </c>
      <c r="K165" s="2425">
        <v>0</v>
      </c>
      <c r="L165" s="2425">
        <v>0</v>
      </c>
      <c r="M165" s="2438"/>
      <c r="N165" s="1017">
        <f t="shared" ref="N165" si="140">SUM(G165:L165)</f>
        <v>5950</v>
      </c>
      <c r="O165" s="3380"/>
    </row>
    <row r="166" spans="1:16">
      <c r="A166" s="3375"/>
      <c r="B166" s="1736" t="s">
        <v>18</v>
      </c>
      <c r="C166" s="3383"/>
      <c r="D166" s="1745">
        <f>+D167</f>
        <v>50575</v>
      </c>
      <c r="E166" s="2237">
        <f t="shared" ref="E166:L166" si="141">+E167</f>
        <v>0</v>
      </c>
      <c r="F166" s="2237">
        <f t="shared" si="141"/>
        <v>0</v>
      </c>
      <c r="G166" s="1745">
        <f t="shared" si="141"/>
        <v>50575</v>
      </c>
      <c r="H166" s="2237">
        <f t="shared" si="141"/>
        <v>0</v>
      </c>
      <c r="I166" s="2237">
        <f t="shared" si="141"/>
        <v>0</v>
      </c>
      <c r="J166" s="2237">
        <f t="shared" si="141"/>
        <v>0</v>
      </c>
      <c r="K166" s="2237">
        <f t="shared" si="141"/>
        <v>0</v>
      </c>
      <c r="L166" s="2237">
        <f t="shared" si="141"/>
        <v>0</v>
      </c>
      <c r="M166" s="1746">
        <f>+M167</f>
        <v>50575</v>
      </c>
      <c r="N166" s="1746">
        <f>+N167</f>
        <v>50575</v>
      </c>
      <c r="O166" s="3380"/>
    </row>
    <row r="167" spans="1:16">
      <c r="A167" s="3375"/>
      <c r="B167" s="1739" t="s">
        <v>21</v>
      </c>
      <c r="C167" s="3383"/>
      <c r="D167" s="1715">
        <f>E167+F167+G167+H167+I167+J167+K167+L167</f>
        <v>50575</v>
      </c>
      <c r="E167" s="2424">
        <v>0</v>
      </c>
      <c r="F167" s="2441">
        <v>0</v>
      </c>
      <c r="G167" s="1742">
        <v>50575</v>
      </c>
      <c r="H167" s="2441">
        <v>0</v>
      </c>
      <c r="I167" s="2441">
        <v>0</v>
      </c>
      <c r="J167" s="2441">
        <v>0</v>
      </c>
      <c r="K167" s="2441">
        <v>0</v>
      </c>
      <c r="L167" s="2441">
        <v>0</v>
      </c>
      <c r="M167" s="1061">
        <f>SUM(F167:K167)</f>
        <v>50575</v>
      </c>
      <c r="N167" s="1061">
        <f>SUM(G167:L167)</f>
        <v>50575</v>
      </c>
      <c r="O167" s="3380"/>
    </row>
    <row r="168" spans="1:16">
      <c r="A168" s="3375"/>
      <c r="B168" s="1732" t="s">
        <v>22</v>
      </c>
      <c r="C168" s="1732"/>
      <c r="D168" s="1748">
        <f>D171+D169</f>
        <v>56525</v>
      </c>
      <c r="E168" s="2444">
        <f t="shared" ref="E168" si="142">E171+E169</f>
        <v>0</v>
      </c>
      <c r="F168" s="2444">
        <f t="shared" ref="F168" si="143">F171+F169</f>
        <v>0</v>
      </c>
      <c r="G168" s="1748">
        <f t="shared" ref="G168" si="144">G171+G169</f>
        <v>56525</v>
      </c>
      <c r="H168" s="2444">
        <f t="shared" ref="H168" si="145">H171+H169</f>
        <v>0</v>
      </c>
      <c r="I168" s="2444">
        <f t="shared" ref="I168" si="146">I171+I169</f>
        <v>0</v>
      </c>
      <c r="J168" s="2444">
        <f t="shared" ref="J168" si="147">J171+J169</f>
        <v>0</v>
      </c>
      <c r="K168" s="2444">
        <f t="shared" ref="K168" si="148">K171+K169</f>
        <v>0</v>
      </c>
      <c r="L168" s="2444">
        <f t="shared" ref="L168" si="149">L171+L169</f>
        <v>0</v>
      </c>
      <c r="M168" s="3384" t="s">
        <v>61</v>
      </c>
      <c r="N168" s="3384" t="s">
        <v>61</v>
      </c>
      <c r="O168" s="3387" t="s">
        <v>577</v>
      </c>
    </row>
    <row r="169" spans="1:16" s="2445" customFormat="1">
      <c r="A169" s="3375"/>
      <c r="B169" s="2381" t="s">
        <v>24</v>
      </c>
      <c r="C169" s="3463" t="s">
        <v>389</v>
      </c>
      <c r="D169" s="1745">
        <f t="shared" ref="D169:L171" si="150">+D170</f>
        <v>5950</v>
      </c>
      <c r="E169" s="2237">
        <f t="shared" si="150"/>
        <v>0</v>
      </c>
      <c r="F169" s="2237">
        <f t="shared" si="150"/>
        <v>0</v>
      </c>
      <c r="G169" s="1745">
        <f t="shared" si="150"/>
        <v>5950</v>
      </c>
      <c r="H169" s="2237">
        <f t="shared" si="150"/>
        <v>0</v>
      </c>
      <c r="I169" s="2237">
        <f t="shared" si="150"/>
        <v>0</v>
      </c>
      <c r="J169" s="2237">
        <f t="shared" si="150"/>
        <v>0</v>
      </c>
      <c r="K169" s="2237">
        <f t="shared" si="150"/>
        <v>0</v>
      </c>
      <c r="L169" s="2237">
        <f t="shared" si="150"/>
        <v>0</v>
      </c>
      <c r="M169" s="3385"/>
      <c r="N169" s="3385"/>
      <c r="O169" s="3388"/>
    </row>
    <row r="170" spans="1:16" s="2445" customFormat="1">
      <c r="A170" s="3375"/>
      <c r="B170" s="990" t="s">
        <v>13</v>
      </c>
      <c r="C170" s="3391"/>
      <c r="D170" s="1782">
        <f>E170+F170+G170+H170+I170+J170+K170+L170</f>
        <v>5950</v>
      </c>
      <c r="E170" s="2446">
        <v>0</v>
      </c>
      <c r="F170" s="2446">
        <v>0</v>
      </c>
      <c r="G170" s="2447">
        <v>5950</v>
      </c>
      <c r="H170" s="2449">
        <v>0</v>
      </c>
      <c r="I170" s="2449">
        <v>0</v>
      </c>
      <c r="J170" s="2449">
        <v>0</v>
      </c>
      <c r="K170" s="2449">
        <v>0</v>
      </c>
      <c r="L170" s="2449">
        <v>0</v>
      </c>
      <c r="M170" s="3385"/>
      <c r="N170" s="3385"/>
      <c r="O170" s="3388"/>
      <c r="P170" s="2448">
        <f>D170-D165</f>
        <v>0</v>
      </c>
    </row>
    <row r="171" spans="1:16" ht="12.75" customHeight="1">
      <c r="A171" s="3375"/>
      <c r="B171" s="1736" t="s">
        <v>18</v>
      </c>
      <c r="C171" s="3391"/>
      <c r="D171" s="2302">
        <f t="shared" si="150"/>
        <v>50575</v>
      </c>
      <c r="E171" s="2237">
        <f t="shared" si="150"/>
        <v>0</v>
      </c>
      <c r="F171" s="2237">
        <f t="shared" si="150"/>
        <v>0</v>
      </c>
      <c r="G171" s="1745">
        <f t="shared" si="150"/>
        <v>50575</v>
      </c>
      <c r="H171" s="2237">
        <f t="shared" si="150"/>
        <v>0</v>
      </c>
      <c r="I171" s="2237">
        <f t="shared" si="150"/>
        <v>0</v>
      </c>
      <c r="J171" s="2237">
        <f t="shared" si="150"/>
        <v>0</v>
      </c>
      <c r="K171" s="2237">
        <f t="shared" si="150"/>
        <v>0</v>
      </c>
      <c r="L171" s="2237">
        <f t="shared" si="150"/>
        <v>0</v>
      </c>
      <c r="M171" s="3384"/>
      <c r="N171" s="3384"/>
      <c r="O171" s="3388"/>
    </row>
    <row r="172" spans="1:16" ht="13.5" thickBot="1">
      <c r="A172" s="3375"/>
      <c r="B172" s="656" t="s">
        <v>21</v>
      </c>
      <c r="C172" s="3392"/>
      <c r="D172" s="942">
        <f>E172+F172+G172+H172+I172+J172+K172+L172</f>
        <v>50575</v>
      </c>
      <c r="E172" s="677">
        <v>0</v>
      </c>
      <c r="F172" s="985">
        <v>0</v>
      </c>
      <c r="G172" s="483">
        <v>50575</v>
      </c>
      <c r="H172" s="985">
        <v>0</v>
      </c>
      <c r="I172" s="985">
        <v>0</v>
      </c>
      <c r="J172" s="985">
        <v>0</v>
      </c>
      <c r="K172" s="985">
        <v>0</v>
      </c>
      <c r="L172" s="985">
        <v>0</v>
      </c>
      <c r="M172" s="3386"/>
      <c r="N172" s="3386"/>
      <c r="O172" s="3389"/>
      <c r="P172" s="402">
        <f>D172-D167</f>
        <v>0</v>
      </c>
    </row>
    <row r="173" spans="1:16" s="2567" customFormat="1" ht="28.5" customHeight="1">
      <c r="A173" s="3373" t="s">
        <v>92</v>
      </c>
      <c r="B173" s="1452" t="s">
        <v>548</v>
      </c>
      <c r="C173" s="1453" t="s">
        <v>109</v>
      </c>
      <c r="D173" s="60"/>
      <c r="E173" s="42"/>
      <c r="F173" s="42"/>
      <c r="G173" s="42"/>
      <c r="H173" s="42"/>
      <c r="I173" s="42"/>
      <c r="J173" s="42"/>
      <c r="K173" s="42"/>
      <c r="L173" s="42"/>
      <c r="M173" s="655"/>
      <c r="N173" s="655"/>
      <c r="O173" s="3379" t="s">
        <v>317</v>
      </c>
      <c r="P173" s="2566"/>
    </row>
    <row r="174" spans="1:16" s="2567" customFormat="1">
      <c r="A174" s="3374"/>
      <c r="B174" s="1732" t="s">
        <v>10</v>
      </c>
      <c r="C174" s="1454"/>
      <c r="D174" s="1733">
        <f>+D175+D182</f>
        <v>828175</v>
      </c>
      <c r="E174" s="2422">
        <f t="shared" ref="E174:N174" si="151">+E175+E182</f>
        <v>0</v>
      </c>
      <c r="F174" s="2422">
        <f t="shared" si="151"/>
        <v>0</v>
      </c>
      <c r="G174" s="1734">
        <f t="shared" si="151"/>
        <v>407100</v>
      </c>
      <c r="H174" s="1734">
        <f t="shared" si="151"/>
        <v>421075</v>
      </c>
      <c r="I174" s="2422">
        <f t="shared" si="151"/>
        <v>0</v>
      </c>
      <c r="J174" s="2422">
        <f t="shared" si="151"/>
        <v>0</v>
      </c>
      <c r="K174" s="2422">
        <f t="shared" si="151"/>
        <v>0</v>
      </c>
      <c r="L174" s="2422">
        <f t="shared" si="151"/>
        <v>0</v>
      </c>
      <c r="M174" s="1735">
        <f t="shared" si="151"/>
        <v>745358</v>
      </c>
      <c r="N174" s="1735">
        <f t="shared" si="151"/>
        <v>828175</v>
      </c>
      <c r="O174" s="3380"/>
      <c r="P174" s="2566"/>
    </row>
    <row r="175" spans="1:16" s="2567" customFormat="1">
      <c r="A175" s="3374"/>
      <c r="B175" s="1736" t="s">
        <v>24</v>
      </c>
      <c r="C175" s="3381" t="s">
        <v>532</v>
      </c>
      <c r="D175" s="1737">
        <f>+D176+D179</f>
        <v>124226</v>
      </c>
      <c r="E175" s="2423">
        <f t="shared" ref="E175:L175" si="152">+E176+E179</f>
        <v>0</v>
      </c>
      <c r="F175" s="2423">
        <f t="shared" si="152"/>
        <v>0</v>
      </c>
      <c r="G175" s="1737">
        <f t="shared" si="152"/>
        <v>61065</v>
      </c>
      <c r="H175" s="1737">
        <f t="shared" si="152"/>
        <v>63161</v>
      </c>
      <c r="I175" s="2423">
        <f t="shared" si="152"/>
        <v>0</v>
      </c>
      <c r="J175" s="2423">
        <f t="shared" si="152"/>
        <v>0</v>
      </c>
      <c r="K175" s="2423">
        <f t="shared" si="152"/>
        <v>0</v>
      </c>
      <c r="L175" s="2423">
        <f t="shared" si="152"/>
        <v>0</v>
      </c>
      <c r="M175" s="1738">
        <f t="shared" ref="M175" si="153">+M176</f>
        <v>41409</v>
      </c>
      <c r="N175" s="1738">
        <f>+N176+N179</f>
        <v>124226</v>
      </c>
      <c r="O175" s="3380"/>
      <c r="P175" s="2566"/>
    </row>
    <row r="176" spans="1:16" s="2567" customFormat="1">
      <c r="A176" s="3374"/>
      <c r="B176" s="1739" t="s">
        <v>12</v>
      </c>
      <c r="C176" s="3383"/>
      <c r="D176" s="1715">
        <f>E176+F176+G176+H176+I176+J176+K176+L176</f>
        <v>41409</v>
      </c>
      <c r="E176" s="2424">
        <v>0</v>
      </c>
      <c r="F176" s="2425">
        <v>0</v>
      </c>
      <c r="G176" s="1741">
        <f>G177+G178</f>
        <v>20355</v>
      </c>
      <c r="H176" s="1741">
        <f t="shared" ref="H176:L176" si="154">H177+H178</f>
        <v>21054</v>
      </c>
      <c r="I176" s="2425">
        <f t="shared" si="154"/>
        <v>0</v>
      </c>
      <c r="J176" s="2425">
        <f t="shared" si="154"/>
        <v>0</v>
      </c>
      <c r="K176" s="2425">
        <f t="shared" si="154"/>
        <v>0</v>
      </c>
      <c r="L176" s="2425">
        <f t="shared" si="154"/>
        <v>0</v>
      </c>
      <c r="M176" s="1017">
        <f>SUM(F176:K176)</f>
        <v>41409</v>
      </c>
      <c r="N176" s="1017">
        <f>SUM(G176:L176)</f>
        <v>41409</v>
      </c>
      <c r="O176" s="3380"/>
      <c r="P176" s="2566"/>
    </row>
    <row r="177" spans="1:16" s="2567" customFormat="1" hidden="1">
      <c r="A177" s="3374"/>
      <c r="B177" s="2426" t="s">
        <v>293</v>
      </c>
      <c r="C177" s="3383"/>
      <c r="D177" s="2427">
        <f>SUM(E177:L177)</f>
        <v>16432</v>
      </c>
      <c r="E177" s="2428">
        <v>0</v>
      </c>
      <c r="F177" s="2429">
        <v>0</v>
      </c>
      <c r="G177" s="2430">
        <v>7931</v>
      </c>
      <c r="H177" s="2430">
        <v>8501</v>
      </c>
      <c r="I177" s="2428">
        <v>0</v>
      </c>
      <c r="J177" s="2428">
        <v>0</v>
      </c>
      <c r="K177" s="2428">
        <v>0</v>
      </c>
      <c r="L177" s="2428">
        <v>0</v>
      </c>
      <c r="M177" s="2431"/>
      <c r="N177" s="2432">
        <f>SUM(G177:L177)</f>
        <v>16432</v>
      </c>
      <c r="O177" s="3380"/>
      <c r="P177" s="2566"/>
    </row>
    <row r="178" spans="1:16" s="2567" customFormat="1" hidden="1">
      <c r="A178" s="3374"/>
      <c r="B178" s="2433" t="s">
        <v>311</v>
      </c>
      <c r="C178" s="3383"/>
      <c r="D178" s="2434">
        <f>SUM(E178:L178)</f>
        <v>24977</v>
      </c>
      <c r="E178" s="2435">
        <v>0</v>
      </c>
      <c r="F178" s="2436">
        <v>0</v>
      </c>
      <c r="G178" s="2437">
        <v>12424</v>
      </c>
      <c r="H178" s="2437">
        <v>12553</v>
      </c>
      <c r="I178" s="2435">
        <v>0</v>
      </c>
      <c r="J178" s="2435">
        <v>0</v>
      </c>
      <c r="K178" s="2435">
        <v>0</v>
      </c>
      <c r="L178" s="2435">
        <v>0</v>
      </c>
      <c r="M178" s="2431"/>
      <c r="N178" s="2432">
        <f>SUM(G178:L178)</f>
        <v>24977</v>
      </c>
      <c r="O178" s="3380"/>
      <c r="P178" s="2566"/>
    </row>
    <row r="179" spans="1:16" s="2567" customFormat="1">
      <c r="A179" s="3375"/>
      <c r="B179" s="990" t="s">
        <v>13</v>
      </c>
      <c r="C179" s="3382"/>
      <c r="D179" s="1715">
        <f>E179+F179+G179+H179+I179+J179+K179+L179</f>
        <v>82817</v>
      </c>
      <c r="E179" s="2424">
        <v>0</v>
      </c>
      <c r="F179" s="2425">
        <v>0</v>
      </c>
      <c r="G179" s="1741">
        <f>G180+G181</f>
        <v>40710</v>
      </c>
      <c r="H179" s="1741">
        <f t="shared" ref="H179:L179" si="155">H180+H181</f>
        <v>42107</v>
      </c>
      <c r="I179" s="2425">
        <f t="shared" si="155"/>
        <v>0</v>
      </c>
      <c r="J179" s="2425">
        <f t="shared" si="155"/>
        <v>0</v>
      </c>
      <c r="K179" s="2425">
        <f t="shared" si="155"/>
        <v>0</v>
      </c>
      <c r="L179" s="2425">
        <f t="shared" si="155"/>
        <v>0</v>
      </c>
      <c r="M179" s="2438"/>
      <c r="N179" s="1017">
        <f t="shared" ref="N179:N181" si="156">SUM(G179:L179)</f>
        <v>82817</v>
      </c>
      <c r="O179" s="3380"/>
      <c r="P179" s="2566"/>
    </row>
    <row r="180" spans="1:16" s="2567" customFormat="1" hidden="1">
      <c r="A180" s="3375"/>
      <c r="B180" s="2426" t="s">
        <v>293</v>
      </c>
      <c r="C180" s="3382"/>
      <c r="D180" s="2427">
        <f>SUM(E180:L180)</f>
        <v>32863</v>
      </c>
      <c r="E180" s="2428">
        <v>0</v>
      </c>
      <c r="F180" s="2429">
        <v>0</v>
      </c>
      <c r="G180" s="2430">
        <v>15862</v>
      </c>
      <c r="H180" s="2430">
        <v>17001</v>
      </c>
      <c r="I180" s="2428">
        <v>0</v>
      </c>
      <c r="J180" s="2428">
        <v>0</v>
      </c>
      <c r="K180" s="2428">
        <v>0</v>
      </c>
      <c r="L180" s="2428">
        <v>0</v>
      </c>
      <c r="M180" s="2440"/>
      <c r="N180" s="1061">
        <f t="shared" si="156"/>
        <v>32863</v>
      </c>
      <c r="O180" s="3380"/>
      <c r="P180" s="2566"/>
    </row>
    <row r="181" spans="1:16" s="2567" customFormat="1" hidden="1">
      <c r="A181" s="3375"/>
      <c r="B181" s="2433" t="s">
        <v>311</v>
      </c>
      <c r="C181" s="3382"/>
      <c r="D181" s="2434">
        <f>SUM(E181:L181)</f>
        <v>49954</v>
      </c>
      <c r="E181" s="2435">
        <v>0</v>
      </c>
      <c r="F181" s="2436">
        <v>0</v>
      </c>
      <c r="G181" s="2437">
        <v>24848</v>
      </c>
      <c r="H181" s="2437">
        <v>25106</v>
      </c>
      <c r="I181" s="2435">
        <v>0</v>
      </c>
      <c r="J181" s="2435">
        <v>0</v>
      </c>
      <c r="K181" s="2435">
        <v>0</v>
      </c>
      <c r="L181" s="2435">
        <v>0</v>
      </c>
      <c r="M181" s="2440"/>
      <c r="N181" s="1061">
        <f t="shared" si="156"/>
        <v>49954</v>
      </c>
      <c r="O181" s="3380"/>
      <c r="P181" s="2566"/>
    </row>
    <row r="182" spans="1:16" s="2567" customFormat="1">
      <c r="A182" s="3374"/>
      <c r="B182" s="1736" t="s">
        <v>18</v>
      </c>
      <c r="C182" s="3383"/>
      <c r="D182" s="1745">
        <f>+D183</f>
        <v>703949</v>
      </c>
      <c r="E182" s="2237">
        <f t="shared" ref="E182:L182" si="157">+E183</f>
        <v>0</v>
      </c>
      <c r="F182" s="2237">
        <f t="shared" si="157"/>
        <v>0</v>
      </c>
      <c r="G182" s="1745">
        <f t="shared" si="157"/>
        <v>346035</v>
      </c>
      <c r="H182" s="1745">
        <f t="shared" si="157"/>
        <v>357914</v>
      </c>
      <c r="I182" s="2237">
        <f t="shared" si="157"/>
        <v>0</v>
      </c>
      <c r="J182" s="2237">
        <f t="shared" si="157"/>
        <v>0</v>
      </c>
      <c r="K182" s="2237">
        <f t="shared" si="157"/>
        <v>0</v>
      </c>
      <c r="L182" s="2237">
        <f t="shared" si="157"/>
        <v>0</v>
      </c>
      <c r="M182" s="1746">
        <f>+M183</f>
        <v>703949</v>
      </c>
      <c r="N182" s="1746">
        <f>+N183</f>
        <v>703949</v>
      </c>
      <c r="O182" s="3380"/>
      <c r="P182" s="2566"/>
    </row>
    <row r="183" spans="1:16" s="2567" customFormat="1">
      <c r="A183" s="3374"/>
      <c r="B183" s="1739" t="s">
        <v>21</v>
      </c>
      <c r="C183" s="3383"/>
      <c r="D183" s="1715">
        <f>E183+F183+G183+H183+I183+J183+K183+L183</f>
        <v>703949</v>
      </c>
      <c r="E183" s="2424">
        <v>0</v>
      </c>
      <c r="F183" s="2441">
        <v>0</v>
      </c>
      <c r="G183" s="1742">
        <f>G184+G185</f>
        <v>346035</v>
      </c>
      <c r="H183" s="1742">
        <f t="shared" ref="H183:L183" si="158">H184+H185</f>
        <v>357914</v>
      </c>
      <c r="I183" s="2441">
        <f t="shared" si="158"/>
        <v>0</v>
      </c>
      <c r="J183" s="2441">
        <f t="shared" si="158"/>
        <v>0</v>
      </c>
      <c r="K183" s="2441">
        <f t="shared" si="158"/>
        <v>0</v>
      </c>
      <c r="L183" s="2441">
        <f t="shared" si="158"/>
        <v>0</v>
      </c>
      <c r="M183" s="1061">
        <f>SUM(F183:K183)</f>
        <v>703949</v>
      </c>
      <c r="N183" s="1061">
        <f>SUM(G183:L183)</f>
        <v>703949</v>
      </c>
      <c r="O183" s="3380"/>
      <c r="P183" s="2566"/>
    </row>
    <row r="184" spans="1:16" s="2567" customFormat="1" hidden="1">
      <c r="A184" s="3374"/>
      <c r="B184" s="2426" t="s">
        <v>293</v>
      </c>
      <c r="C184" s="2442"/>
      <c r="D184" s="2427">
        <f>SUM(E184:L184)</f>
        <v>279340</v>
      </c>
      <c r="E184" s="2428">
        <v>0</v>
      </c>
      <c r="F184" s="2428">
        <v>0</v>
      </c>
      <c r="G184" s="2430">
        <v>134827</v>
      </c>
      <c r="H184" s="2430">
        <v>144513</v>
      </c>
      <c r="I184" s="2428">
        <v>0</v>
      </c>
      <c r="J184" s="2428">
        <v>0</v>
      </c>
      <c r="K184" s="2428">
        <v>0</v>
      </c>
      <c r="L184" s="2428">
        <v>0</v>
      </c>
      <c r="M184" s="2431"/>
      <c r="N184" s="2432">
        <f>SUM(G184:L184)</f>
        <v>279340</v>
      </c>
      <c r="O184" s="3380"/>
      <c r="P184" s="2566"/>
    </row>
    <row r="185" spans="1:16" s="2567" customFormat="1" hidden="1">
      <c r="A185" s="3374"/>
      <c r="B185" s="2433" t="s">
        <v>311</v>
      </c>
      <c r="C185" s="2443"/>
      <c r="D185" s="2434">
        <f>SUM(E185:L185)</f>
        <v>424609</v>
      </c>
      <c r="E185" s="2435">
        <v>0</v>
      </c>
      <c r="F185" s="2435">
        <v>0</v>
      </c>
      <c r="G185" s="2437">
        <v>211208</v>
      </c>
      <c r="H185" s="2437">
        <v>213401</v>
      </c>
      <c r="I185" s="2435">
        <v>0</v>
      </c>
      <c r="J185" s="2435">
        <v>0</v>
      </c>
      <c r="K185" s="2435">
        <v>0</v>
      </c>
      <c r="L185" s="2435">
        <v>0</v>
      </c>
      <c r="M185" s="2431"/>
      <c r="N185" s="2432">
        <f>SUM(G185:L185)</f>
        <v>424609</v>
      </c>
      <c r="O185" s="3393"/>
      <c r="P185" s="2566"/>
    </row>
    <row r="186" spans="1:16" s="2567" customFormat="1">
      <c r="A186" s="3376"/>
      <c r="B186" s="1732" t="s">
        <v>22</v>
      </c>
      <c r="C186" s="1732"/>
      <c r="D186" s="1748">
        <f>D189+D187</f>
        <v>786766</v>
      </c>
      <c r="E186" s="2444">
        <f t="shared" ref="E186:L186" si="159">E189+E187</f>
        <v>0</v>
      </c>
      <c r="F186" s="2444">
        <f t="shared" si="159"/>
        <v>0</v>
      </c>
      <c r="G186" s="1748">
        <f t="shared" si="159"/>
        <v>386745</v>
      </c>
      <c r="H186" s="1748">
        <f t="shared" si="159"/>
        <v>400021</v>
      </c>
      <c r="I186" s="2444">
        <f t="shared" si="159"/>
        <v>0</v>
      </c>
      <c r="J186" s="2444">
        <f t="shared" si="159"/>
        <v>0</v>
      </c>
      <c r="K186" s="2444">
        <f t="shared" si="159"/>
        <v>0</v>
      </c>
      <c r="L186" s="2444">
        <f t="shared" si="159"/>
        <v>0</v>
      </c>
      <c r="M186" s="3384" t="s">
        <v>61</v>
      </c>
      <c r="N186" s="3384" t="s">
        <v>61</v>
      </c>
      <c r="O186" s="3387" t="s">
        <v>531</v>
      </c>
      <c r="P186" s="2566"/>
    </row>
    <row r="187" spans="1:16" s="2567" customFormat="1">
      <c r="A187" s="3377"/>
      <c r="B187" s="2381" t="s">
        <v>24</v>
      </c>
      <c r="C187" s="3390" t="s">
        <v>389</v>
      </c>
      <c r="D187" s="1745">
        <f t="shared" ref="D187:L189" si="160">+D188</f>
        <v>82817</v>
      </c>
      <c r="E187" s="2237">
        <f t="shared" si="160"/>
        <v>0</v>
      </c>
      <c r="F187" s="2237">
        <f t="shared" si="160"/>
        <v>0</v>
      </c>
      <c r="G187" s="1745">
        <f t="shared" si="160"/>
        <v>40710</v>
      </c>
      <c r="H187" s="1745">
        <f t="shared" si="160"/>
        <v>42107</v>
      </c>
      <c r="I187" s="2237">
        <f t="shared" si="160"/>
        <v>0</v>
      </c>
      <c r="J187" s="2237">
        <f t="shared" si="160"/>
        <v>0</v>
      </c>
      <c r="K187" s="2237">
        <f t="shared" si="160"/>
        <v>0</v>
      </c>
      <c r="L187" s="2237">
        <f t="shared" si="160"/>
        <v>0</v>
      </c>
      <c r="M187" s="3385"/>
      <c r="N187" s="3385"/>
      <c r="O187" s="3388"/>
      <c r="P187" s="2566"/>
    </row>
    <row r="188" spans="1:16" s="2567" customFormat="1">
      <c r="A188" s="3377"/>
      <c r="B188" s="990" t="s">
        <v>13</v>
      </c>
      <c r="C188" s="3391"/>
      <c r="D188" s="1782">
        <f>E188+F188+G188+H188+I188+J188+K188+L188</f>
        <v>82817</v>
      </c>
      <c r="E188" s="2446">
        <v>0</v>
      </c>
      <c r="F188" s="2446">
        <v>0</v>
      </c>
      <c r="G188" s="2447">
        <v>40710</v>
      </c>
      <c r="H188" s="2447">
        <v>42107</v>
      </c>
      <c r="I188" s="2446">
        <v>0</v>
      </c>
      <c r="J188" s="2446">
        <v>0</v>
      </c>
      <c r="K188" s="2446">
        <v>0</v>
      </c>
      <c r="L188" s="2446">
        <v>0</v>
      </c>
      <c r="M188" s="3385"/>
      <c r="N188" s="3385"/>
      <c r="O188" s="3388"/>
      <c r="P188" s="2566"/>
    </row>
    <row r="189" spans="1:16" s="2567" customFormat="1">
      <c r="A189" s="3376"/>
      <c r="B189" s="1736" t="s">
        <v>18</v>
      </c>
      <c r="C189" s="3391"/>
      <c r="D189" s="2302">
        <f t="shared" si="160"/>
        <v>703949</v>
      </c>
      <c r="E189" s="2237">
        <f t="shared" si="160"/>
        <v>0</v>
      </c>
      <c r="F189" s="2237">
        <f t="shared" si="160"/>
        <v>0</v>
      </c>
      <c r="G189" s="1745">
        <f t="shared" si="160"/>
        <v>346035</v>
      </c>
      <c r="H189" s="1745">
        <f t="shared" si="160"/>
        <v>357914</v>
      </c>
      <c r="I189" s="2237">
        <f t="shared" si="160"/>
        <v>0</v>
      </c>
      <c r="J189" s="2237">
        <f t="shared" si="160"/>
        <v>0</v>
      </c>
      <c r="K189" s="2237">
        <f t="shared" si="160"/>
        <v>0</v>
      </c>
      <c r="L189" s="2237">
        <f t="shared" si="160"/>
        <v>0</v>
      </c>
      <c r="M189" s="3384"/>
      <c r="N189" s="3384"/>
      <c r="O189" s="3388"/>
      <c r="P189" s="2566"/>
    </row>
    <row r="190" spans="1:16" s="2567" customFormat="1" ht="13.5" thickBot="1">
      <c r="A190" s="3378"/>
      <c r="B190" s="656" t="s">
        <v>21</v>
      </c>
      <c r="C190" s="3392"/>
      <c r="D190" s="942">
        <f>E190+F190+G190+H190+I190+J190+K190+L190</f>
        <v>703949</v>
      </c>
      <c r="E190" s="677">
        <v>0</v>
      </c>
      <c r="F190" s="985">
        <v>0</v>
      </c>
      <c r="G190" s="483">
        <v>346035</v>
      </c>
      <c r="H190" s="483">
        <v>357914</v>
      </c>
      <c r="I190" s="985">
        <v>0</v>
      </c>
      <c r="J190" s="985">
        <v>0</v>
      </c>
      <c r="K190" s="985">
        <v>0</v>
      </c>
      <c r="L190" s="985">
        <v>0</v>
      </c>
      <c r="M190" s="3386"/>
      <c r="N190" s="3386"/>
      <c r="O190" s="3389"/>
      <c r="P190" s="2566"/>
    </row>
    <row r="191" spans="1:16" s="2569" customFormat="1" ht="28.5" customHeight="1">
      <c r="A191" s="3373" t="s">
        <v>93</v>
      </c>
      <c r="B191" s="1452" t="s">
        <v>544</v>
      </c>
      <c r="C191" s="1453" t="s">
        <v>109</v>
      </c>
      <c r="D191" s="60"/>
      <c r="E191" s="42"/>
      <c r="F191" s="42"/>
      <c r="G191" s="42"/>
      <c r="H191" s="42"/>
      <c r="I191" s="42"/>
      <c r="J191" s="42"/>
      <c r="K191" s="42"/>
      <c r="L191" s="42"/>
      <c r="M191" s="655"/>
      <c r="N191" s="655"/>
      <c r="O191" s="3379" t="s">
        <v>317</v>
      </c>
      <c r="P191" s="2568"/>
    </row>
    <row r="192" spans="1:16" s="2569" customFormat="1">
      <c r="A192" s="3374"/>
      <c r="B192" s="1732" t="s">
        <v>10</v>
      </c>
      <c r="C192" s="1454"/>
      <c r="D192" s="1733">
        <f t="shared" ref="D192:N192" si="161">+D193+D197</f>
        <v>10175942</v>
      </c>
      <c r="E192" s="2422">
        <f t="shared" si="161"/>
        <v>0</v>
      </c>
      <c r="F192" s="2422">
        <f t="shared" si="161"/>
        <v>0</v>
      </c>
      <c r="G192" s="1734">
        <f t="shared" si="161"/>
        <v>550000</v>
      </c>
      <c r="H192" s="1734">
        <f t="shared" si="161"/>
        <v>4122312</v>
      </c>
      <c r="I192" s="1734">
        <f t="shared" si="161"/>
        <v>2739330</v>
      </c>
      <c r="J192" s="1734">
        <f t="shared" si="161"/>
        <v>2327050</v>
      </c>
      <c r="K192" s="1734">
        <f t="shared" si="161"/>
        <v>437250</v>
      </c>
      <c r="L192" s="2422">
        <f t="shared" si="161"/>
        <v>0</v>
      </c>
      <c r="M192" s="1735" t="e">
        <f t="shared" si="161"/>
        <v>#REF!</v>
      </c>
      <c r="N192" s="1735">
        <f t="shared" si="161"/>
        <v>10175942</v>
      </c>
      <c r="O192" s="3380"/>
      <c r="P192" s="2568"/>
    </row>
    <row r="193" spans="1:16" s="2569" customFormat="1">
      <c r="A193" s="3374"/>
      <c r="B193" s="1736" t="s">
        <v>24</v>
      </c>
      <c r="C193" s="3381" t="s">
        <v>313</v>
      </c>
      <c r="D193" s="1737">
        <f>+D194</f>
        <v>1599658</v>
      </c>
      <c r="E193" s="2423">
        <f t="shared" ref="E193:L193" si="162">+E194</f>
        <v>0</v>
      </c>
      <c r="F193" s="2423">
        <f t="shared" si="162"/>
        <v>0</v>
      </c>
      <c r="G193" s="1737">
        <f t="shared" si="162"/>
        <v>86460</v>
      </c>
      <c r="H193" s="1737">
        <f t="shared" si="162"/>
        <v>648027</v>
      </c>
      <c r="I193" s="1737">
        <f t="shared" si="162"/>
        <v>430623</v>
      </c>
      <c r="J193" s="1737">
        <f t="shared" si="162"/>
        <v>365812</v>
      </c>
      <c r="K193" s="1737">
        <f t="shared" si="162"/>
        <v>68736</v>
      </c>
      <c r="L193" s="2423">
        <f t="shared" si="162"/>
        <v>0</v>
      </c>
      <c r="M193" s="1738" t="e">
        <f>+#REF!</f>
        <v>#REF!</v>
      </c>
      <c r="N193" s="1738">
        <f>+N194</f>
        <v>1599658</v>
      </c>
      <c r="O193" s="3380"/>
      <c r="P193" s="2568"/>
    </row>
    <row r="194" spans="1:16" s="2569" customFormat="1">
      <c r="A194" s="3375"/>
      <c r="B194" s="990" t="s">
        <v>13</v>
      </c>
      <c r="C194" s="3382"/>
      <c r="D194" s="1715">
        <f>E194+F194+G194+H194+I194+J194+K194+L194</f>
        <v>1599658</v>
      </c>
      <c r="E194" s="2424">
        <v>0</v>
      </c>
      <c r="F194" s="2425">
        <v>0</v>
      </c>
      <c r="G194" s="1741">
        <f>G195+G196</f>
        <v>86460</v>
      </c>
      <c r="H194" s="1741">
        <f t="shared" ref="H194:L194" si="163">H195+H196</f>
        <v>648027</v>
      </c>
      <c r="I194" s="1741">
        <f t="shared" si="163"/>
        <v>430623</v>
      </c>
      <c r="J194" s="1741">
        <f t="shared" si="163"/>
        <v>365812</v>
      </c>
      <c r="K194" s="1741">
        <f t="shared" si="163"/>
        <v>68736</v>
      </c>
      <c r="L194" s="2425">
        <f t="shared" si="163"/>
        <v>0</v>
      </c>
      <c r="M194" s="2438"/>
      <c r="N194" s="1017">
        <f>SUM(G194:L194)</f>
        <v>1599658</v>
      </c>
      <c r="O194" s="3380"/>
      <c r="P194" s="2568">
        <f>D194-D203</f>
        <v>0</v>
      </c>
    </row>
    <row r="195" spans="1:16" s="2569" customFormat="1" hidden="1">
      <c r="A195" s="3375"/>
      <c r="B195" s="2426" t="s">
        <v>293</v>
      </c>
      <c r="C195" s="3382"/>
      <c r="D195" s="2427">
        <f>SUM(E195:L195)</f>
        <v>157767</v>
      </c>
      <c r="E195" s="2428">
        <v>0</v>
      </c>
      <c r="F195" s="2429">
        <v>0</v>
      </c>
      <c r="G195" s="2430">
        <v>14831</v>
      </c>
      <c r="H195" s="2430">
        <v>54829</v>
      </c>
      <c r="I195" s="2430">
        <v>41576</v>
      </c>
      <c r="J195" s="2430">
        <v>37625</v>
      </c>
      <c r="K195" s="2430">
        <v>8906</v>
      </c>
      <c r="L195" s="2428">
        <v>0</v>
      </c>
      <c r="M195" s="2440"/>
      <c r="N195" s="1061">
        <f t="shared" ref="N195:N196" si="164">SUM(G195:L195)</f>
        <v>157767</v>
      </c>
      <c r="O195" s="3380"/>
      <c r="P195" s="2568"/>
    </row>
    <row r="196" spans="1:16" s="2569" customFormat="1" hidden="1">
      <c r="A196" s="3375"/>
      <c r="B196" s="2433" t="s">
        <v>311</v>
      </c>
      <c r="C196" s="3382"/>
      <c r="D196" s="2434">
        <f>SUM(E196:L196)</f>
        <v>1441891</v>
      </c>
      <c r="E196" s="2435">
        <v>0</v>
      </c>
      <c r="F196" s="2436">
        <v>0</v>
      </c>
      <c r="G196" s="2437">
        <v>71629</v>
      </c>
      <c r="H196" s="2437">
        <v>593198</v>
      </c>
      <c r="I196" s="2437">
        <v>389047</v>
      </c>
      <c r="J196" s="2437">
        <v>328187</v>
      </c>
      <c r="K196" s="2437">
        <v>59830</v>
      </c>
      <c r="L196" s="2435">
        <v>0</v>
      </c>
      <c r="M196" s="2440"/>
      <c r="N196" s="1061">
        <f t="shared" si="164"/>
        <v>1441891</v>
      </c>
      <c r="O196" s="3380"/>
      <c r="P196" s="2568"/>
    </row>
    <row r="197" spans="1:16" s="2569" customFormat="1">
      <c r="A197" s="3374"/>
      <c r="B197" s="1736" t="s">
        <v>18</v>
      </c>
      <c r="C197" s="3383"/>
      <c r="D197" s="1745">
        <f>+D198</f>
        <v>8576284</v>
      </c>
      <c r="E197" s="2237">
        <f t="shared" ref="E197:L197" si="165">+E198</f>
        <v>0</v>
      </c>
      <c r="F197" s="2237">
        <f t="shared" si="165"/>
        <v>0</v>
      </c>
      <c r="G197" s="1745">
        <f t="shared" si="165"/>
        <v>463540</v>
      </c>
      <c r="H197" s="1745">
        <f t="shared" si="165"/>
        <v>3474285</v>
      </c>
      <c r="I197" s="1745">
        <f t="shared" si="165"/>
        <v>2308707</v>
      </c>
      <c r="J197" s="1745">
        <f t="shared" si="165"/>
        <v>1961238</v>
      </c>
      <c r="K197" s="1745">
        <f t="shared" si="165"/>
        <v>368514</v>
      </c>
      <c r="L197" s="2237">
        <f t="shared" si="165"/>
        <v>0</v>
      </c>
      <c r="M197" s="1746">
        <f>+M198</f>
        <v>8576284</v>
      </c>
      <c r="N197" s="1746">
        <f>+N198</f>
        <v>8576284</v>
      </c>
      <c r="O197" s="3380"/>
      <c r="P197" s="2568"/>
    </row>
    <row r="198" spans="1:16" s="2569" customFormat="1">
      <c r="A198" s="3374"/>
      <c r="B198" s="1739" t="s">
        <v>21</v>
      </c>
      <c r="C198" s="3383"/>
      <c r="D198" s="1715">
        <f>E198+F198+G198+H198+I198+J198+K198+L198</f>
        <v>8576284</v>
      </c>
      <c r="E198" s="2424">
        <v>0</v>
      </c>
      <c r="F198" s="2441">
        <v>0</v>
      </c>
      <c r="G198" s="1742">
        <f>G199+G200</f>
        <v>463540</v>
      </c>
      <c r="H198" s="1742">
        <f t="shared" ref="H198:L198" si="166">H199+H200</f>
        <v>3474285</v>
      </c>
      <c r="I198" s="1742">
        <f t="shared" si="166"/>
        <v>2308707</v>
      </c>
      <c r="J198" s="1742">
        <f t="shared" si="166"/>
        <v>1961238</v>
      </c>
      <c r="K198" s="1742">
        <f t="shared" si="166"/>
        <v>368514</v>
      </c>
      <c r="L198" s="2441">
        <f t="shared" si="166"/>
        <v>0</v>
      </c>
      <c r="M198" s="1061">
        <f>SUM(F198:K198)</f>
        <v>8576284</v>
      </c>
      <c r="N198" s="1061">
        <f>SUM(G198:L198)</f>
        <v>8576284</v>
      </c>
      <c r="O198" s="3380"/>
      <c r="P198" s="2568">
        <f>D198-D205</f>
        <v>0</v>
      </c>
    </row>
    <row r="199" spans="1:16" s="2569" customFormat="1" hidden="1">
      <c r="A199" s="3374"/>
      <c r="B199" s="2426" t="s">
        <v>293</v>
      </c>
      <c r="C199" s="2442"/>
      <c r="D199" s="2427">
        <f>SUM(E199:L199)</f>
        <v>845836</v>
      </c>
      <c r="E199" s="2428">
        <v>0</v>
      </c>
      <c r="F199" s="2428">
        <v>0</v>
      </c>
      <c r="G199" s="2430">
        <v>79510</v>
      </c>
      <c r="H199" s="2430">
        <v>293952</v>
      </c>
      <c r="I199" s="2430">
        <v>222904</v>
      </c>
      <c r="J199" s="2430">
        <v>201723</v>
      </c>
      <c r="K199" s="2430">
        <v>47747</v>
      </c>
      <c r="L199" s="2428">
        <v>0</v>
      </c>
      <c r="M199" s="2431"/>
      <c r="N199" s="2432">
        <f>SUM(G199:L199)</f>
        <v>845836</v>
      </c>
      <c r="O199" s="3380"/>
      <c r="P199" s="2568"/>
    </row>
    <row r="200" spans="1:16" s="2569" customFormat="1" hidden="1">
      <c r="A200" s="3374"/>
      <c r="B200" s="2433" t="s">
        <v>311</v>
      </c>
      <c r="C200" s="2443"/>
      <c r="D200" s="2434">
        <f>SUM(E200:L200)</f>
        <v>7730448</v>
      </c>
      <c r="E200" s="2435">
        <v>0</v>
      </c>
      <c r="F200" s="2435">
        <v>0</v>
      </c>
      <c r="G200" s="2437">
        <v>384030</v>
      </c>
      <c r="H200" s="2437">
        <v>3180333</v>
      </c>
      <c r="I200" s="2437">
        <v>2085803</v>
      </c>
      <c r="J200" s="2437">
        <v>1759515</v>
      </c>
      <c r="K200" s="2437">
        <v>320767</v>
      </c>
      <c r="L200" s="2435">
        <v>0</v>
      </c>
      <c r="M200" s="2431"/>
      <c r="N200" s="2432">
        <f>SUM(G200:L200)</f>
        <v>7730448</v>
      </c>
      <c r="O200" s="3393"/>
      <c r="P200" s="2568"/>
    </row>
    <row r="201" spans="1:16" s="2569" customFormat="1">
      <c r="A201" s="3376"/>
      <c r="B201" s="1732" t="s">
        <v>22</v>
      </c>
      <c r="C201" s="1732"/>
      <c r="D201" s="1748">
        <f>D204+D202</f>
        <v>10175942</v>
      </c>
      <c r="E201" s="2444">
        <f t="shared" ref="E201:L201" si="167">E204+E202</f>
        <v>0</v>
      </c>
      <c r="F201" s="2444">
        <f t="shared" si="167"/>
        <v>0</v>
      </c>
      <c r="G201" s="1748">
        <f t="shared" si="167"/>
        <v>550000</v>
      </c>
      <c r="H201" s="1748">
        <f t="shared" si="167"/>
        <v>4122312</v>
      </c>
      <c r="I201" s="1748">
        <f t="shared" si="167"/>
        <v>2739330</v>
      </c>
      <c r="J201" s="1748">
        <f t="shared" si="167"/>
        <v>2327050</v>
      </c>
      <c r="K201" s="1748">
        <f t="shared" si="167"/>
        <v>437250</v>
      </c>
      <c r="L201" s="2444">
        <f t="shared" si="167"/>
        <v>0</v>
      </c>
      <c r="M201" s="3384" t="s">
        <v>61</v>
      </c>
      <c r="N201" s="3384" t="s">
        <v>61</v>
      </c>
      <c r="O201" s="3387" t="s">
        <v>577</v>
      </c>
      <c r="P201" s="2568"/>
    </row>
    <row r="202" spans="1:16" s="2569" customFormat="1">
      <c r="A202" s="3377"/>
      <c r="B202" s="2381" t="s">
        <v>24</v>
      </c>
      <c r="C202" s="3390" t="s">
        <v>533</v>
      </c>
      <c r="D202" s="1745">
        <f t="shared" ref="D202:L204" si="168">+D203</f>
        <v>1599658</v>
      </c>
      <c r="E202" s="2237">
        <f t="shared" si="168"/>
        <v>0</v>
      </c>
      <c r="F202" s="2237">
        <f t="shared" si="168"/>
        <v>0</v>
      </c>
      <c r="G202" s="1745">
        <f t="shared" si="168"/>
        <v>86460</v>
      </c>
      <c r="H202" s="1745">
        <f t="shared" si="168"/>
        <v>648027</v>
      </c>
      <c r="I202" s="1745">
        <f t="shared" si="168"/>
        <v>430623</v>
      </c>
      <c r="J202" s="1745">
        <f t="shared" si="168"/>
        <v>365812</v>
      </c>
      <c r="K202" s="1745">
        <f t="shared" si="168"/>
        <v>68736</v>
      </c>
      <c r="L202" s="2237">
        <f t="shared" si="168"/>
        <v>0</v>
      </c>
      <c r="M202" s="3385"/>
      <c r="N202" s="3385"/>
      <c r="O202" s="3388"/>
      <c r="P202" s="2568"/>
    </row>
    <row r="203" spans="1:16" s="2569" customFormat="1">
      <c r="A203" s="3377"/>
      <c r="B203" s="990" t="s">
        <v>13</v>
      </c>
      <c r="C203" s="3391"/>
      <c r="D203" s="1782">
        <f>E203+F203+G203+H203+I203+J203+K203+L203</f>
        <v>1599658</v>
      </c>
      <c r="E203" s="2446">
        <v>0</v>
      </c>
      <c r="F203" s="2446">
        <v>0</v>
      </c>
      <c r="G203" s="2447">
        <v>86460</v>
      </c>
      <c r="H203" s="2447">
        <v>648027</v>
      </c>
      <c r="I203" s="2447">
        <v>430623</v>
      </c>
      <c r="J203" s="2447">
        <v>365812</v>
      </c>
      <c r="K203" s="2447">
        <v>68736</v>
      </c>
      <c r="L203" s="2446">
        <v>0</v>
      </c>
      <c r="M203" s="3385"/>
      <c r="N203" s="3385"/>
      <c r="O203" s="3388"/>
      <c r="P203" s="2568"/>
    </row>
    <row r="204" spans="1:16" s="2569" customFormat="1">
      <c r="A204" s="3376"/>
      <c r="B204" s="1736" t="s">
        <v>18</v>
      </c>
      <c r="C204" s="3391"/>
      <c r="D204" s="2302">
        <f t="shared" si="168"/>
        <v>8576284</v>
      </c>
      <c r="E204" s="2237">
        <f t="shared" si="168"/>
        <v>0</v>
      </c>
      <c r="F204" s="2237">
        <f t="shared" si="168"/>
        <v>0</v>
      </c>
      <c r="G204" s="1745">
        <f t="shared" si="168"/>
        <v>463540</v>
      </c>
      <c r="H204" s="1745">
        <f t="shared" si="168"/>
        <v>3474285</v>
      </c>
      <c r="I204" s="1745">
        <f t="shared" si="168"/>
        <v>2308707</v>
      </c>
      <c r="J204" s="1745">
        <f t="shared" si="168"/>
        <v>1961238</v>
      </c>
      <c r="K204" s="1745">
        <f t="shared" si="168"/>
        <v>368514</v>
      </c>
      <c r="L204" s="2237">
        <f t="shared" si="168"/>
        <v>0</v>
      </c>
      <c r="M204" s="3384"/>
      <c r="N204" s="3384"/>
      <c r="O204" s="3388"/>
      <c r="P204" s="2568"/>
    </row>
    <row r="205" spans="1:16" s="2569" customFormat="1" ht="13.5" thickBot="1">
      <c r="A205" s="3378"/>
      <c r="B205" s="656" t="s">
        <v>21</v>
      </c>
      <c r="C205" s="3392"/>
      <c r="D205" s="942">
        <f>E205+F205+G205+H205+I205+J205+K205+L205</f>
        <v>8576284</v>
      </c>
      <c r="E205" s="677">
        <v>0</v>
      </c>
      <c r="F205" s="985">
        <v>0</v>
      </c>
      <c r="G205" s="483">
        <v>463540</v>
      </c>
      <c r="H205" s="483">
        <v>3474285</v>
      </c>
      <c r="I205" s="483">
        <v>2308707</v>
      </c>
      <c r="J205" s="483">
        <v>1961238</v>
      </c>
      <c r="K205" s="483">
        <v>368514</v>
      </c>
      <c r="L205" s="985">
        <v>0</v>
      </c>
      <c r="M205" s="3386"/>
      <c r="N205" s="3386"/>
      <c r="O205" s="3389"/>
      <c r="P205" s="2568"/>
    </row>
    <row r="206" spans="1:16" s="2574" customFormat="1" ht="20.25" customHeight="1">
      <c r="A206" s="3373" t="s">
        <v>94</v>
      </c>
      <c r="B206" s="1452" t="s">
        <v>545</v>
      </c>
      <c r="C206" s="1453" t="s">
        <v>109</v>
      </c>
      <c r="D206" s="60"/>
      <c r="E206" s="42"/>
      <c r="F206" s="42"/>
      <c r="G206" s="42"/>
      <c r="H206" s="42"/>
      <c r="I206" s="42"/>
      <c r="J206" s="42"/>
      <c r="K206" s="42"/>
      <c r="L206" s="42"/>
      <c r="M206" s="655"/>
      <c r="N206" s="655"/>
      <c r="O206" s="3379" t="s">
        <v>317</v>
      </c>
      <c r="P206" s="2573"/>
    </row>
    <row r="207" spans="1:16" s="2574" customFormat="1">
      <c r="A207" s="3374"/>
      <c r="B207" s="1732" t="s">
        <v>10</v>
      </c>
      <c r="C207" s="1454"/>
      <c r="D207" s="1733">
        <f>+D208+D215</f>
        <v>3546922</v>
      </c>
      <c r="E207" s="2422">
        <f t="shared" ref="E207:N207" si="169">+E208+E215</f>
        <v>0</v>
      </c>
      <c r="F207" s="2422">
        <f t="shared" si="169"/>
        <v>0</v>
      </c>
      <c r="G207" s="1734">
        <f t="shared" si="169"/>
        <v>1133912</v>
      </c>
      <c r="H207" s="1734">
        <f t="shared" si="169"/>
        <v>1207224</v>
      </c>
      <c r="I207" s="1734">
        <f t="shared" si="169"/>
        <v>1205786</v>
      </c>
      <c r="J207" s="2422">
        <f t="shared" si="169"/>
        <v>0</v>
      </c>
      <c r="K207" s="2422">
        <f t="shared" si="169"/>
        <v>0</v>
      </c>
      <c r="L207" s="2422">
        <f t="shared" si="169"/>
        <v>0</v>
      </c>
      <c r="M207" s="1735">
        <f t="shared" si="169"/>
        <v>3192230</v>
      </c>
      <c r="N207" s="1735">
        <f t="shared" si="169"/>
        <v>3546922</v>
      </c>
      <c r="O207" s="3380"/>
      <c r="P207" s="2573"/>
    </row>
    <row r="208" spans="1:16" s="2574" customFormat="1" ht="12.75" customHeight="1">
      <c r="A208" s="3374"/>
      <c r="B208" s="1736" t="s">
        <v>24</v>
      </c>
      <c r="C208" s="3381" t="s">
        <v>532</v>
      </c>
      <c r="D208" s="1737">
        <f>+D209+D212</f>
        <v>532038</v>
      </c>
      <c r="E208" s="2423">
        <f t="shared" ref="E208:L208" si="170">+E209+E212</f>
        <v>0</v>
      </c>
      <c r="F208" s="2423">
        <f t="shared" si="170"/>
        <v>0</v>
      </c>
      <c r="G208" s="1737">
        <f t="shared" si="170"/>
        <v>170087</v>
      </c>
      <c r="H208" s="1737">
        <f t="shared" si="170"/>
        <v>181083</v>
      </c>
      <c r="I208" s="1737">
        <f t="shared" si="170"/>
        <v>180868</v>
      </c>
      <c r="J208" s="2423">
        <f t="shared" si="170"/>
        <v>0</v>
      </c>
      <c r="K208" s="2423">
        <f t="shared" si="170"/>
        <v>0</v>
      </c>
      <c r="L208" s="2423">
        <f t="shared" si="170"/>
        <v>0</v>
      </c>
      <c r="M208" s="1738">
        <f t="shared" ref="M208" si="171">+M209</f>
        <v>177346</v>
      </c>
      <c r="N208" s="1738">
        <f>+N209+N212</f>
        <v>532038</v>
      </c>
      <c r="O208" s="3380"/>
      <c r="P208" s="2573"/>
    </row>
    <row r="209" spans="1:16" s="2574" customFormat="1">
      <c r="A209" s="3374"/>
      <c r="B209" s="1739" t="s">
        <v>12</v>
      </c>
      <c r="C209" s="3383"/>
      <c r="D209" s="1715">
        <f>E209+F209+G209+H209+I209+J209+K209+L209</f>
        <v>177346</v>
      </c>
      <c r="E209" s="2424">
        <v>0</v>
      </c>
      <c r="F209" s="2425">
        <v>0</v>
      </c>
      <c r="G209" s="1741">
        <f>G210+G211</f>
        <v>56696</v>
      </c>
      <c r="H209" s="1741">
        <f t="shared" ref="H209:L209" si="172">H210+H211</f>
        <v>60361</v>
      </c>
      <c r="I209" s="1741">
        <f t="shared" si="172"/>
        <v>60289</v>
      </c>
      <c r="J209" s="2425">
        <f t="shared" si="172"/>
        <v>0</v>
      </c>
      <c r="K209" s="2425">
        <f t="shared" si="172"/>
        <v>0</v>
      </c>
      <c r="L209" s="2425">
        <f t="shared" si="172"/>
        <v>0</v>
      </c>
      <c r="M209" s="1017">
        <f>SUM(F209:K209)</f>
        <v>177346</v>
      </c>
      <c r="N209" s="1017">
        <f>SUM(G209:L209)</f>
        <v>177346</v>
      </c>
      <c r="O209" s="3380"/>
      <c r="P209" s="2573"/>
    </row>
    <row r="210" spans="1:16" s="2574" customFormat="1" hidden="1">
      <c r="A210" s="3374"/>
      <c r="B210" s="2426" t="s">
        <v>293</v>
      </c>
      <c r="C210" s="3383"/>
      <c r="D210" s="2427">
        <f>SUM(E210:L210)</f>
        <v>61066</v>
      </c>
      <c r="E210" s="2428">
        <v>0</v>
      </c>
      <c r="F210" s="2429">
        <v>0</v>
      </c>
      <c r="G210" s="2430">
        <v>19284</v>
      </c>
      <c r="H210" s="2430">
        <v>20891</v>
      </c>
      <c r="I210" s="2430">
        <v>20891</v>
      </c>
      <c r="J210" s="2428">
        <v>0</v>
      </c>
      <c r="K210" s="2428">
        <v>0</v>
      </c>
      <c r="L210" s="2428">
        <v>0</v>
      </c>
      <c r="M210" s="2431"/>
      <c r="N210" s="2432">
        <f>SUM(G210:L210)</f>
        <v>61066</v>
      </c>
      <c r="O210" s="3380"/>
      <c r="P210" s="2573"/>
    </row>
    <row r="211" spans="1:16" s="2574" customFormat="1" hidden="1">
      <c r="A211" s="3374"/>
      <c r="B211" s="2433" t="s">
        <v>311</v>
      </c>
      <c r="C211" s="3383"/>
      <c r="D211" s="2434">
        <f>SUM(E211:L211)</f>
        <v>116280</v>
      </c>
      <c r="E211" s="2435">
        <v>0</v>
      </c>
      <c r="F211" s="2436">
        <v>0</v>
      </c>
      <c r="G211" s="2437">
        <v>37412</v>
      </c>
      <c r="H211" s="2437">
        <v>39470</v>
      </c>
      <c r="I211" s="2437">
        <v>39398</v>
      </c>
      <c r="J211" s="2435">
        <v>0</v>
      </c>
      <c r="K211" s="2435">
        <v>0</v>
      </c>
      <c r="L211" s="2435">
        <v>0</v>
      </c>
      <c r="M211" s="2431"/>
      <c r="N211" s="2432">
        <f>SUM(G211:L211)</f>
        <v>116280</v>
      </c>
      <c r="O211" s="3380"/>
      <c r="P211" s="2573"/>
    </row>
    <row r="212" spans="1:16" s="2574" customFormat="1">
      <c r="A212" s="3375"/>
      <c r="B212" s="990" t="s">
        <v>13</v>
      </c>
      <c r="C212" s="3382"/>
      <c r="D212" s="1715">
        <f>E212+F212+G212+H212+I212+J212+K212+L212</f>
        <v>354692</v>
      </c>
      <c r="E212" s="2424">
        <v>0</v>
      </c>
      <c r="F212" s="2425">
        <v>0</v>
      </c>
      <c r="G212" s="1741">
        <f>G213+G214</f>
        <v>113391</v>
      </c>
      <c r="H212" s="1741">
        <f t="shared" ref="H212:L212" si="173">H213+H214</f>
        <v>120722</v>
      </c>
      <c r="I212" s="1741">
        <f t="shared" si="173"/>
        <v>120579</v>
      </c>
      <c r="J212" s="2425">
        <f t="shared" si="173"/>
        <v>0</v>
      </c>
      <c r="K212" s="2425">
        <f t="shared" si="173"/>
        <v>0</v>
      </c>
      <c r="L212" s="2425">
        <f t="shared" si="173"/>
        <v>0</v>
      </c>
      <c r="M212" s="2438"/>
      <c r="N212" s="1017">
        <f t="shared" ref="N212:N214" si="174">SUM(G212:L212)</f>
        <v>354692</v>
      </c>
      <c r="O212" s="3380"/>
      <c r="P212" s="2573">
        <f>D212-D221</f>
        <v>0</v>
      </c>
    </row>
    <row r="213" spans="1:16" s="2574" customFormat="1" hidden="1">
      <c r="A213" s="3375"/>
      <c r="B213" s="2426" t="s">
        <v>293</v>
      </c>
      <c r="C213" s="3382"/>
      <c r="D213" s="2427">
        <f>SUM(E213:L213)</f>
        <v>122132</v>
      </c>
      <c r="E213" s="2428">
        <v>0</v>
      </c>
      <c r="F213" s="2429">
        <v>0</v>
      </c>
      <c r="G213" s="2430">
        <v>38568</v>
      </c>
      <c r="H213" s="2430">
        <v>41782</v>
      </c>
      <c r="I213" s="2430">
        <v>41782</v>
      </c>
      <c r="J213" s="2428">
        <v>0</v>
      </c>
      <c r="K213" s="2428">
        <v>0</v>
      </c>
      <c r="L213" s="2428">
        <v>0</v>
      </c>
      <c r="M213" s="2440"/>
      <c r="N213" s="1061">
        <f t="shared" si="174"/>
        <v>122132</v>
      </c>
      <c r="O213" s="3380"/>
      <c r="P213" s="2573"/>
    </row>
    <row r="214" spans="1:16" s="2574" customFormat="1" hidden="1">
      <c r="A214" s="3375"/>
      <c r="B214" s="2433" t="s">
        <v>311</v>
      </c>
      <c r="C214" s="3382"/>
      <c r="D214" s="2434">
        <f>SUM(E214:L214)</f>
        <v>232560</v>
      </c>
      <c r="E214" s="2435">
        <v>0</v>
      </c>
      <c r="F214" s="2436">
        <v>0</v>
      </c>
      <c r="G214" s="2437">
        <v>74823</v>
      </c>
      <c r="H214" s="2437">
        <v>78940</v>
      </c>
      <c r="I214" s="2437">
        <v>78797</v>
      </c>
      <c r="J214" s="2435">
        <v>0</v>
      </c>
      <c r="K214" s="2435">
        <v>0</v>
      </c>
      <c r="L214" s="2435">
        <v>0</v>
      </c>
      <c r="M214" s="2440"/>
      <c r="N214" s="1061">
        <f t="shared" si="174"/>
        <v>232560</v>
      </c>
      <c r="O214" s="3380"/>
      <c r="P214" s="2573"/>
    </row>
    <row r="215" spans="1:16" s="2574" customFormat="1">
      <c r="A215" s="3374"/>
      <c r="B215" s="1736" t="s">
        <v>18</v>
      </c>
      <c r="C215" s="3383"/>
      <c r="D215" s="1745">
        <f>+D216</f>
        <v>3014884</v>
      </c>
      <c r="E215" s="2237">
        <f t="shared" ref="E215:L215" si="175">+E216</f>
        <v>0</v>
      </c>
      <c r="F215" s="2237">
        <f t="shared" si="175"/>
        <v>0</v>
      </c>
      <c r="G215" s="1745">
        <f t="shared" si="175"/>
        <v>963825</v>
      </c>
      <c r="H215" s="1745">
        <f t="shared" si="175"/>
        <v>1026141</v>
      </c>
      <c r="I215" s="1745">
        <f t="shared" si="175"/>
        <v>1024918</v>
      </c>
      <c r="J215" s="2237">
        <f t="shared" si="175"/>
        <v>0</v>
      </c>
      <c r="K215" s="2237">
        <f t="shared" si="175"/>
        <v>0</v>
      </c>
      <c r="L215" s="2237">
        <f t="shared" si="175"/>
        <v>0</v>
      </c>
      <c r="M215" s="1746">
        <f>+M216</f>
        <v>3014884</v>
      </c>
      <c r="N215" s="1746">
        <f>+N216</f>
        <v>3014884</v>
      </c>
      <c r="O215" s="3380"/>
      <c r="P215" s="2573">
        <f>D215-D222</f>
        <v>0</v>
      </c>
    </row>
    <row r="216" spans="1:16" s="2574" customFormat="1">
      <c r="A216" s="3374"/>
      <c r="B216" s="1739" t="s">
        <v>21</v>
      </c>
      <c r="C216" s="3383"/>
      <c r="D216" s="1715">
        <f>E216+F216+G216+H216+I216+J216+K216+L216</f>
        <v>3014884</v>
      </c>
      <c r="E216" s="2424">
        <v>0</v>
      </c>
      <c r="F216" s="2441">
        <v>0</v>
      </c>
      <c r="G216" s="1742">
        <f>G217+G218</f>
        <v>963825</v>
      </c>
      <c r="H216" s="1742">
        <f t="shared" ref="H216:L216" si="176">H217+H218</f>
        <v>1026141</v>
      </c>
      <c r="I216" s="1742">
        <f t="shared" si="176"/>
        <v>1024918</v>
      </c>
      <c r="J216" s="2441">
        <f t="shared" si="176"/>
        <v>0</v>
      </c>
      <c r="K216" s="2441">
        <f t="shared" si="176"/>
        <v>0</v>
      </c>
      <c r="L216" s="2441">
        <f t="shared" si="176"/>
        <v>0</v>
      </c>
      <c r="M216" s="1061">
        <f>SUM(F216:K216)</f>
        <v>3014884</v>
      </c>
      <c r="N216" s="1061">
        <f>SUM(G216:L216)</f>
        <v>3014884</v>
      </c>
      <c r="O216" s="3380"/>
      <c r="P216" s="2573"/>
    </row>
    <row r="217" spans="1:16" s="2574" customFormat="1" ht="12.75" hidden="1" customHeight="1">
      <c r="A217" s="3374"/>
      <c r="B217" s="2426" t="s">
        <v>293</v>
      </c>
      <c r="C217" s="2442"/>
      <c r="D217" s="2427">
        <f>SUM(E217:L217)</f>
        <v>1038122</v>
      </c>
      <c r="E217" s="2428">
        <v>0</v>
      </c>
      <c r="F217" s="2428">
        <v>0</v>
      </c>
      <c r="G217" s="2430">
        <v>327828</v>
      </c>
      <c r="H217" s="2430">
        <v>355147</v>
      </c>
      <c r="I217" s="2430">
        <v>355147</v>
      </c>
      <c r="J217" s="2428">
        <v>0</v>
      </c>
      <c r="K217" s="2428">
        <v>0</v>
      </c>
      <c r="L217" s="2428">
        <v>0</v>
      </c>
      <c r="M217" s="2431"/>
      <c r="N217" s="2432">
        <f>SUM(G217:L217)</f>
        <v>1038122</v>
      </c>
      <c r="O217" s="3380"/>
      <c r="P217" s="2573"/>
    </row>
    <row r="218" spans="1:16" s="2574" customFormat="1" hidden="1">
      <c r="A218" s="3374"/>
      <c r="B218" s="2433" t="s">
        <v>311</v>
      </c>
      <c r="C218" s="2443"/>
      <c r="D218" s="2434">
        <f>SUM(E218:L218)</f>
        <v>1976762</v>
      </c>
      <c r="E218" s="2435">
        <v>0</v>
      </c>
      <c r="F218" s="2435">
        <v>0</v>
      </c>
      <c r="G218" s="2437">
        <v>635997</v>
      </c>
      <c r="H218" s="2437">
        <v>670994</v>
      </c>
      <c r="I218" s="2437">
        <v>669771</v>
      </c>
      <c r="J218" s="2435">
        <v>0</v>
      </c>
      <c r="K218" s="2435">
        <v>0</v>
      </c>
      <c r="L218" s="2435">
        <v>0</v>
      </c>
      <c r="M218" s="2431"/>
      <c r="N218" s="2432">
        <f>SUM(G218:L218)</f>
        <v>1976762</v>
      </c>
      <c r="O218" s="3393"/>
      <c r="P218" s="2573"/>
    </row>
    <row r="219" spans="1:16" s="2574" customFormat="1">
      <c r="A219" s="3376"/>
      <c r="B219" s="1732" t="s">
        <v>22</v>
      </c>
      <c r="C219" s="1732"/>
      <c r="D219" s="1748">
        <f>D222+D220</f>
        <v>3369576</v>
      </c>
      <c r="E219" s="2444">
        <f t="shared" ref="E219:L219" si="177">E222+E220</f>
        <v>0</v>
      </c>
      <c r="F219" s="2444">
        <f t="shared" si="177"/>
        <v>0</v>
      </c>
      <c r="G219" s="1748">
        <f t="shared" si="177"/>
        <v>1077216</v>
      </c>
      <c r="H219" s="1748">
        <f t="shared" si="177"/>
        <v>1146863</v>
      </c>
      <c r="I219" s="1748">
        <f t="shared" si="177"/>
        <v>1145497</v>
      </c>
      <c r="J219" s="2444">
        <f t="shared" si="177"/>
        <v>0</v>
      </c>
      <c r="K219" s="2444">
        <f t="shared" si="177"/>
        <v>0</v>
      </c>
      <c r="L219" s="2444">
        <f t="shared" si="177"/>
        <v>0</v>
      </c>
      <c r="M219" s="3384" t="s">
        <v>61</v>
      </c>
      <c r="N219" s="3384" t="s">
        <v>61</v>
      </c>
      <c r="O219" s="3387" t="s">
        <v>531</v>
      </c>
      <c r="P219" s="2573"/>
    </row>
    <row r="220" spans="1:16" s="2574" customFormat="1">
      <c r="A220" s="3377"/>
      <c r="B220" s="2381" t="s">
        <v>24</v>
      </c>
      <c r="C220" s="3390" t="s">
        <v>389</v>
      </c>
      <c r="D220" s="1745">
        <f t="shared" ref="D220:L222" si="178">+D221</f>
        <v>354692</v>
      </c>
      <c r="E220" s="2237">
        <f t="shared" si="178"/>
        <v>0</v>
      </c>
      <c r="F220" s="2237">
        <f t="shared" si="178"/>
        <v>0</v>
      </c>
      <c r="G220" s="1745">
        <f t="shared" si="178"/>
        <v>113391</v>
      </c>
      <c r="H220" s="1745">
        <f t="shared" si="178"/>
        <v>120722</v>
      </c>
      <c r="I220" s="1745">
        <f t="shared" si="178"/>
        <v>120579</v>
      </c>
      <c r="J220" s="2237">
        <f t="shared" si="178"/>
        <v>0</v>
      </c>
      <c r="K220" s="2237">
        <f t="shared" si="178"/>
        <v>0</v>
      </c>
      <c r="L220" s="2237">
        <f t="shared" si="178"/>
        <v>0</v>
      </c>
      <c r="M220" s="3385"/>
      <c r="N220" s="3385"/>
      <c r="O220" s="3388"/>
      <c r="P220" s="2573"/>
    </row>
    <row r="221" spans="1:16" s="2574" customFormat="1">
      <c r="A221" s="3377"/>
      <c r="B221" s="990" t="s">
        <v>13</v>
      </c>
      <c r="C221" s="3391"/>
      <c r="D221" s="1715">
        <f>E221+F221+G221+H221+I221+J221+K221+L221</f>
        <v>354692</v>
      </c>
      <c r="E221" s="2446">
        <v>0</v>
      </c>
      <c r="F221" s="2446">
        <v>0</v>
      </c>
      <c r="G221" s="2447">
        <v>113391</v>
      </c>
      <c r="H221" s="2447">
        <v>120722</v>
      </c>
      <c r="I221" s="2447">
        <v>120579</v>
      </c>
      <c r="J221" s="2446">
        <v>0</v>
      </c>
      <c r="K221" s="2446">
        <v>0</v>
      </c>
      <c r="L221" s="2446">
        <v>0</v>
      </c>
      <c r="M221" s="3385"/>
      <c r="N221" s="3385"/>
      <c r="O221" s="3388"/>
      <c r="P221" s="2573"/>
    </row>
    <row r="222" spans="1:16" s="2574" customFormat="1">
      <c r="A222" s="3376"/>
      <c r="B222" s="1736" t="s">
        <v>18</v>
      </c>
      <c r="C222" s="3391"/>
      <c r="D222" s="2302">
        <f t="shared" si="178"/>
        <v>3014884</v>
      </c>
      <c r="E222" s="2237">
        <f t="shared" si="178"/>
        <v>0</v>
      </c>
      <c r="F222" s="2237">
        <f t="shared" si="178"/>
        <v>0</v>
      </c>
      <c r="G222" s="1745">
        <f t="shared" si="178"/>
        <v>963825</v>
      </c>
      <c r="H222" s="1745">
        <f t="shared" si="178"/>
        <v>1026141</v>
      </c>
      <c r="I222" s="1745">
        <f t="shared" si="178"/>
        <v>1024918</v>
      </c>
      <c r="J222" s="2237">
        <f t="shared" si="178"/>
        <v>0</v>
      </c>
      <c r="K222" s="2237">
        <f t="shared" si="178"/>
        <v>0</v>
      </c>
      <c r="L222" s="2237">
        <f t="shared" si="178"/>
        <v>0</v>
      </c>
      <c r="M222" s="3384"/>
      <c r="N222" s="3384"/>
      <c r="O222" s="3388"/>
      <c r="P222" s="2573"/>
    </row>
    <row r="223" spans="1:16" s="2574" customFormat="1" ht="13.5" thickBot="1">
      <c r="A223" s="3378"/>
      <c r="B223" s="656" t="s">
        <v>21</v>
      </c>
      <c r="C223" s="3392"/>
      <c r="D223" s="942">
        <f>E223+F223+G223+H223+I223+J223+K223+L223</f>
        <v>3014884</v>
      </c>
      <c r="E223" s="677">
        <v>0</v>
      </c>
      <c r="F223" s="985">
        <v>0</v>
      </c>
      <c r="G223" s="483">
        <v>963825</v>
      </c>
      <c r="H223" s="483">
        <v>1026141</v>
      </c>
      <c r="I223" s="483">
        <v>1024918</v>
      </c>
      <c r="J223" s="985">
        <v>0</v>
      </c>
      <c r="K223" s="985">
        <v>0</v>
      </c>
      <c r="L223" s="985">
        <v>0</v>
      </c>
      <c r="M223" s="3386"/>
      <c r="N223" s="3386"/>
      <c r="O223" s="3389"/>
      <c r="P223" s="2573"/>
    </row>
    <row r="224" spans="1:16" s="2574" customFormat="1" ht="27" customHeight="1">
      <c r="A224" s="3373" t="s">
        <v>95</v>
      </c>
      <c r="B224" s="1452" t="s">
        <v>547</v>
      </c>
      <c r="C224" s="1453" t="s">
        <v>109</v>
      </c>
      <c r="D224" s="60"/>
      <c r="E224" s="42"/>
      <c r="F224" s="42"/>
      <c r="G224" s="42"/>
      <c r="H224" s="42"/>
      <c r="I224" s="42"/>
      <c r="J224" s="42"/>
      <c r="K224" s="42"/>
      <c r="L224" s="42"/>
      <c r="M224" s="655"/>
      <c r="N224" s="655"/>
      <c r="O224" s="3379" t="s">
        <v>317</v>
      </c>
      <c r="P224" s="2573"/>
    </row>
    <row r="225" spans="1:16" s="2574" customFormat="1">
      <c r="A225" s="3374"/>
      <c r="B225" s="1732" t="s">
        <v>10</v>
      </c>
      <c r="C225" s="1454"/>
      <c r="D225" s="1733">
        <f t="shared" ref="D225:N225" si="179">+D226+D230</f>
        <v>2855372</v>
      </c>
      <c r="E225" s="2422">
        <f t="shared" si="179"/>
        <v>0</v>
      </c>
      <c r="F225" s="2422">
        <f t="shared" si="179"/>
        <v>0</v>
      </c>
      <c r="G225" s="1734">
        <f t="shared" si="179"/>
        <v>1013826</v>
      </c>
      <c r="H225" s="1734">
        <f t="shared" si="179"/>
        <v>1052185</v>
      </c>
      <c r="I225" s="1734">
        <f t="shared" si="179"/>
        <v>789361</v>
      </c>
      <c r="J225" s="1734">
        <f t="shared" si="179"/>
        <v>0</v>
      </c>
      <c r="K225" s="1734">
        <f t="shared" si="179"/>
        <v>0</v>
      </c>
      <c r="L225" s="2422">
        <f t="shared" si="179"/>
        <v>0</v>
      </c>
      <c r="M225" s="1735" t="e">
        <f t="shared" si="179"/>
        <v>#REF!</v>
      </c>
      <c r="N225" s="1735">
        <f t="shared" si="179"/>
        <v>2855372</v>
      </c>
      <c r="O225" s="3380"/>
      <c r="P225" s="2573">
        <f>D225+D240</f>
        <v>3392273</v>
      </c>
    </row>
    <row r="226" spans="1:16" s="2574" customFormat="1">
      <c r="A226" s="3374"/>
      <c r="B226" s="1736" t="s">
        <v>24</v>
      </c>
      <c r="C226" s="3381" t="s">
        <v>532</v>
      </c>
      <c r="D226" s="1737">
        <f>+D227</f>
        <v>81289</v>
      </c>
      <c r="E226" s="2423">
        <f t="shared" ref="E226:L226" si="180">+E227</f>
        <v>0</v>
      </c>
      <c r="F226" s="2423">
        <f t="shared" si="180"/>
        <v>0</v>
      </c>
      <c r="G226" s="1737">
        <f t="shared" si="180"/>
        <v>28894</v>
      </c>
      <c r="H226" s="1737">
        <f t="shared" si="180"/>
        <v>29987</v>
      </c>
      <c r="I226" s="1737">
        <f t="shared" si="180"/>
        <v>22408</v>
      </c>
      <c r="J226" s="1737">
        <f t="shared" si="180"/>
        <v>0</v>
      </c>
      <c r="K226" s="1737">
        <f t="shared" si="180"/>
        <v>0</v>
      </c>
      <c r="L226" s="1737">
        <f t="shared" si="180"/>
        <v>0</v>
      </c>
      <c r="M226" s="1738" t="e">
        <f>+#REF!</f>
        <v>#REF!</v>
      </c>
      <c r="N226" s="1738">
        <f>+N227</f>
        <v>81289</v>
      </c>
      <c r="O226" s="3380"/>
      <c r="P226" s="2573"/>
    </row>
    <row r="227" spans="1:16" s="2574" customFormat="1">
      <c r="A227" s="3375"/>
      <c r="B227" s="990" t="s">
        <v>13</v>
      </c>
      <c r="C227" s="3382"/>
      <c r="D227" s="1715">
        <f>E227+F227+G227+H227+I227+J227+K227+L227</f>
        <v>81289</v>
      </c>
      <c r="E227" s="2424">
        <v>0</v>
      </c>
      <c r="F227" s="2425">
        <v>0</v>
      </c>
      <c r="G227" s="1741">
        <f>G228+G229</f>
        <v>28894</v>
      </c>
      <c r="H227" s="1741">
        <f t="shared" ref="H227:L227" si="181">H228+H229</f>
        <v>29987</v>
      </c>
      <c r="I227" s="1741">
        <f t="shared" si="181"/>
        <v>22408</v>
      </c>
      <c r="J227" s="1741">
        <f t="shared" si="181"/>
        <v>0</v>
      </c>
      <c r="K227" s="1741">
        <f t="shared" si="181"/>
        <v>0</v>
      </c>
      <c r="L227" s="2425">
        <f t="shared" si="181"/>
        <v>0</v>
      </c>
      <c r="M227" s="2438"/>
      <c r="N227" s="1017">
        <f>SUM(G227:L227)</f>
        <v>81289</v>
      </c>
      <c r="O227" s="3380"/>
      <c r="P227" s="2573">
        <f>D227-D236</f>
        <v>0</v>
      </c>
    </row>
    <row r="228" spans="1:16" s="2574" customFormat="1" hidden="1">
      <c r="A228" s="3375"/>
      <c r="B228" s="2426" t="s">
        <v>293</v>
      </c>
      <c r="C228" s="3382"/>
      <c r="D228" s="2427">
        <f>SUM(E228:L228)</f>
        <v>17859</v>
      </c>
      <c r="E228" s="2428">
        <v>0</v>
      </c>
      <c r="F228" s="2429">
        <v>0</v>
      </c>
      <c r="G228" s="2430">
        <v>7649</v>
      </c>
      <c r="H228" s="2430">
        <v>5437</v>
      </c>
      <c r="I228" s="2430">
        <v>4773</v>
      </c>
      <c r="J228" s="2430"/>
      <c r="K228" s="2430"/>
      <c r="L228" s="2428">
        <v>0</v>
      </c>
      <c r="M228" s="2440"/>
      <c r="N228" s="1061">
        <f t="shared" ref="N228:N229" si="182">SUM(G228:L228)</f>
        <v>17859</v>
      </c>
      <c r="O228" s="3380"/>
      <c r="P228" s="2573"/>
    </row>
    <row r="229" spans="1:16" s="2574" customFormat="1" hidden="1">
      <c r="A229" s="3375"/>
      <c r="B229" s="2433" t="s">
        <v>311</v>
      </c>
      <c r="C229" s="3382"/>
      <c r="D229" s="2434">
        <f>SUM(E229:L229)</f>
        <v>63430</v>
      </c>
      <c r="E229" s="2435">
        <v>0</v>
      </c>
      <c r="F229" s="2436">
        <v>0</v>
      </c>
      <c r="G229" s="2437">
        <v>21245</v>
      </c>
      <c r="H229" s="2437">
        <v>24550</v>
      </c>
      <c r="I229" s="2437">
        <v>17635</v>
      </c>
      <c r="J229" s="2437"/>
      <c r="K229" s="2437"/>
      <c r="L229" s="2435">
        <v>0</v>
      </c>
      <c r="M229" s="2440"/>
      <c r="N229" s="1061">
        <f t="shared" si="182"/>
        <v>63430</v>
      </c>
      <c r="O229" s="3380"/>
      <c r="P229" s="2573"/>
    </row>
    <row r="230" spans="1:16" s="2574" customFormat="1">
      <c r="A230" s="3374"/>
      <c r="B230" s="1736" t="s">
        <v>18</v>
      </c>
      <c r="C230" s="3383"/>
      <c r="D230" s="1745">
        <f>+D231</f>
        <v>2774083</v>
      </c>
      <c r="E230" s="2237">
        <f t="shared" ref="E230:L230" si="183">+E231</f>
        <v>0</v>
      </c>
      <c r="F230" s="2237">
        <f t="shared" si="183"/>
        <v>0</v>
      </c>
      <c r="G230" s="1745">
        <f t="shared" si="183"/>
        <v>984932</v>
      </c>
      <c r="H230" s="1745">
        <f t="shared" si="183"/>
        <v>1022198</v>
      </c>
      <c r="I230" s="1745">
        <f t="shared" si="183"/>
        <v>766953</v>
      </c>
      <c r="J230" s="1745">
        <f t="shared" si="183"/>
        <v>0</v>
      </c>
      <c r="K230" s="1745">
        <f t="shared" si="183"/>
        <v>0</v>
      </c>
      <c r="L230" s="2237">
        <f t="shared" si="183"/>
        <v>0</v>
      </c>
      <c r="M230" s="1746">
        <f>+M231</f>
        <v>2774083</v>
      </c>
      <c r="N230" s="1746">
        <f>+N231</f>
        <v>2774083</v>
      </c>
      <c r="O230" s="3380"/>
      <c r="P230" s="2573">
        <f>D230-D237</f>
        <v>0</v>
      </c>
    </row>
    <row r="231" spans="1:16" s="2574" customFormat="1">
      <c r="A231" s="3374"/>
      <c r="B231" s="1739" t="s">
        <v>21</v>
      </c>
      <c r="C231" s="3383"/>
      <c r="D231" s="1715">
        <f>E231+F231+G231+H231+I231+J231+K231+L231</f>
        <v>2774083</v>
      </c>
      <c r="E231" s="2424">
        <v>0</v>
      </c>
      <c r="F231" s="2441">
        <v>0</v>
      </c>
      <c r="G231" s="1742">
        <f>G232+G233</f>
        <v>984932</v>
      </c>
      <c r="H231" s="1742">
        <f t="shared" ref="H231:L231" si="184">H232+H233</f>
        <v>1022198</v>
      </c>
      <c r="I231" s="1742">
        <f t="shared" si="184"/>
        <v>766953</v>
      </c>
      <c r="J231" s="1742">
        <f t="shared" si="184"/>
        <v>0</v>
      </c>
      <c r="K231" s="1742">
        <f t="shared" si="184"/>
        <v>0</v>
      </c>
      <c r="L231" s="2441">
        <f t="shared" si="184"/>
        <v>0</v>
      </c>
      <c r="M231" s="1061">
        <f>SUM(F231:K231)</f>
        <v>2774083</v>
      </c>
      <c r="N231" s="1061">
        <f>SUM(G231:L231)</f>
        <v>2774083</v>
      </c>
      <c r="O231" s="3380"/>
      <c r="P231" s="2573"/>
    </row>
    <row r="232" spans="1:16" s="2574" customFormat="1" hidden="1">
      <c r="A232" s="3374"/>
      <c r="B232" s="2426" t="s">
        <v>293</v>
      </c>
      <c r="C232" s="2442"/>
      <c r="D232" s="2427">
        <f>SUM(E232:L232)</f>
        <v>608761</v>
      </c>
      <c r="E232" s="2428">
        <v>0</v>
      </c>
      <c r="F232" s="2428">
        <v>0</v>
      </c>
      <c r="G232" s="2430">
        <v>260714</v>
      </c>
      <c r="H232" s="2430">
        <v>185342</v>
      </c>
      <c r="I232" s="2430">
        <v>162705</v>
      </c>
      <c r="J232" s="2430">
        <v>0</v>
      </c>
      <c r="K232" s="2430">
        <v>0</v>
      </c>
      <c r="L232" s="2428">
        <v>0</v>
      </c>
      <c r="M232" s="2431"/>
      <c r="N232" s="2432">
        <f>SUM(G232:L232)</f>
        <v>608761</v>
      </c>
      <c r="O232" s="3380"/>
      <c r="P232" s="2573"/>
    </row>
    <row r="233" spans="1:16" s="2574" customFormat="1" hidden="1">
      <c r="A233" s="3374"/>
      <c r="B233" s="2433" t="s">
        <v>311</v>
      </c>
      <c r="C233" s="2443"/>
      <c r="D233" s="2434">
        <f>SUM(E233:L233)</f>
        <v>2165322</v>
      </c>
      <c r="E233" s="2435">
        <v>0</v>
      </c>
      <c r="F233" s="2435">
        <v>0</v>
      </c>
      <c r="G233" s="2437">
        <v>724218</v>
      </c>
      <c r="H233" s="2437">
        <v>836856</v>
      </c>
      <c r="I233" s="2437">
        <v>604248</v>
      </c>
      <c r="J233" s="2437"/>
      <c r="K233" s="2437"/>
      <c r="L233" s="2435">
        <v>0</v>
      </c>
      <c r="M233" s="2431"/>
      <c r="N233" s="2432">
        <f>SUM(G233:L233)</f>
        <v>2165322</v>
      </c>
      <c r="O233" s="3393"/>
      <c r="P233" s="2573"/>
    </row>
    <row r="234" spans="1:16" s="2574" customFormat="1">
      <c r="A234" s="3376"/>
      <c r="B234" s="1732" t="s">
        <v>22</v>
      </c>
      <c r="C234" s="1732"/>
      <c r="D234" s="1748">
        <f>D237+D235</f>
        <v>2855372</v>
      </c>
      <c r="E234" s="2444">
        <f t="shared" ref="E234:L234" si="185">E237+E235</f>
        <v>0</v>
      </c>
      <c r="F234" s="2444">
        <f t="shared" si="185"/>
        <v>0</v>
      </c>
      <c r="G234" s="1748">
        <f t="shared" si="185"/>
        <v>1013826</v>
      </c>
      <c r="H234" s="1748">
        <f t="shared" si="185"/>
        <v>1052185</v>
      </c>
      <c r="I234" s="1748">
        <f t="shared" si="185"/>
        <v>789361</v>
      </c>
      <c r="J234" s="1748">
        <f t="shared" si="185"/>
        <v>0</v>
      </c>
      <c r="K234" s="1748">
        <f t="shared" si="185"/>
        <v>0</v>
      </c>
      <c r="L234" s="2444">
        <f t="shared" si="185"/>
        <v>0</v>
      </c>
      <c r="M234" s="3384" t="s">
        <v>61</v>
      </c>
      <c r="N234" s="3384" t="s">
        <v>61</v>
      </c>
      <c r="O234" s="3387" t="s">
        <v>531</v>
      </c>
      <c r="P234" s="2573"/>
    </row>
    <row r="235" spans="1:16" s="2574" customFormat="1" ht="12.75" customHeight="1">
      <c r="A235" s="3377"/>
      <c r="B235" s="2381" t="s">
        <v>24</v>
      </c>
      <c r="C235" s="3390" t="s">
        <v>389</v>
      </c>
      <c r="D235" s="1745">
        <f t="shared" ref="D235:L237" si="186">+D236</f>
        <v>81289</v>
      </c>
      <c r="E235" s="2237">
        <f t="shared" si="186"/>
        <v>0</v>
      </c>
      <c r="F235" s="2237">
        <f t="shared" si="186"/>
        <v>0</v>
      </c>
      <c r="G235" s="1745">
        <f t="shared" si="186"/>
        <v>28894</v>
      </c>
      <c r="H235" s="1745">
        <f t="shared" si="186"/>
        <v>29987</v>
      </c>
      <c r="I235" s="1745">
        <f t="shared" si="186"/>
        <v>22408</v>
      </c>
      <c r="J235" s="1745">
        <f t="shared" si="186"/>
        <v>0</v>
      </c>
      <c r="K235" s="1745">
        <f t="shared" si="186"/>
        <v>0</v>
      </c>
      <c r="L235" s="2237">
        <f t="shared" si="186"/>
        <v>0</v>
      </c>
      <c r="M235" s="3385"/>
      <c r="N235" s="3385"/>
      <c r="O235" s="3388"/>
      <c r="P235" s="2573"/>
    </row>
    <row r="236" spans="1:16" s="2574" customFormat="1">
      <c r="A236" s="3377"/>
      <c r="B236" s="990" t="s">
        <v>13</v>
      </c>
      <c r="C236" s="3391"/>
      <c r="D236" s="1782">
        <f>E236+F236+G236+H236+I236+J236+K236+L236</f>
        <v>81289</v>
      </c>
      <c r="E236" s="2446">
        <v>0</v>
      </c>
      <c r="F236" s="2446">
        <v>0</v>
      </c>
      <c r="G236" s="2447">
        <v>28894</v>
      </c>
      <c r="H236" s="2447">
        <v>29987</v>
      </c>
      <c r="I236" s="2447">
        <v>22408</v>
      </c>
      <c r="J236" s="2447"/>
      <c r="K236" s="2447"/>
      <c r="L236" s="2446">
        <v>0</v>
      </c>
      <c r="M236" s="3385"/>
      <c r="N236" s="3385"/>
      <c r="O236" s="3388"/>
      <c r="P236" s="2573"/>
    </row>
    <row r="237" spans="1:16" s="2574" customFormat="1">
      <c r="A237" s="3376"/>
      <c r="B237" s="1736" t="s">
        <v>18</v>
      </c>
      <c r="C237" s="3391"/>
      <c r="D237" s="2302">
        <f t="shared" si="186"/>
        <v>2774083</v>
      </c>
      <c r="E237" s="2237">
        <f t="shared" si="186"/>
        <v>0</v>
      </c>
      <c r="F237" s="2237">
        <f t="shared" si="186"/>
        <v>0</v>
      </c>
      <c r="G237" s="1745">
        <f t="shared" si="186"/>
        <v>984932</v>
      </c>
      <c r="H237" s="1745">
        <f t="shared" si="186"/>
        <v>1022198</v>
      </c>
      <c r="I237" s="1745">
        <f t="shared" si="186"/>
        <v>766953</v>
      </c>
      <c r="J237" s="1745">
        <f t="shared" si="186"/>
        <v>0</v>
      </c>
      <c r="K237" s="1745">
        <f t="shared" si="186"/>
        <v>0</v>
      </c>
      <c r="L237" s="2237">
        <f t="shared" si="186"/>
        <v>0</v>
      </c>
      <c r="M237" s="3384"/>
      <c r="N237" s="3384"/>
      <c r="O237" s="3388"/>
      <c r="P237" s="2573"/>
    </row>
    <row r="238" spans="1:16" s="2574" customFormat="1" ht="13.5" thickBot="1">
      <c r="A238" s="3378"/>
      <c r="B238" s="656" t="s">
        <v>21</v>
      </c>
      <c r="C238" s="3392"/>
      <c r="D238" s="942">
        <f>E238+F238+G238+H238+I238+J238+K238+L238</f>
        <v>2774083</v>
      </c>
      <c r="E238" s="677">
        <v>0</v>
      </c>
      <c r="F238" s="985">
        <v>0</v>
      </c>
      <c r="G238" s="483">
        <v>984932</v>
      </c>
      <c r="H238" s="483">
        <v>1022198</v>
      </c>
      <c r="I238" s="483">
        <v>766953</v>
      </c>
      <c r="J238" s="483"/>
      <c r="K238" s="483"/>
      <c r="L238" s="985">
        <v>0</v>
      </c>
      <c r="M238" s="3386"/>
      <c r="N238" s="3386"/>
      <c r="O238" s="3389"/>
      <c r="P238" s="2573"/>
    </row>
    <row r="239" spans="1:16" s="2574" customFormat="1" ht="27" customHeight="1">
      <c r="A239" s="3373" t="s">
        <v>96</v>
      </c>
      <c r="B239" s="1452" t="s">
        <v>546</v>
      </c>
      <c r="C239" s="1453" t="s">
        <v>81</v>
      </c>
      <c r="D239" s="60"/>
      <c r="E239" s="42"/>
      <c r="F239" s="42"/>
      <c r="G239" s="42"/>
      <c r="H239" s="42"/>
      <c r="I239" s="42"/>
      <c r="J239" s="42"/>
      <c r="K239" s="42"/>
      <c r="L239" s="42"/>
      <c r="M239" s="655"/>
      <c r="N239" s="655"/>
      <c r="O239" s="3379" t="s">
        <v>538</v>
      </c>
      <c r="P239" s="2573"/>
    </row>
    <row r="240" spans="1:16" s="2574" customFormat="1">
      <c r="A240" s="3374"/>
      <c r="B240" s="1732" t="s">
        <v>10</v>
      </c>
      <c r="C240" s="1454"/>
      <c r="D240" s="1733">
        <f t="shared" ref="D240:N240" si="187">+D241+D243</f>
        <v>536901</v>
      </c>
      <c r="E240" s="2422">
        <f t="shared" si="187"/>
        <v>0</v>
      </c>
      <c r="F240" s="2422">
        <f t="shared" si="187"/>
        <v>0</v>
      </c>
      <c r="G240" s="1734">
        <f t="shared" si="187"/>
        <v>536901</v>
      </c>
      <c r="H240" s="1734">
        <f t="shared" si="187"/>
        <v>0</v>
      </c>
      <c r="I240" s="1734">
        <f t="shared" si="187"/>
        <v>0</v>
      </c>
      <c r="J240" s="1734">
        <f t="shared" si="187"/>
        <v>0</v>
      </c>
      <c r="K240" s="1734">
        <f t="shared" si="187"/>
        <v>0</v>
      </c>
      <c r="L240" s="2422">
        <f t="shared" si="187"/>
        <v>0</v>
      </c>
      <c r="M240" s="1735" t="e">
        <f t="shared" si="187"/>
        <v>#REF!</v>
      </c>
      <c r="N240" s="1735">
        <f t="shared" si="187"/>
        <v>536901</v>
      </c>
      <c r="O240" s="3380"/>
      <c r="P240" s="2573"/>
    </row>
    <row r="241" spans="1:16" s="2574" customFormat="1">
      <c r="A241" s="3374"/>
      <c r="B241" s="1736" t="s">
        <v>24</v>
      </c>
      <c r="C241" s="3381" t="s">
        <v>539</v>
      </c>
      <c r="D241" s="1737">
        <f>+D242</f>
        <v>15302</v>
      </c>
      <c r="E241" s="2423">
        <f t="shared" ref="E241:L241" si="188">+E242</f>
        <v>0</v>
      </c>
      <c r="F241" s="2423">
        <f t="shared" si="188"/>
        <v>0</v>
      </c>
      <c r="G241" s="1737">
        <f t="shared" si="188"/>
        <v>15302</v>
      </c>
      <c r="H241" s="1737">
        <f t="shared" si="188"/>
        <v>0</v>
      </c>
      <c r="I241" s="1737">
        <f t="shared" si="188"/>
        <v>0</v>
      </c>
      <c r="J241" s="1737">
        <f t="shared" si="188"/>
        <v>0</v>
      </c>
      <c r="K241" s="1737">
        <f t="shared" si="188"/>
        <v>0</v>
      </c>
      <c r="L241" s="1737">
        <f t="shared" si="188"/>
        <v>0</v>
      </c>
      <c r="M241" s="1738" t="e">
        <f>+#REF!</f>
        <v>#REF!</v>
      </c>
      <c r="N241" s="1738">
        <f>+N242</f>
        <v>15302</v>
      </c>
      <c r="O241" s="3380"/>
      <c r="P241" s="2573"/>
    </row>
    <row r="242" spans="1:16" s="2574" customFormat="1">
      <c r="A242" s="3375"/>
      <c r="B242" s="990" t="s">
        <v>13</v>
      </c>
      <c r="C242" s="3382"/>
      <c r="D242" s="1715">
        <f>E242+F242+G242+H242+I242+J242+K242+L242</f>
        <v>15302</v>
      </c>
      <c r="E242" s="2424">
        <v>0</v>
      </c>
      <c r="F242" s="2425">
        <v>0</v>
      </c>
      <c r="G242" s="1741">
        <v>15302</v>
      </c>
      <c r="H242" s="1741"/>
      <c r="I242" s="1741"/>
      <c r="J242" s="1741"/>
      <c r="K242" s="1741"/>
      <c r="L242" s="2425"/>
      <c r="M242" s="2438"/>
      <c r="N242" s="1017">
        <f>SUM(G242:L242)</f>
        <v>15302</v>
      </c>
      <c r="O242" s="3380"/>
      <c r="P242" s="2573"/>
    </row>
    <row r="243" spans="1:16" s="2574" customFormat="1">
      <c r="A243" s="3374"/>
      <c r="B243" s="1736" t="s">
        <v>18</v>
      </c>
      <c r="C243" s="3383"/>
      <c r="D243" s="1745">
        <f>+D244</f>
        <v>521599</v>
      </c>
      <c r="E243" s="2237">
        <f t="shared" ref="E243:L243" si="189">+E244</f>
        <v>0</v>
      </c>
      <c r="F243" s="2237">
        <f t="shared" si="189"/>
        <v>0</v>
      </c>
      <c r="G243" s="1745">
        <f t="shared" si="189"/>
        <v>521599</v>
      </c>
      <c r="H243" s="1745">
        <f t="shared" si="189"/>
        <v>0</v>
      </c>
      <c r="I243" s="1745">
        <f t="shared" si="189"/>
        <v>0</v>
      </c>
      <c r="J243" s="1745">
        <f t="shared" si="189"/>
        <v>0</v>
      </c>
      <c r="K243" s="1745">
        <f t="shared" si="189"/>
        <v>0</v>
      </c>
      <c r="L243" s="2237">
        <f t="shared" si="189"/>
        <v>0</v>
      </c>
      <c r="M243" s="1746">
        <f>+M244</f>
        <v>521599</v>
      </c>
      <c r="N243" s="1746">
        <f>+N244</f>
        <v>521599</v>
      </c>
      <c r="O243" s="3380"/>
      <c r="P243" s="2573"/>
    </row>
    <row r="244" spans="1:16" s="2574" customFormat="1">
      <c r="A244" s="3374"/>
      <c r="B244" s="1739" t="s">
        <v>21</v>
      </c>
      <c r="C244" s="3383"/>
      <c r="D244" s="1715">
        <f>E244+F244+G244+H244+I244+J244+K244+L244</f>
        <v>521599</v>
      </c>
      <c r="E244" s="2424">
        <v>0</v>
      </c>
      <c r="F244" s="2441">
        <v>0</v>
      </c>
      <c r="G244" s="1742">
        <v>521599</v>
      </c>
      <c r="H244" s="1742"/>
      <c r="I244" s="1742"/>
      <c r="J244" s="1742"/>
      <c r="K244" s="1742"/>
      <c r="L244" s="2441"/>
      <c r="M244" s="1061">
        <f>SUM(F244:K244)</f>
        <v>521599</v>
      </c>
      <c r="N244" s="1061">
        <f>SUM(G244:L244)</f>
        <v>521599</v>
      </c>
      <c r="O244" s="3380"/>
      <c r="P244" s="2573"/>
    </row>
    <row r="245" spans="1:16" s="2574" customFormat="1">
      <c r="A245" s="3376"/>
      <c r="B245" s="1732" t="s">
        <v>22</v>
      </c>
      <c r="C245" s="1732"/>
      <c r="D245" s="1748">
        <f>D248+D246</f>
        <v>536901</v>
      </c>
      <c r="E245" s="2444">
        <f t="shared" ref="E245:L245" si="190">E248+E246</f>
        <v>0</v>
      </c>
      <c r="F245" s="2444">
        <f t="shared" si="190"/>
        <v>0</v>
      </c>
      <c r="G245" s="1748">
        <f t="shared" si="190"/>
        <v>536901</v>
      </c>
      <c r="H245" s="1748">
        <f t="shared" si="190"/>
        <v>0</v>
      </c>
      <c r="I245" s="1748">
        <f t="shared" si="190"/>
        <v>0</v>
      </c>
      <c r="J245" s="1748">
        <f t="shared" si="190"/>
        <v>0</v>
      </c>
      <c r="K245" s="1748">
        <f t="shared" si="190"/>
        <v>0</v>
      </c>
      <c r="L245" s="2444">
        <f t="shared" si="190"/>
        <v>0</v>
      </c>
      <c r="M245" s="3384" t="s">
        <v>61</v>
      </c>
      <c r="N245" s="3384" t="s">
        <v>61</v>
      </c>
      <c r="O245" s="3387" t="s">
        <v>531</v>
      </c>
      <c r="P245" s="2573"/>
    </row>
    <row r="246" spans="1:16" s="2574" customFormat="1" ht="12.75" customHeight="1">
      <c r="A246" s="3377"/>
      <c r="B246" s="2381" t="s">
        <v>24</v>
      </c>
      <c r="C246" s="3390" t="s">
        <v>389</v>
      </c>
      <c r="D246" s="1745">
        <f t="shared" ref="D246:L248" si="191">+D247</f>
        <v>15302</v>
      </c>
      <c r="E246" s="2237">
        <f t="shared" si="191"/>
        <v>0</v>
      </c>
      <c r="F246" s="2237">
        <f t="shared" si="191"/>
        <v>0</v>
      </c>
      <c r="G246" s="1745">
        <f t="shared" si="191"/>
        <v>15302</v>
      </c>
      <c r="H246" s="1745">
        <f t="shared" si="191"/>
        <v>0</v>
      </c>
      <c r="I246" s="1745">
        <f t="shared" si="191"/>
        <v>0</v>
      </c>
      <c r="J246" s="1745">
        <f t="shared" si="191"/>
        <v>0</v>
      </c>
      <c r="K246" s="1745">
        <f t="shared" si="191"/>
        <v>0</v>
      </c>
      <c r="L246" s="2237">
        <f t="shared" si="191"/>
        <v>0</v>
      </c>
      <c r="M246" s="3385"/>
      <c r="N246" s="3385"/>
      <c r="O246" s="3388"/>
      <c r="P246" s="2573"/>
    </row>
    <row r="247" spans="1:16" s="2574" customFormat="1">
      <c r="A247" s="3377"/>
      <c r="B247" s="990" t="s">
        <v>13</v>
      </c>
      <c r="C247" s="3391"/>
      <c r="D247" s="1782">
        <f>E247+F247+G247+H247+I247+J247+K247+L247</f>
        <v>15302</v>
      </c>
      <c r="E247" s="2446">
        <v>0</v>
      </c>
      <c r="F247" s="2446">
        <v>0</v>
      </c>
      <c r="G247" s="2447">
        <v>15302</v>
      </c>
      <c r="H247" s="2447"/>
      <c r="I247" s="2447"/>
      <c r="J247" s="2447"/>
      <c r="K247" s="2447"/>
      <c r="L247" s="2446">
        <v>0</v>
      </c>
      <c r="M247" s="3385"/>
      <c r="N247" s="3385"/>
      <c r="O247" s="3388"/>
      <c r="P247" s="2573"/>
    </row>
    <row r="248" spans="1:16" s="2574" customFormat="1">
      <c r="A248" s="3376"/>
      <c r="B248" s="1736" t="s">
        <v>18</v>
      </c>
      <c r="C248" s="3391"/>
      <c r="D248" s="2302">
        <f t="shared" si="191"/>
        <v>521599</v>
      </c>
      <c r="E248" s="2237">
        <f t="shared" si="191"/>
        <v>0</v>
      </c>
      <c r="F248" s="2237">
        <f t="shared" si="191"/>
        <v>0</v>
      </c>
      <c r="G248" s="1745">
        <f t="shared" si="191"/>
        <v>521599</v>
      </c>
      <c r="H248" s="1745">
        <f t="shared" si="191"/>
        <v>0</v>
      </c>
      <c r="I248" s="1745">
        <f t="shared" si="191"/>
        <v>0</v>
      </c>
      <c r="J248" s="1745">
        <f t="shared" si="191"/>
        <v>0</v>
      </c>
      <c r="K248" s="1745">
        <f t="shared" si="191"/>
        <v>0</v>
      </c>
      <c r="L248" s="2237">
        <f t="shared" si="191"/>
        <v>0</v>
      </c>
      <c r="M248" s="3384"/>
      <c r="N248" s="3384"/>
      <c r="O248" s="3388"/>
      <c r="P248" s="2573"/>
    </row>
    <row r="249" spans="1:16" s="2574" customFormat="1" ht="13.5" thickBot="1">
      <c r="A249" s="3378"/>
      <c r="B249" s="656" t="s">
        <v>21</v>
      </c>
      <c r="C249" s="3392"/>
      <c r="D249" s="942">
        <f>E249+F249+G249+H249+I249+J249+K249+L249</f>
        <v>521599</v>
      </c>
      <c r="E249" s="677">
        <v>0</v>
      </c>
      <c r="F249" s="985">
        <v>0</v>
      </c>
      <c r="G249" s="483">
        <v>521599</v>
      </c>
      <c r="H249" s="483"/>
      <c r="I249" s="483"/>
      <c r="J249" s="483"/>
      <c r="K249" s="483"/>
      <c r="L249" s="985">
        <v>0</v>
      </c>
      <c r="M249" s="3386"/>
      <c r="N249" s="3386"/>
      <c r="O249" s="3389"/>
      <c r="P249" s="2573"/>
    </row>
    <row r="250" spans="1:16">
      <c r="B250" s="1398" t="s">
        <v>401</v>
      </c>
      <c r="C250" s="1398"/>
      <c r="D250" s="1398"/>
      <c r="E250" s="1398"/>
      <c r="F250" s="1398"/>
      <c r="G250" s="1398"/>
      <c r="H250" s="1398"/>
      <c r="I250" s="1398"/>
      <c r="J250" s="1398"/>
      <c r="K250" s="1398"/>
      <c r="L250" s="1398"/>
    </row>
    <row r="251" spans="1:16" hidden="1">
      <c r="B251" s="1398" t="s">
        <v>402</v>
      </c>
      <c r="C251" s="1398"/>
      <c r="D251" s="1434">
        <f>D37+D54+D67+D91+D118+D130+D156+D186+D201+D219+D234</f>
        <v>109192168</v>
      </c>
      <c r="E251" s="1434">
        <f t="shared" ref="E251:L251" si="192">E37+E54+E67+E91+E118+E130+E156+E186+E201+E219+E234</f>
        <v>8840348</v>
      </c>
      <c r="F251" s="1434">
        <f t="shared" si="192"/>
        <v>9874799</v>
      </c>
      <c r="G251" s="1434">
        <f t="shared" si="192"/>
        <v>27482421</v>
      </c>
      <c r="H251" s="1434">
        <f t="shared" si="192"/>
        <v>19971114</v>
      </c>
      <c r="I251" s="1434">
        <f t="shared" si="192"/>
        <v>14557431</v>
      </c>
      <c r="J251" s="1434">
        <f t="shared" si="192"/>
        <v>12048734</v>
      </c>
      <c r="K251" s="1434">
        <f t="shared" si="192"/>
        <v>8729767</v>
      </c>
      <c r="L251" s="1434">
        <f t="shared" si="192"/>
        <v>7687554</v>
      </c>
      <c r="M251" s="1434" t="e">
        <f t="shared" ref="M251" si="193">M37+M54+M67+M91+M118+M130+M156+M186</f>
        <v>#VALUE!</v>
      </c>
    </row>
    <row r="252" spans="1:16" hidden="1">
      <c r="B252" s="1398" t="s">
        <v>403</v>
      </c>
      <c r="C252" s="1398"/>
      <c r="D252" s="1434">
        <f>D79+D103+D140+D168+D245</f>
        <v>711493</v>
      </c>
      <c r="E252" s="1434">
        <f t="shared" ref="E252:L252" si="194">E79+E103+E140+E168+E245</f>
        <v>21928</v>
      </c>
      <c r="F252" s="1434">
        <f t="shared" si="194"/>
        <v>60263</v>
      </c>
      <c r="G252" s="1434">
        <f t="shared" si="194"/>
        <v>629302</v>
      </c>
      <c r="H252" s="1434">
        <f t="shared" si="194"/>
        <v>0</v>
      </c>
      <c r="I252" s="1434">
        <f t="shared" si="194"/>
        <v>0</v>
      </c>
      <c r="J252" s="1434">
        <f t="shared" si="194"/>
        <v>0</v>
      </c>
      <c r="K252" s="1434">
        <f t="shared" si="194"/>
        <v>0</v>
      </c>
      <c r="L252" s="1434">
        <f t="shared" si="194"/>
        <v>0</v>
      </c>
      <c r="M252" s="1434" t="e">
        <f>M79+M103+M140+M168</f>
        <v>#VALUE!</v>
      </c>
    </row>
    <row r="253" spans="1:16" hidden="1">
      <c r="B253" s="1398" t="s">
        <v>404</v>
      </c>
      <c r="C253" s="1398"/>
      <c r="D253" s="1435">
        <f>D251+D252</f>
        <v>109903661</v>
      </c>
      <c r="E253" s="1435">
        <f t="shared" ref="E253:L253" si="195">E251+E252</f>
        <v>8862276</v>
      </c>
      <c r="F253" s="1435">
        <f t="shared" si="195"/>
        <v>9935062</v>
      </c>
      <c r="G253" s="1435">
        <f t="shared" si="195"/>
        <v>28111723</v>
      </c>
      <c r="H253" s="1435">
        <f t="shared" si="195"/>
        <v>19971114</v>
      </c>
      <c r="I253" s="1435">
        <f t="shared" si="195"/>
        <v>14557431</v>
      </c>
      <c r="J253" s="1435">
        <f t="shared" si="195"/>
        <v>12048734</v>
      </c>
      <c r="K253" s="1435">
        <f t="shared" si="195"/>
        <v>8729767</v>
      </c>
      <c r="L253" s="1435">
        <f t="shared" si="195"/>
        <v>7687554</v>
      </c>
    </row>
    <row r="254" spans="1:16" hidden="1">
      <c r="B254" s="1436" t="s">
        <v>42</v>
      </c>
      <c r="C254" s="1436"/>
      <c r="D254" s="1437">
        <f t="shared" ref="D254:L254" si="196">D253-D17</f>
        <v>0</v>
      </c>
      <c r="E254" s="1437">
        <f t="shared" si="196"/>
        <v>0</v>
      </c>
      <c r="F254" s="1437">
        <f t="shared" si="196"/>
        <v>0</v>
      </c>
      <c r="G254" s="1437">
        <f t="shared" si="196"/>
        <v>0</v>
      </c>
      <c r="H254" s="1437">
        <f t="shared" si="196"/>
        <v>0</v>
      </c>
      <c r="I254" s="1437">
        <f t="shared" si="196"/>
        <v>0</v>
      </c>
      <c r="J254" s="1437">
        <f t="shared" si="196"/>
        <v>0</v>
      </c>
      <c r="K254" s="1437">
        <f t="shared" si="196"/>
        <v>0</v>
      </c>
      <c r="L254" s="1437">
        <f t="shared" si="196"/>
        <v>0</v>
      </c>
    </row>
    <row r="255" spans="1:16">
      <c r="B255" s="1433"/>
      <c r="C255" s="1433"/>
      <c r="D255" s="1433"/>
      <c r="E255" s="1433"/>
      <c r="F255" s="1433"/>
      <c r="G255" s="1433"/>
      <c r="H255" s="1433"/>
      <c r="I255" s="1433"/>
      <c r="J255" s="1433"/>
      <c r="K255" s="1433"/>
      <c r="L255" s="1433"/>
    </row>
  </sheetData>
  <mergeCells count="116">
    <mergeCell ref="O161:O167"/>
    <mergeCell ref="O168:O172"/>
    <mergeCell ref="A161:A172"/>
    <mergeCell ref="C163:C167"/>
    <mergeCell ref="M168:M172"/>
    <mergeCell ref="N168:N172"/>
    <mergeCell ref="C169:C172"/>
    <mergeCell ref="O143:O155"/>
    <mergeCell ref="O156:O160"/>
    <mergeCell ref="M54:M58"/>
    <mergeCell ref="M67:M71"/>
    <mergeCell ref="M79:M83"/>
    <mergeCell ref="M91:M95"/>
    <mergeCell ref="M103:M107"/>
    <mergeCell ref="A143:A160"/>
    <mergeCell ref="C145:C153"/>
    <mergeCell ref="M156:M160"/>
    <mergeCell ref="N156:N160"/>
    <mergeCell ref="C157:C160"/>
    <mergeCell ref="A133:A142"/>
    <mergeCell ref="O133:O142"/>
    <mergeCell ref="C135:C136"/>
    <mergeCell ref="N140:N142"/>
    <mergeCell ref="C141:C142"/>
    <mergeCell ref="M140:M142"/>
    <mergeCell ref="A121:A132"/>
    <mergeCell ref="O121:O132"/>
    <mergeCell ref="N130:N132"/>
    <mergeCell ref="C131:C132"/>
    <mergeCell ref="C123:C129"/>
    <mergeCell ref="M130:M132"/>
    <mergeCell ref="O84:O95"/>
    <mergeCell ref="C86:C90"/>
    <mergeCell ref="N91:N95"/>
    <mergeCell ref="C92:C95"/>
    <mergeCell ref="A108:A120"/>
    <mergeCell ref="O108:O120"/>
    <mergeCell ref="C110:C115"/>
    <mergeCell ref="N118:N120"/>
    <mergeCell ref="C119:C120"/>
    <mergeCell ref="M118:M120"/>
    <mergeCell ref="A96:A107"/>
    <mergeCell ref="O96:O107"/>
    <mergeCell ref="C98:C102"/>
    <mergeCell ref="N103:N107"/>
    <mergeCell ref="C104:C107"/>
    <mergeCell ref="A3:O3"/>
    <mergeCell ref="C4:C5"/>
    <mergeCell ref="D4:D5"/>
    <mergeCell ref="O4:O5"/>
    <mergeCell ref="N4:N5"/>
    <mergeCell ref="B4:B5"/>
    <mergeCell ref="A4:A5"/>
    <mergeCell ref="M4:M5"/>
    <mergeCell ref="A23:A42"/>
    <mergeCell ref="O23:O42"/>
    <mergeCell ref="C25:C36"/>
    <mergeCell ref="C38:C42"/>
    <mergeCell ref="N37:N42"/>
    <mergeCell ref="M17:M22"/>
    <mergeCell ref="M37:M42"/>
    <mergeCell ref="N17:N22"/>
    <mergeCell ref="F4:F5"/>
    <mergeCell ref="G4:L4"/>
    <mergeCell ref="A173:A190"/>
    <mergeCell ref="O173:O185"/>
    <mergeCell ref="C175:C183"/>
    <mergeCell ref="M186:M190"/>
    <mergeCell ref="N186:N190"/>
    <mergeCell ref="O186:O190"/>
    <mergeCell ref="C187:C190"/>
    <mergeCell ref="O43:O51"/>
    <mergeCell ref="O54:O58"/>
    <mergeCell ref="A60:A71"/>
    <mergeCell ref="O60:O71"/>
    <mergeCell ref="C62:C66"/>
    <mergeCell ref="C68:C71"/>
    <mergeCell ref="N67:N71"/>
    <mergeCell ref="A43:A58"/>
    <mergeCell ref="C45:C51"/>
    <mergeCell ref="C55:C58"/>
    <mergeCell ref="N54:N58"/>
    <mergeCell ref="A72:A83"/>
    <mergeCell ref="O72:O83"/>
    <mergeCell ref="C74:C78"/>
    <mergeCell ref="N79:N83"/>
    <mergeCell ref="C80:C83"/>
    <mergeCell ref="A84:A95"/>
    <mergeCell ref="A206:A223"/>
    <mergeCell ref="O206:O218"/>
    <mergeCell ref="C208:C216"/>
    <mergeCell ref="M219:M223"/>
    <mergeCell ref="N219:N223"/>
    <mergeCell ref="O219:O223"/>
    <mergeCell ref="C220:C223"/>
    <mergeCell ref="A191:A205"/>
    <mergeCell ref="O191:O200"/>
    <mergeCell ref="C193:C198"/>
    <mergeCell ref="M201:M205"/>
    <mergeCell ref="N201:N205"/>
    <mergeCell ref="O201:O205"/>
    <mergeCell ref="C202:C205"/>
    <mergeCell ref="A239:A249"/>
    <mergeCell ref="O239:O244"/>
    <mergeCell ref="C241:C244"/>
    <mergeCell ref="M245:M249"/>
    <mergeCell ref="N245:N249"/>
    <mergeCell ref="O245:O249"/>
    <mergeCell ref="C246:C249"/>
    <mergeCell ref="A224:A238"/>
    <mergeCell ref="O224:O233"/>
    <mergeCell ref="C226:C231"/>
    <mergeCell ref="M234:M238"/>
    <mergeCell ref="N234:N238"/>
    <mergeCell ref="O234:O238"/>
    <mergeCell ref="C235:C238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4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&amp;C&amp;P</oddFooter>
  </headerFooter>
  <rowBreaks count="3" manualBreakCount="3">
    <brk id="71" max="14" man="1"/>
    <brk id="132" max="14" man="1"/>
    <brk id="190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V469"/>
  <sheetViews>
    <sheetView showGridLines="0" view="pageBreakPreview" zoomScaleSheetLayoutView="100" workbookViewId="0">
      <pane ySplit="8" topLeftCell="A9" activePane="bottomLeft" state="frozen"/>
      <selection activeCell="B96" sqref="B96"/>
      <selection pane="bottomLeft" activeCell="C62" sqref="C62:G67"/>
    </sheetView>
  </sheetViews>
  <sheetFormatPr defaultColWidth="9.140625" defaultRowHeight="12.75"/>
  <cols>
    <col min="1" max="1" width="3.7109375" style="317" customWidth="1"/>
    <col min="2" max="2" width="54.7109375" style="318" customWidth="1"/>
    <col min="3" max="3" width="9.85546875" style="318" customWidth="1"/>
    <col min="4" max="4" width="13.7109375" style="318" customWidth="1"/>
    <col min="5" max="5" width="11.85546875" style="318" customWidth="1"/>
    <col min="6" max="6" width="9.5703125" style="318" customWidth="1"/>
    <col min="7" max="7" width="10.85546875" style="318" customWidth="1"/>
    <col min="8" max="8" width="10.28515625" style="318" customWidth="1"/>
    <col min="9" max="9" width="9.7109375" style="318" customWidth="1"/>
    <col min="10" max="10" width="10.5703125" style="318" customWidth="1"/>
    <col min="11" max="11" width="10" style="318" customWidth="1"/>
    <col min="12" max="12" width="9.7109375" style="318" customWidth="1"/>
    <col min="13" max="13" width="12.140625" style="318" hidden="1" customWidth="1"/>
    <col min="14" max="14" width="13" style="318" customWidth="1"/>
    <col min="15" max="15" width="14.28515625" style="384" customWidth="1"/>
    <col min="16" max="16" width="11.5703125" style="383" hidden="1" customWidth="1"/>
    <col min="17" max="17" width="10.140625" style="383" hidden="1" customWidth="1"/>
    <col min="18" max="18" width="10.7109375" style="383" hidden="1" customWidth="1"/>
    <col min="19" max="19" width="9.140625" style="383"/>
    <col min="20" max="20" width="10.140625" style="383" customWidth="1"/>
    <col min="21" max="21" width="9.140625" style="383"/>
    <col min="22" max="22" width="10.7109375" style="383" customWidth="1"/>
    <col min="23" max="31" width="9.140625" style="383"/>
    <col min="32" max="32" width="8.5703125" style="383" customWidth="1"/>
    <col min="33" max="44" width="9.140625" style="383"/>
    <col min="45" max="45" width="8.7109375" style="383" customWidth="1"/>
    <col min="46" max="55" width="9.140625" style="383"/>
    <col min="56" max="56" width="4.28515625" style="383" customWidth="1"/>
    <col min="57" max="66" width="9.140625" style="383"/>
    <col min="67" max="67" width="5" style="383" customWidth="1"/>
    <col min="68" max="77" width="9.140625" style="383"/>
    <col min="78" max="78" width="3.85546875" style="383" customWidth="1"/>
    <col min="79" max="90" width="9.140625" style="383"/>
    <col min="91" max="91" width="5.28515625" style="383" customWidth="1"/>
    <col min="92" max="103" width="9.140625" style="383"/>
    <col min="104" max="104" width="1.5703125" style="383" customWidth="1"/>
    <col min="105" max="117" width="9.140625" style="383"/>
    <col min="118" max="118" width="0.7109375" style="383" customWidth="1"/>
    <col min="119" max="130" width="9.140625" style="383"/>
    <col min="131" max="131" width="8.28515625" style="383" customWidth="1"/>
    <col min="132" max="140" width="9.140625" style="383"/>
    <col min="141" max="141" width="0.28515625" style="383" customWidth="1"/>
    <col min="142" max="167" width="9.140625" style="383"/>
    <col min="168" max="168" width="0.7109375" style="383" customWidth="1"/>
    <col min="169" max="16384" width="9.140625" style="383"/>
  </cols>
  <sheetData>
    <row r="1" spans="1:18" ht="17.25" customHeight="1">
      <c r="D1" s="321"/>
      <c r="E1" s="321"/>
      <c r="H1" s="323" t="s">
        <v>435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7"/>
    </row>
    <row r="4" spans="1:18" ht="8.25" customHeight="1">
      <c r="D4" s="321"/>
      <c r="E4" s="321"/>
      <c r="F4" s="324"/>
      <c r="G4" s="324"/>
      <c r="H4" s="6"/>
      <c r="I4" s="6"/>
      <c r="J4" s="6"/>
      <c r="K4" s="6"/>
      <c r="L4" s="6"/>
      <c r="M4" s="6"/>
      <c r="N4" s="6"/>
      <c r="O4" s="7"/>
    </row>
    <row r="5" spans="1:18" s="325" customFormat="1" ht="18.75" thickBot="1">
      <c r="A5" s="3464" t="s">
        <v>227</v>
      </c>
      <c r="B5" s="3464"/>
      <c r="C5" s="3464"/>
      <c r="D5" s="3464"/>
      <c r="E5" s="3464"/>
      <c r="F5" s="1612"/>
      <c r="G5" s="1612"/>
      <c r="H5" s="1613"/>
      <c r="I5" s="1613"/>
      <c r="J5" s="1613"/>
      <c r="K5" s="1613"/>
      <c r="L5" s="1613"/>
      <c r="M5" s="1613"/>
      <c r="N5" s="1613"/>
      <c r="O5" s="1613"/>
    </row>
    <row r="6" spans="1:18" ht="36.75" customHeight="1">
      <c r="A6" s="1614"/>
      <c r="B6" s="1614"/>
      <c r="C6" s="3310" t="s">
        <v>71</v>
      </c>
      <c r="D6" s="3466" t="s">
        <v>72</v>
      </c>
      <c r="E6" s="3469" t="s">
        <v>460</v>
      </c>
      <c r="F6" s="3330" t="s">
        <v>525</v>
      </c>
      <c r="G6" s="3327" t="s">
        <v>457</v>
      </c>
      <c r="H6" s="3328"/>
      <c r="I6" s="3328"/>
      <c r="J6" s="3328"/>
      <c r="K6" s="3328"/>
      <c r="L6" s="3329"/>
      <c r="M6" s="3319" t="s">
        <v>478</v>
      </c>
      <c r="N6" s="3319" t="s">
        <v>458</v>
      </c>
      <c r="O6" s="3480" t="s">
        <v>73</v>
      </c>
    </row>
    <row r="7" spans="1:18" ht="45.75" customHeight="1">
      <c r="A7" s="2197" t="s">
        <v>74</v>
      </c>
      <c r="B7" s="1615" t="s">
        <v>75</v>
      </c>
      <c r="C7" s="3465"/>
      <c r="D7" s="3467"/>
      <c r="E7" s="3470"/>
      <c r="F7" s="3488"/>
      <c r="G7" s="3487" t="s">
        <v>6</v>
      </c>
      <c r="H7" s="3487" t="s">
        <v>206</v>
      </c>
      <c r="I7" s="3487" t="s">
        <v>208</v>
      </c>
      <c r="J7" s="3487" t="s">
        <v>253</v>
      </c>
      <c r="K7" s="3487" t="s">
        <v>254</v>
      </c>
      <c r="L7" s="3487" t="s">
        <v>252</v>
      </c>
      <c r="M7" s="3483"/>
      <c r="N7" s="3483"/>
      <c r="O7" s="3481"/>
    </row>
    <row r="8" spans="1:18" ht="15.75" customHeight="1" thickBot="1">
      <c r="A8" s="1616"/>
      <c r="B8" s="1617"/>
      <c r="C8" s="3311"/>
      <c r="D8" s="3468"/>
      <c r="E8" s="3471"/>
      <c r="F8" s="3489"/>
      <c r="G8" s="3331"/>
      <c r="H8" s="3331"/>
      <c r="I8" s="3331"/>
      <c r="J8" s="3331"/>
      <c r="K8" s="3331"/>
      <c r="L8" s="3331"/>
      <c r="M8" s="3320"/>
      <c r="N8" s="3320"/>
      <c r="O8" s="3482"/>
    </row>
    <row r="9" spans="1:18" s="326" customFormat="1" ht="12" customHeight="1" thickBot="1">
      <c r="A9" s="1042">
        <v>1</v>
      </c>
      <c r="B9" s="1043">
        <v>2</v>
      </c>
      <c r="C9" s="1044" t="s">
        <v>118</v>
      </c>
      <c r="D9" s="1044" t="s">
        <v>119</v>
      </c>
      <c r="E9" s="1044">
        <v>5</v>
      </c>
      <c r="F9" s="1044">
        <v>6</v>
      </c>
      <c r="G9" s="1044">
        <v>7</v>
      </c>
      <c r="H9" s="1044">
        <v>8</v>
      </c>
      <c r="I9" s="1044">
        <v>9</v>
      </c>
      <c r="J9" s="1044">
        <v>10</v>
      </c>
      <c r="K9" s="1044">
        <v>11</v>
      </c>
      <c r="L9" s="1044">
        <v>12</v>
      </c>
      <c r="M9" s="1045">
        <v>13</v>
      </c>
      <c r="N9" s="1045">
        <v>13</v>
      </c>
      <c r="O9" s="1046">
        <v>14</v>
      </c>
      <c r="Q9" s="1618"/>
    </row>
    <row r="10" spans="1:18" s="1834" customFormat="1" ht="15.75" customHeight="1">
      <c r="A10" s="1619"/>
      <c r="B10" s="236" t="s">
        <v>76</v>
      </c>
      <c r="C10" s="210"/>
      <c r="D10" s="211">
        <f>+D11+D12</f>
        <v>63465125</v>
      </c>
      <c r="E10" s="211">
        <f t="shared" ref="E10" si="0">+E11+E12</f>
        <v>0</v>
      </c>
      <c r="F10" s="211">
        <f t="shared" ref="F10" si="1">+F11+F12</f>
        <v>0</v>
      </c>
      <c r="G10" s="211">
        <f t="shared" ref="G10:N10" si="2">+G11+G12</f>
        <v>4247813</v>
      </c>
      <c r="H10" s="211">
        <f t="shared" si="2"/>
        <v>5225973</v>
      </c>
      <c r="I10" s="211">
        <f t="shared" si="2"/>
        <v>5225973</v>
      </c>
      <c r="J10" s="211">
        <f t="shared" si="2"/>
        <v>5225973</v>
      </c>
      <c r="K10" s="211">
        <f t="shared" si="2"/>
        <v>5085973</v>
      </c>
      <c r="L10" s="1620">
        <f t="shared" si="2"/>
        <v>4145973</v>
      </c>
      <c r="M10" s="1621">
        <f t="shared" ref="M10" si="3">+M11+M12</f>
        <v>63465125</v>
      </c>
      <c r="N10" s="1621">
        <f t="shared" si="2"/>
        <v>63465125</v>
      </c>
      <c r="O10" s="1622"/>
      <c r="Q10" s="329"/>
      <c r="R10" s="329"/>
    </row>
    <row r="11" spans="1:18" s="1834" customFormat="1" ht="15.75" customHeight="1">
      <c r="A11" s="189"/>
      <c r="B11" s="225" t="s">
        <v>77</v>
      </c>
      <c r="C11" s="213"/>
      <c r="D11" s="214">
        <f>+D46+D51+D56</f>
        <v>63465125</v>
      </c>
      <c r="E11" s="2149">
        <f t="shared" ref="E11:N11" si="4">+E46+E51+E56</f>
        <v>0</v>
      </c>
      <c r="F11" s="2150">
        <f t="shared" si="4"/>
        <v>0</v>
      </c>
      <c r="G11" s="2150">
        <f t="shared" si="4"/>
        <v>4247813</v>
      </c>
      <c r="H11" s="2150">
        <f t="shared" si="4"/>
        <v>5225973</v>
      </c>
      <c r="I11" s="2150">
        <f t="shared" si="4"/>
        <v>5225973</v>
      </c>
      <c r="J11" s="2150">
        <f t="shared" si="4"/>
        <v>5225973</v>
      </c>
      <c r="K11" s="2150">
        <f t="shared" si="4"/>
        <v>5085973</v>
      </c>
      <c r="L11" s="2150">
        <f t="shared" si="4"/>
        <v>4145973</v>
      </c>
      <c r="M11" s="2320">
        <f t="shared" si="4"/>
        <v>63465125</v>
      </c>
      <c r="N11" s="2152">
        <f t="shared" si="4"/>
        <v>63465125</v>
      </c>
      <c r="O11" s="1623"/>
    </row>
    <row r="12" spans="1:18" s="1834" customFormat="1" ht="15.75" customHeight="1" thickBot="1">
      <c r="A12" s="189"/>
      <c r="B12" s="226" t="s">
        <v>9</v>
      </c>
      <c r="C12" s="658"/>
      <c r="D12" s="224">
        <f>+D33+D34+D35</f>
        <v>0</v>
      </c>
      <c r="E12" s="2151">
        <f t="shared" ref="E12:N12" si="5">+E33+E34+E35</f>
        <v>0</v>
      </c>
      <c r="F12" s="224">
        <f t="shared" si="5"/>
        <v>0</v>
      </c>
      <c r="G12" s="224">
        <f t="shared" si="5"/>
        <v>0</v>
      </c>
      <c r="H12" s="224">
        <f t="shared" si="5"/>
        <v>0</v>
      </c>
      <c r="I12" s="224">
        <f t="shared" si="5"/>
        <v>0</v>
      </c>
      <c r="J12" s="224">
        <f t="shared" si="5"/>
        <v>0</v>
      </c>
      <c r="K12" s="224">
        <f t="shared" si="5"/>
        <v>0</v>
      </c>
      <c r="L12" s="224">
        <f t="shared" si="5"/>
        <v>0</v>
      </c>
      <c r="M12" s="2319">
        <f t="shared" si="5"/>
        <v>0</v>
      </c>
      <c r="N12" s="1624">
        <f t="shared" si="5"/>
        <v>0</v>
      </c>
      <c r="O12" s="1623"/>
    </row>
    <row r="13" spans="1:18" s="326" customFormat="1" ht="15" customHeight="1">
      <c r="A13" s="189"/>
      <c r="B13" s="1625" t="s">
        <v>10</v>
      </c>
      <c r="C13" s="1626"/>
      <c r="D13" s="1627">
        <f>+D14+D21</f>
        <v>66555124.640000001</v>
      </c>
      <c r="E13" s="1628">
        <f t="shared" ref="E13:L13" si="6">+E14+E21</f>
        <v>1776666.64</v>
      </c>
      <c r="F13" s="1628">
        <f t="shared" si="6"/>
        <v>1313333</v>
      </c>
      <c r="G13" s="1628">
        <f t="shared" si="6"/>
        <v>4247813</v>
      </c>
      <c r="H13" s="1628">
        <f t="shared" si="6"/>
        <v>5225973</v>
      </c>
      <c r="I13" s="1628">
        <f t="shared" si="6"/>
        <v>5225973</v>
      </c>
      <c r="J13" s="1628">
        <f t="shared" si="6"/>
        <v>5225973</v>
      </c>
      <c r="K13" s="1628">
        <f t="shared" si="6"/>
        <v>5085973</v>
      </c>
      <c r="L13" s="1628">
        <f t="shared" si="6"/>
        <v>4145973</v>
      </c>
      <c r="M13" s="1629">
        <f>SUM(M14,M21)</f>
        <v>63465125</v>
      </c>
      <c r="N13" s="1629">
        <f>SUM(N14,N21)</f>
        <v>63465125</v>
      </c>
      <c r="O13" s="659"/>
      <c r="R13" s="179"/>
    </row>
    <row r="14" spans="1:18" s="377" customFormat="1" ht="14.25" customHeight="1">
      <c r="A14" s="189"/>
      <c r="B14" s="1630" t="s">
        <v>11</v>
      </c>
      <c r="C14" s="1631"/>
      <c r="D14" s="1632">
        <f>SUM(D15:D20)</f>
        <v>66555124.640000001</v>
      </c>
      <c r="E14" s="1632">
        <f t="shared" ref="E14:L14" si="7">SUM(E15:E20)</f>
        <v>1776666.64</v>
      </c>
      <c r="F14" s="1632">
        <f t="shared" si="7"/>
        <v>1313333</v>
      </c>
      <c r="G14" s="1632">
        <f t="shared" si="7"/>
        <v>4247813</v>
      </c>
      <c r="H14" s="1632">
        <f t="shared" si="7"/>
        <v>5225973</v>
      </c>
      <c r="I14" s="1632">
        <f t="shared" si="7"/>
        <v>5225973</v>
      </c>
      <c r="J14" s="1632">
        <f t="shared" si="7"/>
        <v>5225973</v>
      </c>
      <c r="K14" s="1632">
        <f t="shared" si="7"/>
        <v>5085973</v>
      </c>
      <c r="L14" s="1632">
        <f t="shared" si="7"/>
        <v>4145973</v>
      </c>
      <c r="M14" s="1633">
        <f>SUM(M15:M20)</f>
        <v>63465125</v>
      </c>
      <c r="N14" s="1633">
        <f>SUM(N15:N20)</f>
        <v>63465125</v>
      </c>
      <c r="O14" s="660"/>
      <c r="Q14" s="378"/>
    </row>
    <row r="15" spans="1:18" s="377" customFormat="1" ht="14.25" customHeight="1">
      <c r="A15" s="189"/>
      <c r="B15" s="1634" t="s">
        <v>12</v>
      </c>
      <c r="C15" s="1631"/>
      <c r="D15" s="1635">
        <f>+D46+D51+D56</f>
        <v>63465125</v>
      </c>
      <c r="E15" s="1635">
        <f t="shared" ref="E15:K15" si="8">+E46+E51+E56</f>
        <v>0</v>
      </c>
      <c r="F15" s="1635">
        <f t="shared" si="8"/>
        <v>0</v>
      </c>
      <c r="G15" s="1635">
        <f t="shared" si="8"/>
        <v>4247813</v>
      </c>
      <c r="H15" s="1635">
        <f t="shared" si="8"/>
        <v>5225973</v>
      </c>
      <c r="I15" s="1635">
        <f t="shared" si="8"/>
        <v>5225973</v>
      </c>
      <c r="J15" s="1635">
        <f t="shared" si="8"/>
        <v>5225973</v>
      </c>
      <c r="K15" s="1635">
        <f t="shared" si="8"/>
        <v>5085973</v>
      </c>
      <c r="L15" s="1635">
        <f>+L46+L51+L56</f>
        <v>4145973</v>
      </c>
      <c r="M15" s="1643">
        <f>+M46+M51+M56</f>
        <v>63465125</v>
      </c>
      <c r="N15" s="1640">
        <f>+N46+N51+N56</f>
        <v>63465125</v>
      </c>
      <c r="O15" s="660"/>
      <c r="Q15" s="378"/>
      <c r="R15" s="378"/>
    </row>
    <row r="16" spans="1:18" s="326" customFormat="1" ht="14.25" customHeight="1" thickBot="1">
      <c r="A16" s="189"/>
      <c r="B16" s="1634" t="s">
        <v>32</v>
      </c>
      <c r="C16" s="1636"/>
      <c r="D16" s="1637">
        <f>+D32+D45+D50+D55</f>
        <v>3089999.64</v>
      </c>
      <c r="E16" s="1637">
        <f t="shared" ref="E16:L16" si="9">+E32+E45+E50+E55</f>
        <v>1776666.64</v>
      </c>
      <c r="F16" s="1637">
        <f t="shared" si="9"/>
        <v>1313333</v>
      </c>
      <c r="G16" s="1637">
        <f t="shared" si="9"/>
        <v>0</v>
      </c>
      <c r="H16" s="1637">
        <f t="shared" si="9"/>
        <v>0</v>
      </c>
      <c r="I16" s="1637">
        <f t="shared" si="9"/>
        <v>0</v>
      </c>
      <c r="J16" s="1637">
        <f t="shared" si="9"/>
        <v>0</v>
      </c>
      <c r="K16" s="1637">
        <f t="shared" si="9"/>
        <v>0</v>
      </c>
      <c r="L16" s="1637">
        <f t="shared" si="9"/>
        <v>0</v>
      </c>
      <c r="M16" s="1638" t="s">
        <v>61</v>
      </c>
      <c r="N16" s="1638" t="s">
        <v>61</v>
      </c>
      <c r="O16" s="659"/>
      <c r="Q16" s="179"/>
      <c r="R16" s="179"/>
    </row>
    <row r="17" spans="1:19" s="326" customFormat="1" ht="14.25" hidden="1" customHeight="1" thickBot="1">
      <c r="A17" s="189"/>
      <c r="B17" s="1634" t="s">
        <v>121</v>
      </c>
      <c r="C17" s="1639"/>
      <c r="D17" s="1637">
        <f>+D33</f>
        <v>0</v>
      </c>
      <c r="E17" s="1637">
        <f t="shared" ref="E17:L17" si="10">+E33</f>
        <v>0</v>
      </c>
      <c r="F17" s="1637">
        <f t="shared" si="10"/>
        <v>0</v>
      </c>
      <c r="G17" s="1637">
        <f t="shared" si="10"/>
        <v>0</v>
      </c>
      <c r="H17" s="1637">
        <f t="shared" si="10"/>
        <v>0</v>
      </c>
      <c r="I17" s="1637">
        <f t="shared" si="10"/>
        <v>0</v>
      </c>
      <c r="J17" s="1637">
        <f t="shared" si="10"/>
        <v>0</v>
      </c>
      <c r="K17" s="1637">
        <f t="shared" si="10"/>
        <v>0</v>
      </c>
      <c r="L17" s="1637">
        <f t="shared" si="10"/>
        <v>0</v>
      </c>
      <c r="M17" s="1640"/>
      <c r="N17" s="1640"/>
      <c r="O17" s="1641"/>
      <c r="Q17" s="179"/>
      <c r="R17" s="179"/>
    </row>
    <row r="18" spans="1:19" s="377" customFormat="1" ht="14.25" hidden="1" customHeight="1">
      <c r="A18" s="661"/>
      <c r="B18" s="1642" t="s">
        <v>13</v>
      </c>
      <c r="C18" s="1636"/>
      <c r="D18" s="1639">
        <f>D34</f>
        <v>0</v>
      </c>
      <c r="E18" s="1639">
        <f t="shared" ref="E18:O18" si="11">E34</f>
        <v>0</v>
      </c>
      <c r="F18" s="1639">
        <f t="shared" si="11"/>
        <v>0</v>
      </c>
      <c r="G18" s="1639">
        <f t="shared" si="11"/>
        <v>0</v>
      </c>
      <c r="H18" s="1639">
        <f t="shared" si="11"/>
        <v>0</v>
      </c>
      <c r="I18" s="1639">
        <f t="shared" si="11"/>
        <v>0</v>
      </c>
      <c r="J18" s="1639">
        <f t="shared" si="11"/>
        <v>0</v>
      </c>
      <c r="K18" s="1639">
        <f t="shared" si="11"/>
        <v>0</v>
      </c>
      <c r="L18" s="1639">
        <f t="shared" si="11"/>
        <v>0</v>
      </c>
      <c r="M18" s="1643">
        <f t="shared" si="11"/>
        <v>0</v>
      </c>
      <c r="N18" s="1640">
        <f t="shared" si="11"/>
        <v>0</v>
      </c>
      <c r="O18" s="1639">
        <f t="shared" si="11"/>
        <v>0</v>
      </c>
      <c r="Q18" s="378"/>
    </row>
    <row r="19" spans="1:19" s="336" customFormat="1" ht="14.25" hidden="1" customHeight="1">
      <c r="A19" s="661"/>
      <c r="B19" s="1642" t="s">
        <v>34</v>
      </c>
      <c r="C19" s="1636"/>
      <c r="D19" s="1639"/>
      <c r="E19" s="1639"/>
      <c r="F19" s="1639"/>
      <c r="G19" s="1639"/>
      <c r="H19" s="1639"/>
      <c r="I19" s="1639"/>
      <c r="J19" s="1639"/>
      <c r="K19" s="1639"/>
      <c r="L19" s="1639"/>
      <c r="M19" s="1645"/>
      <c r="N19" s="1645"/>
      <c r="O19" s="1644"/>
      <c r="Q19" s="1646"/>
    </row>
    <row r="20" spans="1:19" s="326" customFormat="1" ht="14.25" hidden="1" customHeight="1">
      <c r="A20" s="189"/>
      <c r="B20" s="1642" t="s">
        <v>122</v>
      </c>
      <c r="C20" s="1636"/>
      <c r="D20" s="1639">
        <f t="shared" ref="D20" si="12">D35</f>
        <v>0</v>
      </c>
      <c r="E20" s="1639">
        <f t="shared" ref="E20:L20" si="13">E35</f>
        <v>0</v>
      </c>
      <c r="F20" s="1639">
        <f t="shared" si="13"/>
        <v>0</v>
      </c>
      <c r="G20" s="1639">
        <f t="shared" si="13"/>
        <v>0</v>
      </c>
      <c r="H20" s="1639">
        <f t="shared" si="13"/>
        <v>0</v>
      </c>
      <c r="I20" s="1639">
        <f t="shared" si="13"/>
        <v>0</v>
      </c>
      <c r="J20" s="1639">
        <f t="shared" si="13"/>
        <v>0</v>
      </c>
      <c r="K20" s="1639">
        <f t="shared" si="13"/>
        <v>0</v>
      </c>
      <c r="L20" s="1639">
        <f t="shared" si="13"/>
        <v>0</v>
      </c>
      <c r="M20" s="1640">
        <f>M35</f>
        <v>0</v>
      </c>
      <c r="N20" s="1640">
        <f>N35</f>
        <v>0</v>
      </c>
      <c r="O20" s="1641"/>
      <c r="Q20" s="179"/>
    </row>
    <row r="21" spans="1:19" s="377" customFormat="1" ht="14.25" hidden="1" customHeight="1">
      <c r="A21" s="149"/>
      <c r="B21" s="183" t="s">
        <v>18</v>
      </c>
      <c r="C21" s="1647"/>
      <c r="D21" s="1648">
        <f t="shared" ref="D21:L21" si="14">SUM(D22:D22)</f>
        <v>0</v>
      </c>
      <c r="E21" s="1648">
        <f t="shared" si="14"/>
        <v>0</v>
      </c>
      <c r="F21" s="1648">
        <f t="shared" si="14"/>
        <v>0</v>
      </c>
      <c r="G21" s="1648">
        <f t="shared" si="14"/>
        <v>0</v>
      </c>
      <c r="H21" s="1648">
        <f t="shared" si="14"/>
        <v>0</v>
      </c>
      <c r="I21" s="1648">
        <f t="shared" si="14"/>
        <v>0</v>
      </c>
      <c r="J21" s="1648">
        <f t="shared" si="14"/>
        <v>0</v>
      </c>
      <c r="K21" s="1648">
        <f t="shared" si="14"/>
        <v>0</v>
      </c>
      <c r="L21" s="1648">
        <f t="shared" si="14"/>
        <v>0</v>
      </c>
      <c r="M21" s="1638" t="s">
        <v>61</v>
      </c>
      <c r="N21" s="1638" t="s">
        <v>61</v>
      </c>
      <c r="O21" s="660"/>
    </row>
    <row r="22" spans="1:19" s="326" customFormat="1" ht="14.25" hidden="1" customHeight="1">
      <c r="A22" s="165"/>
      <c r="B22" s="1649" t="s">
        <v>35</v>
      </c>
      <c r="C22" s="1650"/>
      <c r="D22" s="1651"/>
      <c r="E22" s="1651"/>
      <c r="F22" s="1651"/>
      <c r="G22" s="1651"/>
      <c r="H22" s="1651"/>
      <c r="I22" s="1651"/>
      <c r="J22" s="1651"/>
      <c r="K22" s="1651"/>
      <c r="L22" s="1651"/>
      <c r="M22" s="1638" t="s">
        <v>61</v>
      </c>
      <c r="N22" s="1638" t="s">
        <v>61</v>
      </c>
      <c r="O22" s="1652"/>
    </row>
    <row r="23" spans="1:19" s="377" customFormat="1" ht="14.25" hidden="1" customHeight="1">
      <c r="A23" s="149"/>
      <c r="B23" s="662" t="s">
        <v>22</v>
      </c>
      <c r="C23" s="188"/>
      <c r="D23" s="678">
        <f>+D24+D27</f>
        <v>0</v>
      </c>
      <c r="E23" s="678">
        <f t="shared" ref="E23:L23" si="15">+E24+E27</f>
        <v>0</v>
      </c>
      <c r="F23" s="678">
        <f t="shared" si="15"/>
        <v>0</v>
      </c>
      <c r="G23" s="678">
        <f t="shared" si="15"/>
        <v>0</v>
      </c>
      <c r="H23" s="678">
        <f t="shared" si="15"/>
        <v>0</v>
      </c>
      <c r="I23" s="678">
        <f t="shared" si="15"/>
        <v>0</v>
      </c>
      <c r="J23" s="678">
        <f t="shared" si="15"/>
        <v>0</v>
      </c>
      <c r="K23" s="678">
        <f t="shared" si="15"/>
        <v>0</v>
      </c>
      <c r="L23" s="678">
        <f t="shared" si="15"/>
        <v>0</v>
      </c>
      <c r="M23" s="3484" t="s">
        <v>23</v>
      </c>
      <c r="N23" s="3484" t="s">
        <v>23</v>
      </c>
      <c r="O23" s="1653"/>
    </row>
    <row r="24" spans="1:19" s="326" customFormat="1" ht="14.25" hidden="1" customHeight="1">
      <c r="A24" s="165"/>
      <c r="B24" s="183" t="s">
        <v>11</v>
      </c>
      <c r="C24" s="1647"/>
      <c r="D24" s="1648">
        <f>+D25+D26</f>
        <v>0</v>
      </c>
      <c r="E24" s="1648">
        <f t="shared" ref="E24:L24" si="16">+E25+E26</f>
        <v>0</v>
      </c>
      <c r="F24" s="1648">
        <f t="shared" si="16"/>
        <v>0</v>
      </c>
      <c r="G24" s="1648">
        <f t="shared" si="16"/>
        <v>0</v>
      </c>
      <c r="H24" s="1648">
        <f t="shared" si="16"/>
        <v>0</v>
      </c>
      <c r="I24" s="1648">
        <f t="shared" si="16"/>
        <v>0</v>
      </c>
      <c r="J24" s="1648">
        <f t="shared" si="16"/>
        <v>0</v>
      </c>
      <c r="K24" s="1648">
        <f t="shared" si="16"/>
        <v>0</v>
      </c>
      <c r="L24" s="1648">
        <f t="shared" si="16"/>
        <v>0</v>
      </c>
      <c r="M24" s="3485"/>
      <c r="N24" s="3485"/>
      <c r="O24" s="1652"/>
    </row>
    <row r="25" spans="1:19" s="326" customFormat="1" ht="14.25" hidden="1" customHeight="1">
      <c r="A25" s="165"/>
      <c r="B25" s="1642" t="s">
        <v>13</v>
      </c>
      <c r="C25" s="1636"/>
      <c r="D25" s="1639">
        <f>D40</f>
        <v>0</v>
      </c>
      <c r="E25" s="1639">
        <f t="shared" ref="E25:L25" si="17">E40</f>
        <v>0</v>
      </c>
      <c r="F25" s="1639">
        <f t="shared" si="17"/>
        <v>0</v>
      </c>
      <c r="G25" s="1639">
        <f t="shared" si="17"/>
        <v>0</v>
      </c>
      <c r="H25" s="1639">
        <f t="shared" si="17"/>
        <v>0</v>
      </c>
      <c r="I25" s="1639">
        <f t="shared" si="17"/>
        <v>0</v>
      </c>
      <c r="J25" s="1639">
        <f t="shared" si="17"/>
        <v>0</v>
      </c>
      <c r="K25" s="1639">
        <f t="shared" si="17"/>
        <v>0</v>
      </c>
      <c r="L25" s="1639">
        <f t="shared" si="17"/>
        <v>0</v>
      </c>
      <c r="M25" s="3485"/>
      <c r="N25" s="3485"/>
      <c r="O25" s="1652"/>
      <c r="Q25" s="179"/>
    </row>
    <row r="26" spans="1:19" s="326" customFormat="1" ht="14.25" hidden="1" customHeight="1">
      <c r="A26" s="165"/>
      <c r="B26" s="1642" t="s">
        <v>436</v>
      </c>
      <c r="C26" s="1636"/>
      <c r="D26" s="1639">
        <f t="shared" ref="D26" si="18">D41</f>
        <v>0</v>
      </c>
      <c r="E26" s="1639">
        <f t="shared" ref="E26:L26" si="19">E41</f>
        <v>0</v>
      </c>
      <c r="F26" s="1639">
        <f t="shared" si="19"/>
        <v>0</v>
      </c>
      <c r="G26" s="1639">
        <f t="shared" si="19"/>
        <v>0</v>
      </c>
      <c r="H26" s="1639">
        <f t="shared" si="19"/>
        <v>0</v>
      </c>
      <c r="I26" s="1639">
        <f t="shared" si="19"/>
        <v>0</v>
      </c>
      <c r="J26" s="1639">
        <f t="shared" si="19"/>
        <v>0</v>
      </c>
      <c r="K26" s="1639">
        <f t="shared" si="19"/>
        <v>0</v>
      </c>
      <c r="L26" s="1639">
        <f t="shared" si="19"/>
        <v>0</v>
      </c>
      <c r="M26" s="3485"/>
      <c r="N26" s="3485"/>
      <c r="O26" s="1652"/>
      <c r="Q26" s="179"/>
    </row>
    <row r="27" spans="1:19" s="326" customFormat="1" ht="14.25" hidden="1" customHeight="1">
      <c r="A27" s="165"/>
      <c r="B27" s="183" t="s">
        <v>18</v>
      </c>
      <c r="C27" s="1647"/>
      <c r="D27" s="1648">
        <f t="shared" ref="D27:L27" si="20">SUM(D28:D28)</f>
        <v>0</v>
      </c>
      <c r="E27" s="1648">
        <f t="shared" si="20"/>
        <v>0</v>
      </c>
      <c r="F27" s="1648">
        <f t="shared" si="20"/>
        <v>0</v>
      </c>
      <c r="G27" s="1648">
        <f t="shared" si="20"/>
        <v>0</v>
      </c>
      <c r="H27" s="1648">
        <f t="shared" si="20"/>
        <v>0</v>
      </c>
      <c r="I27" s="1648">
        <f t="shared" si="20"/>
        <v>0</v>
      </c>
      <c r="J27" s="1648">
        <f t="shared" si="20"/>
        <v>0</v>
      </c>
      <c r="K27" s="1648">
        <f t="shared" si="20"/>
        <v>0</v>
      </c>
      <c r="L27" s="1648">
        <f t="shared" si="20"/>
        <v>0</v>
      </c>
      <c r="M27" s="3485"/>
      <c r="N27" s="3485"/>
      <c r="O27" s="1652"/>
      <c r="Q27" s="179"/>
    </row>
    <row r="28" spans="1:19" s="326" customFormat="1" ht="14.25" hidden="1" customHeight="1" thickBot="1">
      <c r="A28" s="165"/>
      <c r="B28" s="1649" t="s">
        <v>35</v>
      </c>
      <c r="C28" s="1654"/>
      <c r="D28" s="1581"/>
      <c r="E28" s="1581"/>
      <c r="F28" s="1581"/>
      <c r="G28" s="1581"/>
      <c r="H28" s="1581"/>
      <c r="I28" s="1581"/>
      <c r="J28" s="1581"/>
      <c r="K28" s="1581"/>
      <c r="L28" s="1581"/>
      <c r="M28" s="3486"/>
      <c r="N28" s="3486"/>
      <c r="O28" s="1652"/>
      <c r="Q28" s="179"/>
    </row>
    <row r="29" spans="1:19" s="348" customFormat="1" ht="38.25" hidden="1" customHeight="1">
      <c r="A29" s="3500" t="s">
        <v>63</v>
      </c>
      <c r="B29" s="2337"/>
      <c r="C29" s="2338" t="s">
        <v>81</v>
      </c>
      <c r="D29" s="2339"/>
      <c r="E29" s="2340"/>
      <c r="F29" s="2340"/>
      <c r="G29" s="2340"/>
      <c r="H29" s="2340"/>
      <c r="I29" s="2340"/>
      <c r="J29" s="2341"/>
      <c r="K29" s="2340"/>
      <c r="L29" s="2339"/>
      <c r="M29" s="2342"/>
      <c r="N29" s="2342"/>
      <c r="O29" s="3503"/>
      <c r="Q29" s="3490"/>
      <c r="R29" s="3490"/>
      <c r="S29" s="3490"/>
    </row>
    <row r="30" spans="1:19" s="348" customFormat="1" ht="13.5" hidden="1" customHeight="1">
      <c r="A30" s="3501"/>
      <c r="B30" s="2343" t="s">
        <v>10</v>
      </c>
      <c r="C30" s="2344"/>
      <c r="D30" s="2345">
        <f>+D31+D36</f>
        <v>0</v>
      </c>
      <c r="E30" s="2345">
        <f t="shared" ref="E30" si="21">+E31+E36</f>
        <v>0</v>
      </c>
      <c r="F30" s="2345">
        <f t="shared" ref="F30:L30" si="22">+F31</f>
        <v>0</v>
      </c>
      <c r="G30" s="2346">
        <f t="shared" si="22"/>
        <v>0</v>
      </c>
      <c r="H30" s="2346">
        <f t="shared" si="22"/>
        <v>0</v>
      </c>
      <c r="I30" s="2346">
        <f t="shared" si="22"/>
        <v>0</v>
      </c>
      <c r="J30" s="2346">
        <f t="shared" si="22"/>
        <v>0</v>
      </c>
      <c r="K30" s="2346">
        <f t="shared" si="22"/>
        <v>0</v>
      </c>
      <c r="L30" s="2347">
        <f t="shared" si="22"/>
        <v>0</v>
      </c>
      <c r="M30" s="2348">
        <f>+M31+M36</f>
        <v>0</v>
      </c>
      <c r="N30" s="2348">
        <f>+N31+N36</f>
        <v>0</v>
      </c>
      <c r="O30" s="3504"/>
      <c r="P30" s="353"/>
      <c r="Q30" s="3490"/>
      <c r="R30" s="3490"/>
      <c r="S30" s="3490"/>
    </row>
    <row r="31" spans="1:19" s="348" customFormat="1" ht="13.5" hidden="1" customHeight="1">
      <c r="A31" s="3501"/>
      <c r="B31" s="2349" t="s">
        <v>24</v>
      </c>
      <c r="C31" s="3491" t="s">
        <v>123</v>
      </c>
      <c r="D31" s="2350">
        <f>SUM(D32:D35)</f>
        <v>0</v>
      </c>
      <c r="E31" s="2350">
        <f>+E32+E33+E34+E35</f>
        <v>0</v>
      </c>
      <c r="F31" s="2350">
        <f t="shared" ref="F31:L31" si="23">+F32+F33+F34+F35</f>
        <v>0</v>
      </c>
      <c r="G31" s="2351">
        <f t="shared" si="23"/>
        <v>0</v>
      </c>
      <c r="H31" s="2351">
        <f t="shared" si="23"/>
        <v>0</v>
      </c>
      <c r="I31" s="2351">
        <f t="shared" si="23"/>
        <v>0</v>
      </c>
      <c r="J31" s="2351">
        <f t="shared" si="23"/>
        <v>0</v>
      </c>
      <c r="K31" s="2351">
        <f t="shared" si="23"/>
        <v>0</v>
      </c>
      <c r="L31" s="2352">
        <f t="shared" si="23"/>
        <v>0</v>
      </c>
      <c r="M31" s="2353">
        <f>+M33+M34+M35</f>
        <v>0</v>
      </c>
      <c r="N31" s="2353">
        <f>+N33+N34+N35</f>
        <v>0</v>
      </c>
      <c r="O31" s="3504"/>
      <c r="Q31" s="3490"/>
      <c r="R31" s="3490"/>
      <c r="S31" s="3490"/>
    </row>
    <row r="32" spans="1:19" s="348" customFormat="1" ht="13.5" hidden="1" customHeight="1">
      <c r="A32" s="3501"/>
      <c r="B32" s="2354" t="s">
        <v>124</v>
      </c>
      <c r="C32" s="3492"/>
      <c r="D32" s="2336">
        <f>E32+F32+G32+H32+I32+J32+K32+L32</f>
        <v>0</v>
      </c>
      <c r="E32" s="2355">
        <v>0</v>
      </c>
      <c r="F32" s="2356">
        <v>0</v>
      </c>
      <c r="G32" s="2357">
        <v>0</v>
      </c>
      <c r="H32" s="2357">
        <v>0</v>
      </c>
      <c r="I32" s="2357">
        <v>0</v>
      </c>
      <c r="J32" s="2357">
        <v>0</v>
      </c>
      <c r="K32" s="2357">
        <v>0</v>
      </c>
      <c r="L32" s="2358">
        <v>0</v>
      </c>
      <c r="M32" s="2359" t="s">
        <v>61</v>
      </c>
      <c r="N32" s="2359" t="s">
        <v>61</v>
      </c>
      <c r="O32" s="3505"/>
      <c r="Q32" s="3490"/>
      <c r="R32" s="3490"/>
      <c r="S32" s="3490"/>
    </row>
    <row r="33" spans="1:19" s="348" customFormat="1" ht="13.5" hidden="1" customHeight="1">
      <c r="A33" s="3501"/>
      <c r="B33" s="2360" t="s">
        <v>125</v>
      </c>
      <c r="C33" s="3492"/>
      <c r="D33" s="2336">
        <f>E33+F33+G33+H33+I33+J33+K33+L33</f>
        <v>0</v>
      </c>
      <c r="E33" s="2355">
        <v>0</v>
      </c>
      <c r="F33" s="2357">
        <v>0</v>
      </c>
      <c r="G33" s="2357">
        <v>0</v>
      </c>
      <c r="H33" s="2357">
        <v>0</v>
      </c>
      <c r="I33" s="2357">
        <v>0</v>
      </c>
      <c r="J33" s="2357">
        <v>0</v>
      </c>
      <c r="K33" s="2357">
        <v>0</v>
      </c>
      <c r="L33" s="2358">
        <v>0</v>
      </c>
      <c r="M33" s="2361">
        <f t="shared" ref="M33:N35" si="24">SUM(F33:K33)</f>
        <v>0</v>
      </c>
      <c r="N33" s="2361">
        <f t="shared" si="24"/>
        <v>0</v>
      </c>
      <c r="O33" s="3505"/>
      <c r="Q33" s="3490"/>
      <c r="R33" s="3490"/>
      <c r="S33" s="3490"/>
    </row>
    <row r="34" spans="1:19" s="348" customFormat="1" ht="12" hidden="1" customHeight="1">
      <c r="A34" s="3501"/>
      <c r="B34" s="2362" t="s">
        <v>13</v>
      </c>
      <c r="C34" s="3492"/>
      <c r="D34" s="2336">
        <f>E34+F34+G34+H34+I34+J34+K34+L34</f>
        <v>0</v>
      </c>
      <c r="E34" s="2355">
        <v>0</v>
      </c>
      <c r="F34" s="2356">
        <v>0</v>
      </c>
      <c r="G34" s="2363">
        <v>0</v>
      </c>
      <c r="H34" s="2363">
        <v>0</v>
      </c>
      <c r="I34" s="2363">
        <v>0</v>
      </c>
      <c r="J34" s="2363">
        <v>0</v>
      </c>
      <c r="K34" s="2363">
        <v>0</v>
      </c>
      <c r="L34" s="2364">
        <v>0</v>
      </c>
      <c r="M34" s="2361">
        <f>SUM(F34:K34)</f>
        <v>0</v>
      </c>
      <c r="N34" s="2361">
        <f t="shared" si="24"/>
        <v>0</v>
      </c>
      <c r="O34" s="3505"/>
      <c r="Q34" s="3490"/>
      <c r="R34" s="3490"/>
      <c r="S34" s="3490"/>
    </row>
    <row r="35" spans="1:19" s="348" customFormat="1" ht="13.5" hidden="1" customHeight="1">
      <c r="A35" s="3501"/>
      <c r="B35" s="2362" t="s">
        <v>122</v>
      </c>
      <c r="C35" s="3492"/>
      <c r="D35" s="2336">
        <f>E35+F35+G35+H35+I35+J35+K35+L35</f>
        <v>0</v>
      </c>
      <c r="E35" s="2355">
        <v>0</v>
      </c>
      <c r="F35" s="2357">
        <v>0</v>
      </c>
      <c r="G35" s="2379">
        <v>0</v>
      </c>
      <c r="H35" s="2363">
        <v>0</v>
      </c>
      <c r="I35" s="2363">
        <v>0</v>
      </c>
      <c r="J35" s="2363">
        <v>0</v>
      </c>
      <c r="K35" s="2363">
        <v>0</v>
      </c>
      <c r="L35" s="2364">
        <v>0</v>
      </c>
      <c r="M35" s="2361">
        <f t="shared" si="24"/>
        <v>0</v>
      </c>
      <c r="N35" s="2361">
        <f t="shared" si="24"/>
        <v>0</v>
      </c>
      <c r="O35" s="3505"/>
      <c r="Q35" s="3490"/>
      <c r="R35" s="3490"/>
      <c r="S35" s="3490"/>
    </row>
    <row r="36" spans="1:19" s="348" customFormat="1" ht="18.75" hidden="1" customHeight="1">
      <c r="A36" s="3501"/>
      <c r="B36" s="2360" t="s">
        <v>18</v>
      </c>
      <c r="C36" s="3493"/>
      <c r="D36" s="2336">
        <f>+D37</f>
        <v>0</v>
      </c>
      <c r="E36" s="2355"/>
      <c r="F36" s="2356"/>
      <c r="G36" s="2336"/>
      <c r="H36" s="2365"/>
      <c r="I36" s="2366"/>
      <c r="J36" s="2366"/>
      <c r="K36" s="2367"/>
      <c r="L36" s="2366"/>
      <c r="M36" s="2368"/>
      <c r="N36" s="2368"/>
      <c r="O36" s="3505"/>
      <c r="Q36" s="3490"/>
      <c r="R36" s="3490"/>
      <c r="S36" s="3490"/>
    </row>
    <row r="37" spans="1:19" s="348" customFormat="1" ht="16.5" hidden="1" customHeight="1">
      <c r="A37" s="3501"/>
      <c r="B37" s="2362" t="s">
        <v>35</v>
      </c>
      <c r="C37" s="2369"/>
      <c r="D37" s="2336">
        <v>0</v>
      </c>
      <c r="E37" s="2355"/>
      <c r="F37" s="2357"/>
      <c r="G37" s="2336"/>
      <c r="H37" s="2365"/>
      <c r="I37" s="2365"/>
      <c r="J37" s="2366"/>
      <c r="K37" s="2367"/>
      <c r="L37" s="2365"/>
      <c r="M37" s="2370"/>
      <c r="N37" s="2370"/>
      <c r="O37" s="3505"/>
      <c r="Q37" s="3490"/>
      <c r="R37" s="3490"/>
      <c r="S37" s="3490"/>
    </row>
    <row r="38" spans="1:19" s="348" customFormat="1" ht="13.5" hidden="1" customHeight="1">
      <c r="A38" s="3501"/>
      <c r="B38" s="2343" t="s">
        <v>22</v>
      </c>
      <c r="C38" s="2344"/>
      <c r="D38" s="2345">
        <f>D40+D41</f>
        <v>0</v>
      </c>
      <c r="E38" s="2345">
        <f t="shared" ref="E38" si="25">E40+E41</f>
        <v>0</v>
      </c>
      <c r="F38" s="2345">
        <f t="shared" ref="F38:L38" si="26">+F39</f>
        <v>0</v>
      </c>
      <c r="G38" s="2346">
        <f t="shared" si="26"/>
        <v>0</v>
      </c>
      <c r="H38" s="2346">
        <f t="shared" si="26"/>
        <v>0</v>
      </c>
      <c r="I38" s="2346">
        <f t="shared" si="26"/>
        <v>0</v>
      </c>
      <c r="J38" s="2346">
        <f t="shared" si="26"/>
        <v>0</v>
      </c>
      <c r="K38" s="2346">
        <f t="shared" si="26"/>
        <v>0</v>
      </c>
      <c r="L38" s="2347">
        <f t="shared" si="26"/>
        <v>0</v>
      </c>
      <c r="M38" s="3497" t="s">
        <v>61</v>
      </c>
      <c r="N38" s="3497" t="s">
        <v>61</v>
      </c>
      <c r="O38" s="3505"/>
      <c r="Q38" s="3490"/>
      <c r="R38" s="3490"/>
      <c r="S38" s="3490"/>
    </row>
    <row r="39" spans="1:19" s="336" customFormat="1" ht="13.5" hidden="1" customHeight="1">
      <c r="A39" s="3501"/>
      <c r="B39" s="2335" t="s">
        <v>24</v>
      </c>
      <c r="C39" s="3494" t="s">
        <v>123</v>
      </c>
      <c r="D39" s="2371">
        <f>+D40+D41</f>
        <v>0</v>
      </c>
      <c r="E39" s="2371">
        <f t="shared" ref="E39" si="27">+E40+E41</f>
        <v>0</v>
      </c>
      <c r="F39" s="2371">
        <f t="shared" ref="F39:L39" si="28">+F40+F41</f>
        <v>0</v>
      </c>
      <c r="G39" s="2372">
        <f t="shared" si="28"/>
        <v>0</v>
      </c>
      <c r="H39" s="2372">
        <f t="shared" si="28"/>
        <v>0</v>
      </c>
      <c r="I39" s="2372">
        <f t="shared" si="28"/>
        <v>0</v>
      </c>
      <c r="J39" s="2372">
        <f t="shared" si="28"/>
        <v>0</v>
      </c>
      <c r="K39" s="2372">
        <f t="shared" si="28"/>
        <v>0</v>
      </c>
      <c r="L39" s="2373">
        <f t="shared" si="28"/>
        <v>0</v>
      </c>
      <c r="M39" s="3498"/>
      <c r="N39" s="3498"/>
      <c r="O39" s="3505"/>
      <c r="Q39" s="3490"/>
      <c r="R39" s="3490"/>
      <c r="S39" s="3490"/>
    </row>
    <row r="40" spans="1:19" s="348" customFormat="1" ht="13.5" hidden="1" customHeight="1">
      <c r="A40" s="3501"/>
      <c r="B40" s="2362" t="s">
        <v>13</v>
      </c>
      <c r="C40" s="3495"/>
      <c r="D40" s="2336">
        <v>0</v>
      </c>
      <c r="E40" s="2355">
        <v>0</v>
      </c>
      <c r="F40" s="2355">
        <v>0</v>
      </c>
      <c r="G40" s="2363">
        <v>0</v>
      </c>
      <c r="H40" s="2363">
        <v>0</v>
      </c>
      <c r="I40" s="2363">
        <v>0</v>
      </c>
      <c r="J40" s="2363">
        <v>0</v>
      </c>
      <c r="K40" s="2363">
        <v>0</v>
      </c>
      <c r="L40" s="2364">
        <v>0</v>
      </c>
      <c r="M40" s="3498"/>
      <c r="N40" s="3498"/>
      <c r="O40" s="3505"/>
    </row>
    <row r="41" spans="1:19" s="348" customFormat="1" ht="15" hidden="1" customHeight="1" thickBot="1">
      <c r="A41" s="3502"/>
      <c r="B41" s="2374" t="s">
        <v>122</v>
      </c>
      <c r="C41" s="3496"/>
      <c r="D41" s="2375">
        <v>0</v>
      </c>
      <c r="E41" s="2376">
        <v>0</v>
      </c>
      <c r="F41" s="2377">
        <v>0</v>
      </c>
      <c r="G41" s="2377">
        <v>0</v>
      </c>
      <c r="H41" s="2377">
        <v>0</v>
      </c>
      <c r="I41" s="2377">
        <v>0</v>
      </c>
      <c r="J41" s="2377">
        <v>0</v>
      </c>
      <c r="K41" s="2377">
        <v>0</v>
      </c>
      <c r="L41" s="2378">
        <v>0</v>
      </c>
      <c r="M41" s="3499"/>
      <c r="N41" s="3499"/>
      <c r="O41" s="3506"/>
    </row>
    <row r="42" spans="1:19" s="348" customFormat="1" ht="28.5" customHeight="1">
      <c r="A42" s="3477" t="s">
        <v>63</v>
      </c>
      <c r="B42" s="1575" t="s">
        <v>443</v>
      </c>
      <c r="C42" s="665" t="s">
        <v>109</v>
      </c>
      <c r="D42" s="1656"/>
      <c r="E42" s="1686"/>
      <c r="F42" s="1686"/>
      <c r="G42" s="1686"/>
      <c r="H42" s="1686"/>
      <c r="I42" s="1686"/>
      <c r="J42" s="1686"/>
      <c r="K42" s="1686"/>
      <c r="L42" s="1656"/>
      <c r="M42" s="1658"/>
      <c r="N42" s="1658"/>
      <c r="O42" s="3513" t="s">
        <v>468</v>
      </c>
    </row>
    <row r="43" spans="1:19" s="348" customFormat="1" ht="13.5" customHeight="1">
      <c r="A43" s="3478"/>
      <c r="B43" s="488" t="s">
        <v>10</v>
      </c>
      <c r="C43" s="2239"/>
      <c r="D43" s="2240">
        <f>+D44</f>
        <v>8000000</v>
      </c>
      <c r="E43" s="2240">
        <f t="shared" ref="E43:N43" si="29">+E44</f>
        <v>1660000</v>
      </c>
      <c r="F43" s="2240">
        <f t="shared" si="29"/>
        <v>1080000</v>
      </c>
      <c r="G43" s="2240">
        <f t="shared" si="29"/>
        <v>1080000</v>
      </c>
      <c r="H43" s="2240">
        <f t="shared" si="29"/>
        <v>1080000</v>
      </c>
      <c r="I43" s="2240">
        <f t="shared" si="29"/>
        <v>1080000</v>
      </c>
      <c r="J43" s="2240">
        <f t="shared" si="29"/>
        <v>1080000</v>
      </c>
      <c r="K43" s="2240">
        <f t="shared" si="29"/>
        <v>940000</v>
      </c>
      <c r="L43" s="2241">
        <f t="shared" si="29"/>
        <v>0</v>
      </c>
      <c r="M43" s="2242">
        <f t="shared" si="29"/>
        <v>5260000</v>
      </c>
      <c r="N43" s="2242">
        <f t="shared" si="29"/>
        <v>5260000</v>
      </c>
      <c r="O43" s="3514"/>
    </row>
    <row r="44" spans="1:19" s="336" customFormat="1" ht="16.5" customHeight="1">
      <c r="A44" s="3478"/>
      <c r="B44" s="668" t="s">
        <v>24</v>
      </c>
      <c r="C44" s="3516" t="s">
        <v>126</v>
      </c>
      <c r="D44" s="1896">
        <f>+D45+D46</f>
        <v>8000000</v>
      </c>
      <c r="E44" s="1896">
        <f t="shared" ref="E44" si="30">+E45+E46</f>
        <v>1660000</v>
      </c>
      <c r="F44" s="1896">
        <f t="shared" ref="F44:L44" si="31">+F45+F46</f>
        <v>1080000</v>
      </c>
      <c r="G44" s="1896">
        <f t="shared" si="31"/>
        <v>1080000</v>
      </c>
      <c r="H44" s="1896">
        <f t="shared" si="31"/>
        <v>1080000</v>
      </c>
      <c r="I44" s="1896">
        <f t="shared" si="31"/>
        <v>1080000</v>
      </c>
      <c r="J44" s="1896">
        <f t="shared" si="31"/>
        <v>1080000</v>
      </c>
      <c r="K44" s="1896">
        <f t="shared" si="31"/>
        <v>940000</v>
      </c>
      <c r="L44" s="2243">
        <f t="shared" si="31"/>
        <v>0</v>
      </c>
      <c r="M44" s="2244">
        <f>+M46</f>
        <v>5260000</v>
      </c>
      <c r="N44" s="2244">
        <f>+N46</f>
        <v>5260000</v>
      </c>
      <c r="O44" s="3514"/>
    </row>
    <row r="45" spans="1:19" s="336" customFormat="1" ht="13.5" customHeight="1">
      <c r="A45" s="3478"/>
      <c r="B45" s="1661" t="s">
        <v>124</v>
      </c>
      <c r="C45" s="3475"/>
      <c r="D45" s="949">
        <f>E45+F45+G45+H45+I45+J45+K45+L45</f>
        <v>2740000</v>
      </c>
      <c r="E45" s="2107">
        <v>1660000</v>
      </c>
      <c r="F45" s="1926">
        <v>1080000</v>
      </c>
      <c r="G45" s="1926">
        <v>0</v>
      </c>
      <c r="H45" s="1926">
        <v>0</v>
      </c>
      <c r="I45" s="1926">
        <v>0</v>
      </c>
      <c r="J45" s="1926">
        <v>0</v>
      </c>
      <c r="K45" s="1926">
        <v>0</v>
      </c>
      <c r="L45" s="2245">
        <v>0</v>
      </c>
      <c r="M45" s="2246">
        <f>SUM(F45:K45)</f>
        <v>1080000</v>
      </c>
      <c r="N45" s="2246">
        <f>SUM(G45:L45)</f>
        <v>0</v>
      </c>
      <c r="O45" s="3514"/>
    </row>
    <row r="46" spans="1:19" s="336" customFormat="1" ht="13.5" customHeight="1" thickBot="1">
      <c r="A46" s="3479"/>
      <c r="B46" s="1666" t="s">
        <v>127</v>
      </c>
      <c r="C46" s="3476"/>
      <c r="D46" s="1929">
        <f>E46+F46+G46+H46+I46+J46+K46+L46</f>
        <v>5260000</v>
      </c>
      <c r="E46" s="2148">
        <v>0</v>
      </c>
      <c r="F46" s="2247">
        <v>0</v>
      </c>
      <c r="G46" s="1930">
        <v>1080000</v>
      </c>
      <c r="H46" s="1930">
        <v>1080000</v>
      </c>
      <c r="I46" s="1930">
        <v>1080000</v>
      </c>
      <c r="J46" s="1930">
        <v>1080000</v>
      </c>
      <c r="K46" s="1930">
        <v>940000</v>
      </c>
      <c r="L46" s="2248">
        <v>0</v>
      </c>
      <c r="M46" s="2249">
        <f>SUM(F46:L46)</f>
        <v>5260000</v>
      </c>
      <c r="N46" s="2249">
        <f>SUM(G46:L46)</f>
        <v>5260000</v>
      </c>
      <c r="O46" s="3515"/>
    </row>
    <row r="47" spans="1:19" s="336" customFormat="1" ht="48.75" customHeight="1">
      <c r="A47" s="3477" t="s">
        <v>64</v>
      </c>
      <c r="B47" s="2250" t="s">
        <v>437</v>
      </c>
      <c r="C47" s="665" t="s">
        <v>109</v>
      </c>
      <c r="D47" s="1656"/>
      <c r="E47" s="1686"/>
      <c r="F47" s="1686"/>
      <c r="G47" s="1686"/>
      <c r="H47" s="1686"/>
      <c r="I47" s="1686"/>
      <c r="J47" s="489"/>
      <c r="K47" s="489"/>
      <c r="L47" s="2251"/>
      <c r="M47" s="2252"/>
      <c r="N47" s="2252"/>
      <c r="O47" s="3510" t="s">
        <v>319</v>
      </c>
    </row>
    <row r="48" spans="1:19" s="336" customFormat="1" ht="13.5" customHeight="1">
      <c r="A48" s="3478"/>
      <c r="B48" s="488" t="s">
        <v>10</v>
      </c>
      <c r="C48" s="1655"/>
      <c r="D48" s="2253">
        <f>+D49</f>
        <v>2799999.64</v>
      </c>
      <c r="E48" s="2253">
        <f t="shared" ref="E48" si="32">+E49</f>
        <v>116666.64</v>
      </c>
      <c r="F48" s="2253">
        <f t="shared" ref="F48:L48" si="33">+F49</f>
        <v>233333</v>
      </c>
      <c r="G48" s="2253">
        <f t="shared" si="33"/>
        <v>233333</v>
      </c>
      <c r="H48" s="2253">
        <f t="shared" si="33"/>
        <v>233333</v>
      </c>
      <c r="I48" s="2253">
        <f t="shared" si="33"/>
        <v>233333</v>
      </c>
      <c r="J48" s="2253">
        <f t="shared" si="33"/>
        <v>233333</v>
      </c>
      <c r="K48" s="2253">
        <f t="shared" si="33"/>
        <v>233333</v>
      </c>
      <c r="L48" s="2253">
        <f t="shared" si="33"/>
        <v>233333</v>
      </c>
      <c r="M48" s="2254">
        <f>+M49</f>
        <v>2450000</v>
      </c>
      <c r="N48" s="2254">
        <f>+N49</f>
        <v>2450000</v>
      </c>
      <c r="O48" s="3511"/>
    </row>
    <row r="49" spans="1:22" s="336" customFormat="1" ht="13.5" customHeight="1">
      <c r="A49" s="3478"/>
      <c r="B49" s="668" t="s">
        <v>24</v>
      </c>
      <c r="C49" s="3474" t="s">
        <v>126</v>
      </c>
      <c r="D49" s="1670">
        <f>+D51+D50</f>
        <v>2799999.64</v>
      </c>
      <c r="E49" s="1670">
        <f>+E50</f>
        <v>116666.64</v>
      </c>
      <c r="F49" s="1670">
        <f t="shared" ref="F49:L49" si="34">+F50+F51</f>
        <v>233333</v>
      </c>
      <c r="G49" s="1670">
        <f t="shared" si="34"/>
        <v>233333</v>
      </c>
      <c r="H49" s="1670">
        <f t="shared" si="34"/>
        <v>233333</v>
      </c>
      <c r="I49" s="1670">
        <f t="shared" si="34"/>
        <v>233333</v>
      </c>
      <c r="J49" s="1670">
        <f t="shared" si="34"/>
        <v>233333</v>
      </c>
      <c r="K49" s="1670">
        <f t="shared" si="34"/>
        <v>233333</v>
      </c>
      <c r="L49" s="1670">
        <f t="shared" si="34"/>
        <v>233333</v>
      </c>
      <c r="M49" s="1664">
        <f>+M51</f>
        <v>2450000</v>
      </c>
      <c r="N49" s="1664">
        <f>+N51</f>
        <v>2450000</v>
      </c>
      <c r="O49" s="3511"/>
    </row>
    <row r="50" spans="1:22" s="336" customFormat="1" ht="12.75" customHeight="1">
      <c r="A50" s="3478"/>
      <c r="B50" s="1661" t="s">
        <v>124</v>
      </c>
      <c r="C50" s="3475"/>
      <c r="D50" s="247">
        <f>E50+F50+G50+H50+I50+J50+K50+L50</f>
        <v>349999.64</v>
      </c>
      <c r="E50" s="1663">
        <v>116666.64</v>
      </c>
      <c r="F50" s="1671">
        <v>233333</v>
      </c>
      <c r="G50" s="1671">
        <v>0</v>
      </c>
      <c r="H50" s="1671">
        <v>0</v>
      </c>
      <c r="I50" s="1671">
        <v>0</v>
      </c>
      <c r="J50" s="1671"/>
      <c r="K50" s="1671"/>
      <c r="L50" s="1671"/>
      <c r="M50" s="1662">
        <f>SUM(F50:K50)</f>
        <v>233333</v>
      </c>
      <c r="N50" s="1662">
        <f>SUM(G50:L50)</f>
        <v>0</v>
      </c>
      <c r="O50" s="3511"/>
    </row>
    <row r="51" spans="1:22" s="336" customFormat="1" ht="13.5" customHeight="1" thickBot="1">
      <c r="A51" s="3479"/>
      <c r="B51" s="1666" t="s">
        <v>127</v>
      </c>
      <c r="C51" s="3476"/>
      <c r="D51" s="941">
        <f>E51+F51+G51+H51+I51+J51+K51+L51+P51</f>
        <v>2450000</v>
      </c>
      <c r="E51" s="945">
        <v>0</v>
      </c>
      <c r="F51" s="558">
        <v>0</v>
      </c>
      <c r="G51" s="558">
        <v>233333</v>
      </c>
      <c r="H51" s="558">
        <v>233333</v>
      </c>
      <c r="I51" s="558">
        <v>233333</v>
      </c>
      <c r="J51" s="558">
        <v>233333</v>
      </c>
      <c r="K51" s="558">
        <v>233333</v>
      </c>
      <c r="L51" s="558">
        <v>233333</v>
      </c>
      <c r="M51" s="1662">
        <f>SUM(F51:L51)+1050002</f>
        <v>2450000</v>
      </c>
      <c r="N51" s="1662">
        <f>SUM(G51:L51)+1050002</f>
        <v>2450000</v>
      </c>
      <c r="O51" s="3512"/>
      <c r="P51" s="1667">
        <v>1050002</v>
      </c>
      <c r="Q51" s="1646">
        <f>+P51+P56</f>
        <v>34307447</v>
      </c>
    </row>
    <row r="52" spans="1:22" s="348" customFormat="1" ht="42" customHeight="1">
      <c r="A52" s="3477" t="s">
        <v>65</v>
      </c>
      <c r="B52" s="1575" t="s">
        <v>440</v>
      </c>
      <c r="C52" s="665" t="s">
        <v>109</v>
      </c>
      <c r="D52" s="1656"/>
      <c r="E52" s="1686"/>
      <c r="F52" s="1686"/>
      <c r="G52" s="1686"/>
      <c r="H52" s="1686"/>
      <c r="I52" s="1686"/>
      <c r="J52" s="1686"/>
      <c r="K52" s="1657"/>
      <c r="L52" s="1656"/>
      <c r="M52" s="1658"/>
      <c r="N52" s="1658"/>
      <c r="O52" s="3507" t="s">
        <v>381</v>
      </c>
    </row>
    <row r="53" spans="1:22" s="348" customFormat="1" ht="13.5" customHeight="1">
      <c r="A53" s="3478"/>
      <c r="B53" s="488" t="s">
        <v>10</v>
      </c>
      <c r="C53" s="1655"/>
      <c r="D53" s="667">
        <f>+D54</f>
        <v>55755125</v>
      </c>
      <c r="E53" s="667">
        <f t="shared" ref="E53:L53" si="35">+E54</f>
        <v>0</v>
      </c>
      <c r="F53" s="1659">
        <f t="shared" si="35"/>
        <v>0</v>
      </c>
      <c r="G53" s="667">
        <f t="shared" si="35"/>
        <v>2934480</v>
      </c>
      <c r="H53" s="667">
        <f t="shared" si="35"/>
        <v>3912640</v>
      </c>
      <c r="I53" s="667">
        <f t="shared" si="35"/>
        <v>3912640</v>
      </c>
      <c r="J53" s="667">
        <f t="shared" si="35"/>
        <v>3912640</v>
      </c>
      <c r="K53" s="667">
        <f t="shared" si="35"/>
        <v>3912640</v>
      </c>
      <c r="L53" s="667">
        <f t="shared" si="35"/>
        <v>3912640</v>
      </c>
      <c r="M53" s="1660">
        <f>+M54</f>
        <v>55755125</v>
      </c>
      <c r="N53" s="1660">
        <f>+N54</f>
        <v>55755125</v>
      </c>
      <c r="O53" s="3508"/>
    </row>
    <row r="54" spans="1:22" s="336" customFormat="1" ht="13.5" customHeight="1">
      <c r="A54" s="3478"/>
      <c r="B54" s="668" t="s">
        <v>24</v>
      </c>
      <c r="C54" s="3474" t="s">
        <v>126</v>
      </c>
      <c r="D54" s="1665">
        <f>+D55+D56</f>
        <v>55755125</v>
      </c>
      <c r="E54" s="1665">
        <f t="shared" ref="E54" si="36">+E55+E56</f>
        <v>0</v>
      </c>
      <c r="F54" s="1668">
        <f t="shared" ref="F54:L54" si="37">+F55+F56</f>
        <v>0</v>
      </c>
      <c r="G54" s="1665">
        <f t="shared" si="37"/>
        <v>2934480</v>
      </c>
      <c r="H54" s="1665">
        <f t="shared" si="37"/>
        <v>3912640</v>
      </c>
      <c r="I54" s="1665">
        <f t="shared" si="37"/>
        <v>3912640</v>
      </c>
      <c r="J54" s="1665">
        <f t="shared" si="37"/>
        <v>3912640</v>
      </c>
      <c r="K54" s="1665">
        <f t="shared" si="37"/>
        <v>3912640</v>
      </c>
      <c r="L54" s="1665">
        <f t="shared" si="37"/>
        <v>3912640</v>
      </c>
      <c r="M54" s="1664">
        <f>+M55+M56</f>
        <v>55755125</v>
      </c>
      <c r="N54" s="1664">
        <f>+N55+N56</f>
        <v>55755125</v>
      </c>
      <c r="O54" s="3508"/>
      <c r="Q54" s="1646"/>
    </row>
    <row r="55" spans="1:22" s="336" customFormat="1" ht="13.5" hidden="1" customHeight="1">
      <c r="A55" s="3478"/>
      <c r="B55" s="1661" t="s">
        <v>124</v>
      </c>
      <c r="C55" s="3475"/>
      <c r="D55" s="247">
        <f>E55+F55+G55+H55+I55+J55+K55+L55</f>
        <v>0</v>
      </c>
      <c r="E55" s="1663">
        <v>0</v>
      </c>
      <c r="F55" s="673">
        <v>0</v>
      </c>
      <c r="G55" s="673">
        <v>0</v>
      </c>
      <c r="H55" s="673">
        <v>0</v>
      </c>
      <c r="I55" s="673">
        <v>0</v>
      </c>
      <c r="J55" s="673">
        <v>0</v>
      </c>
      <c r="K55" s="674">
        <v>0</v>
      </c>
      <c r="L55" s="674">
        <v>0</v>
      </c>
      <c r="M55" s="1662">
        <f>SUM(F55:K55)</f>
        <v>0</v>
      </c>
      <c r="N55" s="1662">
        <f>SUM(G55:L55)</f>
        <v>0</v>
      </c>
      <c r="O55" s="3508"/>
    </row>
    <row r="56" spans="1:22" s="336" customFormat="1" ht="13.5" customHeight="1" thickBot="1">
      <c r="A56" s="3479"/>
      <c r="B56" s="1666" t="s">
        <v>127</v>
      </c>
      <c r="C56" s="3476"/>
      <c r="D56" s="941">
        <f>E56+F56+G56+H56+I56+J56+K56+L56+P56</f>
        <v>55755125</v>
      </c>
      <c r="E56" s="945">
        <v>0</v>
      </c>
      <c r="F56" s="638">
        <v>0</v>
      </c>
      <c r="G56" s="558">
        <v>2934480</v>
      </c>
      <c r="H56" s="558">
        <v>3912640</v>
      </c>
      <c r="I56" s="558">
        <v>3912640</v>
      </c>
      <c r="J56" s="558">
        <v>3912640</v>
      </c>
      <c r="K56" s="558">
        <v>3912640</v>
      </c>
      <c r="L56" s="558">
        <v>3912640</v>
      </c>
      <c r="M56" s="1669">
        <f>+K56+J56+I56+H56+G56+F56+L56+33257445</f>
        <v>55755125</v>
      </c>
      <c r="N56" s="1669">
        <f>+L56+K56+J56+I56+H56+G56+33257445</f>
        <v>55755125</v>
      </c>
      <c r="O56" s="3509"/>
      <c r="P56" s="1667">
        <v>33257445</v>
      </c>
    </row>
    <row r="57" spans="1:22" s="1672" customFormat="1" ht="13.5" customHeight="1">
      <c r="A57" s="3472"/>
      <c r="B57" s="3472"/>
      <c r="C57" s="3472"/>
      <c r="D57" s="3472"/>
      <c r="E57" s="3472"/>
      <c r="F57" s="3472"/>
      <c r="G57" s="3472"/>
      <c r="H57" s="3472"/>
      <c r="I57" s="3472"/>
      <c r="J57" s="3472"/>
      <c r="K57" s="3472"/>
      <c r="L57" s="3472"/>
      <c r="M57" s="3472"/>
      <c r="N57" s="3472"/>
      <c r="O57" s="3472"/>
    </row>
    <row r="58" spans="1:22" s="326" customFormat="1" ht="12.75" customHeight="1">
      <c r="A58" s="3473" t="s">
        <v>438</v>
      </c>
      <c r="B58" s="3473"/>
      <c r="C58" s="3473"/>
      <c r="D58" s="3473"/>
      <c r="E58" s="3473"/>
      <c r="F58" s="3473"/>
      <c r="G58" s="3473"/>
      <c r="H58" s="3473"/>
      <c r="I58" s="3473"/>
      <c r="J58" s="3473"/>
      <c r="K58" s="3473"/>
      <c r="L58" s="3473"/>
    </row>
    <row r="59" spans="1:22" s="326" customFormat="1" ht="12.75" customHeight="1">
      <c r="A59" s="3473" t="s">
        <v>439</v>
      </c>
      <c r="B59" s="3473"/>
      <c r="C59" s="3473"/>
      <c r="D59" s="3473"/>
      <c r="E59" s="3473"/>
      <c r="F59" s="3473"/>
      <c r="G59" s="3473"/>
      <c r="H59" s="3473"/>
      <c r="I59" s="3473"/>
      <c r="J59" s="2196"/>
      <c r="K59" s="2196"/>
      <c r="L59" s="2196"/>
    </row>
    <row r="60" spans="1:22" s="1672" customFormat="1" ht="13.5" customHeight="1">
      <c r="A60" s="3472"/>
      <c r="B60" s="3472"/>
      <c r="C60" s="3472"/>
      <c r="D60" s="3472"/>
      <c r="E60" s="3472"/>
      <c r="F60" s="3472"/>
      <c r="G60" s="3472"/>
      <c r="H60" s="3472"/>
      <c r="I60" s="3472"/>
      <c r="J60" s="3472"/>
      <c r="K60" s="3472"/>
      <c r="L60" s="3472"/>
      <c r="M60" s="3472"/>
      <c r="N60" s="3472"/>
      <c r="O60" s="3472"/>
    </row>
    <row r="61" spans="1:22" s="1673" customFormat="1" ht="12.75" customHeight="1">
      <c r="E61" s="1674"/>
      <c r="F61" s="318"/>
      <c r="G61" s="318"/>
      <c r="H61" s="318"/>
      <c r="I61" s="318"/>
      <c r="J61" s="318"/>
      <c r="K61" s="318"/>
      <c r="L61" s="318"/>
      <c r="M61" s="318"/>
      <c r="N61" s="318"/>
      <c r="O61" s="384"/>
    </row>
    <row r="62" spans="1:22" s="348" customFormat="1" ht="10.5" hidden="1" customHeight="1">
      <c r="A62" s="317"/>
      <c r="B62" s="318"/>
      <c r="C62" s="321"/>
      <c r="D62" s="321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84"/>
    </row>
    <row r="63" spans="1:22" s="1672" customFormat="1" ht="15.75" hidden="1" customHeight="1">
      <c r="B63" s="318"/>
      <c r="C63" s="318"/>
      <c r="D63" s="318"/>
      <c r="E63" s="318"/>
      <c r="F63" s="1675">
        <v>2017</v>
      </c>
      <c r="G63" s="1675">
        <v>2018</v>
      </c>
      <c r="H63" s="1675">
        <v>2019</v>
      </c>
      <c r="I63" s="1675">
        <v>2020</v>
      </c>
      <c r="J63" s="1675">
        <v>2021</v>
      </c>
      <c r="K63" s="1675">
        <v>2022</v>
      </c>
      <c r="L63" s="1675">
        <v>2023</v>
      </c>
      <c r="M63" s="1675">
        <v>2024</v>
      </c>
      <c r="N63" s="1675">
        <v>2024</v>
      </c>
      <c r="O63" s="1675">
        <v>2025</v>
      </c>
      <c r="P63" s="1675">
        <v>2026</v>
      </c>
      <c r="Q63" s="1675">
        <v>2027</v>
      </c>
      <c r="R63" s="1675">
        <v>2028</v>
      </c>
      <c r="S63" s="1675">
        <v>2029</v>
      </c>
      <c r="T63" s="1675">
        <v>2030</v>
      </c>
      <c r="U63" s="1675">
        <v>2031</v>
      </c>
      <c r="V63" s="1675">
        <v>2032</v>
      </c>
    </row>
    <row r="64" spans="1:22" s="1672" customFormat="1" ht="15.75" hidden="1" customHeight="1">
      <c r="A64" s="317"/>
      <c r="B64" s="1676" t="s">
        <v>241</v>
      </c>
      <c r="C64" s="1676"/>
      <c r="D64" s="1677"/>
      <c r="E64" s="1676"/>
      <c r="F64" s="1678">
        <f>+F46+F51+F56</f>
        <v>0</v>
      </c>
      <c r="G64" s="1678">
        <f t="shared" ref="G64:K64" si="38">+G46+G51+G56</f>
        <v>4247813</v>
      </c>
      <c r="H64" s="1678">
        <f t="shared" si="38"/>
        <v>5225973</v>
      </c>
      <c r="I64" s="1678">
        <f t="shared" si="38"/>
        <v>5225973</v>
      </c>
      <c r="J64" s="1678">
        <f t="shared" si="38"/>
        <v>5225973</v>
      </c>
      <c r="K64" s="1678">
        <f t="shared" si="38"/>
        <v>5085973</v>
      </c>
      <c r="L64" s="1678">
        <f>+L46+L51+L56</f>
        <v>4145973</v>
      </c>
      <c r="M64" s="1678">
        <f>4145973</f>
        <v>4145973</v>
      </c>
      <c r="N64" s="1678"/>
      <c r="O64" s="1678">
        <v>4145973</v>
      </c>
      <c r="P64" s="1678">
        <v>4145973</v>
      </c>
      <c r="Q64" s="1678">
        <v>4145973</v>
      </c>
      <c r="R64" s="1678">
        <v>4029310</v>
      </c>
      <c r="S64" s="1678">
        <v>3912640</v>
      </c>
      <c r="T64" s="1678">
        <v>3912640</v>
      </c>
      <c r="U64" s="1678">
        <v>3912640</v>
      </c>
      <c r="V64" s="1678">
        <v>1956325</v>
      </c>
    </row>
    <row r="65" spans="1:22" s="1672" customFormat="1" ht="15.75" hidden="1" customHeight="1">
      <c r="A65" s="317"/>
      <c r="B65" s="318"/>
      <c r="C65" s="318"/>
      <c r="D65" s="321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84"/>
      <c r="V65" s="1679">
        <f>SUM(F64:V64)</f>
        <v>63465125</v>
      </c>
    </row>
    <row r="66" spans="1:22" s="1672" customFormat="1" ht="12" hidden="1" customHeight="1">
      <c r="A66" s="317"/>
      <c r="B66" s="318"/>
      <c r="C66" s="318"/>
      <c r="D66" s="321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84"/>
      <c r="R66" s="1679"/>
      <c r="V66" s="1679">
        <f>M56+M51+M46</f>
        <v>63465125</v>
      </c>
    </row>
    <row r="67" spans="1:22" s="1680" customFormat="1" ht="22.5" hidden="1" customHeight="1">
      <c r="A67" s="317"/>
      <c r="B67" s="318"/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84"/>
      <c r="V67" s="1681">
        <f>V65-V66</f>
        <v>0</v>
      </c>
    </row>
    <row r="68" spans="1:22" s="348" customFormat="1" ht="12.75" customHeight="1">
      <c r="A68" s="317"/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84"/>
    </row>
    <row r="69" spans="1:22" s="348" customFormat="1" ht="12.75" customHeight="1">
      <c r="A69" s="1682"/>
      <c r="B69" s="318"/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84"/>
    </row>
    <row r="70" spans="1:22" s="348" customFormat="1">
      <c r="A70" s="317"/>
      <c r="B70" s="318"/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84"/>
    </row>
    <row r="71" spans="1:22" s="1680" customFormat="1" ht="14.25" customHeight="1">
      <c r="A71" s="317"/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84"/>
    </row>
    <row r="72" spans="1:22" s="348" customFormat="1" ht="12.75" customHeight="1">
      <c r="A72" s="317"/>
      <c r="B72" s="318"/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84"/>
    </row>
    <row r="73" spans="1:22" s="348" customFormat="1" ht="12.75" customHeight="1">
      <c r="A73" s="317"/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84"/>
    </row>
    <row r="74" spans="1:22" s="348" customFormat="1">
      <c r="A74" s="317"/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84"/>
    </row>
    <row r="75" spans="1:22" s="348" customFormat="1">
      <c r="A75" s="317"/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84"/>
    </row>
    <row r="76" spans="1:22" s="1680" customFormat="1" ht="33.75" customHeight="1">
      <c r="A76" s="317"/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84"/>
    </row>
    <row r="77" spans="1:22" s="348" customFormat="1" ht="12.75" customHeight="1">
      <c r="A77" s="317"/>
      <c r="B77" s="318"/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84"/>
    </row>
    <row r="78" spans="1:22" s="348" customFormat="1" ht="12.75" customHeight="1">
      <c r="A78" s="317"/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84"/>
    </row>
    <row r="79" spans="1:22" s="348" customFormat="1" ht="12.75" customHeight="1">
      <c r="A79" s="317"/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84"/>
    </row>
    <row r="80" spans="1:22" s="348" customFormat="1" ht="12.75" customHeight="1">
      <c r="A80" s="317"/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84"/>
    </row>
    <row r="81" spans="1:15" s="348" customFormat="1">
      <c r="A81" s="317"/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84"/>
    </row>
    <row r="82" spans="1:15" s="1680" customFormat="1" ht="12" customHeight="1">
      <c r="A82" s="317"/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84"/>
    </row>
    <row r="83" spans="1:15" s="348" customFormat="1" ht="12.75" customHeight="1">
      <c r="A83" s="317"/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84"/>
    </row>
    <row r="84" spans="1:15" s="348" customFormat="1" ht="12.75" customHeight="1">
      <c r="A84" s="317"/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84"/>
    </row>
    <row r="85" spans="1:15" s="348" customFormat="1">
      <c r="A85" s="317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84"/>
    </row>
    <row r="86" spans="1:15" s="348" customFormat="1">
      <c r="A86" s="317"/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84"/>
    </row>
    <row r="87" spans="1:15" s="1680" customFormat="1" ht="22.5" customHeight="1">
      <c r="A87" s="317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84"/>
    </row>
    <row r="88" spans="1:15" s="348" customFormat="1" ht="12.75" customHeight="1">
      <c r="A88" s="317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84"/>
    </row>
    <row r="89" spans="1:15" s="348" customFormat="1" ht="12.75" customHeight="1">
      <c r="A89" s="317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84"/>
    </row>
    <row r="90" spans="1:15" s="348" customFormat="1">
      <c r="A90" s="317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84"/>
    </row>
    <row r="91" spans="1:15" s="348" customFormat="1">
      <c r="A91" s="317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84"/>
    </row>
    <row r="92" spans="1:15" s="1680" customFormat="1" ht="15" customHeight="1">
      <c r="A92" s="317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84"/>
    </row>
    <row r="93" spans="1:15" s="348" customFormat="1" ht="12.75" customHeight="1">
      <c r="A93" s="317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84"/>
    </row>
    <row r="94" spans="1:15" s="348" customFormat="1" ht="12.75" customHeight="1">
      <c r="A94" s="317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318"/>
      <c r="M94" s="318"/>
      <c r="N94" s="318"/>
      <c r="O94" s="384"/>
    </row>
    <row r="95" spans="1:15" s="348" customFormat="1">
      <c r="A95" s="317"/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84"/>
    </row>
    <row r="96" spans="1:15" s="348" customFormat="1">
      <c r="A96" s="317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84"/>
    </row>
    <row r="97" spans="1:15" s="1680" customFormat="1" ht="13.5" customHeight="1">
      <c r="A97" s="317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318"/>
      <c r="M97" s="318"/>
      <c r="N97" s="318"/>
      <c r="O97" s="384"/>
    </row>
    <row r="98" spans="1:15" s="348" customFormat="1" ht="12.75" customHeight="1">
      <c r="A98" s="317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318"/>
      <c r="M98" s="318"/>
      <c r="N98" s="318"/>
      <c r="O98" s="384"/>
    </row>
    <row r="99" spans="1:15" s="348" customFormat="1" ht="12.75" customHeight="1">
      <c r="A99" s="317"/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318"/>
      <c r="M99" s="318"/>
      <c r="N99" s="318"/>
      <c r="O99" s="384"/>
    </row>
    <row r="100" spans="1:15" s="348" customFormat="1">
      <c r="A100" s="317"/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  <c r="L100" s="318"/>
      <c r="M100" s="318"/>
      <c r="N100" s="318"/>
      <c r="O100" s="384"/>
    </row>
    <row r="101" spans="1:15" s="348" customFormat="1">
      <c r="A101" s="317"/>
      <c r="B101" s="318"/>
      <c r="C101" s="318"/>
      <c r="D101" s="318"/>
      <c r="E101" s="318"/>
      <c r="F101" s="318"/>
      <c r="G101" s="318"/>
      <c r="H101" s="318"/>
      <c r="I101" s="318"/>
      <c r="J101" s="318"/>
      <c r="K101" s="318"/>
      <c r="L101" s="318"/>
      <c r="M101" s="318"/>
      <c r="N101" s="318"/>
      <c r="O101" s="384"/>
    </row>
    <row r="102" spans="1:15" s="348" customFormat="1">
      <c r="A102" s="317"/>
      <c r="B102" s="318"/>
      <c r="C102" s="318"/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84"/>
    </row>
    <row r="103" spans="1:15" s="1680" customFormat="1" ht="22.5" customHeight="1">
      <c r="A103" s="317"/>
      <c r="B103" s="318"/>
      <c r="C103" s="318"/>
      <c r="D103" s="318"/>
      <c r="E103" s="318"/>
      <c r="F103" s="318"/>
      <c r="G103" s="318"/>
      <c r="H103" s="318"/>
      <c r="I103" s="318"/>
      <c r="J103" s="318"/>
      <c r="K103" s="318"/>
      <c r="L103" s="318"/>
      <c r="M103" s="318"/>
      <c r="N103" s="318"/>
      <c r="O103" s="384"/>
    </row>
    <row r="104" spans="1:15" s="348" customFormat="1" ht="12.75" customHeight="1">
      <c r="A104" s="317"/>
      <c r="B104" s="318"/>
      <c r="C104" s="318"/>
      <c r="D104" s="318"/>
      <c r="E104" s="318"/>
      <c r="F104" s="318"/>
      <c r="G104" s="318"/>
      <c r="H104" s="318"/>
      <c r="I104" s="318"/>
      <c r="J104" s="318"/>
      <c r="K104" s="318"/>
      <c r="L104" s="318"/>
      <c r="M104" s="318"/>
      <c r="N104" s="318"/>
      <c r="O104" s="384"/>
    </row>
    <row r="105" spans="1:15" s="348" customFormat="1" ht="12.75" customHeight="1">
      <c r="A105" s="317"/>
      <c r="B105" s="318"/>
      <c r="C105" s="318"/>
      <c r="D105" s="318"/>
      <c r="E105" s="318"/>
      <c r="F105" s="318"/>
      <c r="G105" s="318"/>
      <c r="H105" s="318"/>
      <c r="I105" s="318"/>
      <c r="J105" s="318"/>
      <c r="K105" s="318"/>
      <c r="L105" s="318"/>
      <c r="M105" s="318"/>
      <c r="N105" s="318"/>
      <c r="O105" s="384"/>
    </row>
    <row r="106" spans="1:15" s="348" customFormat="1">
      <c r="A106" s="317"/>
      <c r="B106" s="318"/>
      <c r="C106" s="318"/>
      <c r="D106" s="318"/>
      <c r="E106" s="318"/>
      <c r="F106" s="318"/>
      <c r="G106" s="318"/>
      <c r="H106" s="318"/>
      <c r="I106" s="318"/>
      <c r="J106" s="318"/>
      <c r="K106" s="318"/>
      <c r="L106" s="318"/>
      <c r="M106" s="318"/>
      <c r="N106" s="318"/>
      <c r="O106" s="384"/>
    </row>
    <row r="107" spans="1:15" s="348" customFormat="1">
      <c r="A107" s="317"/>
      <c r="B107" s="318"/>
      <c r="C107" s="318"/>
      <c r="D107" s="318"/>
      <c r="E107" s="318"/>
      <c r="F107" s="318"/>
      <c r="G107" s="318"/>
      <c r="H107" s="318"/>
      <c r="I107" s="318"/>
      <c r="J107" s="318"/>
      <c r="K107" s="318"/>
      <c r="L107" s="318"/>
      <c r="M107" s="318"/>
      <c r="N107" s="318"/>
      <c r="O107" s="384"/>
    </row>
    <row r="108" spans="1:15" s="1680" customFormat="1" ht="12.75" customHeight="1">
      <c r="A108" s="317"/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318"/>
      <c r="M108" s="318"/>
      <c r="N108" s="318"/>
      <c r="O108" s="384"/>
    </row>
    <row r="109" spans="1:15" s="348" customFormat="1" ht="9.75" customHeight="1">
      <c r="A109" s="317"/>
      <c r="B109" s="318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84"/>
    </row>
    <row r="110" spans="1:15" s="348" customFormat="1" ht="12.75" customHeight="1">
      <c r="A110" s="317"/>
      <c r="B110" s="318"/>
      <c r="C110" s="318"/>
      <c r="D110" s="318"/>
      <c r="E110" s="318"/>
      <c r="F110" s="318"/>
      <c r="G110" s="318"/>
      <c r="H110" s="318"/>
      <c r="I110" s="318"/>
      <c r="J110" s="318"/>
      <c r="K110" s="318"/>
      <c r="L110" s="318"/>
      <c r="M110" s="318"/>
      <c r="N110" s="318"/>
      <c r="O110" s="384"/>
    </row>
    <row r="111" spans="1:15" s="348" customFormat="1">
      <c r="A111" s="317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318"/>
      <c r="M111" s="318"/>
      <c r="N111" s="318"/>
      <c r="O111" s="384"/>
    </row>
    <row r="112" spans="1:15" s="348" customFormat="1">
      <c r="A112" s="317"/>
      <c r="B112" s="318"/>
      <c r="C112" s="318"/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18"/>
      <c r="O112" s="384"/>
    </row>
    <row r="113" spans="1:15" s="1680" customFormat="1" ht="13.5" customHeight="1">
      <c r="A113" s="317"/>
      <c r="B113" s="318"/>
      <c r="C113" s="318"/>
      <c r="D113" s="318"/>
      <c r="E113" s="318"/>
      <c r="F113" s="318"/>
      <c r="G113" s="318"/>
      <c r="H113" s="318"/>
      <c r="I113" s="318"/>
      <c r="J113" s="318"/>
      <c r="K113" s="318"/>
      <c r="L113" s="318"/>
      <c r="M113" s="318"/>
      <c r="N113" s="318"/>
      <c r="O113" s="384"/>
    </row>
    <row r="114" spans="1:15" s="348" customFormat="1" ht="9.75" customHeight="1">
      <c r="A114" s="317"/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84"/>
    </row>
    <row r="115" spans="1:15" s="348" customFormat="1" ht="12.75" customHeight="1">
      <c r="A115" s="317"/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318"/>
      <c r="M115" s="318"/>
      <c r="N115" s="318"/>
      <c r="O115" s="384"/>
    </row>
    <row r="116" spans="1:15" s="348" customFormat="1">
      <c r="A116" s="317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84"/>
    </row>
    <row r="117" spans="1:15" s="348" customFormat="1">
      <c r="A117" s="317"/>
      <c r="B117" s="318"/>
      <c r="C117" s="318"/>
      <c r="D117" s="318"/>
      <c r="E117" s="318"/>
      <c r="F117" s="318"/>
      <c r="G117" s="318"/>
      <c r="H117" s="318"/>
      <c r="I117" s="318"/>
      <c r="J117" s="318"/>
      <c r="K117" s="318"/>
      <c r="L117" s="318"/>
      <c r="M117" s="318"/>
      <c r="N117" s="318"/>
      <c r="O117" s="384"/>
    </row>
    <row r="118" spans="1:15" s="348" customFormat="1">
      <c r="A118" s="317"/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  <c r="M118" s="318"/>
      <c r="N118" s="318"/>
      <c r="O118" s="384"/>
    </row>
    <row r="119" spans="1:15" s="348" customFormat="1">
      <c r="A119" s="317"/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318"/>
      <c r="M119" s="318"/>
      <c r="N119" s="318"/>
      <c r="O119" s="384"/>
    </row>
    <row r="120" spans="1:15" s="348" customFormat="1">
      <c r="A120" s="317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  <c r="N120" s="318"/>
      <c r="O120" s="384"/>
    </row>
    <row r="121" spans="1:15" s="1680" customFormat="1" ht="22.5" customHeight="1">
      <c r="A121" s="317"/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318"/>
      <c r="O121" s="384"/>
    </row>
    <row r="122" spans="1:15" s="348" customFormat="1" ht="12.75" customHeight="1">
      <c r="A122" s="317"/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318"/>
      <c r="M122" s="318"/>
      <c r="N122" s="318"/>
      <c r="O122" s="384"/>
    </row>
    <row r="123" spans="1:15" s="348" customFormat="1" ht="12.75" customHeight="1">
      <c r="A123" s="317"/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  <c r="M123" s="318"/>
      <c r="N123" s="318"/>
      <c r="O123" s="384"/>
    </row>
    <row r="124" spans="1:15" s="348" customFormat="1" ht="13.5" thickBot="1">
      <c r="A124" s="3130"/>
      <c r="B124" s="394"/>
      <c r="C124" s="394"/>
      <c r="D124" s="394"/>
      <c r="E124" s="394"/>
      <c r="F124" s="394"/>
      <c r="G124" s="394"/>
      <c r="H124" s="394"/>
      <c r="I124" s="394"/>
      <c r="J124" s="394"/>
      <c r="K124" s="394"/>
      <c r="L124" s="394"/>
      <c r="M124" s="394"/>
      <c r="N124" s="394"/>
      <c r="O124" s="3131"/>
    </row>
    <row r="125" spans="1:15" s="348" customFormat="1">
      <c r="A125" s="317"/>
      <c r="B125" s="318"/>
      <c r="C125" s="318"/>
      <c r="D125" s="318"/>
      <c r="E125" s="318"/>
      <c r="F125" s="318"/>
      <c r="G125" s="318"/>
      <c r="H125" s="318"/>
      <c r="I125" s="318"/>
      <c r="J125" s="318"/>
      <c r="K125" s="318"/>
      <c r="L125" s="318"/>
      <c r="M125" s="318"/>
      <c r="N125" s="318"/>
      <c r="O125" s="384"/>
    </row>
    <row r="126" spans="1:15" s="1680" customFormat="1" ht="34.5" customHeight="1">
      <c r="A126" s="317"/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84"/>
    </row>
    <row r="127" spans="1:15" s="348" customFormat="1" ht="14.25" customHeight="1">
      <c r="A127" s="317"/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  <c r="L127" s="318"/>
      <c r="M127" s="318"/>
      <c r="N127" s="318"/>
      <c r="O127" s="384"/>
    </row>
    <row r="128" spans="1:15" s="348" customFormat="1" ht="12.75" customHeight="1">
      <c r="A128" s="317"/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8"/>
      <c r="O128" s="384"/>
    </row>
    <row r="129" spans="1:15" s="348" customFormat="1">
      <c r="A129" s="317"/>
      <c r="B129" s="318"/>
      <c r="C129" s="318"/>
      <c r="D129" s="318"/>
      <c r="E129" s="318"/>
      <c r="F129" s="318"/>
      <c r="G129" s="318"/>
      <c r="H129" s="318"/>
      <c r="I129" s="318"/>
      <c r="J129" s="318"/>
      <c r="K129" s="318"/>
      <c r="L129" s="318"/>
      <c r="M129" s="318"/>
      <c r="N129" s="318"/>
      <c r="O129" s="384"/>
    </row>
    <row r="130" spans="1:15" s="348" customFormat="1">
      <c r="A130" s="317"/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84"/>
    </row>
    <row r="131" spans="1:15" s="348" customFormat="1">
      <c r="A131" s="317"/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  <c r="L131" s="318"/>
      <c r="M131" s="318"/>
      <c r="N131" s="318"/>
      <c r="O131" s="384"/>
    </row>
    <row r="132" spans="1:15" s="1680" customFormat="1" ht="36.75" customHeight="1">
      <c r="A132" s="317"/>
      <c r="B132" s="318"/>
      <c r="C132" s="318"/>
      <c r="D132" s="318"/>
      <c r="E132" s="318"/>
      <c r="F132" s="318"/>
      <c r="G132" s="318"/>
      <c r="H132" s="318"/>
      <c r="I132" s="318"/>
      <c r="J132" s="318"/>
      <c r="K132" s="318"/>
      <c r="L132" s="318"/>
      <c r="M132" s="318"/>
      <c r="N132" s="318"/>
      <c r="O132" s="384"/>
    </row>
    <row r="133" spans="1:15" s="348" customFormat="1" ht="9.75" customHeight="1">
      <c r="A133" s="317"/>
      <c r="B133" s="318"/>
      <c r="C133" s="318"/>
      <c r="D133" s="318"/>
      <c r="E133" s="318"/>
      <c r="F133" s="318"/>
      <c r="G133" s="318"/>
      <c r="H133" s="318"/>
      <c r="I133" s="318"/>
      <c r="J133" s="318"/>
      <c r="K133" s="318"/>
      <c r="L133" s="318"/>
      <c r="M133" s="318"/>
      <c r="N133" s="318"/>
      <c r="O133" s="384"/>
    </row>
    <row r="134" spans="1:15" s="348" customFormat="1" ht="12.75" customHeight="1">
      <c r="A134" s="317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84"/>
    </row>
    <row r="135" spans="1:15" s="348" customFormat="1">
      <c r="A135" s="317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84"/>
    </row>
    <row r="136" spans="1:15" s="348" customFormat="1">
      <c r="A136" s="317"/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84"/>
    </row>
    <row r="137" spans="1:15" s="348" customFormat="1">
      <c r="A137" s="317"/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84"/>
    </row>
    <row r="138" spans="1:15" s="1680" customFormat="1" ht="33.75" customHeight="1">
      <c r="A138" s="317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84"/>
    </row>
    <row r="139" spans="1:15" s="348" customFormat="1" ht="9.75" customHeight="1">
      <c r="A139" s="317"/>
      <c r="B139" s="318"/>
      <c r="C139" s="318"/>
      <c r="D139" s="318"/>
      <c r="E139" s="318"/>
      <c r="F139" s="318"/>
      <c r="G139" s="318"/>
      <c r="H139" s="318"/>
      <c r="I139" s="318"/>
      <c r="J139" s="318"/>
      <c r="K139" s="318"/>
      <c r="L139" s="318"/>
      <c r="M139" s="318"/>
      <c r="N139" s="318"/>
      <c r="O139" s="384"/>
    </row>
    <row r="140" spans="1:15" s="348" customFormat="1" ht="12.75" customHeight="1">
      <c r="A140" s="317"/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318"/>
      <c r="M140" s="318"/>
      <c r="N140" s="318"/>
      <c r="O140" s="384"/>
    </row>
    <row r="141" spans="1:15" s="348" customFormat="1">
      <c r="A141" s="317"/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84"/>
    </row>
    <row r="142" spans="1:15" s="348" customFormat="1">
      <c r="A142" s="317"/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84"/>
    </row>
    <row r="143" spans="1:15" s="348" customFormat="1">
      <c r="A143" s="317"/>
      <c r="B143" s="318"/>
      <c r="C143" s="318"/>
      <c r="D143" s="318"/>
      <c r="E143" s="318"/>
      <c r="F143" s="318"/>
      <c r="G143" s="318"/>
      <c r="H143" s="318"/>
      <c r="I143" s="318"/>
      <c r="J143" s="318"/>
      <c r="K143" s="318"/>
      <c r="L143" s="318"/>
      <c r="M143" s="318"/>
      <c r="N143" s="318"/>
      <c r="O143" s="384"/>
    </row>
    <row r="144" spans="1:15" s="348" customFormat="1">
      <c r="A144" s="317"/>
      <c r="B144" s="318"/>
      <c r="C144" s="318"/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84"/>
    </row>
    <row r="145" spans="1:15" s="1683" customFormat="1" ht="14.25" customHeight="1">
      <c r="A145" s="317"/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318"/>
      <c r="M145" s="318"/>
      <c r="N145" s="318"/>
      <c r="O145" s="384"/>
    </row>
    <row r="146" spans="1:15" s="348" customFormat="1">
      <c r="A146" s="317"/>
      <c r="B146" s="318"/>
      <c r="C146" s="318"/>
      <c r="D146" s="318"/>
      <c r="E146" s="318"/>
      <c r="F146" s="318"/>
      <c r="G146" s="318"/>
      <c r="H146" s="318"/>
      <c r="I146" s="318"/>
      <c r="J146" s="318"/>
      <c r="K146" s="318"/>
      <c r="L146" s="318"/>
      <c r="M146" s="318"/>
      <c r="N146" s="318"/>
      <c r="O146" s="384"/>
    </row>
    <row r="147" spans="1:15" s="1673" customFormat="1" ht="23.25" customHeight="1">
      <c r="A147" s="317"/>
      <c r="B147" s="318"/>
      <c r="C147" s="318"/>
      <c r="D147" s="318"/>
      <c r="E147" s="318"/>
      <c r="F147" s="318"/>
      <c r="G147" s="318"/>
      <c r="H147" s="318"/>
      <c r="I147" s="318"/>
      <c r="J147" s="318"/>
      <c r="K147" s="318"/>
      <c r="L147" s="318"/>
      <c r="M147" s="318"/>
      <c r="N147" s="318"/>
      <c r="O147" s="384"/>
    </row>
    <row r="148" spans="1:15" s="348" customFormat="1">
      <c r="A148" s="317"/>
      <c r="B148" s="318"/>
      <c r="C148" s="318"/>
      <c r="D148" s="318"/>
      <c r="E148" s="318"/>
      <c r="F148" s="318"/>
      <c r="G148" s="318"/>
      <c r="H148" s="318"/>
      <c r="I148" s="318"/>
      <c r="J148" s="318"/>
      <c r="K148" s="318"/>
      <c r="L148" s="318"/>
      <c r="M148" s="318"/>
      <c r="N148" s="318"/>
      <c r="O148" s="384"/>
    </row>
    <row r="149" spans="1:15" s="1672" customFormat="1" ht="15.75" customHeight="1">
      <c r="A149" s="317"/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84"/>
    </row>
    <row r="150" spans="1:15" s="1672" customFormat="1" ht="12.75" customHeight="1">
      <c r="A150" s="317"/>
      <c r="B150" s="318"/>
      <c r="C150" s="318"/>
      <c r="D150" s="318"/>
      <c r="E150" s="318"/>
      <c r="F150" s="318"/>
      <c r="G150" s="318"/>
      <c r="H150" s="318"/>
      <c r="I150" s="318"/>
      <c r="J150" s="318"/>
      <c r="K150" s="318"/>
      <c r="L150" s="318"/>
      <c r="M150" s="318"/>
      <c r="N150" s="318"/>
      <c r="O150" s="384"/>
    </row>
    <row r="151" spans="1:15" s="1672" customFormat="1" ht="12.75" customHeight="1">
      <c r="A151" s="317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84"/>
    </row>
    <row r="152" spans="1:15" s="1672" customFormat="1" ht="12" customHeight="1">
      <c r="A152" s="317"/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84"/>
    </row>
    <row r="153" spans="1:15" s="1683" customFormat="1" ht="24" customHeight="1">
      <c r="A153" s="317"/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84"/>
    </row>
    <row r="154" spans="1:15" s="348" customFormat="1" ht="11.25" customHeight="1">
      <c r="A154" s="317"/>
      <c r="B154" s="318"/>
      <c r="C154" s="318"/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84"/>
    </row>
    <row r="155" spans="1:15" s="348" customFormat="1" ht="12.75" customHeight="1">
      <c r="A155" s="317"/>
      <c r="B155" s="318"/>
      <c r="C155" s="318"/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84"/>
    </row>
    <row r="156" spans="1:15" s="348" customFormat="1">
      <c r="A156" s="317"/>
      <c r="B156" s="318"/>
      <c r="C156" s="318"/>
      <c r="D156" s="318"/>
      <c r="E156" s="318"/>
      <c r="F156" s="318"/>
      <c r="G156" s="318"/>
      <c r="H156" s="318"/>
      <c r="I156" s="318"/>
      <c r="J156" s="318"/>
      <c r="K156" s="318"/>
      <c r="L156" s="318"/>
      <c r="M156" s="318"/>
      <c r="N156" s="318"/>
      <c r="O156" s="384"/>
    </row>
    <row r="157" spans="1:15" s="348" customFormat="1">
      <c r="A157" s="317"/>
      <c r="B157" s="318"/>
      <c r="C157" s="318"/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84"/>
    </row>
    <row r="158" spans="1:15" s="348" customFormat="1">
      <c r="A158" s="317"/>
      <c r="B158" s="318"/>
      <c r="C158" s="318"/>
      <c r="D158" s="318"/>
      <c r="E158" s="318"/>
      <c r="F158" s="318"/>
      <c r="G158" s="318"/>
      <c r="H158" s="318"/>
      <c r="I158" s="318"/>
      <c r="J158" s="318"/>
      <c r="K158" s="318"/>
      <c r="L158" s="318"/>
      <c r="M158" s="318"/>
      <c r="N158" s="318"/>
      <c r="O158" s="384"/>
    </row>
    <row r="159" spans="1:15" s="348" customFormat="1">
      <c r="A159" s="317"/>
      <c r="B159" s="318"/>
      <c r="C159" s="318"/>
      <c r="D159" s="318"/>
      <c r="E159" s="318"/>
      <c r="F159" s="318"/>
      <c r="G159" s="318"/>
      <c r="H159" s="318"/>
      <c r="I159" s="318"/>
      <c r="J159" s="318"/>
      <c r="K159" s="318"/>
      <c r="L159" s="318"/>
      <c r="M159" s="318"/>
      <c r="N159" s="318"/>
      <c r="O159" s="384"/>
    </row>
    <row r="160" spans="1:15" s="348" customFormat="1" ht="21.75" customHeight="1">
      <c r="A160" s="317"/>
      <c r="B160" s="318"/>
      <c r="C160" s="318"/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84"/>
    </row>
    <row r="161" spans="1:15" s="348" customFormat="1" ht="12.75" customHeight="1">
      <c r="A161" s="317"/>
      <c r="B161" s="318"/>
      <c r="C161" s="318"/>
      <c r="D161" s="318"/>
      <c r="E161" s="318"/>
      <c r="F161" s="318"/>
      <c r="G161" s="318"/>
      <c r="H161" s="318"/>
      <c r="I161" s="318"/>
      <c r="J161" s="318"/>
      <c r="K161" s="318"/>
      <c r="L161" s="318"/>
      <c r="M161" s="318"/>
      <c r="N161" s="318"/>
      <c r="O161" s="384"/>
    </row>
    <row r="162" spans="1:15" s="348" customFormat="1">
      <c r="A162" s="317"/>
      <c r="B162" s="318"/>
      <c r="C162" s="318"/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18"/>
      <c r="O162" s="384"/>
    </row>
    <row r="163" spans="1:15" s="348" customFormat="1">
      <c r="A163" s="317"/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  <c r="L163" s="318"/>
      <c r="M163" s="318"/>
      <c r="N163" s="318"/>
      <c r="O163" s="384"/>
    </row>
    <row r="164" spans="1:15" s="348" customFormat="1">
      <c r="A164" s="317"/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84"/>
    </row>
    <row r="165" spans="1:15" s="348" customFormat="1">
      <c r="A165" s="317"/>
      <c r="B165" s="318"/>
      <c r="C165" s="318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18"/>
      <c r="O165" s="384"/>
    </row>
    <row r="166" spans="1:15" s="348" customFormat="1">
      <c r="A166" s="317"/>
      <c r="B166" s="318"/>
      <c r="C166" s="318"/>
      <c r="D166" s="318"/>
      <c r="E166" s="318"/>
      <c r="F166" s="318"/>
      <c r="G166" s="318"/>
      <c r="H166" s="318"/>
      <c r="I166" s="318"/>
      <c r="J166" s="318"/>
      <c r="K166" s="318"/>
      <c r="L166" s="318"/>
      <c r="M166" s="318"/>
      <c r="N166" s="318"/>
      <c r="O166" s="384"/>
    </row>
    <row r="167" spans="1:15" s="348" customFormat="1" ht="32.25" customHeight="1">
      <c r="A167" s="317"/>
      <c r="B167" s="318"/>
      <c r="C167" s="318"/>
      <c r="D167" s="318"/>
      <c r="E167" s="318"/>
      <c r="F167" s="318"/>
      <c r="G167" s="318"/>
      <c r="H167" s="318"/>
      <c r="I167" s="318"/>
      <c r="J167" s="318"/>
      <c r="K167" s="318"/>
      <c r="L167" s="318"/>
      <c r="M167" s="318"/>
      <c r="N167" s="318"/>
      <c r="O167" s="384"/>
    </row>
    <row r="168" spans="1:15" s="348" customFormat="1" ht="15" customHeight="1">
      <c r="A168" s="317"/>
      <c r="B168" s="318"/>
      <c r="C168" s="318"/>
      <c r="D168" s="318"/>
      <c r="E168" s="318"/>
      <c r="F168" s="318"/>
      <c r="G168" s="318"/>
      <c r="H168" s="318"/>
      <c r="I168" s="318"/>
      <c r="J168" s="318"/>
      <c r="K168" s="318"/>
      <c r="L168" s="318"/>
      <c r="M168" s="318"/>
      <c r="N168" s="318"/>
      <c r="O168" s="384"/>
    </row>
    <row r="169" spans="1:15" s="348" customFormat="1" ht="12.75" customHeight="1">
      <c r="A169" s="317"/>
      <c r="B169" s="318"/>
      <c r="C169" s="318"/>
      <c r="D169" s="318"/>
      <c r="E169" s="318"/>
      <c r="F169" s="318"/>
      <c r="G169" s="318"/>
      <c r="H169" s="318"/>
      <c r="I169" s="318"/>
      <c r="J169" s="318"/>
      <c r="K169" s="318"/>
      <c r="L169" s="318"/>
      <c r="M169" s="318"/>
      <c r="N169" s="318"/>
      <c r="O169" s="384"/>
    </row>
    <row r="170" spans="1:15" s="348" customFormat="1">
      <c r="A170" s="317"/>
      <c r="B170" s="318"/>
      <c r="C170" s="318"/>
      <c r="D170" s="318"/>
      <c r="E170" s="318"/>
      <c r="F170" s="318"/>
      <c r="G170" s="318"/>
      <c r="H170" s="318"/>
      <c r="I170" s="318"/>
      <c r="J170" s="318"/>
      <c r="K170" s="318"/>
      <c r="L170" s="318"/>
      <c r="M170" s="318"/>
      <c r="N170" s="318"/>
      <c r="O170" s="384"/>
    </row>
    <row r="171" spans="1:15" s="348" customFormat="1">
      <c r="A171" s="317"/>
      <c r="B171" s="318"/>
      <c r="C171" s="318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84"/>
    </row>
    <row r="172" spans="1:15" s="348" customFormat="1">
      <c r="A172" s="317"/>
      <c r="B172" s="318"/>
      <c r="C172" s="318"/>
      <c r="D172" s="318"/>
      <c r="E172" s="318"/>
      <c r="F172" s="318"/>
      <c r="G172" s="318"/>
      <c r="H172" s="318"/>
      <c r="I172" s="318"/>
      <c r="J172" s="318"/>
      <c r="K172" s="318"/>
      <c r="L172" s="318"/>
      <c r="M172" s="318"/>
      <c r="N172" s="318"/>
      <c r="O172" s="384"/>
    </row>
    <row r="173" spans="1:15" s="348" customFormat="1" ht="11.25" customHeight="1">
      <c r="A173" s="317"/>
      <c r="B173" s="318"/>
      <c r="C173" s="318"/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384"/>
    </row>
    <row r="174" spans="1:15" s="348" customFormat="1" ht="12.75" customHeight="1">
      <c r="A174" s="317"/>
      <c r="B174" s="318"/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84"/>
    </row>
    <row r="175" spans="1:15" s="348" customFormat="1" ht="12.75" customHeight="1">
      <c r="A175" s="317"/>
      <c r="B175" s="318"/>
      <c r="C175" s="318"/>
      <c r="D175" s="318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84"/>
    </row>
    <row r="176" spans="1:15" s="348" customFormat="1">
      <c r="A176" s="317"/>
      <c r="B176" s="318"/>
      <c r="C176" s="318"/>
      <c r="D176" s="318"/>
      <c r="E176" s="318"/>
      <c r="F176" s="318"/>
      <c r="G176" s="318"/>
      <c r="H176" s="318"/>
      <c r="I176" s="318"/>
      <c r="J176" s="318"/>
      <c r="K176" s="318"/>
      <c r="L176" s="318"/>
      <c r="M176" s="318"/>
      <c r="N176" s="318"/>
      <c r="O176" s="384"/>
    </row>
    <row r="177" spans="1:15" s="348" customFormat="1">
      <c r="A177" s="317"/>
      <c r="B177" s="318"/>
      <c r="C177" s="318"/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84"/>
    </row>
    <row r="178" spans="1:15" s="348" customFormat="1">
      <c r="A178" s="317"/>
      <c r="B178" s="318"/>
      <c r="C178" s="318"/>
      <c r="D178" s="318"/>
      <c r="E178" s="318"/>
      <c r="F178" s="318"/>
      <c r="G178" s="318"/>
      <c r="H178" s="318"/>
      <c r="I178" s="318"/>
      <c r="J178" s="318"/>
      <c r="K178" s="318"/>
      <c r="L178" s="318"/>
      <c r="M178" s="318"/>
      <c r="N178" s="318"/>
      <c r="O178" s="384"/>
    </row>
    <row r="179" spans="1:15" s="348" customFormat="1">
      <c r="A179" s="317"/>
      <c r="B179" s="318"/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84"/>
    </row>
    <row r="180" spans="1:15" s="1680" customFormat="1" ht="24.75" customHeight="1">
      <c r="A180" s="317"/>
      <c r="B180" s="318"/>
      <c r="C180" s="318"/>
      <c r="D180" s="318"/>
      <c r="E180" s="318"/>
      <c r="F180" s="318"/>
      <c r="G180" s="318"/>
      <c r="H180" s="318"/>
      <c r="I180" s="318"/>
      <c r="J180" s="318"/>
      <c r="K180" s="318"/>
      <c r="L180" s="318"/>
      <c r="M180" s="318"/>
      <c r="N180" s="318"/>
      <c r="O180" s="384"/>
    </row>
    <row r="181" spans="1:15" s="348" customFormat="1" ht="12.75" customHeight="1">
      <c r="A181" s="317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  <c r="N181" s="318"/>
      <c r="O181" s="384"/>
    </row>
    <row r="182" spans="1:15" s="348" customFormat="1" ht="12.75" customHeight="1">
      <c r="A182" s="317"/>
      <c r="B182" s="318"/>
      <c r="C182" s="318"/>
      <c r="D182" s="318"/>
      <c r="E182" s="318"/>
      <c r="F182" s="318"/>
      <c r="G182" s="318"/>
      <c r="H182" s="318"/>
      <c r="I182" s="318"/>
      <c r="J182" s="318"/>
      <c r="K182" s="318"/>
      <c r="L182" s="318"/>
      <c r="M182" s="318"/>
      <c r="N182" s="318"/>
      <c r="O182" s="384"/>
    </row>
    <row r="183" spans="1:15" s="348" customFormat="1">
      <c r="A183" s="317"/>
      <c r="B183" s="318"/>
      <c r="C183" s="318"/>
      <c r="D183" s="318"/>
      <c r="E183" s="318"/>
      <c r="F183" s="318"/>
      <c r="G183" s="318"/>
      <c r="H183" s="318"/>
      <c r="I183" s="318"/>
      <c r="J183" s="318"/>
      <c r="K183" s="318"/>
      <c r="L183" s="318"/>
      <c r="M183" s="318"/>
      <c r="N183" s="318"/>
      <c r="O183" s="384"/>
    </row>
    <row r="184" spans="1:15" s="348" customFormat="1">
      <c r="A184" s="317"/>
      <c r="B184" s="318"/>
      <c r="C184" s="318"/>
      <c r="D184" s="318"/>
      <c r="E184" s="318"/>
      <c r="F184" s="318"/>
      <c r="G184" s="318"/>
      <c r="H184" s="318"/>
      <c r="I184" s="318"/>
      <c r="J184" s="318"/>
      <c r="K184" s="318"/>
      <c r="L184" s="318"/>
      <c r="M184" s="318"/>
      <c r="N184" s="318"/>
      <c r="O184" s="384"/>
    </row>
    <row r="185" spans="1:15" s="348" customFormat="1">
      <c r="A185" s="317"/>
      <c r="B185" s="318"/>
      <c r="C185" s="318"/>
      <c r="D185" s="318"/>
      <c r="E185" s="318"/>
      <c r="F185" s="318"/>
      <c r="G185" s="318"/>
      <c r="H185" s="318"/>
      <c r="I185" s="318"/>
      <c r="J185" s="318"/>
      <c r="K185" s="318"/>
      <c r="L185" s="318"/>
      <c r="M185" s="318"/>
      <c r="N185" s="318"/>
      <c r="O185" s="384"/>
    </row>
    <row r="186" spans="1:15" s="1680" customFormat="1" ht="23.25" customHeight="1">
      <c r="A186" s="317"/>
      <c r="B186" s="318"/>
      <c r="C186" s="318"/>
      <c r="D186" s="318"/>
      <c r="E186" s="318"/>
      <c r="F186" s="318"/>
      <c r="G186" s="318"/>
      <c r="H186" s="318"/>
      <c r="I186" s="318"/>
      <c r="J186" s="318"/>
      <c r="K186" s="318"/>
      <c r="L186" s="318"/>
      <c r="M186" s="318"/>
      <c r="N186" s="318"/>
      <c r="O186" s="384"/>
    </row>
    <row r="187" spans="1:15" s="348" customFormat="1" ht="15" customHeight="1">
      <c r="A187" s="317"/>
      <c r="B187" s="318"/>
      <c r="C187" s="318"/>
      <c r="D187" s="318"/>
      <c r="E187" s="318"/>
      <c r="F187" s="318"/>
      <c r="G187" s="318"/>
      <c r="H187" s="318"/>
      <c r="I187" s="318"/>
      <c r="J187" s="318"/>
      <c r="K187" s="318"/>
      <c r="L187" s="318"/>
      <c r="M187" s="318"/>
      <c r="N187" s="318"/>
      <c r="O187" s="384"/>
    </row>
    <row r="188" spans="1:15" s="348" customFormat="1" ht="12.75" customHeight="1">
      <c r="A188" s="317"/>
      <c r="B188" s="318"/>
      <c r="C188" s="318"/>
      <c r="D188" s="318"/>
      <c r="E188" s="318"/>
      <c r="F188" s="318"/>
      <c r="G188" s="318"/>
      <c r="H188" s="318"/>
      <c r="I188" s="318"/>
      <c r="J188" s="318"/>
      <c r="K188" s="318"/>
      <c r="L188" s="318"/>
      <c r="M188" s="318"/>
      <c r="N188" s="318"/>
      <c r="O188" s="384"/>
    </row>
    <row r="189" spans="1:15" s="348" customFormat="1">
      <c r="A189" s="317"/>
      <c r="B189" s="318"/>
      <c r="C189" s="318"/>
      <c r="D189" s="318"/>
      <c r="E189" s="318"/>
      <c r="F189" s="318"/>
      <c r="G189" s="318"/>
      <c r="H189" s="318"/>
      <c r="I189" s="318"/>
      <c r="J189" s="318"/>
      <c r="K189" s="318"/>
      <c r="L189" s="318"/>
      <c r="M189" s="318"/>
      <c r="N189" s="318"/>
      <c r="O189" s="384"/>
    </row>
    <row r="190" spans="1:15" s="348" customFormat="1">
      <c r="A190" s="317"/>
      <c r="B190" s="318"/>
      <c r="C190" s="318"/>
      <c r="D190" s="318"/>
      <c r="E190" s="318"/>
      <c r="F190" s="318"/>
      <c r="G190" s="318"/>
      <c r="H190" s="318"/>
      <c r="I190" s="318"/>
      <c r="J190" s="318"/>
      <c r="K190" s="318"/>
      <c r="L190" s="318"/>
      <c r="M190" s="318"/>
      <c r="N190" s="318"/>
      <c r="O190" s="384"/>
    </row>
    <row r="191" spans="1:15" s="1680" customFormat="1" ht="12.75" customHeight="1">
      <c r="A191" s="317"/>
      <c r="B191" s="318"/>
      <c r="C191" s="318"/>
      <c r="D191" s="318"/>
      <c r="E191" s="318"/>
      <c r="F191" s="318"/>
      <c r="G191" s="318"/>
      <c r="H191" s="318"/>
      <c r="I191" s="318"/>
      <c r="J191" s="318"/>
      <c r="K191" s="318"/>
      <c r="L191" s="318"/>
      <c r="M191" s="318"/>
      <c r="N191" s="318"/>
      <c r="O191" s="384"/>
    </row>
    <row r="192" spans="1:15" s="348" customFormat="1" ht="9.75" customHeight="1">
      <c r="A192" s="317"/>
      <c r="B192" s="318"/>
      <c r="C192" s="318"/>
      <c r="D192" s="318"/>
      <c r="E192" s="318"/>
      <c r="F192" s="318"/>
      <c r="G192" s="318"/>
      <c r="H192" s="318"/>
      <c r="I192" s="318"/>
      <c r="J192" s="318"/>
      <c r="K192" s="318"/>
      <c r="L192" s="318"/>
      <c r="M192" s="318"/>
      <c r="N192" s="318"/>
      <c r="O192" s="384"/>
    </row>
    <row r="193" spans="1:15" s="348" customFormat="1" ht="12.75" customHeight="1">
      <c r="A193" s="317"/>
      <c r="B193" s="318"/>
      <c r="C193" s="318"/>
      <c r="D193" s="318"/>
      <c r="E193" s="318"/>
      <c r="F193" s="318"/>
      <c r="G193" s="318"/>
      <c r="H193" s="318"/>
      <c r="I193" s="318"/>
      <c r="J193" s="318"/>
      <c r="K193" s="318"/>
      <c r="L193" s="318"/>
      <c r="M193" s="318"/>
      <c r="N193" s="318"/>
      <c r="O193" s="384"/>
    </row>
    <row r="194" spans="1:15" s="348" customFormat="1">
      <c r="A194" s="317"/>
      <c r="B194" s="318"/>
      <c r="C194" s="318"/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84"/>
    </row>
    <row r="195" spans="1:15" s="348" customFormat="1">
      <c r="A195" s="317"/>
      <c r="B195" s="318"/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  <c r="O195" s="384"/>
    </row>
    <row r="196" spans="1:15" s="1683" customFormat="1" ht="24" customHeight="1">
      <c r="A196" s="317"/>
      <c r="B196" s="318"/>
      <c r="C196" s="318"/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84"/>
    </row>
    <row r="197" spans="1:15" s="348" customFormat="1" ht="11.25" customHeight="1">
      <c r="A197" s="317"/>
      <c r="B197" s="318"/>
      <c r="C197" s="318"/>
      <c r="D197" s="318"/>
      <c r="E197" s="318"/>
      <c r="F197" s="318"/>
      <c r="G197" s="318"/>
      <c r="H197" s="318"/>
      <c r="I197" s="318"/>
      <c r="J197" s="318"/>
      <c r="K197" s="318"/>
      <c r="L197" s="318"/>
      <c r="M197" s="318"/>
      <c r="N197" s="318"/>
      <c r="O197" s="384"/>
    </row>
    <row r="198" spans="1:15" s="348" customFormat="1" ht="12.75" customHeight="1">
      <c r="A198" s="317"/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  <c r="L198" s="318"/>
      <c r="M198" s="318"/>
      <c r="N198" s="318"/>
      <c r="O198" s="384"/>
    </row>
    <row r="199" spans="1:15" s="348" customFormat="1">
      <c r="A199" s="317"/>
      <c r="B199" s="318"/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84"/>
    </row>
    <row r="200" spans="1:15" s="348" customFormat="1">
      <c r="A200" s="317"/>
      <c r="B200" s="318"/>
      <c r="C200" s="318"/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84"/>
    </row>
    <row r="201" spans="1:15" s="348" customFormat="1">
      <c r="A201" s="317"/>
      <c r="B201" s="318"/>
      <c r="C201" s="318"/>
      <c r="D201" s="318"/>
      <c r="E201" s="318"/>
      <c r="F201" s="318"/>
      <c r="G201" s="318"/>
      <c r="H201" s="318"/>
      <c r="I201" s="318"/>
      <c r="J201" s="318"/>
      <c r="K201" s="318"/>
      <c r="L201" s="318"/>
      <c r="M201" s="318"/>
      <c r="N201" s="318"/>
      <c r="O201" s="384"/>
    </row>
    <row r="202" spans="1:15" s="348" customFormat="1">
      <c r="A202" s="317"/>
      <c r="B202" s="318"/>
      <c r="C202" s="318"/>
      <c r="D202" s="318"/>
      <c r="E202" s="318"/>
      <c r="F202" s="318"/>
      <c r="G202" s="318"/>
      <c r="H202" s="318"/>
      <c r="I202" s="318"/>
      <c r="J202" s="318"/>
      <c r="K202" s="318"/>
      <c r="L202" s="318"/>
      <c r="M202" s="318"/>
      <c r="N202" s="318"/>
      <c r="O202" s="384"/>
    </row>
    <row r="203" spans="1:15" s="348" customFormat="1" ht="12" customHeight="1">
      <c r="A203" s="317"/>
      <c r="B203" s="318"/>
      <c r="C203" s="318"/>
      <c r="D203" s="318"/>
      <c r="E203" s="318"/>
      <c r="F203" s="318"/>
      <c r="G203" s="318"/>
      <c r="H203" s="318"/>
      <c r="I203" s="318"/>
      <c r="J203" s="318"/>
      <c r="K203" s="318"/>
      <c r="L203" s="318"/>
      <c r="M203" s="318"/>
      <c r="N203" s="318"/>
      <c r="O203" s="384"/>
    </row>
    <row r="204" spans="1:15" s="348" customFormat="1" ht="10.5" customHeight="1">
      <c r="A204" s="317"/>
      <c r="B204" s="318"/>
      <c r="C204" s="318"/>
      <c r="D204" s="318"/>
      <c r="E204" s="318"/>
      <c r="F204" s="318"/>
      <c r="G204" s="318"/>
      <c r="H204" s="318"/>
      <c r="I204" s="318"/>
      <c r="J204" s="318"/>
      <c r="K204" s="318"/>
      <c r="L204" s="318"/>
      <c r="M204" s="318"/>
      <c r="N204" s="318"/>
      <c r="O204" s="384"/>
    </row>
    <row r="205" spans="1:15" s="348" customFormat="1">
      <c r="A205" s="317"/>
      <c r="B205" s="318"/>
      <c r="C205" s="318"/>
      <c r="D205" s="318"/>
      <c r="E205" s="318"/>
      <c r="F205" s="318"/>
      <c r="G205" s="318"/>
      <c r="H205" s="318"/>
      <c r="I205" s="318"/>
      <c r="J205" s="318"/>
      <c r="K205" s="318"/>
      <c r="L205" s="318"/>
      <c r="M205" s="318"/>
      <c r="N205" s="318"/>
      <c r="O205" s="384"/>
    </row>
    <row r="206" spans="1:15" s="348" customFormat="1">
      <c r="A206" s="317"/>
      <c r="B206" s="318"/>
      <c r="C206" s="318"/>
      <c r="D206" s="318"/>
      <c r="E206" s="318"/>
      <c r="F206" s="318"/>
      <c r="G206" s="318"/>
      <c r="H206" s="318"/>
      <c r="I206" s="318"/>
      <c r="J206" s="318"/>
      <c r="K206" s="318"/>
      <c r="L206" s="318"/>
      <c r="M206" s="318"/>
      <c r="N206" s="318"/>
      <c r="O206" s="384"/>
    </row>
    <row r="207" spans="1:15" s="348" customFormat="1">
      <c r="A207" s="317"/>
      <c r="B207" s="318"/>
      <c r="C207" s="318"/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84"/>
    </row>
    <row r="208" spans="1:15" s="348" customFormat="1">
      <c r="A208" s="317"/>
      <c r="B208" s="318"/>
      <c r="C208" s="318"/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84"/>
    </row>
    <row r="209" spans="1:15" s="348" customFormat="1">
      <c r="A209" s="317"/>
      <c r="B209" s="318"/>
      <c r="C209" s="318"/>
      <c r="D209" s="318"/>
      <c r="E209" s="318"/>
      <c r="F209" s="318"/>
      <c r="G209" s="318"/>
      <c r="H209" s="318"/>
      <c r="I209" s="318"/>
      <c r="J209" s="318"/>
      <c r="K209" s="318"/>
      <c r="L209" s="318"/>
      <c r="M209" s="318"/>
      <c r="N209" s="318"/>
      <c r="O209" s="384"/>
    </row>
    <row r="210" spans="1:15" s="348" customFormat="1" ht="32.25" customHeight="1">
      <c r="A210" s="317"/>
      <c r="B210" s="318"/>
      <c r="C210" s="318"/>
      <c r="D210" s="318"/>
      <c r="E210" s="318"/>
      <c r="F210" s="318"/>
      <c r="G210" s="318"/>
      <c r="H210" s="318"/>
      <c r="I210" s="318"/>
      <c r="J210" s="318"/>
      <c r="K210" s="318"/>
      <c r="L210" s="318"/>
      <c r="M210" s="318"/>
      <c r="N210" s="318"/>
      <c r="O210" s="384"/>
    </row>
    <row r="211" spans="1:15" s="348" customFormat="1" ht="15" customHeight="1">
      <c r="A211" s="317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  <c r="N211" s="318"/>
      <c r="O211" s="384"/>
    </row>
    <row r="212" spans="1:15" s="348" customFormat="1" ht="12.75" customHeight="1">
      <c r="A212" s="317"/>
      <c r="B212" s="318"/>
      <c r="C212" s="318"/>
      <c r="D212" s="318"/>
      <c r="E212" s="318"/>
      <c r="F212" s="318"/>
      <c r="G212" s="318"/>
      <c r="H212" s="318"/>
      <c r="I212" s="318"/>
      <c r="J212" s="318"/>
      <c r="K212" s="318"/>
      <c r="L212" s="318"/>
      <c r="M212" s="318"/>
      <c r="N212" s="318"/>
      <c r="O212" s="384"/>
    </row>
    <row r="213" spans="1:15" s="348" customFormat="1">
      <c r="A213" s="317"/>
      <c r="B213" s="318"/>
      <c r="C213" s="318"/>
      <c r="D213" s="318"/>
      <c r="E213" s="318"/>
      <c r="F213" s="318"/>
      <c r="G213" s="318"/>
      <c r="H213" s="318"/>
      <c r="I213" s="318"/>
      <c r="J213" s="318"/>
      <c r="K213" s="318"/>
      <c r="L213" s="318"/>
      <c r="M213" s="318"/>
      <c r="N213" s="318"/>
      <c r="O213" s="384"/>
    </row>
    <row r="214" spans="1:15" s="348" customFormat="1">
      <c r="A214" s="317"/>
      <c r="B214" s="318"/>
      <c r="C214" s="318"/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1684"/>
    </row>
    <row r="215" spans="1:15" s="348" customFormat="1">
      <c r="A215" s="317"/>
      <c r="B215" s="318"/>
      <c r="C215" s="318"/>
      <c r="D215" s="318"/>
      <c r="E215" s="318"/>
      <c r="F215" s="318"/>
      <c r="G215" s="318"/>
      <c r="H215" s="318"/>
      <c r="I215" s="318"/>
      <c r="J215" s="318"/>
      <c r="K215" s="318"/>
      <c r="L215" s="318"/>
      <c r="M215" s="318"/>
      <c r="N215" s="318"/>
      <c r="O215" s="1684"/>
    </row>
    <row r="216" spans="1:15" s="348" customFormat="1" ht="21.75" customHeight="1">
      <c r="A216" s="317"/>
      <c r="B216" s="318"/>
      <c r="C216" s="318"/>
      <c r="D216" s="318"/>
      <c r="E216" s="318"/>
      <c r="F216" s="318"/>
      <c r="G216" s="318"/>
      <c r="H216" s="318"/>
      <c r="I216" s="318"/>
      <c r="J216" s="318"/>
      <c r="K216" s="318"/>
      <c r="L216" s="318"/>
      <c r="M216" s="318"/>
      <c r="N216" s="318"/>
      <c r="O216" s="1684"/>
    </row>
    <row r="217" spans="1:15" s="348" customFormat="1" ht="12.75" customHeight="1">
      <c r="A217" s="317"/>
      <c r="B217" s="318"/>
      <c r="C217" s="318"/>
      <c r="D217" s="318"/>
      <c r="E217" s="318"/>
      <c r="F217" s="318"/>
      <c r="G217" s="318"/>
      <c r="H217" s="318"/>
      <c r="I217" s="318"/>
      <c r="J217" s="318"/>
      <c r="K217" s="318"/>
      <c r="L217" s="318"/>
      <c r="M217" s="318"/>
      <c r="N217" s="318"/>
      <c r="O217" s="1684"/>
    </row>
    <row r="218" spans="1:15" s="348" customFormat="1" ht="12.75" customHeight="1">
      <c r="A218" s="317"/>
      <c r="B218" s="318"/>
      <c r="C218" s="318"/>
      <c r="D218" s="318"/>
      <c r="E218" s="318"/>
      <c r="F218" s="318"/>
      <c r="G218" s="318"/>
      <c r="H218" s="318"/>
      <c r="I218" s="318"/>
      <c r="J218" s="318"/>
      <c r="K218" s="318"/>
      <c r="L218" s="318"/>
      <c r="M218" s="318"/>
      <c r="N218" s="318"/>
      <c r="O218" s="1684"/>
    </row>
    <row r="219" spans="1:15" s="348" customFormat="1">
      <c r="A219" s="317"/>
      <c r="B219" s="318"/>
      <c r="C219" s="318"/>
      <c r="D219" s="318"/>
      <c r="E219" s="318"/>
      <c r="F219" s="318"/>
      <c r="G219" s="318"/>
      <c r="H219" s="318"/>
      <c r="I219" s="318"/>
      <c r="J219" s="318"/>
      <c r="K219" s="318"/>
      <c r="L219" s="318"/>
      <c r="M219" s="318"/>
      <c r="N219" s="318"/>
      <c r="O219" s="1684"/>
    </row>
    <row r="220" spans="1:15" s="348" customFormat="1">
      <c r="A220" s="317"/>
      <c r="B220" s="318"/>
      <c r="C220" s="318"/>
      <c r="D220" s="318"/>
      <c r="E220" s="318"/>
      <c r="F220" s="318"/>
      <c r="G220" s="318"/>
      <c r="H220" s="318"/>
      <c r="I220" s="318"/>
      <c r="J220" s="318"/>
      <c r="K220" s="318"/>
      <c r="L220" s="318"/>
      <c r="M220" s="318"/>
      <c r="N220" s="318"/>
      <c r="O220" s="1684"/>
    </row>
    <row r="221" spans="1:15" s="348" customFormat="1">
      <c r="A221" s="317"/>
      <c r="B221" s="318"/>
      <c r="C221" s="318"/>
      <c r="D221" s="318"/>
      <c r="E221" s="318"/>
      <c r="F221" s="318"/>
      <c r="G221" s="318"/>
      <c r="H221" s="318"/>
      <c r="I221" s="318"/>
      <c r="J221" s="318"/>
      <c r="K221" s="318"/>
      <c r="L221" s="318"/>
      <c r="M221" s="318"/>
      <c r="N221" s="318"/>
      <c r="O221" s="1684"/>
    </row>
    <row r="222" spans="1:15" s="348" customFormat="1">
      <c r="A222" s="317"/>
      <c r="B222" s="318"/>
      <c r="C222" s="318"/>
      <c r="D222" s="318"/>
      <c r="E222" s="318"/>
      <c r="F222" s="318"/>
      <c r="G222" s="318"/>
      <c r="H222" s="318"/>
      <c r="I222" s="318"/>
      <c r="J222" s="318"/>
      <c r="K222" s="318"/>
      <c r="L222" s="318"/>
      <c r="M222" s="318"/>
      <c r="N222" s="318"/>
      <c r="O222" s="1684"/>
    </row>
    <row r="223" spans="1:15" s="1683" customFormat="1" ht="35.25" customHeight="1">
      <c r="A223" s="317"/>
      <c r="B223" s="318"/>
      <c r="C223" s="318"/>
      <c r="D223" s="318"/>
      <c r="E223" s="318"/>
      <c r="F223" s="318"/>
      <c r="G223" s="318"/>
      <c r="H223" s="318"/>
      <c r="I223" s="318"/>
      <c r="J223" s="318"/>
      <c r="K223" s="318"/>
      <c r="L223" s="318"/>
      <c r="M223" s="318"/>
      <c r="N223" s="318"/>
      <c r="O223" s="1684"/>
    </row>
    <row r="224" spans="1:15" s="348" customFormat="1" ht="11.25" customHeight="1">
      <c r="A224" s="317"/>
      <c r="B224" s="318"/>
      <c r="C224" s="318"/>
      <c r="D224" s="318"/>
      <c r="E224" s="318"/>
      <c r="F224" s="318"/>
      <c r="G224" s="318"/>
      <c r="H224" s="318"/>
      <c r="I224" s="318"/>
      <c r="J224" s="318"/>
      <c r="K224" s="318"/>
      <c r="L224" s="318"/>
      <c r="M224" s="318"/>
      <c r="N224" s="318"/>
      <c r="O224" s="1684"/>
    </row>
    <row r="225" spans="1:15" s="348" customFormat="1" ht="12.75" customHeight="1">
      <c r="A225" s="317"/>
      <c r="B225" s="318"/>
      <c r="C225" s="318"/>
      <c r="D225" s="318"/>
      <c r="E225" s="318"/>
      <c r="F225" s="318"/>
      <c r="G225" s="318"/>
      <c r="H225" s="318"/>
      <c r="I225" s="318"/>
      <c r="J225" s="318"/>
      <c r="K225" s="318"/>
      <c r="L225" s="318"/>
      <c r="M225" s="318"/>
      <c r="N225" s="318"/>
      <c r="O225" s="1684"/>
    </row>
    <row r="226" spans="1:15" s="1683" customFormat="1" ht="14.25" customHeight="1">
      <c r="A226" s="317"/>
      <c r="B226" s="318"/>
      <c r="C226" s="318"/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1684"/>
    </row>
    <row r="227" spans="1:15" s="348" customFormat="1" ht="11.25" customHeight="1">
      <c r="A227" s="317"/>
      <c r="B227" s="318"/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1684"/>
    </row>
    <row r="228" spans="1:15" s="348" customFormat="1" ht="12.75" customHeight="1">
      <c r="A228" s="317"/>
      <c r="B228" s="318"/>
      <c r="C228" s="318"/>
      <c r="D228" s="318"/>
      <c r="E228" s="318"/>
      <c r="F228" s="318"/>
      <c r="G228" s="318"/>
      <c r="H228" s="318"/>
      <c r="I228" s="318"/>
      <c r="J228" s="318"/>
      <c r="K228" s="318"/>
      <c r="L228" s="318"/>
      <c r="M228" s="318"/>
      <c r="N228" s="318"/>
      <c r="O228" s="1684"/>
    </row>
    <row r="229" spans="1:15" s="1683" customFormat="1" ht="23.25" customHeight="1">
      <c r="A229" s="317"/>
      <c r="B229" s="318"/>
      <c r="C229" s="318"/>
      <c r="D229" s="318"/>
      <c r="E229" s="318"/>
      <c r="F229" s="318"/>
      <c r="G229" s="318"/>
      <c r="H229" s="318"/>
      <c r="I229" s="318"/>
      <c r="J229" s="318"/>
      <c r="K229" s="318"/>
      <c r="L229" s="318"/>
      <c r="M229" s="318"/>
      <c r="N229" s="318"/>
      <c r="O229" s="1684"/>
    </row>
    <row r="230" spans="1:15" s="348" customFormat="1" ht="11.25" customHeight="1">
      <c r="A230" s="317"/>
      <c r="B230" s="318"/>
      <c r="C230" s="318"/>
      <c r="D230" s="318"/>
      <c r="E230" s="318"/>
      <c r="F230" s="318"/>
      <c r="G230" s="318"/>
      <c r="H230" s="318"/>
      <c r="I230" s="318"/>
      <c r="J230" s="318"/>
      <c r="K230" s="318"/>
      <c r="L230" s="318"/>
      <c r="M230" s="318"/>
      <c r="N230" s="318"/>
      <c r="O230" s="1684"/>
    </row>
    <row r="231" spans="1:15" s="348" customFormat="1">
      <c r="A231" s="317"/>
      <c r="B231" s="318"/>
      <c r="C231" s="318"/>
      <c r="D231" s="318"/>
      <c r="E231" s="318"/>
      <c r="F231" s="318"/>
      <c r="G231" s="318"/>
      <c r="H231" s="318"/>
      <c r="I231" s="318"/>
      <c r="J231" s="318"/>
      <c r="K231" s="318"/>
      <c r="L231" s="318"/>
      <c r="M231" s="318"/>
      <c r="N231" s="318"/>
      <c r="O231" s="1684"/>
    </row>
    <row r="232" spans="1:15" s="348" customFormat="1">
      <c r="A232" s="317"/>
      <c r="B232" s="318"/>
      <c r="C232" s="318"/>
      <c r="D232" s="318"/>
      <c r="E232" s="318"/>
      <c r="F232" s="318"/>
      <c r="G232" s="318"/>
      <c r="H232" s="318"/>
      <c r="I232" s="318"/>
      <c r="J232" s="318"/>
      <c r="K232" s="318"/>
      <c r="L232" s="318"/>
      <c r="M232" s="318"/>
      <c r="N232" s="318"/>
      <c r="O232" s="1684"/>
    </row>
    <row r="233" spans="1:15" s="1683" customFormat="1" ht="23.25" customHeight="1">
      <c r="A233" s="317"/>
      <c r="B233" s="318"/>
      <c r="C233" s="318"/>
      <c r="D233" s="318"/>
      <c r="E233" s="318"/>
      <c r="F233" s="318"/>
      <c r="G233" s="318"/>
      <c r="H233" s="318"/>
      <c r="I233" s="318"/>
      <c r="J233" s="318"/>
      <c r="K233" s="318"/>
      <c r="L233" s="318"/>
      <c r="M233" s="318"/>
      <c r="N233" s="318"/>
      <c r="O233" s="1684"/>
    </row>
    <row r="234" spans="1:15" s="348" customFormat="1" ht="11.25" customHeight="1">
      <c r="A234" s="317"/>
      <c r="B234" s="318"/>
      <c r="C234" s="318"/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318"/>
      <c r="O234" s="1684"/>
    </row>
    <row r="235" spans="1:15" s="348" customFormat="1">
      <c r="A235" s="317"/>
      <c r="B235" s="318"/>
      <c r="C235" s="318"/>
      <c r="D235" s="318"/>
      <c r="E235" s="318"/>
      <c r="F235" s="318"/>
      <c r="G235" s="318"/>
      <c r="H235" s="318"/>
      <c r="I235" s="318"/>
      <c r="J235" s="318"/>
      <c r="K235" s="318"/>
      <c r="L235" s="318"/>
      <c r="M235" s="318"/>
      <c r="N235" s="318"/>
      <c r="O235" s="1684"/>
    </row>
    <row r="236" spans="1:15">
      <c r="O236" s="1684"/>
    </row>
    <row r="237" spans="1:15">
      <c r="O237" s="1684"/>
    </row>
    <row r="238" spans="1:15">
      <c r="O238" s="1684"/>
    </row>
    <row r="239" spans="1:15">
      <c r="O239" s="1684"/>
    </row>
    <row r="240" spans="1:15">
      <c r="O240" s="1684"/>
    </row>
    <row r="241" spans="15:15">
      <c r="O241" s="1684"/>
    </row>
    <row r="242" spans="15:15">
      <c r="O242" s="1684"/>
    </row>
    <row r="457" spans="1:15" ht="13.5" thickBot="1"/>
    <row r="458" spans="1:15" ht="33.75">
      <c r="A458" s="387"/>
      <c r="B458" s="388" t="s">
        <v>69</v>
      </c>
      <c r="C458" s="388"/>
      <c r="D458" s="389"/>
      <c r="E458" s="389"/>
      <c r="F458" s="389"/>
      <c r="G458" s="389"/>
      <c r="H458" s="389"/>
      <c r="I458" s="389"/>
      <c r="J458" s="389"/>
      <c r="K458" s="389"/>
      <c r="L458" s="389"/>
      <c r="M458" s="389"/>
      <c r="N458" s="389"/>
      <c r="O458" s="390"/>
    </row>
    <row r="459" spans="1:15">
      <c r="A459" s="391"/>
      <c r="O459" s="392"/>
    </row>
    <row r="460" spans="1:15">
      <c r="A460" s="391"/>
      <c r="O460" s="392"/>
    </row>
    <row r="461" spans="1:15">
      <c r="A461" s="391"/>
      <c r="O461" s="392"/>
    </row>
    <row r="462" spans="1:15">
      <c r="A462" s="391"/>
      <c r="O462" s="392"/>
    </row>
    <row r="463" spans="1:15">
      <c r="A463" s="391"/>
      <c r="O463" s="392"/>
    </row>
    <row r="464" spans="1:15">
      <c r="A464" s="391"/>
      <c r="O464" s="392"/>
    </row>
    <row r="465" spans="1:15">
      <c r="A465" s="391"/>
      <c r="O465" s="392"/>
    </row>
    <row r="466" spans="1:15">
      <c r="A466" s="391"/>
      <c r="O466" s="392"/>
    </row>
    <row r="467" spans="1:15">
      <c r="A467" s="391"/>
      <c r="O467" s="392"/>
    </row>
    <row r="468" spans="1:15">
      <c r="A468" s="391"/>
      <c r="O468" s="392"/>
    </row>
    <row r="469" spans="1:15" ht="13.5" thickBot="1">
      <c r="A469" s="393"/>
      <c r="B469" s="394"/>
      <c r="C469" s="394"/>
      <c r="D469" s="394"/>
      <c r="E469" s="394"/>
      <c r="F469" s="394"/>
      <c r="G469" s="394"/>
      <c r="H469" s="394"/>
      <c r="I469" s="394"/>
      <c r="J469" s="394"/>
      <c r="K469" s="394"/>
      <c r="L469" s="394"/>
      <c r="M469" s="394"/>
      <c r="N469" s="394"/>
      <c r="O469" s="395"/>
    </row>
  </sheetData>
  <mergeCells count="37">
    <mergeCell ref="O52:O56"/>
    <mergeCell ref="C54:C56"/>
    <mergeCell ref="O47:O51"/>
    <mergeCell ref="A42:A46"/>
    <mergeCell ref="O42:O46"/>
    <mergeCell ref="C44:C46"/>
    <mergeCell ref="Q29:S39"/>
    <mergeCell ref="C31:C36"/>
    <mergeCell ref="C39:C41"/>
    <mergeCell ref="N38:N41"/>
    <mergeCell ref="A29:A41"/>
    <mergeCell ref="O29:O41"/>
    <mergeCell ref="M38:M41"/>
    <mergeCell ref="L7:L8"/>
    <mergeCell ref="M6:M8"/>
    <mergeCell ref="M23:M28"/>
    <mergeCell ref="F6:F8"/>
    <mergeCell ref="G7:G8"/>
    <mergeCell ref="H7:H8"/>
    <mergeCell ref="I7:I8"/>
    <mergeCell ref="J7:J8"/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27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E194"/>
  <sheetViews>
    <sheetView showGridLines="0" view="pageBreakPreview" zoomScale="115" zoomScaleSheetLayoutView="115" workbookViewId="0">
      <pane ySplit="8" topLeftCell="A9" activePane="bottomLeft" state="frozen"/>
      <selection activeCell="B96" sqref="B96"/>
      <selection pane="bottomLeft" activeCell="I115" sqref="I115:I121"/>
    </sheetView>
  </sheetViews>
  <sheetFormatPr defaultColWidth="9.140625" defaultRowHeight="11.25"/>
  <cols>
    <col min="1" max="1" width="2.85546875" style="1931" customWidth="1"/>
    <col min="2" max="2" width="56.28515625" style="1932" customWidth="1"/>
    <col min="3" max="3" width="10" style="1932" customWidth="1"/>
    <col min="4" max="4" width="14.140625" style="1932" customWidth="1"/>
    <col min="5" max="5" width="12" style="1932" customWidth="1"/>
    <col min="6" max="6" width="10.42578125" style="1932" customWidth="1"/>
    <col min="7" max="7" width="10.140625" style="1932" customWidth="1"/>
    <col min="8" max="8" width="9.28515625" style="1932" customWidth="1"/>
    <col min="9" max="12" width="9.5703125" style="1932" customWidth="1"/>
    <col min="13" max="13" width="10.5703125" style="1932" hidden="1" customWidth="1"/>
    <col min="14" max="14" width="11.28515625" style="1932" customWidth="1"/>
    <col min="15" max="15" width="15.7109375" style="2088" customWidth="1"/>
    <col min="16" max="19" width="0" style="1932" hidden="1" customWidth="1"/>
    <col min="20" max="16384" width="9.140625" style="1932"/>
  </cols>
  <sheetData>
    <row r="1" spans="1:15" ht="18" customHeight="1">
      <c r="H1" s="1933" t="s">
        <v>128</v>
      </c>
      <c r="I1" s="1933"/>
      <c r="J1" s="1933"/>
      <c r="K1" s="1933"/>
      <c r="L1" s="1933"/>
      <c r="M1" s="1934"/>
      <c r="N1" s="1934"/>
      <c r="O1" s="1935"/>
    </row>
    <row r="2" spans="1:15" ht="7.5" customHeight="1">
      <c r="I2" s="1934"/>
      <c r="J2" s="1934"/>
      <c r="K2" s="1934"/>
      <c r="L2" s="1934"/>
      <c r="M2" s="1934"/>
      <c r="N2" s="1934"/>
      <c r="O2" s="1935"/>
    </row>
    <row r="3" spans="1:15" ht="14.25" hidden="1" customHeight="1">
      <c r="F3" s="1936"/>
      <c r="G3" s="1936"/>
      <c r="H3" s="1936"/>
      <c r="I3" s="1934"/>
      <c r="J3" s="1934"/>
      <c r="K3" s="1934"/>
      <c r="L3" s="1934"/>
      <c r="M3" s="1934"/>
      <c r="N3" s="1934"/>
      <c r="O3" s="1935"/>
    </row>
    <row r="4" spans="1:15" ht="9" customHeight="1">
      <c r="F4" s="1936"/>
      <c r="G4" s="1936"/>
      <c r="H4" s="1936"/>
      <c r="I4" s="1934"/>
      <c r="J4" s="1934"/>
      <c r="K4" s="1934"/>
      <c r="L4" s="1934"/>
      <c r="M4" s="1934"/>
      <c r="N4" s="1934"/>
      <c r="O4" s="1935"/>
    </row>
    <row r="5" spans="1:15" ht="38.25" customHeight="1" thickBot="1">
      <c r="A5" s="3532" t="s">
        <v>129</v>
      </c>
      <c r="B5" s="3532"/>
      <c r="C5" s="3532"/>
      <c r="D5" s="3532"/>
      <c r="E5" s="3532"/>
      <c r="F5" s="3532"/>
      <c r="G5" s="3532"/>
      <c r="H5" s="3532"/>
      <c r="I5" s="3532"/>
      <c r="J5" s="3532"/>
      <c r="K5" s="3532"/>
      <c r="L5" s="3532"/>
      <c r="M5" s="3532"/>
      <c r="N5" s="3532"/>
      <c r="O5" s="3532"/>
    </row>
    <row r="6" spans="1:15" s="2393" customFormat="1" ht="33.75" customHeight="1">
      <c r="A6" s="1937"/>
      <c r="B6" s="3533" t="s">
        <v>75</v>
      </c>
      <c r="C6" s="3536" t="s">
        <v>71</v>
      </c>
      <c r="D6" s="3539" t="s">
        <v>130</v>
      </c>
      <c r="E6" s="3548" t="s">
        <v>460</v>
      </c>
      <c r="F6" s="3551" t="s">
        <v>525</v>
      </c>
      <c r="G6" s="3554" t="s">
        <v>457</v>
      </c>
      <c r="H6" s="3555"/>
      <c r="I6" s="3555"/>
      <c r="J6" s="3555"/>
      <c r="K6" s="3555"/>
      <c r="L6" s="3556"/>
      <c r="M6" s="3545" t="s">
        <v>478</v>
      </c>
      <c r="N6" s="3545" t="s">
        <v>458</v>
      </c>
      <c r="O6" s="3542" t="s">
        <v>73</v>
      </c>
    </row>
    <row r="7" spans="1:15" s="2393" customFormat="1" ht="25.5" customHeight="1">
      <c r="A7" s="1938" t="s">
        <v>74</v>
      </c>
      <c r="B7" s="3534"/>
      <c r="C7" s="3537"/>
      <c r="D7" s="3540"/>
      <c r="E7" s="3549"/>
      <c r="F7" s="3552"/>
      <c r="G7" s="3557" t="s">
        <v>6</v>
      </c>
      <c r="H7" s="3557" t="s">
        <v>206</v>
      </c>
      <c r="I7" s="3557" t="s">
        <v>208</v>
      </c>
      <c r="J7" s="3557" t="s">
        <v>253</v>
      </c>
      <c r="K7" s="3557" t="s">
        <v>254</v>
      </c>
      <c r="L7" s="3557" t="s">
        <v>252</v>
      </c>
      <c r="M7" s="3546"/>
      <c r="N7" s="3546"/>
      <c r="O7" s="3543"/>
    </row>
    <row r="8" spans="1:15" s="2393" customFormat="1" ht="20.25" customHeight="1" thickBot="1">
      <c r="A8" s="1938"/>
      <c r="B8" s="3535"/>
      <c r="C8" s="3538"/>
      <c r="D8" s="3541"/>
      <c r="E8" s="3550"/>
      <c r="F8" s="3553"/>
      <c r="G8" s="3558"/>
      <c r="H8" s="3558"/>
      <c r="I8" s="3558"/>
      <c r="J8" s="3558"/>
      <c r="K8" s="3558"/>
      <c r="L8" s="3558"/>
      <c r="M8" s="3547"/>
      <c r="N8" s="3547"/>
      <c r="O8" s="3544"/>
    </row>
    <row r="9" spans="1:15" s="2393" customFormat="1" ht="12.75" customHeight="1">
      <c r="A9" s="2110">
        <v>1</v>
      </c>
      <c r="B9" s="2111">
        <v>2</v>
      </c>
      <c r="C9" s="2112" t="s">
        <v>118</v>
      </c>
      <c r="D9" s="2112" t="s">
        <v>119</v>
      </c>
      <c r="E9" s="2112">
        <v>5</v>
      </c>
      <c r="F9" s="2112">
        <v>6</v>
      </c>
      <c r="G9" s="2112">
        <v>7</v>
      </c>
      <c r="H9" s="2112">
        <v>8</v>
      </c>
      <c r="I9" s="2112">
        <v>9</v>
      </c>
      <c r="J9" s="2112">
        <v>10</v>
      </c>
      <c r="K9" s="2112">
        <v>11</v>
      </c>
      <c r="L9" s="2112">
        <v>12</v>
      </c>
      <c r="M9" s="2114">
        <v>13</v>
      </c>
      <c r="N9" s="2114">
        <v>13</v>
      </c>
      <c r="O9" s="2113">
        <v>14</v>
      </c>
    </row>
    <row r="10" spans="1:15" s="2393" customFormat="1" ht="17.25" customHeight="1">
      <c r="A10" s="1939"/>
      <c r="B10" s="1940" t="s">
        <v>76</v>
      </c>
      <c r="C10" s="1941"/>
      <c r="D10" s="222">
        <f>+D11+D12</f>
        <v>1394073</v>
      </c>
      <c r="E10" s="222">
        <f t="shared" ref="E10" si="0">+E11+E12</f>
        <v>594690</v>
      </c>
      <c r="F10" s="222">
        <f t="shared" ref="F10:G10" si="1">+F11+F12</f>
        <v>172504</v>
      </c>
      <c r="G10" s="222">
        <f t="shared" si="1"/>
        <v>228719</v>
      </c>
      <c r="H10" s="222">
        <f t="shared" ref="H10:L10" si="2">+H11+H12</f>
        <v>199080</v>
      </c>
      <c r="I10" s="222">
        <f t="shared" si="2"/>
        <v>199080</v>
      </c>
      <c r="J10" s="222">
        <f t="shared" si="2"/>
        <v>0</v>
      </c>
      <c r="K10" s="222">
        <f t="shared" si="2"/>
        <v>0</v>
      </c>
      <c r="L10" s="222">
        <f t="shared" si="2"/>
        <v>0</v>
      </c>
      <c r="M10" s="150">
        <f>+M11+M12</f>
        <v>799383</v>
      </c>
      <c r="N10" s="150">
        <f>+N11+N12</f>
        <v>626879</v>
      </c>
      <c r="O10" s="1943"/>
    </row>
    <row r="11" spans="1:15" s="2393" customFormat="1" ht="13.5" customHeight="1">
      <c r="A11" s="1939"/>
      <c r="B11" s="1944" t="s">
        <v>77</v>
      </c>
      <c r="C11" s="1945"/>
      <c r="D11" s="214">
        <f>+D22+D33+D44+D51+D58+D65</f>
        <v>1394073</v>
      </c>
      <c r="E11" s="214">
        <f>+E22+E33+E44+E51+E58+E65</f>
        <v>594690</v>
      </c>
      <c r="F11" s="214">
        <f>+F22+F33+F44+F51+F58+F65</f>
        <v>172504</v>
      </c>
      <c r="G11" s="214">
        <f>+G22+G33+G44+G51+G58+G65</f>
        <v>228719</v>
      </c>
      <c r="H11" s="214">
        <f t="shared" ref="H11:L11" si="3">+H22+H33+H44+H51+H58+H65</f>
        <v>199080</v>
      </c>
      <c r="I11" s="214">
        <f t="shared" si="3"/>
        <v>199080</v>
      </c>
      <c r="J11" s="214">
        <f t="shared" si="3"/>
        <v>0</v>
      </c>
      <c r="K11" s="214">
        <f t="shared" si="3"/>
        <v>0</v>
      </c>
      <c r="L11" s="214">
        <f t="shared" si="3"/>
        <v>0</v>
      </c>
      <c r="M11" s="18">
        <f>SUM(F11:K11)</f>
        <v>799383</v>
      </c>
      <c r="N11" s="18">
        <f>SUM(G11:L11)</f>
        <v>626879</v>
      </c>
      <c r="O11" s="1943"/>
    </row>
    <row r="12" spans="1:15" s="2393" customFormat="1" ht="13.5" customHeight="1" thickBot="1">
      <c r="A12" s="1939"/>
      <c r="B12" s="1948" t="s">
        <v>9</v>
      </c>
      <c r="C12" s="1945"/>
      <c r="D12" s="214">
        <v>0</v>
      </c>
      <c r="E12" s="214">
        <v>0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18">
        <f>SUM(E12:K12)</f>
        <v>0</v>
      </c>
      <c r="N12" s="18">
        <f>SUM(F12:L12)</f>
        <v>0</v>
      </c>
      <c r="O12" s="1943"/>
    </row>
    <row r="13" spans="1:15" ht="14.25" customHeight="1">
      <c r="A13" s="1949"/>
      <c r="B13" s="1950" t="s">
        <v>10</v>
      </c>
      <c r="C13" s="1951"/>
      <c r="D13" s="156">
        <f>+D14+D16</f>
        <v>1394073</v>
      </c>
      <c r="E13" s="156">
        <f t="shared" ref="E13" si="4">+E14+E16</f>
        <v>594690</v>
      </c>
      <c r="F13" s="156">
        <f t="shared" ref="F13" si="5">+F14+F16</f>
        <v>172504</v>
      </c>
      <c r="G13" s="156">
        <f t="shared" ref="G13:N13" si="6">+G14+G16</f>
        <v>228719</v>
      </c>
      <c r="H13" s="156">
        <f t="shared" si="6"/>
        <v>199080</v>
      </c>
      <c r="I13" s="156">
        <f t="shared" si="6"/>
        <v>199080</v>
      </c>
      <c r="J13" s="156">
        <f t="shared" si="6"/>
        <v>0</v>
      </c>
      <c r="K13" s="156">
        <f t="shared" si="6"/>
        <v>0</v>
      </c>
      <c r="L13" s="156">
        <f t="shared" si="6"/>
        <v>0</v>
      </c>
      <c r="M13" s="190">
        <f t="shared" ref="M13" si="7">+M14+M16</f>
        <v>799383</v>
      </c>
      <c r="N13" s="190">
        <f t="shared" si="6"/>
        <v>626879</v>
      </c>
      <c r="O13" s="1943"/>
    </row>
    <row r="14" spans="1:15" ht="14.25" customHeight="1">
      <c r="A14" s="1939"/>
      <c r="B14" s="1952" t="s">
        <v>11</v>
      </c>
      <c r="C14" s="1953"/>
      <c r="D14" s="2092">
        <f>+D15</f>
        <v>648035</v>
      </c>
      <c r="E14" s="2092">
        <f t="shared" ref="E14:L14" si="8">+E15</f>
        <v>274500</v>
      </c>
      <c r="F14" s="2092">
        <f t="shared" si="8"/>
        <v>74915</v>
      </c>
      <c r="G14" s="2092">
        <f t="shared" si="8"/>
        <v>99540</v>
      </c>
      <c r="H14" s="2092">
        <f t="shared" si="8"/>
        <v>99540</v>
      </c>
      <c r="I14" s="2092">
        <f t="shared" si="8"/>
        <v>99540</v>
      </c>
      <c r="J14" s="2092">
        <f t="shared" si="8"/>
        <v>0</v>
      </c>
      <c r="K14" s="2092">
        <f t="shared" si="8"/>
        <v>0</v>
      </c>
      <c r="L14" s="2092">
        <f t="shared" si="8"/>
        <v>0</v>
      </c>
      <c r="M14" s="2093">
        <f>+M15</f>
        <v>373535</v>
      </c>
      <c r="N14" s="2093">
        <f>+N15</f>
        <v>298620</v>
      </c>
      <c r="O14" s="1954"/>
    </row>
    <row r="15" spans="1:15" ht="13.5" customHeight="1">
      <c r="A15" s="1955"/>
      <c r="B15" s="1956" t="s">
        <v>12</v>
      </c>
      <c r="C15" s="1957"/>
      <c r="D15" s="2094">
        <f>+D24+D35</f>
        <v>648035</v>
      </c>
      <c r="E15" s="2094">
        <f t="shared" ref="E15" si="9">+E24+E35</f>
        <v>274500</v>
      </c>
      <c r="F15" s="2094">
        <f t="shared" ref="F15" si="10">+F24+F35</f>
        <v>74915</v>
      </c>
      <c r="G15" s="2094">
        <f t="shared" ref="G15:L15" si="11">+G24+G35</f>
        <v>99540</v>
      </c>
      <c r="H15" s="2094">
        <f t="shared" si="11"/>
        <v>99540</v>
      </c>
      <c r="I15" s="2094">
        <f t="shared" si="11"/>
        <v>99540</v>
      </c>
      <c r="J15" s="2094">
        <f t="shared" si="11"/>
        <v>0</v>
      </c>
      <c r="K15" s="2094">
        <f t="shared" si="11"/>
        <v>0</v>
      </c>
      <c r="L15" s="2094">
        <f t="shared" si="11"/>
        <v>0</v>
      </c>
      <c r="M15" s="1894">
        <f>+H15+G15+F15+I15+J15+K15</f>
        <v>373535</v>
      </c>
      <c r="N15" s="1894">
        <f>+I15+H15+G15+J15+K15+L15</f>
        <v>298620</v>
      </c>
      <c r="O15" s="1943"/>
    </row>
    <row r="16" spans="1:15" ht="14.25" customHeight="1">
      <c r="A16" s="1939"/>
      <c r="B16" s="1958" t="s">
        <v>18</v>
      </c>
      <c r="C16" s="1959"/>
      <c r="D16" s="164">
        <f>SUM(D17)</f>
        <v>746038</v>
      </c>
      <c r="E16" s="164">
        <f t="shared" ref="E16" si="12">SUM(E17)</f>
        <v>320190</v>
      </c>
      <c r="F16" s="164">
        <f t="shared" ref="F16:N16" si="13">SUM(F17)</f>
        <v>97589</v>
      </c>
      <c r="G16" s="2092">
        <f t="shared" si="13"/>
        <v>129179</v>
      </c>
      <c r="H16" s="2092">
        <f t="shared" si="13"/>
        <v>99540</v>
      </c>
      <c r="I16" s="2092">
        <f t="shared" si="13"/>
        <v>99540</v>
      </c>
      <c r="J16" s="2092">
        <f t="shared" si="13"/>
        <v>0</v>
      </c>
      <c r="K16" s="2092">
        <f t="shared" si="13"/>
        <v>0</v>
      </c>
      <c r="L16" s="2092">
        <f t="shared" si="13"/>
        <v>0</v>
      </c>
      <c r="M16" s="2093">
        <f t="shared" si="13"/>
        <v>425848</v>
      </c>
      <c r="N16" s="2093">
        <f t="shared" si="13"/>
        <v>328259</v>
      </c>
      <c r="O16" s="1954"/>
    </row>
    <row r="17" spans="1:16" ht="12" customHeight="1">
      <c r="A17" s="1960"/>
      <c r="B17" s="1961" t="s">
        <v>20</v>
      </c>
      <c r="C17" s="1962"/>
      <c r="D17" s="2094">
        <f>+D26+D37+D46+D53+D60+D67</f>
        <v>746038</v>
      </c>
      <c r="E17" s="2094">
        <f t="shared" ref="E17" si="14">+E26+E37+E46+E53+E60+E67</f>
        <v>320190</v>
      </c>
      <c r="F17" s="2094">
        <f t="shared" ref="F17:L17" si="15">+F26+F37+F46+F53+F60+F67</f>
        <v>97589</v>
      </c>
      <c r="G17" s="2094">
        <f t="shared" si="15"/>
        <v>129179</v>
      </c>
      <c r="H17" s="2094">
        <f t="shared" si="15"/>
        <v>99540</v>
      </c>
      <c r="I17" s="2094">
        <f t="shared" si="15"/>
        <v>99540</v>
      </c>
      <c r="J17" s="2094">
        <f t="shared" si="15"/>
        <v>0</v>
      </c>
      <c r="K17" s="2094">
        <f t="shared" si="15"/>
        <v>0</v>
      </c>
      <c r="L17" s="2094">
        <f t="shared" si="15"/>
        <v>0</v>
      </c>
      <c r="M17" s="1894">
        <f>+H17+G17+F17+I17+J17+K17</f>
        <v>425848</v>
      </c>
      <c r="N17" s="1894">
        <f>+I17+H17+G17+J17+K17+L17</f>
        <v>328259</v>
      </c>
      <c r="O17" s="1963"/>
    </row>
    <row r="18" spans="1:16" s="1967" customFormat="1" ht="14.25" customHeight="1">
      <c r="A18" s="1939"/>
      <c r="B18" s="1964" t="s">
        <v>22</v>
      </c>
      <c r="C18" s="1965"/>
      <c r="D18" s="412">
        <f>+D19</f>
        <v>746038</v>
      </c>
      <c r="E18" s="412">
        <f t="shared" ref="E18:J19" si="16">+E19</f>
        <v>292115</v>
      </c>
      <c r="F18" s="412">
        <f t="shared" si="16"/>
        <v>108344</v>
      </c>
      <c r="G18" s="2095">
        <f t="shared" si="16"/>
        <v>116637</v>
      </c>
      <c r="H18" s="2095">
        <f t="shared" si="16"/>
        <v>99540</v>
      </c>
      <c r="I18" s="2095">
        <f t="shared" si="16"/>
        <v>99540</v>
      </c>
      <c r="J18" s="2095">
        <f t="shared" si="16"/>
        <v>29862</v>
      </c>
      <c r="K18" s="2095">
        <f t="shared" ref="J18:L19" si="17">+K19</f>
        <v>0</v>
      </c>
      <c r="L18" s="2095">
        <f t="shared" si="17"/>
        <v>0</v>
      </c>
      <c r="M18" s="3517" t="s">
        <v>61</v>
      </c>
      <c r="N18" s="3517" t="s">
        <v>61</v>
      </c>
      <c r="O18" s="1966"/>
    </row>
    <row r="19" spans="1:16" s="1967" customFormat="1" ht="14.25" customHeight="1">
      <c r="A19" s="1939"/>
      <c r="B19" s="1958" t="s">
        <v>18</v>
      </c>
      <c r="C19" s="1959"/>
      <c r="D19" s="164">
        <f>+D20</f>
        <v>746038</v>
      </c>
      <c r="E19" s="164">
        <f t="shared" si="16"/>
        <v>292115</v>
      </c>
      <c r="F19" s="164">
        <f t="shared" si="16"/>
        <v>108344</v>
      </c>
      <c r="G19" s="2092">
        <f t="shared" si="16"/>
        <v>116637</v>
      </c>
      <c r="H19" s="2092">
        <f t="shared" si="16"/>
        <v>99540</v>
      </c>
      <c r="I19" s="2092">
        <f t="shared" si="16"/>
        <v>99540</v>
      </c>
      <c r="J19" s="2092">
        <f t="shared" si="17"/>
        <v>29862</v>
      </c>
      <c r="K19" s="2092">
        <f t="shared" si="17"/>
        <v>0</v>
      </c>
      <c r="L19" s="2092">
        <f t="shared" si="17"/>
        <v>0</v>
      </c>
      <c r="M19" s="3518"/>
      <c r="N19" s="3518"/>
      <c r="O19" s="1954"/>
    </row>
    <row r="20" spans="1:16" s="1967" customFormat="1" ht="12.75" customHeight="1" thickBot="1">
      <c r="A20" s="1968"/>
      <c r="B20" s="1969" t="s">
        <v>20</v>
      </c>
      <c r="C20" s="1970"/>
      <c r="D20" s="2096">
        <f>+D31+D42+D49+D56+D63+D70</f>
        <v>746038</v>
      </c>
      <c r="E20" s="2096">
        <f t="shared" ref="E20" si="18">+E31+E42+E49+E56+E63+E70</f>
        <v>292115</v>
      </c>
      <c r="F20" s="2096">
        <f t="shared" ref="F20:L20" si="19">+F31+F42+F49+F56+F63+F70</f>
        <v>108344</v>
      </c>
      <c r="G20" s="2096">
        <f t="shared" si="19"/>
        <v>116637</v>
      </c>
      <c r="H20" s="2096">
        <f t="shared" si="19"/>
        <v>99540</v>
      </c>
      <c r="I20" s="2096">
        <f t="shared" si="19"/>
        <v>99540</v>
      </c>
      <c r="J20" s="2096">
        <f t="shared" si="19"/>
        <v>29862</v>
      </c>
      <c r="K20" s="2096">
        <f t="shared" si="19"/>
        <v>0</v>
      </c>
      <c r="L20" s="2096">
        <f t="shared" si="19"/>
        <v>0</v>
      </c>
      <c r="M20" s="3519"/>
      <c r="N20" s="3519"/>
      <c r="O20" s="1971"/>
      <c r="P20" s="1967">
        <f>D20-D17</f>
        <v>0</v>
      </c>
    </row>
    <row r="21" spans="1:16" ht="39" hidden="1" customHeight="1">
      <c r="A21" s="3566" t="s">
        <v>63</v>
      </c>
      <c r="B21" s="1972" t="s">
        <v>233</v>
      </c>
      <c r="C21" s="1973" t="s">
        <v>109</v>
      </c>
      <c r="D21" s="2097"/>
      <c r="E21" s="2098"/>
      <c r="F21" s="2098"/>
      <c r="G21" s="2098"/>
      <c r="H21" s="2098"/>
      <c r="I21" s="2098"/>
      <c r="J21" s="2098"/>
      <c r="K21" s="2098"/>
      <c r="L21" s="2098"/>
      <c r="M21" s="2099"/>
      <c r="N21" s="2099"/>
      <c r="O21" s="3523"/>
    </row>
    <row r="22" spans="1:16" ht="15" hidden="1" customHeight="1">
      <c r="A22" s="3567"/>
      <c r="B22" s="1975" t="s">
        <v>10</v>
      </c>
      <c r="C22" s="1976"/>
      <c r="D22" s="1760"/>
      <c r="E22" s="1760">
        <f t="shared" ref="E22" si="20">+E23+E25</f>
        <v>0</v>
      </c>
      <c r="F22" s="1760">
        <f>+F23+F25</f>
        <v>0</v>
      </c>
      <c r="G22" s="1760">
        <f>+G23+G25</f>
        <v>0</v>
      </c>
      <c r="H22" s="1760">
        <f>+H23+H25</f>
        <v>0</v>
      </c>
      <c r="I22" s="1760">
        <f>+I23+I25</f>
        <v>0</v>
      </c>
      <c r="J22" s="1760"/>
      <c r="K22" s="1760"/>
      <c r="L22" s="1760"/>
      <c r="M22" s="1924">
        <f>M23+M25</f>
        <v>0</v>
      </c>
      <c r="N22" s="1924" t="e">
        <f>N23+N25</f>
        <v>#REF!</v>
      </c>
      <c r="O22" s="3524"/>
    </row>
    <row r="23" spans="1:16" ht="12.75" hidden="1" customHeight="1">
      <c r="A23" s="3567"/>
      <c r="B23" s="1977" t="s">
        <v>24</v>
      </c>
      <c r="C23" s="3573" t="s">
        <v>132</v>
      </c>
      <c r="D23" s="1750"/>
      <c r="E23" s="1750">
        <f t="shared" ref="E23:I23" si="21">+E24</f>
        <v>0</v>
      </c>
      <c r="F23" s="1750">
        <f t="shared" si="21"/>
        <v>0</v>
      </c>
      <c r="G23" s="1750">
        <f t="shared" si="21"/>
        <v>0</v>
      </c>
      <c r="H23" s="1750">
        <f t="shared" si="21"/>
        <v>0</v>
      </c>
      <c r="I23" s="1750">
        <f t="shared" si="21"/>
        <v>0</v>
      </c>
      <c r="J23" s="1750"/>
      <c r="K23" s="1750"/>
      <c r="L23" s="1750"/>
      <c r="M23" s="1751">
        <f>+M24</f>
        <v>0</v>
      </c>
      <c r="N23" s="1751" t="e">
        <f>+N24</f>
        <v>#REF!</v>
      </c>
      <c r="O23" s="3524"/>
    </row>
    <row r="24" spans="1:16" ht="12.75" hidden="1" customHeight="1">
      <c r="A24" s="3567"/>
      <c r="B24" s="1978" t="s">
        <v>12</v>
      </c>
      <c r="C24" s="3565"/>
      <c r="D24" s="1753"/>
      <c r="E24" s="1753">
        <v>0</v>
      </c>
      <c r="F24" s="173">
        <v>0</v>
      </c>
      <c r="G24" s="173">
        <v>0</v>
      </c>
      <c r="H24" s="173">
        <v>0</v>
      </c>
      <c r="I24" s="173">
        <v>0</v>
      </c>
      <c r="J24" s="173"/>
      <c r="K24" s="173"/>
      <c r="L24" s="173"/>
      <c r="M24" s="2100">
        <f>SUM(F24:K24)</f>
        <v>0</v>
      </c>
      <c r="N24" s="2100" t="e">
        <f>+#REF!+I24+H24+G24+F24+#REF!</f>
        <v>#REF!</v>
      </c>
      <c r="O24" s="3524"/>
    </row>
    <row r="25" spans="1:16" ht="12.75" hidden="1" customHeight="1">
      <c r="A25" s="3567"/>
      <c r="B25" s="1980" t="s">
        <v>18</v>
      </c>
      <c r="C25" s="3565"/>
      <c r="D25" s="1755"/>
      <c r="E25" s="1755">
        <f t="shared" ref="E25:I25" si="22">E26</f>
        <v>0</v>
      </c>
      <c r="F25" s="1755">
        <f t="shared" si="22"/>
        <v>0</v>
      </c>
      <c r="G25" s="1755">
        <f t="shared" si="22"/>
        <v>0</v>
      </c>
      <c r="H25" s="1755">
        <f t="shared" si="22"/>
        <v>0</v>
      </c>
      <c r="I25" s="1755">
        <f t="shared" si="22"/>
        <v>0</v>
      </c>
      <c r="J25" s="1755"/>
      <c r="K25" s="1755"/>
      <c r="L25" s="1755"/>
      <c r="M25" s="1751">
        <f>+M26</f>
        <v>0</v>
      </c>
      <c r="N25" s="1751" t="e">
        <f>+N26</f>
        <v>#REF!</v>
      </c>
      <c r="O25" s="3524"/>
    </row>
    <row r="26" spans="1:16" ht="12" hidden="1">
      <c r="A26" s="3567"/>
      <c r="B26" s="1981" t="s">
        <v>20</v>
      </c>
      <c r="C26" s="3530"/>
      <c r="D26" s="2101"/>
      <c r="E26" s="2102">
        <v>0</v>
      </c>
      <c r="F26" s="135">
        <v>0</v>
      </c>
      <c r="G26" s="135">
        <v>0</v>
      </c>
      <c r="H26" s="135">
        <v>0</v>
      </c>
      <c r="I26" s="135">
        <v>0</v>
      </c>
      <c r="J26" s="135"/>
      <c r="K26" s="135"/>
      <c r="L26" s="135"/>
      <c r="M26" s="2100">
        <f>SUM(F26:K26)</f>
        <v>0</v>
      </c>
      <c r="N26" s="2100" t="e">
        <f>+#REF!+I26+H26+G26+F26+#REF!</f>
        <v>#REF!</v>
      </c>
      <c r="O26" s="3524"/>
    </row>
    <row r="27" spans="1:16" ht="12.75" hidden="1" customHeight="1">
      <c r="A27" s="3572"/>
      <c r="B27" s="1975" t="s">
        <v>22</v>
      </c>
      <c r="C27" s="1982"/>
      <c r="D27" s="1760"/>
      <c r="E27" s="1760">
        <f t="shared" ref="E27" si="23">E28+E30</f>
        <v>0</v>
      </c>
      <c r="F27" s="1760">
        <f>F28+F30</f>
        <v>0</v>
      </c>
      <c r="G27" s="1797">
        <f>G28+G30</f>
        <v>0</v>
      </c>
      <c r="H27" s="1797">
        <f>H28+H30</f>
        <v>0</v>
      </c>
      <c r="I27" s="1797">
        <f>I28+I30</f>
        <v>0</v>
      </c>
      <c r="J27" s="2103"/>
      <c r="K27" s="2103"/>
      <c r="L27" s="2103"/>
      <c r="M27" s="3520" t="s">
        <v>61</v>
      </c>
      <c r="N27" s="3520" t="s">
        <v>61</v>
      </c>
      <c r="O27" s="3524"/>
    </row>
    <row r="28" spans="1:16" ht="12" hidden="1" customHeight="1">
      <c r="A28" s="3572"/>
      <c r="B28" s="1983" t="s">
        <v>24</v>
      </c>
      <c r="C28" s="3573" t="s">
        <v>132</v>
      </c>
      <c r="D28" s="1750"/>
      <c r="E28" s="1750"/>
      <c r="F28" s="1750">
        <f t="shared" ref="F28:I28" si="24">F29</f>
        <v>0</v>
      </c>
      <c r="G28" s="1798">
        <f t="shared" si="24"/>
        <v>0</v>
      </c>
      <c r="H28" s="1798">
        <f t="shared" si="24"/>
        <v>0</v>
      </c>
      <c r="I28" s="1798">
        <f t="shared" si="24"/>
        <v>0</v>
      </c>
      <c r="J28" s="2104"/>
      <c r="K28" s="2104"/>
      <c r="L28" s="2104"/>
      <c r="M28" s="3521"/>
      <c r="N28" s="3521"/>
      <c r="O28" s="3524"/>
    </row>
    <row r="29" spans="1:16" ht="12" hidden="1" customHeight="1">
      <c r="A29" s="3572"/>
      <c r="B29" s="1984" t="s">
        <v>13</v>
      </c>
      <c r="C29" s="3565"/>
      <c r="D29" s="1753"/>
      <c r="E29" s="1762"/>
      <c r="F29" s="1762">
        <v>0</v>
      </c>
      <c r="G29" s="1762">
        <v>0</v>
      </c>
      <c r="H29" s="1762">
        <v>0</v>
      </c>
      <c r="I29" s="1762">
        <v>0</v>
      </c>
      <c r="J29" s="229"/>
      <c r="K29" s="229"/>
      <c r="L29" s="229"/>
      <c r="M29" s="3521"/>
      <c r="N29" s="3521"/>
      <c r="O29" s="3524"/>
    </row>
    <row r="30" spans="1:16" ht="13.5" hidden="1" customHeight="1">
      <c r="A30" s="3572"/>
      <c r="B30" s="1986" t="s">
        <v>18</v>
      </c>
      <c r="C30" s="3565"/>
      <c r="D30" s="1755"/>
      <c r="E30" s="1755">
        <f t="shared" ref="E30:I30" si="25">E31</f>
        <v>0</v>
      </c>
      <c r="F30" s="1755">
        <f t="shared" si="25"/>
        <v>0</v>
      </c>
      <c r="G30" s="1781">
        <f t="shared" si="25"/>
        <v>0</v>
      </c>
      <c r="H30" s="1781">
        <f t="shared" si="25"/>
        <v>0</v>
      </c>
      <c r="I30" s="1781">
        <f t="shared" si="25"/>
        <v>0</v>
      </c>
      <c r="J30" s="672"/>
      <c r="K30" s="672"/>
      <c r="L30" s="672"/>
      <c r="M30" s="3521"/>
      <c r="N30" s="3521"/>
      <c r="O30" s="3524"/>
    </row>
    <row r="31" spans="1:16" ht="13.5" hidden="1" customHeight="1" thickBot="1">
      <c r="A31" s="3568"/>
      <c r="B31" s="1987" t="s">
        <v>20</v>
      </c>
      <c r="C31" s="3531"/>
      <c r="D31" s="2105"/>
      <c r="E31" s="2106">
        <v>0</v>
      </c>
      <c r="F31" s="2106">
        <v>0</v>
      </c>
      <c r="G31" s="2106">
        <v>0</v>
      </c>
      <c r="H31" s="2106">
        <v>0</v>
      </c>
      <c r="I31" s="2106">
        <v>0</v>
      </c>
      <c r="J31" s="113"/>
      <c r="K31" s="113"/>
      <c r="L31" s="113"/>
      <c r="M31" s="3522"/>
      <c r="N31" s="3522"/>
      <c r="O31" s="3525"/>
    </row>
    <row r="32" spans="1:16" ht="24.75" customHeight="1">
      <c r="A32" s="3566" t="s">
        <v>63</v>
      </c>
      <c r="B32" s="1972" t="s">
        <v>542</v>
      </c>
      <c r="C32" s="1973" t="s">
        <v>109</v>
      </c>
      <c r="D32" s="2097"/>
      <c r="E32" s="2098"/>
      <c r="F32" s="2098"/>
      <c r="G32" s="2098"/>
      <c r="H32" s="2098"/>
      <c r="I32" s="2098"/>
      <c r="J32" s="2098"/>
      <c r="K32" s="2098"/>
      <c r="L32" s="2098"/>
      <c r="M32" s="2099"/>
      <c r="N32" s="2099"/>
      <c r="O32" s="3523" t="s">
        <v>131</v>
      </c>
    </row>
    <row r="33" spans="1:15" ht="13.5" customHeight="1">
      <c r="A33" s="3567"/>
      <c r="B33" s="1975" t="s">
        <v>10</v>
      </c>
      <c r="C33" s="1976"/>
      <c r="D33" s="1760">
        <f>+D34+D36</f>
        <v>1343340</v>
      </c>
      <c r="E33" s="1760">
        <f t="shared" ref="E33" si="26">+E34+E36</f>
        <v>593887</v>
      </c>
      <c r="F33" s="1760">
        <f t="shared" ref="F33" si="27">+F34+F36</f>
        <v>152213</v>
      </c>
      <c r="G33" s="1760">
        <f t="shared" ref="G33:L33" si="28">+G34+G36</f>
        <v>199080</v>
      </c>
      <c r="H33" s="2579">
        <f t="shared" si="28"/>
        <v>199080</v>
      </c>
      <c r="I33" s="2579">
        <f t="shared" si="28"/>
        <v>199080</v>
      </c>
      <c r="J33" s="2579">
        <f t="shared" si="28"/>
        <v>0</v>
      </c>
      <c r="K33" s="2579">
        <f t="shared" si="28"/>
        <v>0</v>
      </c>
      <c r="L33" s="2579">
        <f t="shared" si="28"/>
        <v>0</v>
      </c>
      <c r="M33" s="1924">
        <f>M34+M36</f>
        <v>749453</v>
      </c>
      <c r="N33" s="1924">
        <f>N34+N36</f>
        <v>597240</v>
      </c>
      <c r="O33" s="3524"/>
    </row>
    <row r="34" spans="1:15" ht="11.25" customHeight="1">
      <c r="A34" s="3567"/>
      <c r="B34" s="1977" t="s">
        <v>24</v>
      </c>
      <c r="C34" s="3573" t="s">
        <v>132</v>
      </c>
      <c r="D34" s="1750">
        <f>+D35</f>
        <v>648035</v>
      </c>
      <c r="E34" s="1750">
        <f t="shared" ref="E34:L34" si="29">+E35</f>
        <v>274500</v>
      </c>
      <c r="F34" s="1750">
        <f t="shared" si="29"/>
        <v>74915</v>
      </c>
      <c r="G34" s="1750">
        <f t="shared" si="29"/>
        <v>99540</v>
      </c>
      <c r="H34" s="2580">
        <f t="shared" si="29"/>
        <v>99540</v>
      </c>
      <c r="I34" s="2580">
        <f t="shared" si="29"/>
        <v>99540</v>
      </c>
      <c r="J34" s="2580">
        <f t="shared" si="29"/>
        <v>0</v>
      </c>
      <c r="K34" s="2580">
        <f t="shared" si="29"/>
        <v>0</v>
      </c>
      <c r="L34" s="2580">
        <f t="shared" si="29"/>
        <v>0</v>
      </c>
      <c r="M34" s="1751">
        <f>+M35</f>
        <v>373535</v>
      </c>
      <c r="N34" s="1751">
        <f>+N35</f>
        <v>298620</v>
      </c>
      <c r="O34" s="3524"/>
    </row>
    <row r="35" spans="1:15" ht="13.5" customHeight="1">
      <c r="A35" s="3567"/>
      <c r="B35" s="1978" t="s">
        <v>12</v>
      </c>
      <c r="C35" s="3565"/>
      <c r="D35" s="949">
        <f>E35+F35+G35+H35+I35+J35+K35+L35</f>
        <v>648035</v>
      </c>
      <c r="E35" s="2107">
        <f>274500</f>
        <v>274500</v>
      </c>
      <c r="F35" s="173">
        <f>69883+5032</f>
        <v>74915</v>
      </c>
      <c r="G35" s="173">
        <v>99540</v>
      </c>
      <c r="H35" s="2581">
        <v>99540</v>
      </c>
      <c r="I35" s="2581">
        <v>99540</v>
      </c>
      <c r="J35" s="2581">
        <v>0</v>
      </c>
      <c r="K35" s="2581">
        <v>0</v>
      </c>
      <c r="L35" s="2581">
        <v>0</v>
      </c>
      <c r="M35" s="2100">
        <f>SUM(F35:K35)</f>
        <v>373535</v>
      </c>
      <c r="N35" s="2100">
        <f>SUM(G35:L35)</f>
        <v>298620</v>
      </c>
      <c r="O35" s="3524"/>
    </row>
    <row r="36" spans="1:15" ht="13.5" customHeight="1">
      <c r="A36" s="3567"/>
      <c r="B36" s="1980" t="s">
        <v>18</v>
      </c>
      <c r="C36" s="3565"/>
      <c r="D36" s="1755">
        <f>+D37</f>
        <v>695305</v>
      </c>
      <c r="E36" s="1755">
        <f t="shared" ref="E36:L36" si="30">E37</f>
        <v>319387</v>
      </c>
      <c r="F36" s="1755">
        <f t="shared" si="30"/>
        <v>77298</v>
      </c>
      <c r="G36" s="1755">
        <f t="shared" si="30"/>
        <v>99540</v>
      </c>
      <c r="H36" s="2582">
        <f t="shared" si="30"/>
        <v>99540</v>
      </c>
      <c r="I36" s="2582">
        <f t="shared" si="30"/>
        <v>99540</v>
      </c>
      <c r="J36" s="2582">
        <f t="shared" si="30"/>
        <v>0</v>
      </c>
      <c r="K36" s="2582">
        <f t="shared" si="30"/>
        <v>0</v>
      </c>
      <c r="L36" s="2582">
        <f t="shared" si="30"/>
        <v>0</v>
      </c>
      <c r="M36" s="1751">
        <f>+M37</f>
        <v>375918</v>
      </c>
      <c r="N36" s="1751">
        <f>+N37</f>
        <v>298620</v>
      </c>
      <c r="O36" s="3524"/>
    </row>
    <row r="37" spans="1:15" ht="12">
      <c r="A37" s="3567"/>
      <c r="B37" s="1981" t="s">
        <v>20</v>
      </c>
      <c r="C37" s="3530"/>
      <c r="D37" s="949">
        <f>E37+F37+G37+H37+I37+J37+K37+L37</f>
        <v>695305</v>
      </c>
      <c r="E37" s="2107">
        <f>319387</f>
        <v>319387</v>
      </c>
      <c r="F37" s="135">
        <f>75707+1591</f>
        <v>77298</v>
      </c>
      <c r="G37" s="135">
        <v>99540</v>
      </c>
      <c r="H37" s="2583">
        <v>99540</v>
      </c>
      <c r="I37" s="2583">
        <v>99540</v>
      </c>
      <c r="J37" s="2583">
        <v>0</v>
      </c>
      <c r="K37" s="2583">
        <v>0</v>
      </c>
      <c r="L37" s="2583">
        <v>0</v>
      </c>
      <c r="M37" s="2100">
        <f>SUM(F37:K37)</f>
        <v>375918</v>
      </c>
      <c r="N37" s="2100">
        <f>SUM(G37:L37)</f>
        <v>298620</v>
      </c>
      <c r="O37" s="3524"/>
    </row>
    <row r="38" spans="1:15" ht="13.5" customHeight="1">
      <c r="A38" s="3572"/>
      <c r="B38" s="1975" t="s">
        <v>22</v>
      </c>
      <c r="C38" s="1982"/>
      <c r="D38" s="1760">
        <f>+D41</f>
        <v>695305</v>
      </c>
      <c r="E38" s="1760">
        <f t="shared" ref="E38" si="31">E39+E41</f>
        <v>291312</v>
      </c>
      <c r="F38" s="1760">
        <f t="shared" ref="F38:L38" si="32">F39+F41</f>
        <v>80296</v>
      </c>
      <c r="G38" s="1760">
        <f t="shared" si="32"/>
        <v>94755</v>
      </c>
      <c r="H38" s="2579">
        <f t="shared" si="32"/>
        <v>99540</v>
      </c>
      <c r="I38" s="2579">
        <f t="shared" si="32"/>
        <v>99540</v>
      </c>
      <c r="J38" s="2579">
        <f t="shared" si="32"/>
        <v>29862</v>
      </c>
      <c r="K38" s="2579">
        <f t="shared" si="32"/>
        <v>0</v>
      </c>
      <c r="L38" s="2579">
        <f t="shared" si="32"/>
        <v>0</v>
      </c>
      <c r="M38" s="3520" t="s">
        <v>61</v>
      </c>
      <c r="N38" s="3520" t="s">
        <v>61</v>
      </c>
      <c r="O38" s="3524"/>
    </row>
    <row r="39" spans="1:15" ht="12" hidden="1" customHeight="1">
      <c r="A39" s="3572"/>
      <c r="B39" s="1983" t="s">
        <v>24</v>
      </c>
      <c r="C39" s="3573" t="s">
        <v>132</v>
      </c>
      <c r="D39" s="1750">
        <f t="shared" ref="D39:G39" si="33">D40</f>
        <v>0</v>
      </c>
      <c r="E39" s="1750">
        <f t="shared" si="33"/>
        <v>0</v>
      </c>
      <c r="F39" s="1750">
        <f t="shared" si="33"/>
        <v>0</v>
      </c>
      <c r="G39" s="1750">
        <f t="shared" si="33"/>
        <v>0</v>
      </c>
      <c r="H39" s="2580"/>
      <c r="I39" s="2580"/>
      <c r="J39" s="2580"/>
      <c r="K39" s="2580"/>
      <c r="L39" s="2580"/>
      <c r="M39" s="3521"/>
      <c r="N39" s="3521"/>
      <c r="O39" s="3524"/>
    </row>
    <row r="40" spans="1:15" ht="12" hidden="1" customHeight="1">
      <c r="A40" s="3572"/>
      <c r="B40" s="1984" t="s">
        <v>13</v>
      </c>
      <c r="C40" s="3565"/>
      <c r="D40" s="949">
        <f>E40+F40+G40+H40+I40+J40+K40+L40</f>
        <v>0</v>
      </c>
      <c r="E40" s="1762"/>
      <c r="F40" s="1762">
        <v>0</v>
      </c>
      <c r="G40" s="173">
        <v>0</v>
      </c>
      <c r="H40" s="2581"/>
      <c r="I40" s="2581"/>
      <c r="J40" s="2581"/>
      <c r="K40" s="2581"/>
      <c r="L40" s="2581"/>
      <c r="M40" s="3521"/>
      <c r="N40" s="3521"/>
      <c r="O40" s="3524"/>
    </row>
    <row r="41" spans="1:15" ht="13.5" customHeight="1">
      <c r="A41" s="3572"/>
      <c r="B41" s="1986" t="s">
        <v>18</v>
      </c>
      <c r="C41" s="3565"/>
      <c r="D41" s="1755">
        <f>+D42</f>
        <v>695305</v>
      </c>
      <c r="E41" s="1755">
        <f t="shared" ref="E41:L41" si="34">E42</f>
        <v>291312</v>
      </c>
      <c r="F41" s="1755">
        <f t="shared" si="34"/>
        <v>80296</v>
      </c>
      <c r="G41" s="1755">
        <f t="shared" si="34"/>
        <v>94755</v>
      </c>
      <c r="H41" s="2582">
        <f t="shared" si="34"/>
        <v>99540</v>
      </c>
      <c r="I41" s="2582">
        <f t="shared" si="34"/>
        <v>99540</v>
      </c>
      <c r="J41" s="2582">
        <f t="shared" si="34"/>
        <v>29862</v>
      </c>
      <c r="K41" s="2582">
        <f t="shared" si="34"/>
        <v>0</v>
      </c>
      <c r="L41" s="2582">
        <f t="shared" si="34"/>
        <v>0</v>
      </c>
      <c r="M41" s="3521"/>
      <c r="N41" s="3521"/>
      <c r="O41" s="3524"/>
    </row>
    <row r="42" spans="1:15" ht="12.75" customHeight="1" thickBot="1">
      <c r="A42" s="3568"/>
      <c r="B42" s="1987" t="s">
        <v>20</v>
      </c>
      <c r="C42" s="3531"/>
      <c r="D42" s="949">
        <f>E42+F42+G42+H42+I42+J42+K42+L42</f>
        <v>695305</v>
      </c>
      <c r="E42" s="2107">
        <f>291312</f>
        <v>291312</v>
      </c>
      <c r="F42" s="2106">
        <f>79186+1110</f>
        <v>80296</v>
      </c>
      <c r="G42" s="2106">
        <f>24105-909+1881+69678</f>
        <v>94755</v>
      </c>
      <c r="H42" s="2584">
        <v>99540</v>
      </c>
      <c r="I42" s="2584">
        <v>99540</v>
      </c>
      <c r="J42" s="2584">
        <v>29862</v>
      </c>
      <c r="K42" s="2584">
        <v>0</v>
      </c>
      <c r="L42" s="2584">
        <v>0</v>
      </c>
      <c r="M42" s="3522"/>
      <c r="N42" s="3522"/>
      <c r="O42" s="3525"/>
    </row>
    <row r="43" spans="1:15" ht="36" hidden="1" customHeight="1">
      <c r="A43" s="3566" t="s">
        <v>64</v>
      </c>
      <c r="B43" s="1972" t="s">
        <v>297</v>
      </c>
      <c r="C43" s="1973" t="s">
        <v>109</v>
      </c>
      <c r="D43" s="2097"/>
      <c r="E43" s="2098"/>
      <c r="F43" s="2098"/>
      <c r="G43" s="2098"/>
      <c r="H43" s="2098"/>
      <c r="I43" s="2098"/>
      <c r="J43" s="2098"/>
      <c r="K43" s="2098"/>
      <c r="L43" s="2098"/>
      <c r="M43" s="2099"/>
      <c r="N43" s="2099"/>
      <c r="O43" s="3526" t="s">
        <v>133</v>
      </c>
    </row>
    <row r="44" spans="1:15" ht="15" hidden="1" customHeight="1">
      <c r="A44" s="3567"/>
      <c r="B44" s="1975" t="s">
        <v>10</v>
      </c>
      <c r="C44" s="1976"/>
      <c r="D44" s="1760"/>
      <c r="E44" s="1760">
        <v>0</v>
      </c>
      <c r="F44" s="1760">
        <f t="shared" ref="F44:J45" si="35">F45</f>
        <v>0</v>
      </c>
      <c r="G44" s="1760">
        <f t="shared" ref="G44:L44" si="36">+G45+G47</f>
        <v>0</v>
      </c>
      <c r="H44" s="1760">
        <f t="shared" si="36"/>
        <v>0</v>
      </c>
      <c r="I44" s="1760">
        <f t="shared" si="36"/>
        <v>0</v>
      </c>
      <c r="J44" s="1760">
        <f t="shared" si="36"/>
        <v>0</v>
      </c>
      <c r="K44" s="1760">
        <f t="shared" si="36"/>
        <v>0</v>
      </c>
      <c r="L44" s="1760">
        <f t="shared" si="36"/>
        <v>0</v>
      </c>
      <c r="M44" s="1924">
        <f>M45</f>
        <v>0</v>
      </c>
      <c r="N44" s="1924" t="e">
        <f>N45</f>
        <v>#REF!</v>
      </c>
      <c r="O44" s="3527"/>
    </row>
    <row r="45" spans="1:15" ht="12" hidden="1">
      <c r="A45" s="3567"/>
      <c r="B45" s="1988" t="s">
        <v>18</v>
      </c>
      <c r="C45" s="3529" t="s">
        <v>134</v>
      </c>
      <c r="D45" s="1755"/>
      <c r="E45" s="1755">
        <v>0</v>
      </c>
      <c r="F45" s="1755">
        <f t="shared" si="35"/>
        <v>0</v>
      </c>
      <c r="G45" s="1755">
        <f t="shared" si="35"/>
        <v>0</v>
      </c>
      <c r="H45" s="1755">
        <f t="shared" si="35"/>
        <v>0</v>
      </c>
      <c r="I45" s="1755">
        <f t="shared" si="35"/>
        <v>0</v>
      </c>
      <c r="J45" s="1755">
        <f t="shared" si="35"/>
        <v>0</v>
      </c>
      <c r="K45" s="1755">
        <f>K46</f>
        <v>0</v>
      </c>
      <c r="L45" s="1755">
        <f>L46</f>
        <v>0</v>
      </c>
      <c r="M45" s="1751">
        <f>+M46</f>
        <v>0</v>
      </c>
      <c r="N45" s="1751" t="e">
        <f>+N46</f>
        <v>#REF!</v>
      </c>
      <c r="O45" s="3527"/>
    </row>
    <row r="46" spans="1:15" ht="12" hidden="1">
      <c r="A46" s="3567"/>
      <c r="B46" s="1989" t="s">
        <v>20</v>
      </c>
      <c r="C46" s="3530"/>
      <c r="D46" s="1753"/>
      <c r="E46" s="1753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2100">
        <f>SUM(F46:K46)</f>
        <v>0</v>
      </c>
      <c r="N46" s="2100" t="e">
        <f>+I46+H46+G46+F46+#REF!</f>
        <v>#REF!</v>
      </c>
      <c r="O46" s="3527"/>
    </row>
    <row r="47" spans="1:15" ht="15" hidden="1" customHeight="1">
      <c r="A47" s="3567"/>
      <c r="B47" s="1990" t="s">
        <v>22</v>
      </c>
      <c r="C47" s="1991"/>
      <c r="D47" s="1760"/>
      <c r="E47" s="1760">
        <v>0</v>
      </c>
      <c r="F47" s="1760">
        <f t="shared" ref="F47:L47" si="37">F48+F72</f>
        <v>0</v>
      </c>
      <c r="G47" s="1760">
        <f t="shared" si="37"/>
        <v>0</v>
      </c>
      <c r="H47" s="1760">
        <f t="shared" si="37"/>
        <v>0</v>
      </c>
      <c r="I47" s="1760">
        <f t="shared" si="37"/>
        <v>0</v>
      </c>
      <c r="J47" s="1760">
        <f t="shared" si="37"/>
        <v>0</v>
      </c>
      <c r="K47" s="1760">
        <f t="shared" si="37"/>
        <v>0</v>
      </c>
      <c r="L47" s="1760">
        <f t="shared" si="37"/>
        <v>0</v>
      </c>
      <c r="M47" s="3520" t="s">
        <v>61</v>
      </c>
      <c r="N47" s="3520" t="s">
        <v>61</v>
      </c>
      <c r="O47" s="3527"/>
    </row>
    <row r="48" spans="1:15" ht="12" hidden="1">
      <c r="A48" s="3567"/>
      <c r="B48" s="1988" t="s">
        <v>18</v>
      </c>
      <c r="C48" s="3529" t="s">
        <v>134</v>
      </c>
      <c r="D48" s="1755"/>
      <c r="E48" s="1755">
        <v>0</v>
      </c>
      <c r="F48" s="1755">
        <f t="shared" ref="F48:L48" si="38">F49</f>
        <v>0</v>
      </c>
      <c r="G48" s="1755">
        <f t="shared" si="38"/>
        <v>0</v>
      </c>
      <c r="H48" s="1755">
        <f t="shared" si="38"/>
        <v>0</v>
      </c>
      <c r="I48" s="1755">
        <f t="shared" si="38"/>
        <v>0</v>
      </c>
      <c r="J48" s="1755">
        <f t="shared" si="38"/>
        <v>0</v>
      </c>
      <c r="K48" s="1755">
        <f t="shared" si="38"/>
        <v>0</v>
      </c>
      <c r="L48" s="1755">
        <f t="shared" si="38"/>
        <v>0</v>
      </c>
      <c r="M48" s="3521"/>
      <c r="N48" s="3521"/>
      <c r="O48" s="3527"/>
    </row>
    <row r="49" spans="1:15" ht="12.75" hidden="1" thickBot="1">
      <c r="A49" s="3568"/>
      <c r="B49" s="1992" t="s">
        <v>20</v>
      </c>
      <c r="C49" s="3531"/>
      <c r="D49" s="1753"/>
      <c r="E49" s="1753">
        <v>0</v>
      </c>
      <c r="F49" s="2106">
        <v>0</v>
      </c>
      <c r="G49" s="2106">
        <v>0</v>
      </c>
      <c r="H49" s="2106">
        <v>0</v>
      </c>
      <c r="I49" s="2106">
        <v>0</v>
      </c>
      <c r="J49" s="2106">
        <v>0</v>
      </c>
      <c r="K49" s="2106">
        <v>0</v>
      </c>
      <c r="L49" s="2106">
        <v>0</v>
      </c>
      <c r="M49" s="3522"/>
      <c r="N49" s="3522"/>
      <c r="O49" s="3528"/>
    </row>
    <row r="50" spans="1:15" ht="42.75" hidden="1" customHeight="1">
      <c r="A50" s="3566" t="s">
        <v>64</v>
      </c>
      <c r="B50" s="1972" t="s">
        <v>522</v>
      </c>
      <c r="C50" s="1973" t="s">
        <v>109</v>
      </c>
      <c r="D50" s="2097"/>
      <c r="E50" s="2098"/>
      <c r="F50" s="2098"/>
      <c r="G50" s="2098"/>
      <c r="H50" s="2098"/>
      <c r="I50" s="2098"/>
      <c r="J50" s="2098"/>
      <c r="K50" s="2098"/>
      <c r="L50" s="2098"/>
      <c r="M50" s="2099"/>
      <c r="N50" s="2099"/>
      <c r="O50" s="3526" t="s">
        <v>133</v>
      </c>
    </row>
    <row r="51" spans="1:15" ht="15" hidden="1" customHeight="1">
      <c r="A51" s="3567"/>
      <c r="B51" s="1975" t="s">
        <v>10</v>
      </c>
      <c r="C51" s="1976"/>
      <c r="D51" s="1760">
        <f>D52</f>
        <v>0</v>
      </c>
      <c r="E51" s="1760">
        <f t="shared" ref="E51:J52" si="39">E52</f>
        <v>0</v>
      </c>
      <c r="F51" s="1760">
        <f t="shared" si="39"/>
        <v>0</v>
      </c>
      <c r="G51" s="1760">
        <f t="shared" ref="G51:L51" si="40">+G52+G54</f>
        <v>0</v>
      </c>
      <c r="H51" s="1760">
        <f t="shared" si="40"/>
        <v>0</v>
      </c>
      <c r="I51" s="1760">
        <f t="shared" si="40"/>
        <v>0</v>
      </c>
      <c r="J51" s="1760">
        <f t="shared" si="40"/>
        <v>0</v>
      </c>
      <c r="K51" s="1760">
        <f t="shared" si="40"/>
        <v>0</v>
      </c>
      <c r="L51" s="1760">
        <f t="shared" si="40"/>
        <v>0</v>
      </c>
      <c r="M51" s="1924">
        <f>M52</f>
        <v>0</v>
      </c>
      <c r="N51" s="1924">
        <f>N52</f>
        <v>0</v>
      </c>
      <c r="O51" s="3527"/>
    </row>
    <row r="52" spans="1:15" ht="12" hidden="1">
      <c r="A52" s="3567"/>
      <c r="B52" s="1988" t="s">
        <v>18</v>
      </c>
      <c r="C52" s="3529" t="s">
        <v>134</v>
      </c>
      <c r="D52" s="1755">
        <f>+D53</f>
        <v>0</v>
      </c>
      <c r="E52" s="1755">
        <f t="shared" si="39"/>
        <v>0</v>
      </c>
      <c r="F52" s="1755">
        <f t="shared" si="39"/>
        <v>0</v>
      </c>
      <c r="G52" s="1755">
        <f t="shared" si="39"/>
        <v>0</v>
      </c>
      <c r="H52" s="1755">
        <f t="shared" si="39"/>
        <v>0</v>
      </c>
      <c r="I52" s="1755">
        <f t="shared" si="39"/>
        <v>0</v>
      </c>
      <c r="J52" s="1755">
        <f t="shared" si="39"/>
        <v>0</v>
      </c>
      <c r="K52" s="1755">
        <f>K53</f>
        <v>0</v>
      </c>
      <c r="L52" s="1755">
        <f>L53</f>
        <v>0</v>
      </c>
      <c r="M52" s="1751">
        <f>+M53</f>
        <v>0</v>
      </c>
      <c r="N52" s="1751">
        <f>+N53</f>
        <v>0</v>
      </c>
      <c r="O52" s="3527"/>
    </row>
    <row r="53" spans="1:15" ht="12" hidden="1">
      <c r="A53" s="3567"/>
      <c r="B53" s="1989" t="s">
        <v>20</v>
      </c>
      <c r="C53" s="3530"/>
      <c r="D53" s="949">
        <v>0</v>
      </c>
      <c r="E53" s="2107">
        <v>0</v>
      </c>
      <c r="F53" s="135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2100">
        <f>SUM(F53:K53)</f>
        <v>0</v>
      </c>
      <c r="N53" s="2100">
        <f>SUM(G53:L53)</f>
        <v>0</v>
      </c>
      <c r="O53" s="3527"/>
    </row>
    <row r="54" spans="1:15" ht="15" hidden="1" customHeight="1">
      <c r="A54" s="3567"/>
      <c r="B54" s="1990" t="s">
        <v>22</v>
      </c>
      <c r="C54" s="1991"/>
      <c r="D54" s="1760">
        <f>+D55</f>
        <v>0</v>
      </c>
      <c r="E54" s="1760">
        <f t="shared" ref="E54" si="41">+E55</f>
        <v>0</v>
      </c>
      <c r="F54" s="1760">
        <f t="shared" ref="F54:I54" si="42">F55</f>
        <v>0</v>
      </c>
      <c r="G54" s="1760">
        <f t="shared" si="42"/>
        <v>0</v>
      </c>
      <c r="H54" s="1760">
        <f t="shared" si="42"/>
        <v>0</v>
      </c>
      <c r="I54" s="1760">
        <f t="shared" si="42"/>
        <v>0</v>
      </c>
      <c r="J54" s="1760"/>
      <c r="K54" s="1760"/>
      <c r="L54" s="1760"/>
      <c r="M54" s="3520" t="s">
        <v>61</v>
      </c>
      <c r="N54" s="3520" t="s">
        <v>61</v>
      </c>
      <c r="O54" s="3527"/>
    </row>
    <row r="55" spans="1:15" ht="12" hidden="1">
      <c r="A55" s="3567"/>
      <c r="B55" s="1988" t="s">
        <v>18</v>
      </c>
      <c r="C55" s="3529" t="s">
        <v>134</v>
      </c>
      <c r="D55" s="1755">
        <f>+D56</f>
        <v>0</v>
      </c>
      <c r="E55" s="1755">
        <f t="shared" ref="E55:L55" si="43">E56</f>
        <v>0</v>
      </c>
      <c r="F55" s="1755">
        <f t="shared" si="43"/>
        <v>0</v>
      </c>
      <c r="G55" s="1755">
        <f t="shared" si="43"/>
        <v>0</v>
      </c>
      <c r="H55" s="1755">
        <f t="shared" si="43"/>
        <v>0</v>
      </c>
      <c r="I55" s="1755">
        <f t="shared" si="43"/>
        <v>0</v>
      </c>
      <c r="J55" s="1755">
        <f t="shared" si="43"/>
        <v>0</v>
      </c>
      <c r="K55" s="1755">
        <f t="shared" si="43"/>
        <v>0</v>
      </c>
      <c r="L55" s="1755">
        <f t="shared" si="43"/>
        <v>0</v>
      </c>
      <c r="M55" s="3521"/>
      <c r="N55" s="3521"/>
      <c r="O55" s="3527"/>
    </row>
    <row r="56" spans="1:15" ht="12.75" hidden="1" thickBot="1">
      <c r="A56" s="3568"/>
      <c r="B56" s="1992" t="s">
        <v>20</v>
      </c>
      <c r="C56" s="3531"/>
      <c r="D56" s="949">
        <f>E56+F56+G56+H56+I56+J56+K56+L56</f>
        <v>0</v>
      </c>
      <c r="E56" s="2107">
        <v>0</v>
      </c>
      <c r="F56" s="2106">
        <v>0</v>
      </c>
      <c r="G56" s="2106">
        <v>0</v>
      </c>
      <c r="H56" s="2106">
        <v>0</v>
      </c>
      <c r="I56" s="2106">
        <v>0</v>
      </c>
      <c r="J56" s="2106">
        <v>0</v>
      </c>
      <c r="K56" s="2106">
        <v>0</v>
      </c>
      <c r="L56" s="2106">
        <v>0</v>
      </c>
      <c r="M56" s="3522"/>
      <c r="N56" s="3522"/>
      <c r="O56" s="3528"/>
    </row>
    <row r="57" spans="1:15" ht="26.25" hidden="1" customHeight="1">
      <c r="A57" s="3566" t="s">
        <v>65</v>
      </c>
      <c r="B57" s="1972" t="s">
        <v>349</v>
      </c>
      <c r="C57" s="1973" t="s">
        <v>109</v>
      </c>
      <c r="D57" s="2097"/>
      <c r="E57" s="2098"/>
      <c r="F57" s="2098"/>
      <c r="G57" s="2098"/>
      <c r="H57" s="2098"/>
      <c r="I57" s="2098"/>
      <c r="J57" s="2098"/>
      <c r="K57" s="2098"/>
      <c r="L57" s="2098"/>
      <c r="M57" s="2099"/>
      <c r="N57" s="2099"/>
      <c r="O57" s="3526" t="s">
        <v>260</v>
      </c>
    </row>
    <row r="58" spans="1:15" ht="15" hidden="1" customHeight="1">
      <c r="A58" s="3567"/>
      <c r="B58" s="1975" t="s">
        <v>10</v>
      </c>
      <c r="C58" s="1976"/>
      <c r="D58" s="1760"/>
      <c r="E58" s="1760">
        <v>0</v>
      </c>
      <c r="F58" s="1760">
        <f t="shared" ref="F58:J59" si="44">F59</f>
        <v>0</v>
      </c>
      <c r="G58" s="1760">
        <f t="shared" ref="G58:L58" si="45">+G59+G61</f>
        <v>0</v>
      </c>
      <c r="H58" s="1760">
        <f t="shared" si="45"/>
        <v>0</v>
      </c>
      <c r="I58" s="1760">
        <f t="shared" si="45"/>
        <v>0</v>
      </c>
      <c r="J58" s="1760">
        <f t="shared" si="45"/>
        <v>0</v>
      </c>
      <c r="K58" s="1760">
        <f t="shared" si="45"/>
        <v>0</v>
      </c>
      <c r="L58" s="1760">
        <f t="shared" si="45"/>
        <v>0</v>
      </c>
      <c r="M58" s="1924">
        <f>M59</f>
        <v>0</v>
      </c>
      <c r="N58" s="1924">
        <f>N59</f>
        <v>0</v>
      </c>
      <c r="O58" s="3527"/>
    </row>
    <row r="59" spans="1:15" ht="12.75" hidden="1" thickBot="1">
      <c r="A59" s="3567"/>
      <c r="B59" s="1988" t="s">
        <v>18</v>
      </c>
      <c r="C59" s="3529" t="s">
        <v>261</v>
      </c>
      <c r="D59" s="1755"/>
      <c r="E59" s="1755">
        <v>0</v>
      </c>
      <c r="F59" s="1755">
        <f t="shared" si="44"/>
        <v>0</v>
      </c>
      <c r="G59" s="1755">
        <f t="shared" si="44"/>
        <v>0</v>
      </c>
      <c r="H59" s="1755">
        <f t="shared" si="44"/>
        <v>0</v>
      </c>
      <c r="I59" s="1755">
        <f t="shared" si="44"/>
        <v>0</v>
      </c>
      <c r="J59" s="1755">
        <f t="shared" si="44"/>
        <v>0</v>
      </c>
      <c r="K59" s="1755">
        <f>K60</f>
        <v>0</v>
      </c>
      <c r="L59" s="1755">
        <f>L60</f>
        <v>0</v>
      </c>
      <c r="M59" s="1751">
        <f>+M60</f>
        <v>0</v>
      </c>
      <c r="N59" s="1751">
        <f>+N60</f>
        <v>0</v>
      </c>
      <c r="O59" s="3527"/>
    </row>
    <row r="60" spans="1:15" ht="12.75" hidden="1" thickBot="1">
      <c r="A60" s="3567"/>
      <c r="B60" s="1989" t="s">
        <v>20</v>
      </c>
      <c r="C60" s="3530"/>
      <c r="D60" s="2108"/>
      <c r="E60" s="2107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2100">
        <f>SUM(E60:K60)</f>
        <v>0</v>
      </c>
      <c r="N60" s="2100">
        <f>SUM(F60:L60)</f>
        <v>0</v>
      </c>
      <c r="O60" s="3527"/>
    </row>
    <row r="61" spans="1:15" ht="15" hidden="1" customHeight="1">
      <c r="A61" s="3567"/>
      <c r="B61" s="1990" t="s">
        <v>22</v>
      </c>
      <c r="C61" s="1991"/>
      <c r="D61" s="2109"/>
      <c r="E61" s="1760">
        <v>0</v>
      </c>
      <c r="F61" s="1760">
        <f t="shared" ref="F61:L61" si="46">F62+F86</f>
        <v>0</v>
      </c>
      <c r="G61" s="1760">
        <f t="shared" si="46"/>
        <v>0</v>
      </c>
      <c r="H61" s="1760">
        <f t="shared" si="46"/>
        <v>0</v>
      </c>
      <c r="I61" s="1760">
        <f t="shared" si="46"/>
        <v>0</v>
      </c>
      <c r="J61" s="1760">
        <f t="shared" si="46"/>
        <v>0</v>
      </c>
      <c r="K61" s="1760">
        <f t="shared" si="46"/>
        <v>0</v>
      </c>
      <c r="L61" s="1760">
        <f t="shared" si="46"/>
        <v>0</v>
      </c>
      <c r="M61" s="3520" t="s">
        <v>61</v>
      </c>
      <c r="N61" s="3520" t="s">
        <v>61</v>
      </c>
      <c r="O61" s="3527"/>
    </row>
    <row r="62" spans="1:15" ht="12.75" hidden="1" thickBot="1">
      <c r="A62" s="3567"/>
      <c r="B62" s="1988" t="s">
        <v>18</v>
      </c>
      <c r="C62" s="3529" t="s">
        <v>261</v>
      </c>
      <c r="D62" s="1755"/>
      <c r="E62" s="1755">
        <v>0</v>
      </c>
      <c r="F62" s="1755">
        <f t="shared" ref="F62:L62" si="47">F63</f>
        <v>0</v>
      </c>
      <c r="G62" s="1755">
        <f t="shared" si="47"/>
        <v>0</v>
      </c>
      <c r="H62" s="1755">
        <f t="shared" si="47"/>
        <v>0</v>
      </c>
      <c r="I62" s="1755">
        <f t="shared" si="47"/>
        <v>0</v>
      </c>
      <c r="J62" s="1755">
        <f t="shared" si="47"/>
        <v>0</v>
      </c>
      <c r="K62" s="1755">
        <f t="shared" si="47"/>
        <v>0</v>
      </c>
      <c r="L62" s="1755">
        <f t="shared" si="47"/>
        <v>0</v>
      </c>
      <c r="M62" s="3521"/>
      <c r="N62" s="3521"/>
      <c r="O62" s="3527"/>
    </row>
    <row r="63" spans="1:15" ht="12.75" hidden="1" thickBot="1">
      <c r="A63" s="3568"/>
      <c r="B63" s="1992" t="s">
        <v>20</v>
      </c>
      <c r="C63" s="3531"/>
      <c r="D63" s="2108"/>
      <c r="E63" s="2107">
        <v>0</v>
      </c>
      <c r="F63" s="2106">
        <v>0</v>
      </c>
      <c r="G63" s="2106">
        <v>0</v>
      </c>
      <c r="H63" s="2106">
        <v>0</v>
      </c>
      <c r="I63" s="2106">
        <v>0</v>
      </c>
      <c r="J63" s="2106">
        <v>0</v>
      </c>
      <c r="K63" s="2106">
        <v>0</v>
      </c>
      <c r="L63" s="2106">
        <v>0</v>
      </c>
      <c r="M63" s="3522"/>
      <c r="N63" s="3522"/>
      <c r="O63" s="3528"/>
    </row>
    <row r="64" spans="1:15" ht="26.25" customHeight="1">
      <c r="A64" s="3566" t="s">
        <v>64</v>
      </c>
      <c r="B64" s="1972" t="s">
        <v>565</v>
      </c>
      <c r="C64" s="1973" t="s">
        <v>109</v>
      </c>
      <c r="D64" s="2097"/>
      <c r="E64" s="2098"/>
      <c r="F64" s="2098"/>
      <c r="G64" s="2098"/>
      <c r="H64" s="2098"/>
      <c r="I64" s="2098"/>
      <c r="J64" s="2098"/>
      <c r="K64" s="2098"/>
      <c r="L64" s="2098"/>
      <c r="M64" s="2099"/>
      <c r="N64" s="2099"/>
      <c r="O64" s="3526" t="s">
        <v>131</v>
      </c>
    </row>
    <row r="65" spans="1:109" ht="15" customHeight="1">
      <c r="A65" s="3567"/>
      <c r="B65" s="1975" t="s">
        <v>10</v>
      </c>
      <c r="C65" s="1976"/>
      <c r="D65" s="1760">
        <f>+D66</f>
        <v>50733</v>
      </c>
      <c r="E65" s="1760">
        <f t="shared" ref="E65:E66" si="48">+E66</f>
        <v>803</v>
      </c>
      <c r="F65" s="1760">
        <f>+F66</f>
        <v>20291</v>
      </c>
      <c r="G65" s="1760">
        <f>+G66</f>
        <v>29639</v>
      </c>
      <c r="H65" s="1760"/>
      <c r="I65" s="1760"/>
      <c r="J65" s="1760"/>
      <c r="K65" s="1760"/>
      <c r="L65" s="1760"/>
      <c r="M65" s="1924">
        <f>+M66</f>
        <v>49930</v>
      </c>
      <c r="N65" s="1924">
        <f>+N66</f>
        <v>29639</v>
      </c>
      <c r="O65" s="3527"/>
    </row>
    <row r="66" spans="1:109" ht="12">
      <c r="A66" s="3567"/>
      <c r="B66" s="1988" t="s">
        <v>18</v>
      </c>
      <c r="C66" s="3529" t="s">
        <v>132</v>
      </c>
      <c r="D66" s="1755">
        <f>+D67</f>
        <v>50733</v>
      </c>
      <c r="E66" s="1755">
        <f t="shared" si="48"/>
        <v>803</v>
      </c>
      <c r="F66" s="1755">
        <f>+F67</f>
        <v>20291</v>
      </c>
      <c r="G66" s="1755">
        <f>+G67</f>
        <v>29639</v>
      </c>
      <c r="H66" s="1755"/>
      <c r="I66" s="1755"/>
      <c r="J66" s="1755"/>
      <c r="K66" s="1755"/>
      <c r="L66" s="1755"/>
      <c r="M66" s="1751">
        <f>+M67</f>
        <v>49930</v>
      </c>
      <c r="N66" s="1751">
        <f>+N67</f>
        <v>29639</v>
      </c>
      <c r="O66" s="3527"/>
    </row>
    <row r="67" spans="1:109" ht="12">
      <c r="A67" s="3567"/>
      <c r="B67" s="1989" t="s">
        <v>20</v>
      </c>
      <c r="C67" s="3530"/>
      <c r="D67" s="1782">
        <f>E67+F67+G67+H67+I67+J67+K67+L67</f>
        <v>50733</v>
      </c>
      <c r="E67" s="2107">
        <f>803</f>
        <v>803</v>
      </c>
      <c r="F67" s="135">
        <f>4200+3397+21882-9188</f>
        <v>20291</v>
      </c>
      <c r="G67" s="135">
        <f>21882+7757</f>
        <v>29639</v>
      </c>
      <c r="H67" s="135"/>
      <c r="I67" s="135"/>
      <c r="J67" s="135"/>
      <c r="K67" s="135"/>
      <c r="L67" s="135"/>
      <c r="M67" s="2100">
        <f>SUM(F67:K67)</f>
        <v>49930</v>
      </c>
      <c r="N67" s="2100">
        <f>SUM(G67:L67)</f>
        <v>29639</v>
      </c>
      <c r="O67" s="3527"/>
    </row>
    <row r="68" spans="1:109" ht="15" customHeight="1">
      <c r="A68" s="3567"/>
      <c r="B68" s="1990" t="s">
        <v>22</v>
      </c>
      <c r="C68" s="1991"/>
      <c r="D68" s="2109">
        <f>+D69</f>
        <v>50733</v>
      </c>
      <c r="E68" s="2109">
        <f t="shared" ref="E68:E69" si="49">+E69</f>
        <v>803</v>
      </c>
      <c r="F68" s="1760">
        <f>+F69</f>
        <v>28048</v>
      </c>
      <c r="G68" s="1760">
        <f>+G69</f>
        <v>21882</v>
      </c>
      <c r="H68" s="1760"/>
      <c r="I68" s="1760"/>
      <c r="J68" s="1760"/>
      <c r="K68" s="1760"/>
      <c r="L68" s="1760"/>
      <c r="M68" s="3520"/>
      <c r="N68" s="3520"/>
      <c r="O68" s="3527"/>
    </row>
    <row r="69" spans="1:109" ht="12">
      <c r="A69" s="3567"/>
      <c r="B69" s="1988" t="s">
        <v>18</v>
      </c>
      <c r="C69" s="3529" t="s">
        <v>132</v>
      </c>
      <c r="D69" s="1755">
        <f>+D70</f>
        <v>50733</v>
      </c>
      <c r="E69" s="1755">
        <f t="shared" si="49"/>
        <v>803</v>
      </c>
      <c r="F69" s="1755">
        <f>+F70</f>
        <v>28048</v>
      </c>
      <c r="G69" s="1755">
        <f>+G70</f>
        <v>21882</v>
      </c>
      <c r="H69" s="1755"/>
      <c r="I69" s="1755"/>
      <c r="J69" s="1755"/>
      <c r="K69" s="1755"/>
      <c r="L69" s="1755"/>
      <c r="M69" s="3521"/>
      <c r="N69" s="3521"/>
      <c r="O69" s="3527"/>
    </row>
    <row r="70" spans="1:109" ht="12.75" thickBot="1">
      <c r="A70" s="3568"/>
      <c r="B70" s="1992" t="s">
        <v>20</v>
      </c>
      <c r="C70" s="3531"/>
      <c r="D70" s="1929">
        <f>E70+F70+G70+H70+I70+J70+K70+L70</f>
        <v>50733</v>
      </c>
      <c r="E70" s="2148">
        <f>803</f>
        <v>803</v>
      </c>
      <c r="F70" s="2106">
        <f>4200+3397+21882-1431</f>
        <v>28048</v>
      </c>
      <c r="G70" s="2106">
        <v>21882</v>
      </c>
      <c r="H70" s="2106"/>
      <c r="I70" s="2106"/>
      <c r="J70" s="2106"/>
      <c r="K70" s="2106"/>
      <c r="L70" s="2106"/>
      <c r="M70" s="3522"/>
      <c r="N70" s="3522"/>
      <c r="O70" s="3528"/>
    </row>
    <row r="71" spans="1:109" ht="9" customHeight="1">
      <c r="A71" s="1994"/>
      <c r="B71" s="1995"/>
      <c r="C71" s="1996"/>
      <c r="D71" s="1997"/>
      <c r="E71" s="1998"/>
      <c r="F71" s="1998"/>
      <c r="G71" s="1998"/>
      <c r="H71" s="1998"/>
      <c r="I71" s="1999"/>
      <c r="J71" s="1999"/>
      <c r="K71" s="1999"/>
      <c r="L71" s="1999"/>
      <c r="M71" s="2000"/>
      <c r="N71" s="2000"/>
      <c r="O71" s="1996"/>
    </row>
    <row r="72" spans="1:109" s="2004" customFormat="1" ht="26.25" hidden="1" customHeight="1" thickBot="1">
      <c r="A72" s="3532" t="s">
        <v>135</v>
      </c>
      <c r="B72" s="3532"/>
      <c r="C72" s="3532"/>
      <c r="D72" s="3532"/>
      <c r="E72" s="3532"/>
      <c r="F72" s="3532"/>
      <c r="G72" s="3532"/>
      <c r="H72" s="3532"/>
      <c r="I72" s="3532"/>
      <c r="J72" s="3532"/>
      <c r="K72" s="3532"/>
      <c r="L72" s="3532"/>
      <c r="M72" s="2001"/>
      <c r="N72" s="2001"/>
      <c r="O72" s="2002"/>
      <c r="P72" s="2003"/>
      <c r="Q72" s="2003"/>
      <c r="R72" s="2003"/>
      <c r="S72" s="2003"/>
      <c r="T72" s="2003"/>
      <c r="U72" s="2003"/>
      <c r="V72" s="2003"/>
      <c r="W72" s="2003"/>
      <c r="X72" s="2003"/>
      <c r="Y72" s="2003"/>
      <c r="Z72" s="2003"/>
      <c r="AA72" s="2003"/>
      <c r="AB72" s="2003"/>
      <c r="AC72" s="2003"/>
      <c r="AD72" s="2003"/>
      <c r="AE72" s="2003"/>
      <c r="AF72" s="2003"/>
      <c r="AG72" s="2003"/>
      <c r="AH72" s="2003"/>
      <c r="AI72" s="2003"/>
      <c r="AJ72" s="2003"/>
      <c r="AK72" s="2003"/>
      <c r="AL72" s="2003"/>
      <c r="AM72" s="2003"/>
      <c r="AN72" s="2003"/>
      <c r="AO72" s="2003"/>
      <c r="AP72" s="2003"/>
      <c r="AQ72" s="2003"/>
      <c r="AR72" s="2003"/>
      <c r="AS72" s="2003"/>
      <c r="AT72" s="2003"/>
      <c r="AU72" s="2003"/>
      <c r="AV72" s="2003"/>
      <c r="AW72" s="2003"/>
      <c r="AX72" s="2003"/>
      <c r="AY72" s="2003"/>
      <c r="AZ72" s="2003"/>
      <c r="BA72" s="2003"/>
      <c r="BB72" s="2003"/>
      <c r="BC72" s="2003"/>
      <c r="BD72" s="2003"/>
      <c r="BE72" s="2003"/>
      <c r="BF72" s="2003"/>
      <c r="BG72" s="2003"/>
      <c r="BH72" s="2003"/>
      <c r="BI72" s="2003"/>
      <c r="BJ72" s="2003"/>
      <c r="BK72" s="2003"/>
      <c r="BL72" s="2003"/>
      <c r="BM72" s="2003"/>
      <c r="BN72" s="2003"/>
      <c r="BO72" s="2003"/>
      <c r="BP72" s="2003"/>
      <c r="BQ72" s="2003"/>
      <c r="BR72" s="2003"/>
      <c r="BS72" s="2003"/>
      <c r="BT72" s="2003"/>
      <c r="BU72" s="2003"/>
      <c r="BV72" s="2003"/>
      <c r="BW72" s="2003"/>
      <c r="BX72" s="2003"/>
      <c r="BY72" s="2003"/>
      <c r="BZ72" s="2003"/>
      <c r="CA72" s="2003"/>
      <c r="CB72" s="2003"/>
      <c r="CC72" s="2003"/>
      <c r="CD72" s="2003"/>
      <c r="CE72" s="2003"/>
      <c r="CF72" s="2003"/>
      <c r="CG72" s="2003"/>
      <c r="CH72" s="2003"/>
      <c r="CI72" s="2003"/>
      <c r="CJ72" s="2003"/>
      <c r="CK72" s="2003"/>
      <c r="CL72" s="2003"/>
      <c r="CM72" s="2003"/>
      <c r="CN72" s="2003"/>
      <c r="CO72" s="2003"/>
      <c r="CP72" s="2003"/>
      <c r="CQ72" s="2003"/>
      <c r="CR72" s="2003"/>
      <c r="CS72" s="2003"/>
      <c r="CT72" s="2003"/>
      <c r="CU72" s="2003"/>
      <c r="CV72" s="2003"/>
      <c r="CW72" s="2003"/>
      <c r="CX72" s="2003"/>
      <c r="CY72" s="2003"/>
      <c r="CZ72" s="2003"/>
      <c r="DA72" s="2003"/>
      <c r="DB72" s="2003"/>
      <c r="DC72" s="2003"/>
      <c r="DD72" s="2003"/>
      <c r="DE72" s="2003"/>
    </row>
    <row r="73" spans="1:109" s="2393" customFormat="1" ht="14.25" hidden="1" customHeight="1">
      <c r="A73" s="1960"/>
      <c r="B73" s="2005" t="s">
        <v>76</v>
      </c>
      <c r="C73" s="2006"/>
      <c r="D73" s="2007">
        <f>+D74+D75</f>
        <v>0</v>
      </c>
      <c r="E73" s="2007">
        <f t="shared" ref="E73:L73" si="50">+E74+E75</f>
        <v>0</v>
      </c>
      <c r="F73" s="2007">
        <f t="shared" si="50"/>
        <v>0</v>
      </c>
      <c r="G73" s="2007">
        <f t="shared" si="50"/>
        <v>0</v>
      </c>
      <c r="H73" s="2007">
        <f t="shared" si="50"/>
        <v>0</v>
      </c>
      <c r="I73" s="2007">
        <f t="shared" si="50"/>
        <v>0</v>
      </c>
      <c r="J73" s="2007">
        <f t="shared" si="50"/>
        <v>0</v>
      </c>
      <c r="K73" s="2007">
        <f t="shared" si="50"/>
        <v>0</v>
      </c>
      <c r="L73" s="2007">
        <f t="shared" si="50"/>
        <v>0</v>
      </c>
      <c r="M73" s="1942">
        <f>+M74+M75</f>
        <v>0</v>
      </c>
      <c r="N73" s="1942">
        <f>+N74+N75</f>
        <v>0</v>
      </c>
      <c r="O73" s="3588"/>
    </row>
    <row r="74" spans="1:109" s="2393" customFormat="1" ht="13.5" hidden="1" customHeight="1">
      <c r="A74" s="1960"/>
      <c r="B74" s="1944" t="s">
        <v>77</v>
      </c>
      <c r="C74" s="1945"/>
      <c r="D74" s="1946">
        <v>0</v>
      </c>
      <c r="E74" s="1946">
        <v>0</v>
      </c>
      <c r="F74" s="1946">
        <v>0</v>
      </c>
      <c r="G74" s="1946">
        <v>0</v>
      </c>
      <c r="H74" s="1946">
        <v>0</v>
      </c>
      <c r="I74" s="1946">
        <v>0</v>
      </c>
      <c r="J74" s="1946">
        <v>0</v>
      </c>
      <c r="K74" s="1946">
        <v>0</v>
      </c>
      <c r="L74" s="1946">
        <v>0</v>
      </c>
      <c r="M74" s="1947">
        <f>SUM(E74:G74)</f>
        <v>0</v>
      </c>
      <c r="N74" s="1947">
        <f>SUM(F74:H74)</f>
        <v>0</v>
      </c>
      <c r="O74" s="3589"/>
    </row>
    <row r="75" spans="1:109" s="2393" customFormat="1" ht="13.5" hidden="1" customHeight="1" thickBot="1">
      <c r="A75" s="1960"/>
      <c r="B75" s="2008" t="s">
        <v>9</v>
      </c>
      <c r="C75" s="2009"/>
      <c r="D75" s="2010">
        <f>+D92+D96+D101+D113</f>
        <v>0</v>
      </c>
      <c r="E75" s="2010">
        <f t="shared" ref="E75:F75" si="51">+E92+E96+E101+E113</f>
        <v>0</v>
      </c>
      <c r="F75" s="2010">
        <f t="shared" si="51"/>
        <v>0</v>
      </c>
      <c r="G75" s="2010">
        <f t="shared" ref="G75:L75" si="52">+G92+G96+G101+G113</f>
        <v>0</v>
      </c>
      <c r="H75" s="2010">
        <f t="shared" si="52"/>
        <v>0</v>
      </c>
      <c r="I75" s="2010">
        <f t="shared" si="52"/>
        <v>0</v>
      </c>
      <c r="J75" s="2010">
        <f t="shared" si="52"/>
        <v>0</v>
      </c>
      <c r="K75" s="2010">
        <f t="shared" si="52"/>
        <v>0</v>
      </c>
      <c r="L75" s="2010">
        <f t="shared" si="52"/>
        <v>0</v>
      </c>
      <c r="M75" s="1947">
        <f>SUM(E75:G75)</f>
        <v>0</v>
      </c>
      <c r="N75" s="1947">
        <f>SUM(F75:H75)</f>
        <v>0</v>
      </c>
      <c r="O75" s="3589"/>
    </row>
    <row r="76" spans="1:109" s="2004" customFormat="1" ht="13.5" hidden="1" customHeight="1">
      <c r="A76" s="1960"/>
      <c r="B76" s="2011" t="s">
        <v>10</v>
      </c>
      <c r="C76" s="2012"/>
      <c r="D76" s="2013">
        <f>D77+D81</f>
        <v>0</v>
      </c>
      <c r="E76" s="2013">
        <f>+E77+E81</f>
        <v>0</v>
      </c>
      <c r="F76" s="2013">
        <f t="shared" ref="F76:L76" si="53">+F77+F81</f>
        <v>0</v>
      </c>
      <c r="G76" s="2013">
        <f t="shared" si="53"/>
        <v>0</v>
      </c>
      <c r="H76" s="2013">
        <f t="shared" si="53"/>
        <v>0</v>
      </c>
      <c r="I76" s="2013">
        <f t="shared" si="53"/>
        <v>0</v>
      </c>
      <c r="J76" s="2013">
        <f t="shared" si="53"/>
        <v>0</v>
      </c>
      <c r="K76" s="2013">
        <f t="shared" si="53"/>
        <v>0</v>
      </c>
      <c r="L76" s="2013">
        <f t="shared" si="53"/>
        <v>0</v>
      </c>
      <c r="M76" s="2014" t="e">
        <f>+M77</f>
        <v>#REF!</v>
      </c>
      <c r="N76" s="2014" t="e">
        <f>+N77</f>
        <v>#REF!</v>
      </c>
      <c r="O76" s="3588"/>
      <c r="P76" s="2003"/>
      <c r="Q76" s="2003"/>
      <c r="R76" s="2003"/>
      <c r="S76" s="2003"/>
      <c r="T76" s="2003"/>
      <c r="U76" s="2003"/>
      <c r="V76" s="2003"/>
      <c r="W76" s="2003"/>
      <c r="X76" s="2003"/>
      <c r="Y76" s="2003"/>
      <c r="Z76" s="2003"/>
      <c r="AA76" s="2003"/>
      <c r="AB76" s="2003"/>
      <c r="AC76" s="2003"/>
      <c r="AD76" s="2003"/>
      <c r="AE76" s="2003"/>
      <c r="AF76" s="2003"/>
      <c r="AG76" s="2003"/>
      <c r="AH76" s="2003"/>
      <c r="AI76" s="2003"/>
      <c r="AJ76" s="2003"/>
      <c r="AK76" s="2003"/>
      <c r="AL76" s="2003"/>
      <c r="AM76" s="2003"/>
      <c r="AN76" s="2003"/>
      <c r="AO76" s="2003"/>
      <c r="AP76" s="2003"/>
      <c r="AQ76" s="2003"/>
      <c r="AR76" s="2003"/>
      <c r="AS76" s="2003"/>
      <c r="AT76" s="2003"/>
      <c r="AU76" s="2003"/>
      <c r="AV76" s="2003"/>
      <c r="AW76" s="2003"/>
      <c r="AX76" s="2003"/>
      <c r="AY76" s="2003"/>
      <c r="AZ76" s="2003"/>
      <c r="BA76" s="2003"/>
      <c r="BB76" s="2003"/>
      <c r="BC76" s="2003"/>
      <c r="BD76" s="2003"/>
      <c r="BE76" s="2003"/>
      <c r="BF76" s="2003"/>
      <c r="BG76" s="2003"/>
      <c r="BH76" s="2003"/>
      <c r="BI76" s="2003"/>
      <c r="BJ76" s="2003"/>
      <c r="BK76" s="2003"/>
      <c r="BL76" s="2003"/>
      <c r="BM76" s="2003"/>
      <c r="BN76" s="2003"/>
      <c r="BO76" s="2003"/>
      <c r="BP76" s="2003"/>
      <c r="BQ76" s="2003"/>
      <c r="BR76" s="2003"/>
      <c r="BS76" s="2003"/>
      <c r="BT76" s="2003"/>
      <c r="BU76" s="2003"/>
      <c r="BV76" s="2003"/>
      <c r="BW76" s="2003"/>
      <c r="BX76" s="2003"/>
      <c r="BY76" s="2003"/>
      <c r="BZ76" s="2003"/>
      <c r="CA76" s="2003"/>
      <c r="CB76" s="2003"/>
      <c r="CC76" s="2003"/>
      <c r="CD76" s="2003"/>
      <c r="CE76" s="2003"/>
      <c r="CF76" s="2003"/>
      <c r="CG76" s="2003"/>
      <c r="CH76" s="2003"/>
      <c r="CI76" s="2003"/>
      <c r="CJ76" s="2003"/>
      <c r="CK76" s="2003"/>
      <c r="CL76" s="2003"/>
      <c r="CM76" s="2003"/>
      <c r="CN76" s="2003"/>
      <c r="CO76" s="2003"/>
      <c r="CP76" s="2003"/>
      <c r="CQ76" s="2003"/>
      <c r="CR76" s="2003"/>
      <c r="CS76" s="2003"/>
      <c r="CT76" s="2003"/>
      <c r="CU76" s="2003"/>
      <c r="CV76" s="2003"/>
      <c r="CW76" s="2003"/>
      <c r="CX76" s="2003"/>
      <c r="CY76" s="2003"/>
      <c r="CZ76" s="2003"/>
      <c r="DA76" s="2003"/>
      <c r="DB76" s="2003"/>
      <c r="DC76" s="2003"/>
      <c r="DD76" s="2003"/>
      <c r="DE76" s="2003"/>
    </row>
    <row r="77" spans="1:109" s="2004" customFormat="1" ht="13.5" hidden="1" customHeight="1">
      <c r="A77" s="1960"/>
      <c r="B77" s="2015" t="s">
        <v>11</v>
      </c>
      <c r="C77" s="2016"/>
      <c r="D77" s="2016">
        <f>+D78+D79+D80</f>
        <v>0</v>
      </c>
      <c r="E77" s="2016">
        <f t="shared" ref="E77:L77" si="54">+E78+E79+E80</f>
        <v>0</v>
      </c>
      <c r="F77" s="2016">
        <f t="shared" si="54"/>
        <v>0</v>
      </c>
      <c r="G77" s="2016">
        <f t="shared" si="54"/>
        <v>0</v>
      </c>
      <c r="H77" s="2016">
        <f t="shared" si="54"/>
        <v>0</v>
      </c>
      <c r="I77" s="2016">
        <f t="shared" si="54"/>
        <v>0</v>
      </c>
      <c r="J77" s="2016">
        <f t="shared" si="54"/>
        <v>0</v>
      </c>
      <c r="K77" s="2016">
        <f t="shared" si="54"/>
        <v>0</v>
      </c>
      <c r="L77" s="2016">
        <f t="shared" si="54"/>
        <v>0</v>
      </c>
      <c r="M77" s="2017" t="e">
        <f>+M80+M79</f>
        <v>#REF!</v>
      </c>
      <c r="N77" s="2017" t="e">
        <f>+N80+N79</f>
        <v>#REF!</v>
      </c>
      <c r="O77" s="3589"/>
      <c r="P77" s="2003"/>
      <c r="Q77" s="2003"/>
      <c r="R77" s="2003"/>
      <c r="S77" s="2003"/>
      <c r="T77" s="2003"/>
      <c r="U77" s="2003"/>
      <c r="V77" s="2003"/>
      <c r="W77" s="2003"/>
      <c r="X77" s="2003"/>
      <c r="Y77" s="2003"/>
      <c r="Z77" s="2003"/>
      <c r="AA77" s="2003"/>
      <c r="AB77" s="2003"/>
      <c r="AC77" s="2003"/>
      <c r="AD77" s="2003"/>
      <c r="AE77" s="2003"/>
      <c r="AF77" s="2003"/>
      <c r="AG77" s="2003"/>
      <c r="AH77" s="2003"/>
      <c r="AI77" s="2003"/>
      <c r="AJ77" s="2003"/>
      <c r="AK77" s="2003"/>
      <c r="AL77" s="2003"/>
      <c r="AM77" s="2003"/>
      <c r="AN77" s="2003"/>
      <c r="AO77" s="2003"/>
      <c r="AP77" s="2003"/>
      <c r="AQ77" s="2003"/>
      <c r="AR77" s="2003"/>
      <c r="AS77" s="2003"/>
      <c r="AT77" s="2003"/>
      <c r="AU77" s="2003"/>
      <c r="AV77" s="2003"/>
      <c r="AW77" s="2003"/>
      <c r="AX77" s="2003"/>
      <c r="AY77" s="2003"/>
      <c r="AZ77" s="2003"/>
      <c r="BA77" s="2003"/>
      <c r="BB77" s="2003"/>
      <c r="BC77" s="2003"/>
      <c r="BD77" s="2003"/>
      <c r="BE77" s="2003"/>
      <c r="BF77" s="2003"/>
      <c r="BG77" s="2003"/>
      <c r="BH77" s="2003"/>
      <c r="BI77" s="2003"/>
      <c r="BJ77" s="2003"/>
      <c r="BK77" s="2003"/>
      <c r="BL77" s="2003"/>
      <c r="BM77" s="2003"/>
      <c r="BN77" s="2003"/>
      <c r="BO77" s="2003"/>
      <c r="BP77" s="2003"/>
      <c r="BQ77" s="2003"/>
      <c r="BR77" s="2003"/>
      <c r="BS77" s="2003"/>
      <c r="BT77" s="2003"/>
      <c r="BU77" s="2003"/>
      <c r="BV77" s="2003"/>
      <c r="BW77" s="2003"/>
      <c r="BX77" s="2003"/>
      <c r="BY77" s="2003"/>
      <c r="BZ77" s="2003"/>
      <c r="CA77" s="2003"/>
      <c r="CB77" s="2003"/>
      <c r="CC77" s="2003"/>
      <c r="CD77" s="2003"/>
      <c r="CE77" s="2003"/>
      <c r="CF77" s="2003"/>
      <c r="CG77" s="2003"/>
      <c r="CH77" s="2003"/>
      <c r="CI77" s="2003"/>
      <c r="CJ77" s="2003"/>
      <c r="CK77" s="2003"/>
      <c r="CL77" s="2003"/>
      <c r="CM77" s="2003"/>
      <c r="CN77" s="2003"/>
      <c r="CO77" s="2003"/>
      <c r="CP77" s="2003"/>
      <c r="CQ77" s="2003"/>
      <c r="CR77" s="2003"/>
      <c r="CS77" s="2003"/>
      <c r="CT77" s="2003"/>
      <c r="CU77" s="2003"/>
      <c r="CV77" s="2003"/>
      <c r="CW77" s="2003"/>
      <c r="CX77" s="2003"/>
      <c r="CY77" s="2003"/>
      <c r="CZ77" s="2003"/>
      <c r="DA77" s="2003"/>
      <c r="DB77" s="2003"/>
      <c r="DC77" s="2003"/>
      <c r="DD77" s="2003"/>
      <c r="DE77" s="2003"/>
    </row>
    <row r="78" spans="1:109" s="2004" customFormat="1" ht="13.5" hidden="1" customHeight="1">
      <c r="A78" s="1960"/>
      <c r="B78" s="2018" t="s">
        <v>136</v>
      </c>
      <c r="C78" s="2019"/>
      <c r="D78" s="2019">
        <f>+D100</f>
        <v>0</v>
      </c>
      <c r="E78" s="2019">
        <f t="shared" ref="E78:F78" si="55">+E100</f>
        <v>0</v>
      </c>
      <c r="F78" s="2019">
        <f t="shared" si="55"/>
        <v>0</v>
      </c>
      <c r="G78" s="2019">
        <v>0</v>
      </c>
      <c r="H78" s="2019">
        <v>0</v>
      </c>
      <c r="I78" s="2019">
        <v>0</v>
      </c>
      <c r="J78" s="2019">
        <v>0</v>
      </c>
      <c r="K78" s="2019">
        <v>0</v>
      </c>
      <c r="L78" s="2019">
        <v>0</v>
      </c>
      <c r="M78" s="2020" t="s">
        <v>61</v>
      </c>
      <c r="N78" s="2020" t="s">
        <v>61</v>
      </c>
      <c r="O78" s="3589"/>
      <c r="P78" s="2003"/>
      <c r="Q78" s="2003"/>
      <c r="R78" s="2003"/>
      <c r="S78" s="2003"/>
      <c r="T78" s="2003"/>
      <c r="U78" s="2003"/>
      <c r="V78" s="2003"/>
      <c r="W78" s="2003"/>
      <c r="X78" s="2003"/>
      <c r="Y78" s="2003"/>
      <c r="Z78" s="2003"/>
      <c r="AA78" s="2003"/>
      <c r="AB78" s="2003"/>
      <c r="AC78" s="2003"/>
      <c r="AD78" s="2003"/>
      <c r="AE78" s="2003"/>
      <c r="AF78" s="2003"/>
      <c r="AG78" s="2003"/>
      <c r="AH78" s="2003"/>
      <c r="AI78" s="2003"/>
      <c r="AJ78" s="2003"/>
      <c r="AK78" s="2003"/>
      <c r="AL78" s="2003"/>
      <c r="AM78" s="2003"/>
      <c r="AN78" s="2003"/>
      <c r="AO78" s="2003"/>
      <c r="AP78" s="2003"/>
      <c r="AQ78" s="2003"/>
      <c r="AR78" s="2003"/>
      <c r="AS78" s="2003"/>
      <c r="AT78" s="2003"/>
      <c r="AU78" s="2003"/>
      <c r="AV78" s="2003"/>
      <c r="AW78" s="2003"/>
      <c r="AX78" s="2003"/>
      <c r="AY78" s="2003"/>
      <c r="AZ78" s="2003"/>
      <c r="BA78" s="2003"/>
      <c r="BB78" s="2003"/>
      <c r="BC78" s="2003"/>
      <c r="BD78" s="2003"/>
      <c r="BE78" s="2003"/>
      <c r="BF78" s="2003"/>
      <c r="BG78" s="2003"/>
      <c r="BH78" s="2003"/>
      <c r="BI78" s="2003"/>
      <c r="BJ78" s="2003"/>
      <c r="BK78" s="2003"/>
      <c r="BL78" s="2003"/>
      <c r="BM78" s="2003"/>
      <c r="BN78" s="2003"/>
      <c r="BO78" s="2003"/>
      <c r="BP78" s="2003"/>
      <c r="BQ78" s="2003"/>
      <c r="BR78" s="2003"/>
      <c r="BS78" s="2003"/>
      <c r="BT78" s="2003"/>
      <c r="BU78" s="2003"/>
      <c r="BV78" s="2003"/>
      <c r="BW78" s="2003"/>
      <c r="BX78" s="2003"/>
      <c r="BY78" s="2003"/>
      <c r="BZ78" s="2003"/>
      <c r="CA78" s="2003"/>
      <c r="CB78" s="2003"/>
      <c r="CC78" s="2003"/>
      <c r="CD78" s="2003"/>
      <c r="CE78" s="2003"/>
      <c r="CF78" s="2003"/>
      <c r="CG78" s="2003"/>
      <c r="CH78" s="2003"/>
      <c r="CI78" s="2003"/>
      <c r="CJ78" s="2003"/>
      <c r="CK78" s="2003"/>
      <c r="CL78" s="2003"/>
      <c r="CM78" s="2003"/>
      <c r="CN78" s="2003"/>
      <c r="CO78" s="2003"/>
      <c r="CP78" s="2003"/>
      <c r="CQ78" s="2003"/>
      <c r="CR78" s="2003"/>
      <c r="CS78" s="2003"/>
      <c r="CT78" s="2003"/>
      <c r="CU78" s="2003"/>
      <c r="CV78" s="2003"/>
      <c r="CW78" s="2003"/>
      <c r="CX78" s="2003"/>
      <c r="CY78" s="2003"/>
      <c r="CZ78" s="2003"/>
      <c r="DA78" s="2003"/>
      <c r="DB78" s="2003"/>
      <c r="DC78" s="2003"/>
      <c r="DD78" s="2003"/>
      <c r="DE78" s="2003"/>
    </row>
    <row r="79" spans="1:109" s="2004" customFormat="1" ht="13.5" hidden="1" customHeight="1">
      <c r="A79" s="1960"/>
      <c r="B79" s="2018" t="s">
        <v>137</v>
      </c>
      <c r="C79" s="2019"/>
      <c r="D79" s="2019">
        <f>+D101+D113</f>
        <v>0</v>
      </c>
      <c r="E79" s="2019">
        <f t="shared" ref="E79:I79" si="56">+E101+E113</f>
        <v>0</v>
      </c>
      <c r="F79" s="2019">
        <f t="shared" si="56"/>
        <v>0</v>
      </c>
      <c r="G79" s="2019">
        <f t="shared" si="56"/>
        <v>0</v>
      </c>
      <c r="H79" s="2019">
        <f t="shared" si="56"/>
        <v>0</v>
      </c>
      <c r="I79" s="2019">
        <f t="shared" si="56"/>
        <v>0</v>
      </c>
      <c r="J79" s="2019">
        <v>0</v>
      </c>
      <c r="K79" s="2019">
        <v>0</v>
      </c>
      <c r="L79" s="2019">
        <v>0</v>
      </c>
      <c r="M79" s="2021" t="e">
        <f>+H79+G79+F79+E79+#REF!</f>
        <v>#REF!</v>
      </c>
      <c r="N79" s="2021" t="e">
        <f>+I79+H79+G79+F79+#REF!</f>
        <v>#REF!</v>
      </c>
      <c r="O79" s="3589"/>
      <c r="P79" s="2003"/>
      <c r="Q79" s="2003"/>
      <c r="R79" s="2003"/>
      <c r="S79" s="2003"/>
      <c r="T79" s="2003"/>
      <c r="U79" s="2003"/>
      <c r="V79" s="2003"/>
      <c r="W79" s="2003"/>
      <c r="X79" s="2003"/>
      <c r="Y79" s="2003"/>
      <c r="Z79" s="2003"/>
      <c r="AA79" s="2003"/>
      <c r="AB79" s="2003"/>
      <c r="AC79" s="2003"/>
      <c r="AD79" s="2003"/>
      <c r="AE79" s="2003"/>
      <c r="AF79" s="2003"/>
      <c r="AG79" s="2003"/>
      <c r="AH79" s="2003"/>
      <c r="AI79" s="2003"/>
      <c r="AJ79" s="2003"/>
      <c r="AK79" s="2003"/>
      <c r="AL79" s="2003"/>
      <c r="AM79" s="2003"/>
      <c r="AN79" s="2003"/>
      <c r="AO79" s="2003"/>
      <c r="AP79" s="2003"/>
      <c r="AQ79" s="2003"/>
      <c r="AR79" s="2003"/>
      <c r="AS79" s="2003"/>
      <c r="AT79" s="2003"/>
      <c r="AU79" s="2003"/>
      <c r="AV79" s="2003"/>
      <c r="AW79" s="2003"/>
      <c r="AX79" s="2003"/>
      <c r="AY79" s="2003"/>
      <c r="AZ79" s="2003"/>
      <c r="BA79" s="2003"/>
      <c r="BB79" s="2003"/>
      <c r="BC79" s="2003"/>
      <c r="BD79" s="2003"/>
      <c r="BE79" s="2003"/>
      <c r="BF79" s="2003"/>
      <c r="BG79" s="2003"/>
      <c r="BH79" s="2003"/>
      <c r="BI79" s="2003"/>
      <c r="BJ79" s="2003"/>
      <c r="BK79" s="2003"/>
      <c r="BL79" s="2003"/>
      <c r="BM79" s="2003"/>
      <c r="BN79" s="2003"/>
      <c r="BO79" s="2003"/>
      <c r="BP79" s="2003"/>
      <c r="BQ79" s="2003"/>
      <c r="BR79" s="2003"/>
      <c r="BS79" s="2003"/>
      <c r="BT79" s="2003"/>
      <c r="BU79" s="2003"/>
      <c r="BV79" s="2003"/>
      <c r="BW79" s="2003"/>
      <c r="BX79" s="2003"/>
      <c r="BY79" s="2003"/>
      <c r="BZ79" s="2003"/>
      <c r="CA79" s="2003"/>
      <c r="CB79" s="2003"/>
      <c r="CC79" s="2003"/>
      <c r="CD79" s="2003"/>
      <c r="CE79" s="2003"/>
      <c r="CF79" s="2003"/>
      <c r="CG79" s="2003"/>
      <c r="CH79" s="2003"/>
      <c r="CI79" s="2003"/>
      <c r="CJ79" s="2003"/>
      <c r="CK79" s="2003"/>
      <c r="CL79" s="2003"/>
      <c r="CM79" s="2003"/>
      <c r="CN79" s="2003"/>
      <c r="CO79" s="2003"/>
      <c r="CP79" s="2003"/>
      <c r="CQ79" s="2003"/>
      <c r="CR79" s="2003"/>
      <c r="CS79" s="2003"/>
      <c r="CT79" s="2003"/>
      <c r="CU79" s="2003"/>
      <c r="CV79" s="2003"/>
      <c r="CW79" s="2003"/>
      <c r="CX79" s="2003"/>
      <c r="CY79" s="2003"/>
      <c r="CZ79" s="2003"/>
      <c r="DA79" s="2003"/>
      <c r="DB79" s="2003"/>
      <c r="DC79" s="2003"/>
      <c r="DD79" s="2003"/>
      <c r="DE79" s="2003"/>
    </row>
    <row r="80" spans="1:109" s="2026" customFormat="1" ht="13.5" hidden="1" customHeight="1">
      <c r="A80" s="1939"/>
      <c r="B80" s="2022" t="s">
        <v>12</v>
      </c>
      <c r="C80" s="2023"/>
      <c r="D80" s="2023">
        <f>+D92+D96</f>
        <v>0</v>
      </c>
      <c r="E80" s="2023">
        <f t="shared" ref="E80:F80" si="57">+E92+E96</f>
        <v>0</v>
      </c>
      <c r="F80" s="2023">
        <f t="shared" si="57"/>
        <v>0</v>
      </c>
      <c r="G80" s="2023">
        <v>0</v>
      </c>
      <c r="H80" s="2023">
        <v>0</v>
      </c>
      <c r="I80" s="2023">
        <v>0</v>
      </c>
      <c r="J80" s="2023"/>
      <c r="K80" s="2023"/>
      <c r="L80" s="2023"/>
      <c r="M80" s="2024">
        <f>SUM(E80:F80)</f>
        <v>0</v>
      </c>
      <c r="N80" s="2024">
        <f>SUM(F80:G80)</f>
        <v>0</v>
      </c>
      <c r="O80" s="3589"/>
      <c r="P80" s="2025"/>
      <c r="Q80" s="2025"/>
      <c r="R80" s="2025"/>
      <c r="S80" s="2025"/>
      <c r="T80" s="2025"/>
      <c r="U80" s="2025"/>
      <c r="V80" s="2025"/>
      <c r="W80" s="2025"/>
      <c r="X80" s="2025"/>
      <c r="Y80" s="2025"/>
      <c r="Z80" s="2025"/>
      <c r="AA80" s="2025"/>
      <c r="AB80" s="2025"/>
      <c r="AC80" s="2025"/>
      <c r="AD80" s="2025"/>
      <c r="AE80" s="2025"/>
      <c r="AF80" s="2025"/>
      <c r="AG80" s="2025"/>
      <c r="AH80" s="2025"/>
      <c r="AI80" s="2025"/>
      <c r="AJ80" s="2025"/>
      <c r="AK80" s="2025"/>
      <c r="AL80" s="2025"/>
      <c r="AM80" s="2025"/>
      <c r="AN80" s="2025"/>
      <c r="AO80" s="2025"/>
      <c r="AP80" s="2025"/>
      <c r="AQ80" s="2025"/>
      <c r="AR80" s="2025"/>
      <c r="AS80" s="2025"/>
      <c r="AT80" s="2025"/>
      <c r="AU80" s="2025"/>
      <c r="AV80" s="2025"/>
      <c r="AW80" s="2025"/>
      <c r="AX80" s="2025"/>
      <c r="AY80" s="2025"/>
      <c r="AZ80" s="2025"/>
      <c r="BA80" s="2025"/>
      <c r="BB80" s="2025"/>
      <c r="BC80" s="2025"/>
      <c r="BD80" s="2025"/>
      <c r="BE80" s="2025"/>
      <c r="BF80" s="2025"/>
      <c r="BG80" s="2025"/>
      <c r="BH80" s="2025"/>
      <c r="BI80" s="2025"/>
      <c r="BJ80" s="2025"/>
      <c r="BK80" s="2025"/>
      <c r="BL80" s="2025"/>
      <c r="BM80" s="2025"/>
      <c r="BN80" s="2025"/>
      <c r="BO80" s="2025"/>
      <c r="BP80" s="2025"/>
      <c r="BQ80" s="2025"/>
      <c r="BR80" s="2025"/>
      <c r="BS80" s="2025"/>
      <c r="BT80" s="2025"/>
      <c r="BU80" s="2025"/>
      <c r="BV80" s="2025"/>
      <c r="BW80" s="2025"/>
      <c r="BX80" s="2025"/>
      <c r="BY80" s="2025"/>
      <c r="BZ80" s="2025"/>
      <c r="CA80" s="2025"/>
      <c r="CB80" s="2025"/>
      <c r="CC80" s="2025"/>
      <c r="CD80" s="2025"/>
      <c r="CE80" s="2025"/>
      <c r="CF80" s="2025"/>
      <c r="CG80" s="2025"/>
      <c r="CH80" s="2025"/>
      <c r="CI80" s="2025"/>
      <c r="CJ80" s="2025"/>
      <c r="CK80" s="2025"/>
      <c r="CL80" s="2025"/>
      <c r="CM80" s="2025"/>
      <c r="CN80" s="2025"/>
      <c r="CO80" s="2025"/>
      <c r="CP80" s="2025"/>
      <c r="CQ80" s="2025"/>
      <c r="CR80" s="2025"/>
      <c r="CS80" s="2025"/>
      <c r="CT80" s="2025"/>
      <c r="CU80" s="2025"/>
      <c r="CV80" s="2025"/>
      <c r="CW80" s="2025"/>
      <c r="CX80" s="2025"/>
      <c r="CY80" s="2025"/>
      <c r="CZ80" s="2025"/>
      <c r="DA80" s="2025"/>
      <c r="DB80" s="2025"/>
      <c r="DC80" s="2025"/>
      <c r="DD80" s="2025"/>
      <c r="DE80" s="2025"/>
    </row>
    <row r="81" spans="1:109" s="2004" customFormat="1" ht="13.5" hidden="1" customHeight="1">
      <c r="A81" s="1960"/>
      <c r="B81" s="2015" t="s">
        <v>18</v>
      </c>
      <c r="C81" s="2027"/>
      <c r="D81" s="2028">
        <f>D82</f>
        <v>0</v>
      </c>
      <c r="E81" s="2028">
        <f t="shared" ref="E81:L81" si="58">E82</f>
        <v>0</v>
      </c>
      <c r="F81" s="2028">
        <f t="shared" si="58"/>
        <v>0</v>
      </c>
      <c r="G81" s="2027">
        <f t="shared" si="58"/>
        <v>0</v>
      </c>
      <c r="H81" s="2027">
        <f t="shared" si="58"/>
        <v>0</v>
      </c>
      <c r="I81" s="2027">
        <f t="shared" si="58"/>
        <v>0</v>
      </c>
      <c r="J81" s="2027">
        <f t="shared" si="58"/>
        <v>0</v>
      </c>
      <c r="K81" s="2027">
        <f t="shared" si="58"/>
        <v>0</v>
      </c>
      <c r="L81" s="2027">
        <f t="shared" si="58"/>
        <v>0</v>
      </c>
      <c r="M81" s="2029" t="s">
        <v>61</v>
      </c>
      <c r="N81" s="2029" t="s">
        <v>61</v>
      </c>
      <c r="O81" s="2030"/>
      <c r="P81" s="2003"/>
      <c r="Q81" s="2003"/>
      <c r="R81" s="2003"/>
      <c r="S81" s="2003"/>
      <c r="T81" s="2003"/>
      <c r="U81" s="2003"/>
      <c r="V81" s="2003"/>
      <c r="W81" s="2003"/>
      <c r="X81" s="2003"/>
      <c r="Y81" s="2003"/>
      <c r="Z81" s="2003"/>
      <c r="AA81" s="2003"/>
      <c r="AB81" s="2003"/>
      <c r="AC81" s="2003"/>
      <c r="AD81" s="2003"/>
      <c r="AE81" s="2003"/>
      <c r="AF81" s="2003"/>
      <c r="AG81" s="2003"/>
      <c r="AH81" s="2003"/>
      <c r="AI81" s="2003"/>
      <c r="AJ81" s="2003"/>
      <c r="AK81" s="2003"/>
      <c r="AL81" s="2003"/>
      <c r="AM81" s="2003"/>
      <c r="AN81" s="2003"/>
      <c r="AO81" s="2003"/>
      <c r="AP81" s="2003"/>
      <c r="AQ81" s="2003"/>
      <c r="AR81" s="2003"/>
      <c r="AS81" s="2003"/>
      <c r="AT81" s="2003"/>
      <c r="AU81" s="2003"/>
      <c r="AV81" s="2003"/>
      <c r="AW81" s="2003"/>
      <c r="AX81" s="2003"/>
      <c r="AY81" s="2003"/>
      <c r="AZ81" s="2003"/>
      <c r="BA81" s="2003"/>
      <c r="BB81" s="2003"/>
      <c r="BC81" s="2003"/>
      <c r="BD81" s="2003"/>
      <c r="BE81" s="2003"/>
      <c r="BF81" s="2003"/>
      <c r="BG81" s="2003"/>
      <c r="BH81" s="2003"/>
      <c r="BI81" s="2003"/>
      <c r="BJ81" s="2003"/>
      <c r="BK81" s="2003"/>
      <c r="BL81" s="2003"/>
      <c r="BM81" s="2003"/>
      <c r="BN81" s="2003"/>
      <c r="BO81" s="2003"/>
      <c r="BP81" s="2003"/>
      <c r="BQ81" s="2003"/>
      <c r="BR81" s="2003"/>
      <c r="BS81" s="2003"/>
      <c r="BT81" s="2003"/>
      <c r="BU81" s="2003"/>
      <c r="BV81" s="2003"/>
      <c r="BW81" s="2003"/>
      <c r="BX81" s="2003"/>
      <c r="BY81" s="2003"/>
      <c r="BZ81" s="2003"/>
      <c r="CA81" s="2003"/>
      <c r="CB81" s="2003"/>
      <c r="CC81" s="2003"/>
      <c r="CD81" s="2003"/>
      <c r="CE81" s="2003"/>
      <c r="CF81" s="2003"/>
      <c r="CG81" s="2003"/>
      <c r="CH81" s="2003"/>
      <c r="CI81" s="2003"/>
      <c r="CJ81" s="2003"/>
      <c r="CK81" s="2003"/>
      <c r="CL81" s="2003"/>
      <c r="CM81" s="2003"/>
      <c r="CN81" s="2003"/>
      <c r="CO81" s="2003"/>
      <c r="CP81" s="2003"/>
      <c r="CQ81" s="2003"/>
      <c r="CR81" s="2003"/>
      <c r="CS81" s="2003"/>
      <c r="CT81" s="2003"/>
      <c r="CU81" s="2003"/>
      <c r="CV81" s="2003"/>
      <c r="CW81" s="2003"/>
      <c r="CX81" s="2003"/>
      <c r="CY81" s="2003"/>
      <c r="CZ81" s="2003"/>
      <c r="DA81" s="2003"/>
      <c r="DB81" s="2003"/>
      <c r="DC81" s="2003"/>
      <c r="DD81" s="2003"/>
      <c r="DE81" s="2003"/>
    </row>
    <row r="82" spans="1:109" s="2004" customFormat="1" ht="13.5" hidden="1" customHeight="1">
      <c r="A82" s="1960"/>
      <c r="B82" s="2018" t="s">
        <v>35</v>
      </c>
      <c r="C82" s="2019"/>
      <c r="D82" s="2031">
        <f>D103</f>
        <v>0</v>
      </c>
      <c r="E82" s="2031">
        <f>E103</f>
        <v>0</v>
      </c>
      <c r="F82" s="2031">
        <v>0</v>
      </c>
      <c r="G82" s="2019">
        <v>0</v>
      </c>
      <c r="H82" s="2019">
        <v>0</v>
      </c>
      <c r="I82" s="2019">
        <v>0</v>
      </c>
      <c r="J82" s="2019">
        <v>0</v>
      </c>
      <c r="K82" s="2019">
        <v>0</v>
      </c>
      <c r="L82" s="2019">
        <v>0</v>
      </c>
      <c r="M82" s="2032" t="s">
        <v>61</v>
      </c>
      <c r="N82" s="2032" t="s">
        <v>61</v>
      </c>
      <c r="O82" s="2030"/>
      <c r="P82" s="2003"/>
      <c r="Q82" s="2003"/>
      <c r="R82" s="2003"/>
      <c r="S82" s="2003"/>
      <c r="T82" s="2003"/>
      <c r="U82" s="2003"/>
      <c r="V82" s="2003"/>
      <c r="W82" s="2003"/>
      <c r="X82" s="2003"/>
      <c r="Y82" s="2003"/>
      <c r="Z82" s="2003"/>
      <c r="AA82" s="2003"/>
      <c r="AB82" s="2003"/>
      <c r="AC82" s="2003"/>
      <c r="AD82" s="2003"/>
      <c r="AE82" s="2003"/>
      <c r="AF82" s="2003"/>
      <c r="AG82" s="2003"/>
      <c r="AH82" s="2003"/>
      <c r="AI82" s="2003"/>
      <c r="AJ82" s="2003"/>
      <c r="AK82" s="2003"/>
      <c r="AL82" s="2003"/>
      <c r="AM82" s="2003"/>
      <c r="AN82" s="2003"/>
      <c r="AO82" s="2003"/>
      <c r="AP82" s="2003"/>
      <c r="AQ82" s="2003"/>
      <c r="AR82" s="2003"/>
      <c r="AS82" s="2003"/>
      <c r="AT82" s="2003"/>
      <c r="AU82" s="2003"/>
      <c r="AV82" s="2003"/>
      <c r="AW82" s="2003"/>
      <c r="AX82" s="2003"/>
      <c r="AY82" s="2003"/>
      <c r="AZ82" s="2003"/>
      <c r="BA82" s="2003"/>
      <c r="BB82" s="2003"/>
      <c r="BC82" s="2003"/>
      <c r="BD82" s="2003"/>
      <c r="BE82" s="2003"/>
      <c r="BF82" s="2003"/>
      <c r="BG82" s="2003"/>
      <c r="BH82" s="2003"/>
      <c r="BI82" s="2003"/>
      <c r="BJ82" s="2003"/>
      <c r="BK82" s="2003"/>
      <c r="BL82" s="2003"/>
      <c r="BM82" s="2003"/>
      <c r="BN82" s="2003"/>
      <c r="BO82" s="2003"/>
      <c r="BP82" s="2003"/>
      <c r="BQ82" s="2003"/>
      <c r="BR82" s="2003"/>
      <c r="BS82" s="2003"/>
      <c r="BT82" s="2003"/>
      <c r="BU82" s="2003"/>
      <c r="BV82" s="2003"/>
      <c r="BW82" s="2003"/>
      <c r="BX82" s="2003"/>
      <c r="BY82" s="2003"/>
      <c r="BZ82" s="2003"/>
      <c r="CA82" s="2003"/>
      <c r="CB82" s="2003"/>
      <c r="CC82" s="2003"/>
      <c r="CD82" s="2003"/>
      <c r="CE82" s="2003"/>
      <c r="CF82" s="2003"/>
      <c r="CG82" s="2003"/>
      <c r="CH82" s="2003"/>
      <c r="CI82" s="2003"/>
      <c r="CJ82" s="2003"/>
      <c r="CK82" s="2003"/>
      <c r="CL82" s="2003"/>
      <c r="CM82" s="2003"/>
      <c r="CN82" s="2003"/>
      <c r="CO82" s="2003"/>
      <c r="CP82" s="2003"/>
      <c r="CQ82" s="2003"/>
      <c r="CR82" s="2003"/>
      <c r="CS82" s="2003"/>
      <c r="CT82" s="2003"/>
      <c r="CU82" s="2003"/>
      <c r="CV82" s="2003"/>
      <c r="CW82" s="2003"/>
      <c r="CX82" s="2003"/>
      <c r="CY82" s="2003"/>
      <c r="CZ82" s="2003"/>
      <c r="DA82" s="2003"/>
      <c r="DB82" s="2003"/>
      <c r="DC82" s="2003"/>
      <c r="DD82" s="2003"/>
      <c r="DE82" s="2003"/>
    </row>
    <row r="83" spans="1:109" s="2004" customFormat="1" ht="13.5" hidden="1" customHeight="1">
      <c r="A83" s="1960"/>
      <c r="B83" s="2033" t="s">
        <v>22</v>
      </c>
      <c r="C83" s="2034"/>
      <c r="D83" s="2035">
        <f>D84+D87</f>
        <v>0</v>
      </c>
      <c r="E83" s="2035">
        <f t="shared" ref="E83:L83" si="59">E84+E87</f>
        <v>0</v>
      </c>
      <c r="F83" s="2035">
        <f t="shared" si="59"/>
        <v>0</v>
      </c>
      <c r="G83" s="2035">
        <f t="shared" si="59"/>
        <v>0</v>
      </c>
      <c r="H83" s="2035">
        <f t="shared" si="59"/>
        <v>0</v>
      </c>
      <c r="I83" s="2035">
        <f t="shared" si="59"/>
        <v>0</v>
      </c>
      <c r="J83" s="2035">
        <f t="shared" si="59"/>
        <v>0</v>
      </c>
      <c r="K83" s="2035">
        <f t="shared" si="59"/>
        <v>0</v>
      </c>
      <c r="L83" s="2035">
        <f t="shared" si="59"/>
        <v>0</v>
      </c>
      <c r="M83" s="2036"/>
      <c r="N83" s="2036"/>
      <c r="O83" s="2030"/>
      <c r="P83" s="2003"/>
      <c r="Q83" s="2003"/>
      <c r="R83" s="2003"/>
      <c r="S83" s="2003"/>
      <c r="T83" s="2003"/>
      <c r="U83" s="2003"/>
      <c r="V83" s="2003"/>
      <c r="W83" s="2003"/>
      <c r="X83" s="2003"/>
      <c r="Y83" s="2003"/>
      <c r="Z83" s="2003"/>
      <c r="AA83" s="2003"/>
      <c r="AB83" s="2003"/>
      <c r="AC83" s="2003"/>
      <c r="AD83" s="2003"/>
      <c r="AE83" s="2003"/>
      <c r="AF83" s="2003"/>
      <c r="AG83" s="2003"/>
      <c r="AH83" s="2003"/>
      <c r="AI83" s="2003"/>
      <c r="AJ83" s="2003"/>
      <c r="AK83" s="2003"/>
      <c r="AL83" s="2003"/>
      <c r="AM83" s="2003"/>
      <c r="AN83" s="2003"/>
      <c r="AO83" s="2003"/>
      <c r="AP83" s="2003"/>
      <c r="AQ83" s="2003"/>
      <c r="AR83" s="2003"/>
      <c r="AS83" s="2003"/>
      <c r="AT83" s="2003"/>
      <c r="AU83" s="2003"/>
      <c r="AV83" s="2003"/>
      <c r="AW83" s="2003"/>
      <c r="AX83" s="2003"/>
      <c r="AY83" s="2003"/>
      <c r="AZ83" s="2003"/>
      <c r="BA83" s="2003"/>
      <c r="BB83" s="2003"/>
      <c r="BC83" s="2003"/>
      <c r="BD83" s="2003"/>
      <c r="BE83" s="2003"/>
      <c r="BF83" s="2003"/>
      <c r="BG83" s="2003"/>
      <c r="BH83" s="2003"/>
      <c r="BI83" s="2003"/>
      <c r="BJ83" s="2003"/>
      <c r="BK83" s="2003"/>
      <c r="BL83" s="2003"/>
      <c r="BM83" s="2003"/>
      <c r="BN83" s="2003"/>
      <c r="BO83" s="2003"/>
      <c r="BP83" s="2003"/>
      <c r="BQ83" s="2003"/>
      <c r="BR83" s="2003"/>
      <c r="BS83" s="2003"/>
      <c r="BT83" s="2003"/>
      <c r="BU83" s="2003"/>
      <c r="BV83" s="2003"/>
      <c r="BW83" s="2003"/>
      <c r="BX83" s="2003"/>
      <c r="BY83" s="2003"/>
      <c r="BZ83" s="2003"/>
      <c r="CA83" s="2003"/>
      <c r="CB83" s="2003"/>
      <c r="CC83" s="2003"/>
      <c r="CD83" s="2003"/>
      <c r="CE83" s="2003"/>
      <c r="CF83" s="2003"/>
      <c r="CG83" s="2003"/>
      <c r="CH83" s="2003"/>
      <c r="CI83" s="2003"/>
      <c r="CJ83" s="2003"/>
      <c r="CK83" s="2003"/>
      <c r="CL83" s="2003"/>
      <c r="CM83" s="2003"/>
      <c r="CN83" s="2003"/>
      <c r="CO83" s="2003"/>
      <c r="CP83" s="2003"/>
      <c r="CQ83" s="2003"/>
      <c r="CR83" s="2003"/>
      <c r="CS83" s="2003"/>
      <c r="CT83" s="2003"/>
      <c r="CU83" s="2003"/>
      <c r="CV83" s="2003"/>
      <c r="CW83" s="2003"/>
      <c r="CX83" s="2003"/>
      <c r="CY83" s="2003"/>
      <c r="CZ83" s="2003"/>
      <c r="DA83" s="2003"/>
      <c r="DB83" s="2003"/>
      <c r="DC83" s="2003"/>
      <c r="DD83" s="2003"/>
      <c r="DE83" s="2003"/>
    </row>
    <row r="84" spans="1:109" s="2004" customFormat="1" ht="13.5" hidden="1" customHeight="1">
      <c r="A84" s="1960"/>
      <c r="B84" s="2037" t="s">
        <v>24</v>
      </c>
      <c r="C84" s="2038"/>
      <c r="D84" s="2039">
        <f>+D85+D86</f>
        <v>0</v>
      </c>
      <c r="E84" s="2039">
        <f t="shared" ref="E84:I84" si="60">+E85+E86</f>
        <v>0</v>
      </c>
      <c r="F84" s="2023">
        <f t="shared" si="60"/>
        <v>0</v>
      </c>
      <c r="G84" s="2023">
        <f t="shared" si="60"/>
        <v>0</v>
      </c>
      <c r="H84" s="2023">
        <f t="shared" si="60"/>
        <v>0</v>
      </c>
      <c r="I84" s="2023">
        <f t="shared" si="60"/>
        <v>0</v>
      </c>
      <c r="J84" s="2023">
        <v>0</v>
      </c>
      <c r="K84" s="2023">
        <v>0</v>
      </c>
      <c r="L84" s="2023">
        <v>0</v>
      </c>
      <c r="M84" s="3562" t="s">
        <v>61</v>
      </c>
      <c r="N84" s="3562" t="s">
        <v>61</v>
      </c>
      <c r="O84" s="2030"/>
      <c r="P84" s="2003"/>
      <c r="Q84" s="2003"/>
      <c r="R84" s="2003"/>
      <c r="S84" s="2003"/>
      <c r="T84" s="2003"/>
      <c r="U84" s="2003"/>
      <c r="V84" s="2003"/>
      <c r="W84" s="2003"/>
      <c r="X84" s="2003"/>
      <c r="Y84" s="2003"/>
      <c r="Z84" s="2003"/>
      <c r="AA84" s="2003"/>
      <c r="AB84" s="2003"/>
      <c r="AC84" s="2003"/>
      <c r="AD84" s="2003"/>
      <c r="AE84" s="2003"/>
      <c r="AF84" s="2003"/>
      <c r="AG84" s="2003"/>
      <c r="AH84" s="2003"/>
      <c r="AI84" s="2003"/>
      <c r="AJ84" s="2003"/>
      <c r="AK84" s="2003"/>
      <c r="AL84" s="2003"/>
      <c r="AM84" s="2003"/>
      <c r="AN84" s="2003"/>
      <c r="AO84" s="2003"/>
      <c r="AP84" s="2003"/>
      <c r="AQ84" s="2003"/>
      <c r="AR84" s="2003"/>
      <c r="AS84" s="2003"/>
      <c r="AT84" s="2003"/>
      <c r="AU84" s="2003"/>
      <c r="AV84" s="2003"/>
      <c r="AW84" s="2003"/>
      <c r="AX84" s="2003"/>
      <c r="AY84" s="2003"/>
      <c r="AZ84" s="2003"/>
      <c r="BA84" s="2003"/>
      <c r="BB84" s="2003"/>
      <c r="BC84" s="2003"/>
      <c r="BD84" s="2003"/>
      <c r="BE84" s="2003"/>
      <c r="BF84" s="2003"/>
      <c r="BG84" s="2003"/>
      <c r="BH84" s="2003"/>
      <c r="BI84" s="2003"/>
      <c r="BJ84" s="2003"/>
      <c r="BK84" s="2003"/>
      <c r="BL84" s="2003"/>
      <c r="BM84" s="2003"/>
      <c r="BN84" s="2003"/>
      <c r="BO84" s="2003"/>
      <c r="BP84" s="2003"/>
      <c r="BQ84" s="2003"/>
      <c r="BR84" s="2003"/>
      <c r="BS84" s="2003"/>
      <c r="BT84" s="2003"/>
      <c r="BU84" s="2003"/>
      <c r="BV84" s="2003"/>
      <c r="BW84" s="2003"/>
      <c r="BX84" s="2003"/>
      <c r="BY84" s="2003"/>
      <c r="BZ84" s="2003"/>
      <c r="CA84" s="2003"/>
      <c r="CB84" s="2003"/>
      <c r="CC84" s="2003"/>
      <c r="CD84" s="2003"/>
      <c r="CE84" s="2003"/>
      <c r="CF84" s="2003"/>
      <c r="CG84" s="2003"/>
      <c r="CH84" s="2003"/>
      <c r="CI84" s="2003"/>
      <c r="CJ84" s="2003"/>
      <c r="CK84" s="2003"/>
      <c r="CL84" s="2003"/>
      <c r="CM84" s="2003"/>
      <c r="CN84" s="2003"/>
      <c r="CO84" s="2003"/>
      <c r="CP84" s="2003"/>
      <c r="CQ84" s="2003"/>
      <c r="CR84" s="2003"/>
      <c r="CS84" s="2003"/>
      <c r="CT84" s="2003"/>
      <c r="CU84" s="2003"/>
      <c r="CV84" s="2003"/>
      <c r="CW84" s="2003"/>
      <c r="CX84" s="2003"/>
      <c r="CY84" s="2003"/>
      <c r="CZ84" s="2003"/>
      <c r="DA84" s="2003"/>
      <c r="DB84" s="2003"/>
      <c r="DC84" s="2003"/>
      <c r="DD84" s="2003"/>
      <c r="DE84" s="2003"/>
    </row>
    <row r="85" spans="1:109" s="2004" customFormat="1" ht="13.5" hidden="1" customHeight="1">
      <c r="A85" s="1960"/>
      <c r="B85" s="2022" t="s">
        <v>136</v>
      </c>
      <c r="C85" s="2023"/>
      <c r="D85" s="2023">
        <f>+D106</f>
        <v>0</v>
      </c>
      <c r="E85" s="2023">
        <f t="shared" ref="E85:F86" si="61">+E106</f>
        <v>0</v>
      </c>
      <c r="F85" s="2023">
        <f t="shared" si="61"/>
        <v>0</v>
      </c>
      <c r="G85" s="2023">
        <v>0</v>
      </c>
      <c r="H85" s="2023">
        <v>0</v>
      </c>
      <c r="I85" s="2023">
        <v>0</v>
      </c>
      <c r="J85" s="2023">
        <v>0</v>
      </c>
      <c r="K85" s="2023">
        <v>0</v>
      </c>
      <c r="L85" s="2023">
        <v>0</v>
      </c>
      <c r="M85" s="3563"/>
      <c r="N85" s="3563"/>
      <c r="O85" s="2030"/>
      <c r="P85" s="2003"/>
      <c r="Q85" s="2003"/>
      <c r="R85" s="2003"/>
      <c r="S85" s="2003"/>
      <c r="T85" s="2003"/>
      <c r="U85" s="2003"/>
      <c r="V85" s="2003"/>
      <c r="W85" s="2003"/>
      <c r="X85" s="2003"/>
      <c r="Y85" s="2003"/>
      <c r="Z85" s="2003"/>
      <c r="AA85" s="2003"/>
      <c r="AB85" s="2003"/>
      <c r="AC85" s="2003"/>
      <c r="AD85" s="2003"/>
      <c r="AE85" s="2003"/>
      <c r="AF85" s="2003"/>
      <c r="AG85" s="2003"/>
      <c r="AH85" s="2003"/>
      <c r="AI85" s="2003"/>
      <c r="AJ85" s="2003"/>
      <c r="AK85" s="2003"/>
      <c r="AL85" s="2003"/>
      <c r="AM85" s="2003"/>
      <c r="AN85" s="2003"/>
      <c r="AO85" s="2003"/>
      <c r="AP85" s="2003"/>
      <c r="AQ85" s="2003"/>
      <c r="AR85" s="2003"/>
      <c r="AS85" s="2003"/>
      <c r="AT85" s="2003"/>
      <c r="AU85" s="2003"/>
      <c r="AV85" s="2003"/>
      <c r="AW85" s="2003"/>
      <c r="AX85" s="2003"/>
      <c r="AY85" s="2003"/>
      <c r="AZ85" s="2003"/>
      <c r="BA85" s="2003"/>
      <c r="BB85" s="2003"/>
      <c r="BC85" s="2003"/>
      <c r="BD85" s="2003"/>
      <c r="BE85" s="2003"/>
      <c r="BF85" s="2003"/>
      <c r="BG85" s="2003"/>
      <c r="BH85" s="2003"/>
      <c r="BI85" s="2003"/>
      <c r="BJ85" s="2003"/>
      <c r="BK85" s="2003"/>
      <c r="BL85" s="2003"/>
      <c r="BM85" s="2003"/>
      <c r="BN85" s="2003"/>
      <c r="BO85" s="2003"/>
      <c r="BP85" s="2003"/>
      <c r="BQ85" s="2003"/>
      <c r="BR85" s="2003"/>
      <c r="BS85" s="2003"/>
      <c r="BT85" s="2003"/>
      <c r="BU85" s="2003"/>
      <c r="BV85" s="2003"/>
      <c r="BW85" s="2003"/>
      <c r="BX85" s="2003"/>
      <c r="BY85" s="2003"/>
      <c r="BZ85" s="2003"/>
      <c r="CA85" s="2003"/>
      <c r="CB85" s="2003"/>
      <c r="CC85" s="2003"/>
      <c r="CD85" s="2003"/>
      <c r="CE85" s="2003"/>
      <c r="CF85" s="2003"/>
      <c r="CG85" s="2003"/>
      <c r="CH85" s="2003"/>
      <c r="CI85" s="2003"/>
      <c r="CJ85" s="2003"/>
      <c r="CK85" s="2003"/>
      <c r="CL85" s="2003"/>
      <c r="CM85" s="2003"/>
      <c r="CN85" s="2003"/>
      <c r="CO85" s="2003"/>
      <c r="CP85" s="2003"/>
      <c r="CQ85" s="2003"/>
      <c r="CR85" s="2003"/>
      <c r="CS85" s="2003"/>
      <c r="CT85" s="2003"/>
      <c r="CU85" s="2003"/>
      <c r="CV85" s="2003"/>
      <c r="CW85" s="2003"/>
      <c r="CX85" s="2003"/>
      <c r="CY85" s="2003"/>
      <c r="CZ85" s="2003"/>
      <c r="DA85" s="2003"/>
      <c r="DB85" s="2003"/>
      <c r="DC85" s="2003"/>
      <c r="DD85" s="2003"/>
      <c r="DE85" s="2003"/>
    </row>
    <row r="86" spans="1:109" s="2004" customFormat="1" ht="13.5" hidden="1" customHeight="1">
      <c r="A86" s="1960"/>
      <c r="B86" s="2022" t="s">
        <v>138</v>
      </c>
      <c r="C86" s="2023"/>
      <c r="D86" s="2023">
        <f>+D107</f>
        <v>0</v>
      </c>
      <c r="E86" s="2023">
        <f t="shared" si="61"/>
        <v>0</v>
      </c>
      <c r="F86" s="2023">
        <f t="shared" si="61"/>
        <v>0</v>
      </c>
      <c r="G86" s="2023">
        <v>0</v>
      </c>
      <c r="H86" s="2023">
        <v>0</v>
      </c>
      <c r="I86" s="2023">
        <v>0</v>
      </c>
      <c r="J86" s="2023"/>
      <c r="K86" s="2023"/>
      <c r="L86" s="2023"/>
      <c r="M86" s="3563"/>
      <c r="N86" s="3563"/>
      <c r="O86" s="2030"/>
      <c r="P86" s="2003"/>
      <c r="Q86" s="2003"/>
      <c r="R86" s="2003"/>
      <c r="S86" s="2003"/>
      <c r="T86" s="2003"/>
      <c r="U86" s="2003"/>
      <c r="V86" s="2003"/>
      <c r="W86" s="2003"/>
      <c r="X86" s="2003"/>
      <c r="Y86" s="2003"/>
      <c r="Z86" s="2003"/>
      <c r="AA86" s="2003"/>
      <c r="AB86" s="2003"/>
      <c r="AC86" s="2003"/>
      <c r="AD86" s="2003"/>
      <c r="AE86" s="2003"/>
      <c r="AF86" s="2003"/>
      <c r="AG86" s="2003"/>
      <c r="AH86" s="2003"/>
      <c r="AI86" s="2003"/>
      <c r="AJ86" s="2003"/>
      <c r="AK86" s="2003"/>
      <c r="AL86" s="2003"/>
      <c r="AM86" s="2003"/>
      <c r="AN86" s="2003"/>
      <c r="AO86" s="2003"/>
      <c r="AP86" s="2003"/>
      <c r="AQ86" s="2003"/>
      <c r="AR86" s="2003"/>
      <c r="AS86" s="2003"/>
      <c r="AT86" s="2003"/>
      <c r="AU86" s="2003"/>
      <c r="AV86" s="2003"/>
      <c r="AW86" s="2003"/>
      <c r="AX86" s="2003"/>
      <c r="AY86" s="2003"/>
      <c r="AZ86" s="2003"/>
      <c r="BA86" s="2003"/>
      <c r="BB86" s="2003"/>
      <c r="BC86" s="2003"/>
      <c r="BD86" s="2003"/>
      <c r="BE86" s="2003"/>
      <c r="BF86" s="2003"/>
      <c r="BG86" s="2003"/>
      <c r="BH86" s="2003"/>
      <c r="BI86" s="2003"/>
      <c r="BJ86" s="2003"/>
      <c r="BK86" s="2003"/>
      <c r="BL86" s="2003"/>
      <c r="BM86" s="2003"/>
      <c r="BN86" s="2003"/>
      <c r="BO86" s="2003"/>
      <c r="BP86" s="2003"/>
      <c r="BQ86" s="2003"/>
      <c r="BR86" s="2003"/>
      <c r="BS86" s="2003"/>
      <c r="BT86" s="2003"/>
      <c r="BU86" s="2003"/>
      <c r="BV86" s="2003"/>
      <c r="BW86" s="2003"/>
      <c r="BX86" s="2003"/>
      <c r="BY86" s="2003"/>
      <c r="BZ86" s="2003"/>
      <c r="CA86" s="2003"/>
      <c r="CB86" s="2003"/>
      <c r="CC86" s="2003"/>
      <c r="CD86" s="2003"/>
      <c r="CE86" s="2003"/>
      <c r="CF86" s="2003"/>
      <c r="CG86" s="2003"/>
      <c r="CH86" s="2003"/>
      <c r="CI86" s="2003"/>
      <c r="CJ86" s="2003"/>
      <c r="CK86" s="2003"/>
      <c r="CL86" s="2003"/>
      <c r="CM86" s="2003"/>
      <c r="CN86" s="2003"/>
      <c r="CO86" s="2003"/>
      <c r="CP86" s="2003"/>
      <c r="CQ86" s="2003"/>
      <c r="CR86" s="2003"/>
      <c r="CS86" s="2003"/>
      <c r="CT86" s="2003"/>
      <c r="CU86" s="2003"/>
      <c r="CV86" s="2003"/>
      <c r="CW86" s="2003"/>
      <c r="CX86" s="2003"/>
      <c r="CY86" s="2003"/>
      <c r="CZ86" s="2003"/>
      <c r="DA86" s="2003"/>
      <c r="DB86" s="2003"/>
      <c r="DC86" s="2003"/>
      <c r="DD86" s="2003"/>
      <c r="DE86" s="2003"/>
    </row>
    <row r="87" spans="1:109" s="2044" customFormat="1" ht="13.5" hidden="1" customHeight="1">
      <c r="A87" s="2040"/>
      <c r="B87" s="2037" t="s">
        <v>18</v>
      </c>
      <c r="C87" s="2041"/>
      <c r="D87" s="2041">
        <f>+D88</f>
        <v>0</v>
      </c>
      <c r="E87" s="2041">
        <f t="shared" ref="E87:L87" si="62">+E88</f>
        <v>0</v>
      </c>
      <c r="F87" s="2041">
        <f t="shared" si="62"/>
        <v>0</v>
      </c>
      <c r="G87" s="2041">
        <f t="shared" si="62"/>
        <v>0</v>
      </c>
      <c r="H87" s="2041">
        <f t="shared" si="62"/>
        <v>0</v>
      </c>
      <c r="I87" s="2041">
        <f t="shared" si="62"/>
        <v>0</v>
      </c>
      <c r="J87" s="2041">
        <f t="shared" si="62"/>
        <v>0</v>
      </c>
      <c r="K87" s="2041">
        <f t="shared" si="62"/>
        <v>0</v>
      </c>
      <c r="L87" s="2041">
        <f t="shared" si="62"/>
        <v>0</v>
      </c>
      <c r="M87" s="3563"/>
      <c r="N87" s="3563"/>
      <c r="O87" s="2042"/>
      <c r="P87" s="2043"/>
      <c r="Q87" s="2043"/>
      <c r="R87" s="2043"/>
      <c r="S87" s="2043"/>
      <c r="T87" s="2043"/>
      <c r="U87" s="2043"/>
      <c r="V87" s="2043"/>
      <c r="W87" s="2043"/>
      <c r="X87" s="2043"/>
      <c r="Y87" s="2043"/>
      <c r="Z87" s="2043"/>
      <c r="AA87" s="2043"/>
      <c r="AB87" s="2043"/>
      <c r="AC87" s="2043"/>
      <c r="AD87" s="2043"/>
      <c r="AE87" s="2043"/>
      <c r="AF87" s="2043"/>
      <c r="AG87" s="2043"/>
      <c r="AH87" s="2043"/>
      <c r="AI87" s="2043"/>
      <c r="AJ87" s="2043"/>
      <c r="AK87" s="2043"/>
      <c r="AL87" s="2043"/>
      <c r="AM87" s="2043"/>
      <c r="AN87" s="2043"/>
      <c r="AO87" s="2043"/>
      <c r="AP87" s="2043"/>
      <c r="AQ87" s="2043"/>
      <c r="AR87" s="2043"/>
      <c r="AS87" s="2043"/>
      <c r="AT87" s="2043"/>
      <c r="AU87" s="2043"/>
      <c r="AV87" s="2043"/>
      <c r="AW87" s="2043"/>
      <c r="AX87" s="2043"/>
      <c r="AY87" s="2043"/>
      <c r="AZ87" s="2043"/>
      <c r="BA87" s="2043"/>
      <c r="BB87" s="2043"/>
      <c r="BC87" s="2043"/>
      <c r="BD87" s="2043"/>
      <c r="BE87" s="2043"/>
      <c r="BF87" s="2043"/>
      <c r="BG87" s="2043"/>
      <c r="BH87" s="2043"/>
      <c r="BI87" s="2043"/>
      <c r="BJ87" s="2043"/>
      <c r="BK87" s="2043"/>
      <c r="BL87" s="2043"/>
      <c r="BM87" s="2043"/>
      <c r="BN87" s="2043"/>
      <c r="BO87" s="2043"/>
      <c r="BP87" s="2043"/>
      <c r="BQ87" s="2043"/>
      <c r="BR87" s="2043"/>
      <c r="BS87" s="2043"/>
      <c r="BT87" s="2043"/>
      <c r="BU87" s="2043"/>
      <c r="BV87" s="2043"/>
      <c r="BW87" s="2043"/>
      <c r="BX87" s="2043"/>
      <c r="BY87" s="2043"/>
      <c r="BZ87" s="2043"/>
      <c r="CA87" s="2043"/>
      <c r="CB87" s="2043"/>
      <c r="CC87" s="2043"/>
      <c r="CD87" s="2043"/>
      <c r="CE87" s="2043"/>
      <c r="CF87" s="2043"/>
      <c r="CG87" s="2043"/>
      <c r="CH87" s="2043"/>
      <c r="CI87" s="2043"/>
      <c r="CJ87" s="2043"/>
      <c r="CK87" s="2043"/>
      <c r="CL87" s="2043"/>
      <c r="CM87" s="2043"/>
      <c r="CN87" s="2043"/>
      <c r="CO87" s="2043"/>
      <c r="CP87" s="2043"/>
      <c r="CQ87" s="2043"/>
      <c r="CR87" s="2043"/>
      <c r="CS87" s="2043"/>
      <c r="CT87" s="2043"/>
      <c r="CU87" s="2043"/>
      <c r="CV87" s="2043"/>
      <c r="CW87" s="2043"/>
      <c r="CX87" s="2043"/>
      <c r="CY87" s="2043"/>
      <c r="CZ87" s="2043"/>
      <c r="DA87" s="2043"/>
      <c r="DB87" s="2043"/>
      <c r="DC87" s="2043"/>
      <c r="DD87" s="2043"/>
      <c r="DE87" s="2043"/>
    </row>
    <row r="88" spans="1:109" s="2004" customFormat="1" ht="13.5" hidden="1" customHeight="1" thickBot="1">
      <c r="A88" s="1960"/>
      <c r="B88" s="2022" t="s">
        <v>35</v>
      </c>
      <c r="C88" s="2023"/>
      <c r="D88" s="2023">
        <f>+D109</f>
        <v>0</v>
      </c>
      <c r="E88" s="2023">
        <f t="shared" ref="E88:F88" si="63">+E109</f>
        <v>0</v>
      </c>
      <c r="F88" s="2023">
        <f t="shared" si="63"/>
        <v>0</v>
      </c>
      <c r="G88" s="2023">
        <v>0</v>
      </c>
      <c r="H88" s="2023">
        <v>0</v>
      </c>
      <c r="I88" s="2023">
        <v>0</v>
      </c>
      <c r="J88" s="2023">
        <v>0</v>
      </c>
      <c r="K88" s="2023">
        <v>0</v>
      </c>
      <c r="L88" s="2023">
        <v>0</v>
      </c>
      <c r="M88" s="3564"/>
      <c r="N88" s="3564"/>
      <c r="O88" s="2030"/>
      <c r="P88" s="2003"/>
      <c r="Q88" s="2003"/>
      <c r="R88" s="2003"/>
      <c r="S88" s="2003"/>
      <c r="T88" s="2003"/>
      <c r="U88" s="2003"/>
      <c r="V88" s="2003"/>
      <c r="W88" s="2003"/>
      <c r="X88" s="2003"/>
      <c r="Y88" s="2003"/>
      <c r="Z88" s="2003"/>
      <c r="AA88" s="2003"/>
      <c r="AB88" s="2003"/>
      <c r="AC88" s="2003"/>
      <c r="AD88" s="2003"/>
      <c r="AE88" s="2003"/>
      <c r="AF88" s="2003"/>
      <c r="AG88" s="2003"/>
      <c r="AH88" s="2003"/>
      <c r="AI88" s="2003"/>
      <c r="AJ88" s="2003"/>
      <c r="AK88" s="2003"/>
      <c r="AL88" s="2003"/>
      <c r="AM88" s="2003"/>
      <c r="AN88" s="2003"/>
      <c r="AO88" s="2003"/>
      <c r="AP88" s="2003"/>
      <c r="AQ88" s="2003"/>
      <c r="AR88" s="2003"/>
      <c r="AS88" s="2003"/>
      <c r="AT88" s="2003"/>
      <c r="AU88" s="2003"/>
      <c r="AV88" s="2003"/>
      <c r="AW88" s="2003"/>
      <c r="AX88" s="2003"/>
      <c r="AY88" s="2003"/>
      <c r="AZ88" s="2003"/>
      <c r="BA88" s="2003"/>
      <c r="BB88" s="2003"/>
      <c r="BC88" s="2003"/>
      <c r="BD88" s="2003"/>
      <c r="BE88" s="2003"/>
      <c r="BF88" s="2003"/>
      <c r="BG88" s="2003"/>
      <c r="BH88" s="2003"/>
      <c r="BI88" s="2003"/>
      <c r="BJ88" s="2003"/>
      <c r="BK88" s="2003"/>
      <c r="BL88" s="2003"/>
      <c r="BM88" s="2003"/>
      <c r="BN88" s="2003"/>
      <c r="BO88" s="2003"/>
      <c r="BP88" s="2003"/>
      <c r="BQ88" s="2003"/>
      <c r="BR88" s="2003"/>
      <c r="BS88" s="2003"/>
      <c r="BT88" s="2003"/>
      <c r="BU88" s="2003"/>
      <c r="BV88" s="2003"/>
      <c r="BW88" s="2003"/>
      <c r="BX88" s="2003"/>
      <c r="BY88" s="2003"/>
      <c r="BZ88" s="2003"/>
      <c r="CA88" s="2003"/>
      <c r="CB88" s="2003"/>
      <c r="CC88" s="2003"/>
      <c r="CD88" s="2003"/>
      <c r="CE88" s="2003"/>
      <c r="CF88" s="2003"/>
      <c r="CG88" s="2003"/>
      <c r="CH88" s="2003"/>
      <c r="CI88" s="2003"/>
      <c r="CJ88" s="2003"/>
      <c r="CK88" s="2003"/>
      <c r="CL88" s="2003"/>
      <c r="CM88" s="2003"/>
      <c r="CN88" s="2003"/>
      <c r="CO88" s="2003"/>
      <c r="CP88" s="2003"/>
      <c r="CQ88" s="2003"/>
      <c r="CR88" s="2003"/>
      <c r="CS88" s="2003"/>
      <c r="CT88" s="2003"/>
      <c r="CU88" s="2003"/>
      <c r="CV88" s="2003"/>
      <c r="CW88" s="2003"/>
      <c r="CX88" s="2003"/>
      <c r="CY88" s="2003"/>
      <c r="CZ88" s="2003"/>
      <c r="DA88" s="2003"/>
      <c r="DB88" s="2003"/>
      <c r="DC88" s="2003"/>
      <c r="DD88" s="2003"/>
      <c r="DE88" s="2003"/>
    </row>
    <row r="89" spans="1:109" s="2004" customFormat="1" ht="39.75" hidden="1" customHeight="1">
      <c r="A89" s="3569" t="s">
        <v>63</v>
      </c>
      <c r="B89" s="2045" t="s">
        <v>139</v>
      </c>
      <c r="C89" s="2046" t="s">
        <v>81</v>
      </c>
      <c r="D89" s="2047"/>
      <c r="E89" s="2048"/>
      <c r="F89" s="2048"/>
      <c r="G89" s="2048"/>
      <c r="H89" s="2048"/>
      <c r="I89" s="2048"/>
      <c r="J89" s="2048"/>
      <c r="K89" s="2048"/>
      <c r="L89" s="2048"/>
      <c r="M89" s="2049"/>
      <c r="N89" s="2049"/>
      <c r="O89" s="3585" t="s">
        <v>140</v>
      </c>
      <c r="P89" s="2003"/>
      <c r="Q89" s="2003"/>
      <c r="R89" s="2003"/>
      <c r="S89" s="2003"/>
      <c r="T89" s="2003"/>
      <c r="U89" s="2003"/>
      <c r="V89" s="2003"/>
      <c r="W89" s="2003"/>
      <c r="X89" s="2003"/>
      <c r="Y89" s="2003"/>
      <c r="Z89" s="2003"/>
      <c r="AA89" s="2003"/>
      <c r="AB89" s="2003"/>
      <c r="AC89" s="2003"/>
      <c r="AD89" s="2003"/>
      <c r="AE89" s="2003"/>
      <c r="AF89" s="2003"/>
      <c r="AG89" s="2003"/>
      <c r="AH89" s="2003"/>
      <c r="AI89" s="2003"/>
      <c r="AJ89" s="2003"/>
      <c r="AK89" s="2003"/>
      <c r="AL89" s="2003"/>
      <c r="AM89" s="2003"/>
      <c r="AN89" s="2003"/>
      <c r="AO89" s="2003"/>
      <c r="AP89" s="2003"/>
      <c r="AQ89" s="2003"/>
      <c r="AR89" s="2003"/>
      <c r="AS89" s="2003"/>
      <c r="AT89" s="2003"/>
      <c r="AU89" s="2003"/>
      <c r="AV89" s="2003"/>
      <c r="AW89" s="2003"/>
      <c r="AX89" s="2003"/>
      <c r="AY89" s="2003"/>
      <c r="AZ89" s="2003"/>
      <c r="BA89" s="2003"/>
      <c r="BB89" s="2003"/>
      <c r="BC89" s="2003"/>
      <c r="BD89" s="2003"/>
      <c r="BE89" s="2003"/>
      <c r="BF89" s="2003"/>
      <c r="BG89" s="2003"/>
      <c r="BH89" s="2003"/>
      <c r="BI89" s="2003"/>
      <c r="BJ89" s="2003"/>
      <c r="BK89" s="2003"/>
      <c r="BL89" s="2003"/>
      <c r="BM89" s="2003"/>
      <c r="BN89" s="2003"/>
      <c r="BO89" s="2003"/>
      <c r="BP89" s="2003"/>
      <c r="BQ89" s="2003"/>
      <c r="BR89" s="2003"/>
      <c r="BS89" s="2003"/>
      <c r="BT89" s="2003"/>
      <c r="BU89" s="2003"/>
      <c r="BV89" s="2003"/>
      <c r="BW89" s="2003"/>
      <c r="BX89" s="2003"/>
      <c r="BY89" s="2003"/>
      <c r="BZ89" s="2003"/>
      <c r="CA89" s="2003"/>
      <c r="CB89" s="2003"/>
      <c r="CC89" s="2003"/>
      <c r="CD89" s="2003"/>
      <c r="CE89" s="2003"/>
      <c r="CF89" s="2003"/>
      <c r="CG89" s="2003"/>
      <c r="CH89" s="2003"/>
      <c r="CI89" s="2003"/>
      <c r="CJ89" s="2003"/>
      <c r="CK89" s="2003"/>
      <c r="CL89" s="2003"/>
      <c r="CM89" s="2003"/>
      <c r="CN89" s="2003"/>
      <c r="CO89" s="2003"/>
      <c r="CP89" s="2003"/>
      <c r="CQ89" s="2003"/>
      <c r="CR89" s="2003"/>
      <c r="CS89" s="2003"/>
      <c r="CT89" s="2003"/>
      <c r="CU89" s="2003"/>
      <c r="CV89" s="2003"/>
      <c r="CW89" s="2003"/>
      <c r="CX89" s="2003"/>
      <c r="CY89" s="2003"/>
      <c r="CZ89" s="2003"/>
      <c r="DA89" s="2003"/>
      <c r="DB89" s="2003"/>
      <c r="DC89" s="2003"/>
      <c r="DD89" s="2003"/>
      <c r="DE89" s="2003"/>
    </row>
    <row r="90" spans="1:109" s="2004" customFormat="1" ht="18.75" hidden="1" customHeight="1">
      <c r="A90" s="3570"/>
      <c r="B90" s="2050" t="s">
        <v>10</v>
      </c>
      <c r="C90" s="2051"/>
      <c r="D90" s="1993"/>
      <c r="E90" s="1993"/>
      <c r="F90" s="1993">
        <f t="shared" ref="F90:G91" si="64">F91</f>
        <v>0</v>
      </c>
      <c r="G90" s="1993">
        <f t="shared" si="64"/>
        <v>0</v>
      </c>
      <c r="H90" s="1993"/>
      <c r="I90" s="1993"/>
      <c r="J90" s="1993"/>
      <c r="K90" s="1993"/>
      <c r="L90" s="1993"/>
      <c r="M90" s="2036">
        <f>+M91</f>
        <v>0</v>
      </c>
      <c r="N90" s="2036">
        <f>+N91</f>
        <v>0</v>
      </c>
      <c r="O90" s="3586"/>
      <c r="P90" s="2003"/>
      <c r="Q90" s="2003"/>
      <c r="R90" s="2003"/>
      <c r="S90" s="2003"/>
      <c r="T90" s="2003"/>
      <c r="U90" s="2003"/>
      <c r="V90" s="2003"/>
      <c r="W90" s="2003"/>
      <c r="X90" s="2003"/>
      <c r="Y90" s="2003"/>
      <c r="Z90" s="2003"/>
      <c r="AA90" s="2003"/>
      <c r="AB90" s="2003"/>
      <c r="AC90" s="2003"/>
      <c r="AD90" s="2003"/>
      <c r="AE90" s="2003"/>
      <c r="AF90" s="2003"/>
      <c r="AG90" s="2003"/>
      <c r="AH90" s="2003"/>
      <c r="AI90" s="2003"/>
      <c r="AJ90" s="2003"/>
      <c r="AK90" s="2003"/>
      <c r="AL90" s="2003"/>
      <c r="AM90" s="2003"/>
      <c r="AN90" s="2003"/>
      <c r="AO90" s="2003"/>
      <c r="AP90" s="2003"/>
      <c r="AQ90" s="2003"/>
      <c r="AR90" s="2003"/>
      <c r="AS90" s="2003"/>
      <c r="AT90" s="2003"/>
      <c r="AU90" s="2003"/>
      <c r="AV90" s="2003"/>
      <c r="AW90" s="2003"/>
      <c r="AX90" s="2003"/>
      <c r="AY90" s="2003"/>
      <c r="AZ90" s="2003"/>
      <c r="BA90" s="2003"/>
      <c r="BB90" s="2003"/>
      <c r="BC90" s="2003"/>
      <c r="BD90" s="2003"/>
      <c r="BE90" s="2003"/>
      <c r="BF90" s="2003"/>
      <c r="BG90" s="2003"/>
      <c r="BH90" s="2003"/>
      <c r="BI90" s="2003"/>
      <c r="BJ90" s="2003"/>
      <c r="BK90" s="2003"/>
      <c r="BL90" s="2003"/>
      <c r="BM90" s="2003"/>
      <c r="BN90" s="2003"/>
      <c r="BO90" s="2003"/>
      <c r="BP90" s="2003"/>
      <c r="BQ90" s="2003"/>
      <c r="BR90" s="2003"/>
      <c r="BS90" s="2003"/>
      <c r="BT90" s="2003"/>
      <c r="BU90" s="2003"/>
      <c r="BV90" s="2003"/>
      <c r="BW90" s="2003"/>
      <c r="BX90" s="2003"/>
      <c r="BY90" s="2003"/>
      <c r="BZ90" s="2003"/>
      <c r="CA90" s="2003"/>
      <c r="CB90" s="2003"/>
      <c r="CC90" s="2003"/>
      <c r="CD90" s="2003"/>
      <c r="CE90" s="2003"/>
      <c r="CF90" s="2003"/>
      <c r="CG90" s="2003"/>
      <c r="CH90" s="2003"/>
      <c r="CI90" s="2003"/>
      <c r="CJ90" s="2003"/>
      <c r="CK90" s="2003"/>
      <c r="CL90" s="2003"/>
      <c r="CM90" s="2003"/>
      <c r="CN90" s="2003"/>
      <c r="CO90" s="2003"/>
      <c r="CP90" s="2003"/>
      <c r="CQ90" s="2003"/>
      <c r="CR90" s="2003"/>
      <c r="CS90" s="2003"/>
      <c r="CT90" s="2003"/>
      <c r="CU90" s="2003"/>
      <c r="CV90" s="2003"/>
      <c r="CW90" s="2003"/>
      <c r="CX90" s="2003"/>
      <c r="CY90" s="2003"/>
      <c r="CZ90" s="2003"/>
      <c r="DA90" s="2003"/>
      <c r="DB90" s="2003"/>
      <c r="DC90" s="2003"/>
      <c r="DD90" s="2003"/>
      <c r="DE90" s="2003"/>
    </row>
    <row r="91" spans="1:109" s="2025" customFormat="1" ht="18.75" hidden="1" customHeight="1">
      <c r="A91" s="3570"/>
      <c r="B91" s="2052" t="s">
        <v>24</v>
      </c>
      <c r="C91" s="3529" t="s">
        <v>141</v>
      </c>
      <c r="D91" s="2053"/>
      <c r="E91" s="2053"/>
      <c r="F91" s="2053">
        <f t="shared" si="64"/>
        <v>0</v>
      </c>
      <c r="G91" s="2053">
        <f t="shared" si="64"/>
        <v>0</v>
      </c>
      <c r="H91" s="2053"/>
      <c r="I91" s="2053"/>
      <c r="J91" s="2053"/>
      <c r="K91" s="2053"/>
      <c r="L91" s="2053"/>
      <c r="M91" s="2054">
        <f>+M92</f>
        <v>0</v>
      </c>
      <c r="N91" s="2054">
        <f>+N92</f>
        <v>0</v>
      </c>
      <c r="O91" s="3586"/>
    </row>
    <row r="92" spans="1:109" s="2004" customFormat="1" ht="18.75" hidden="1" customHeight="1" thickBot="1">
      <c r="A92" s="3571"/>
      <c r="B92" s="2055" t="s">
        <v>12</v>
      </c>
      <c r="C92" s="3531"/>
      <c r="D92" s="2056"/>
      <c r="E92" s="2056"/>
      <c r="F92" s="2056">
        <v>0</v>
      </c>
      <c r="G92" s="2056">
        <v>0</v>
      </c>
      <c r="H92" s="2056"/>
      <c r="I92" s="2056"/>
      <c r="J92" s="2056"/>
      <c r="K92" s="2056"/>
      <c r="L92" s="2056"/>
      <c r="M92" s="2024">
        <f>SUM(E92:G92)</f>
        <v>0</v>
      </c>
      <c r="N92" s="2024">
        <f>SUM(F92:H92)</f>
        <v>0</v>
      </c>
      <c r="O92" s="3587"/>
      <c r="P92" s="2003"/>
      <c r="Q92" s="2003"/>
      <c r="R92" s="2003"/>
      <c r="S92" s="2003"/>
      <c r="T92" s="2003"/>
      <c r="U92" s="2003"/>
      <c r="V92" s="2003"/>
      <c r="W92" s="2003"/>
      <c r="X92" s="2003"/>
      <c r="Y92" s="2003"/>
      <c r="Z92" s="2003"/>
      <c r="AA92" s="2003"/>
      <c r="AB92" s="2003"/>
      <c r="AC92" s="2003"/>
      <c r="AD92" s="2003"/>
      <c r="AE92" s="2003"/>
      <c r="AF92" s="2003"/>
      <c r="AG92" s="2003"/>
      <c r="AH92" s="2003"/>
      <c r="AI92" s="2003"/>
      <c r="AJ92" s="2003"/>
      <c r="AK92" s="2003"/>
      <c r="AL92" s="2003"/>
      <c r="AM92" s="2003"/>
      <c r="AN92" s="2003"/>
      <c r="AO92" s="2003"/>
      <c r="AP92" s="2003"/>
      <c r="AQ92" s="2003"/>
      <c r="AR92" s="2003"/>
      <c r="AS92" s="2003"/>
      <c r="AT92" s="2003"/>
      <c r="AU92" s="2003"/>
      <c r="AV92" s="2003"/>
      <c r="AW92" s="2003"/>
      <c r="AX92" s="2003"/>
      <c r="AY92" s="2003"/>
      <c r="AZ92" s="2003"/>
      <c r="BA92" s="2003"/>
      <c r="BB92" s="2003"/>
      <c r="BC92" s="2003"/>
      <c r="BD92" s="2003"/>
      <c r="BE92" s="2003"/>
      <c r="BF92" s="2003"/>
      <c r="BG92" s="2003"/>
      <c r="BH92" s="2003"/>
      <c r="BI92" s="2003"/>
      <c r="BJ92" s="2003"/>
      <c r="BK92" s="2003"/>
      <c r="BL92" s="2003"/>
      <c r="BM92" s="2003"/>
      <c r="BN92" s="2003"/>
      <c r="BO92" s="2003"/>
      <c r="BP92" s="2003"/>
      <c r="BQ92" s="2003"/>
      <c r="BR92" s="2003"/>
      <c r="BS92" s="2003"/>
      <c r="BT92" s="2003"/>
      <c r="BU92" s="2003"/>
      <c r="BV92" s="2003"/>
      <c r="BW92" s="2003"/>
      <c r="BX92" s="2003"/>
      <c r="BY92" s="2003"/>
      <c r="BZ92" s="2003"/>
      <c r="CA92" s="2003"/>
      <c r="CB92" s="2003"/>
      <c r="CC92" s="2003"/>
      <c r="CD92" s="2003"/>
      <c r="CE92" s="2003"/>
      <c r="CF92" s="2003"/>
      <c r="CG92" s="2003"/>
      <c r="CH92" s="2003"/>
      <c r="CI92" s="2003"/>
      <c r="CJ92" s="2003"/>
      <c r="CK92" s="2003"/>
      <c r="CL92" s="2003"/>
      <c r="CM92" s="2003"/>
      <c r="CN92" s="2003"/>
      <c r="CO92" s="2003"/>
      <c r="CP92" s="2003"/>
      <c r="CQ92" s="2003"/>
      <c r="CR92" s="2003"/>
      <c r="CS92" s="2003"/>
      <c r="CT92" s="2003"/>
      <c r="CU92" s="2003"/>
      <c r="CV92" s="2003"/>
      <c r="CW92" s="2003"/>
      <c r="CX92" s="2003"/>
      <c r="CY92" s="2003"/>
      <c r="CZ92" s="2003"/>
      <c r="DA92" s="2003"/>
      <c r="DB92" s="2003"/>
      <c r="DC92" s="2003"/>
      <c r="DD92" s="2003"/>
      <c r="DE92" s="2003"/>
    </row>
    <row r="93" spans="1:109" ht="12.75" hidden="1" customHeight="1">
      <c r="A93" s="3579" t="s">
        <v>64</v>
      </c>
      <c r="B93" s="2057" t="s">
        <v>142</v>
      </c>
      <c r="C93" s="2393" t="s">
        <v>81</v>
      </c>
      <c r="D93" s="2393"/>
      <c r="E93" s="2393"/>
      <c r="F93" s="2393"/>
      <c r="G93" s="2393"/>
      <c r="H93" s="2393"/>
      <c r="I93" s="2393"/>
      <c r="J93" s="2393"/>
      <c r="K93" s="2393"/>
      <c r="L93" s="2393"/>
      <c r="M93" s="2058"/>
      <c r="N93" s="2058"/>
      <c r="O93" s="3580" t="s">
        <v>143</v>
      </c>
    </row>
    <row r="94" spans="1:109" ht="13.5" hidden="1" customHeight="1">
      <c r="A94" s="3575"/>
      <c r="B94" s="1975" t="s">
        <v>10</v>
      </c>
      <c r="C94" s="2059"/>
      <c r="D94" s="2393"/>
      <c r="E94" s="2393"/>
      <c r="F94" s="2393">
        <v>0</v>
      </c>
      <c r="G94" s="2393">
        <v>0</v>
      </c>
      <c r="H94" s="2393"/>
      <c r="I94" s="2393"/>
      <c r="J94" s="2393"/>
      <c r="K94" s="2393"/>
      <c r="L94" s="2393"/>
      <c r="M94" s="2058"/>
      <c r="N94" s="2058"/>
      <c r="O94" s="3580"/>
    </row>
    <row r="95" spans="1:109" ht="14.25" hidden="1" customHeight="1">
      <c r="A95" s="3575"/>
      <c r="B95" s="2057" t="s">
        <v>24</v>
      </c>
      <c r="C95" s="3582" t="s">
        <v>144</v>
      </c>
      <c r="D95" s="2393"/>
      <c r="E95" s="2393"/>
      <c r="F95" s="2393">
        <v>0</v>
      </c>
      <c r="G95" s="2393">
        <v>0</v>
      </c>
      <c r="H95" s="2393"/>
      <c r="I95" s="2393"/>
      <c r="J95" s="2393"/>
      <c r="K95" s="2393"/>
      <c r="L95" s="2393"/>
      <c r="M95" s="2058"/>
      <c r="N95" s="2058"/>
      <c r="O95" s="3581"/>
    </row>
    <row r="96" spans="1:109" ht="15" hidden="1" customHeight="1" thickBot="1">
      <c r="A96" s="3575"/>
      <c r="B96" s="2057" t="s">
        <v>12</v>
      </c>
      <c r="C96" s="3582"/>
      <c r="D96" s="2393"/>
      <c r="E96" s="2393"/>
      <c r="F96" s="2393">
        <v>0</v>
      </c>
      <c r="G96" s="2393">
        <v>0</v>
      </c>
      <c r="H96" s="2393"/>
      <c r="I96" s="2393"/>
      <c r="J96" s="2393"/>
      <c r="K96" s="2393"/>
      <c r="L96" s="2393"/>
      <c r="M96" s="2058"/>
      <c r="N96" s="2058"/>
      <c r="O96" s="3581"/>
    </row>
    <row r="97" spans="1:15" ht="36.75" hidden="1" customHeight="1">
      <c r="A97" s="3574" t="s">
        <v>63</v>
      </c>
      <c r="B97" s="2045" t="s">
        <v>234</v>
      </c>
      <c r="C97" s="2060" t="s">
        <v>81</v>
      </c>
      <c r="D97" s="2061"/>
      <c r="E97" s="2048"/>
      <c r="F97" s="2048"/>
      <c r="G97" s="2048"/>
      <c r="H97" s="2048"/>
      <c r="I97" s="2048"/>
      <c r="J97" s="2048"/>
      <c r="K97" s="2048"/>
      <c r="L97" s="2048"/>
      <c r="M97" s="2062"/>
      <c r="N97" s="2062"/>
      <c r="O97" s="3583" t="s">
        <v>200</v>
      </c>
    </row>
    <row r="98" spans="1:15" ht="14.25" hidden="1" customHeight="1">
      <c r="A98" s="3579"/>
      <c r="B98" s="1964" t="s">
        <v>10</v>
      </c>
      <c r="C98" s="2059"/>
      <c r="D98" s="2063"/>
      <c r="E98" s="2063">
        <f>+E99+E102</f>
        <v>0</v>
      </c>
      <c r="F98" s="2063">
        <v>0</v>
      </c>
      <c r="G98" s="2063">
        <v>0</v>
      </c>
      <c r="H98" s="2063">
        <v>0</v>
      </c>
      <c r="I98" s="2063">
        <v>0</v>
      </c>
      <c r="J98" s="2063">
        <v>0</v>
      </c>
      <c r="K98" s="2063">
        <v>0</v>
      </c>
      <c r="L98" s="2063">
        <v>0</v>
      </c>
      <c r="M98" s="2036">
        <f>+M99</f>
        <v>0</v>
      </c>
      <c r="N98" s="2036">
        <f>+N99</f>
        <v>0</v>
      </c>
      <c r="O98" s="3583"/>
    </row>
    <row r="99" spans="1:15" ht="15.75" hidden="1" customHeight="1">
      <c r="A99" s="3579"/>
      <c r="B99" s="2064" t="s">
        <v>24</v>
      </c>
      <c r="C99" s="3529" t="s">
        <v>145</v>
      </c>
      <c r="D99" s="2065"/>
      <c r="E99" s="2065">
        <f t="shared" ref="E99" si="65">E100+E101</f>
        <v>0</v>
      </c>
      <c r="F99" s="2065">
        <f t="shared" ref="F99:L99" si="66">F100+F101</f>
        <v>0</v>
      </c>
      <c r="G99" s="2065">
        <f t="shared" si="66"/>
        <v>0</v>
      </c>
      <c r="H99" s="2065">
        <f t="shared" si="66"/>
        <v>0</v>
      </c>
      <c r="I99" s="2065">
        <f t="shared" si="66"/>
        <v>0</v>
      </c>
      <c r="J99" s="2065">
        <f t="shared" si="66"/>
        <v>0</v>
      </c>
      <c r="K99" s="2065">
        <f t="shared" si="66"/>
        <v>0</v>
      </c>
      <c r="L99" s="2065">
        <f t="shared" si="66"/>
        <v>0</v>
      </c>
      <c r="M99" s="2021">
        <f>+M101</f>
        <v>0</v>
      </c>
      <c r="N99" s="2021">
        <f>+N101</f>
        <v>0</v>
      </c>
      <c r="O99" s="3583"/>
    </row>
    <row r="100" spans="1:15" ht="13.5" hidden="1" customHeight="1">
      <c r="A100" s="3579"/>
      <c r="B100" s="2066" t="s">
        <v>136</v>
      </c>
      <c r="C100" s="3565"/>
      <c r="D100" s="1979"/>
      <c r="E100" s="1979"/>
      <c r="F100" s="1985">
        <v>0</v>
      </c>
      <c r="G100" s="1985">
        <v>0</v>
      </c>
      <c r="H100" s="1985">
        <v>0</v>
      </c>
      <c r="I100" s="1985">
        <v>0</v>
      </c>
      <c r="J100" s="1985">
        <v>0</v>
      </c>
      <c r="K100" s="1985">
        <v>0</v>
      </c>
      <c r="L100" s="1985">
        <v>0</v>
      </c>
      <c r="M100" s="2029" t="s">
        <v>61</v>
      </c>
      <c r="N100" s="2029" t="s">
        <v>61</v>
      </c>
      <c r="O100" s="3583"/>
    </row>
    <row r="101" spans="1:15" ht="13.5" hidden="1" customHeight="1">
      <c r="A101" s="3579"/>
      <c r="B101" s="2067" t="s">
        <v>137</v>
      </c>
      <c r="C101" s="3565"/>
      <c r="D101" s="1979"/>
      <c r="E101" s="1979"/>
      <c r="F101" s="2068">
        <v>0</v>
      </c>
      <c r="G101" s="2068">
        <v>0</v>
      </c>
      <c r="H101" s="2068">
        <v>0</v>
      </c>
      <c r="I101" s="2068">
        <v>0</v>
      </c>
      <c r="J101" s="2068">
        <v>0</v>
      </c>
      <c r="K101" s="2068">
        <v>0</v>
      </c>
      <c r="L101" s="2068">
        <v>0</v>
      </c>
      <c r="M101" s="2021"/>
      <c r="N101" s="2021"/>
      <c r="O101" s="3583"/>
    </row>
    <row r="102" spans="1:15" ht="12" hidden="1" customHeight="1">
      <c r="A102" s="3579"/>
      <c r="B102" s="2064" t="s">
        <v>18</v>
      </c>
      <c r="C102" s="3565"/>
      <c r="D102" s="2065"/>
      <c r="E102" s="2065">
        <f t="shared" ref="E102" si="67">+E103</f>
        <v>0</v>
      </c>
      <c r="F102" s="2065">
        <v>0</v>
      </c>
      <c r="G102" s="2065">
        <v>0</v>
      </c>
      <c r="H102" s="2065">
        <v>0</v>
      </c>
      <c r="I102" s="2065">
        <v>0</v>
      </c>
      <c r="J102" s="2065">
        <v>0</v>
      </c>
      <c r="K102" s="2065">
        <v>0</v>
      </c>
      <c r="L102" s="2065">
        <v>0</v>
      </c>
      <c r="M102" s="2029" t="str">
        <f>+M103</f>
        <v>x</v>
      </c>
      <c r="N102" s="2029" t="str">
        <f>+N103</f>
        <v>x</v>
      </c>
      <c r="O102" s="3583"/>
    </row>
    <row r="103" spans="1:15" ht="14.25" hidden="1" customHeight="1">
      <c r="A103" s="3579"/>
      <c r="B103" s="2069" t="s">
        <v>35</v>
      </c>
      <c r="C103" s="3530"/>
      <c r="D103" s="1979"/>
      <c r="E103" s="1979"/>
      <c r="F103" s="2070">
        <v>0</v>
      </c>
      <c r="G103" s="2070">
        <v>0</v>
      </c>
      <c r="H103" s="2070">
        <v>0</v>
      </c>
      <c r="I103" s="2070">
        <v>0</v>
      </c>
      <c r="J103" s="2070">
        <v>0</v>
      </c>
      <c r="K103" s="2070">
        <v>0</v>
      </c>
      <c r="L103" s="2070">
        <v>0</v>
      </c>
      <c r="M103" s="2071" t="s">
        <v>61</v>
      </c>
      <c r="N103" s="2071" t="s">
        <v>61</v>
      </c>
      <c r="O103" s="3583"/>
    </row>
    <row r="104" spans="1:15" ht="13.5" hidden="1" customHeight="1">
      <c r="A104" s="3579"/>
      <c r="B104" s="1975" t="s">
        <v>22</v>
      </c>
      <c r="C104" s="2059"/>
      <c r="D104" s="2063"/>
      <c r="E104" s="2063">
        <f>E108+E105</f>
        <v>0</v>
      </c>
      <c r="F104" s="2063">
        <v>0</v>
      </c>
      <c r="G104" s="2063">
        <v>0</v>
      </c>
      <c r="H104" s="2063">
        <v>0</v>
      </c>
      <c r="I104" s="2063">
        <v>0</v>
      </c>
      <c r="J104" s="2063">
        <v>0</v>
      </c>
      <c r="K104" s="2063">
        <v>0</v>
      </c>
      <c r="L104" s="2063">
        <v>0</v>
      </c>
      <c r="M104" s="2036"/>
      <c r="N104" s="2036"/>
      <c r="O104" s="3583"/>
    </row>
    <row r="105" spans="1:15" ht="14.25" hidden="1" customHeight="1">
      <c r="A105" s="3579"/>
      <c r="B105" s="1977" t="s">
        <v>24</v>
      </c>
      <c r="C105" s="3559" t="s">
        <v>23</v>
      </c>
      <c r="D105" s="2072"/>
      <c r="E105" s="2072">
        <f t="shared" ref="E105" si="68">+E107+E106</f>
        <v>0</v>
      </c>
      <c r="F105" s="2065">
        <f t="shared" ref="F105:L105" si="69">+F107+F106</f>
        <v>0</v>
      </c>
      <c r="G105" s="2065">
        <f t="shared" si="69"/>
        <v>0</v>
      </c>
      <c r="H105" s="2065">
        <f t="shared" si="69"/>
        <v>0</v>
      </c>
      <c r="I105" s="2065">
        <f t="shared" si="69"/>
        <v>0</v>
      </c>
      <c r="J105" s="2065">
        <f t="shared" si="69"/>
        <v>0</v>
      </c>
      <c r="K105" s="2065">
        <f t="shared" si="69"/>
        <v>0</v>
      </c>
      <c r="L105" s="2065">
        <f t="shared" si="69"/>
        <v>0</v>
      </c>
      <c r="M105" s="3562" t="s">
        <v>61</v>
      </c>
      <c r="N105" s="3562" t="s">
        <v>61</v>
      </c>
      <c r="O105" s="3583"/>
    </row>
    <row r="106" spans="1:15" ht="13.5" hidden="1" customHeight="1">
      <c r="A106" s="3579"/>
      <c r="B106" s="2066" t="s">
        <v>136</v>
      </c>
      <c r="C106" s="3560"/>
      <c r="D106" s="1979"/>
      <c r="E106" s="1979"/>
      <c r="F106" s="2073">
        <v>0</v>
      </c>
      <c r="G106" s="2073">
        <v>0</v>
      </c>
      <c r="H106" s="2073">
        <v>0</v>
      </c>
      <c r="I106" s="2073">
        <v>0</v>
      </c>
      <c r="J106" s="2073">
        <v>0</v>
      </c>
      <c r="K106" s="2073">
        <v>0</v>
      </c>
      <c r="L106" s="2073">
        <v>0</v>
      </c>
      <c r="M106" s="3563"/>
      <c r="N106" s="3563"/>
      <c r="O106" s="3583"/>
    </row>
    <row r="107" spans="1:15" ht="13.5" hidden="1" customHeight="1">
      <c r="A107" s="3579"/>
      <c r="B107" s="2067" t="s">
        <v>146</v>
      </c>
      <c r="C107" s="3560"/>
      <c r="D107" s="1979"/>
      <c r="E107" s="2074"/>
      <c r="F107" s="2068">
        <v>0</v>
      </c>
      <c r="G107" s="2068">
        <v>0</v>
      </c>
      <c r="H107" s="2068">
        <v>0</v>
      </c>
      <c r="I107" s="2068">
        <v>0</v>
      </c>
      <c r="J107" s="2068">
        <v>0</v>
      </c>
      <c r="K107" s="2068">
        <v>0</v>
      </c>
      <c r="L107" s="2068">
        <v>0</v>
      </c>
      <c r="M107" s="3563"/>
      <c r="N107" s="3563"/>
      <c r="O107" s="3583"/>
    </row>
    <row r="108" spans="1:15" ht="12.75" hidden="1" customHeight="1">
      <c r="A108" s="3579"/>
      <c r="B108" s="2064" t="s">
        <v>18</v>
      </c>
      <c r="C108" s="3560"/>
      <c r="D108" s="2072"/>
      <c r="E108" s="2072">
        <f t="shared" ref="E108" si="70">+E109</f>
        <v>0</v>
      </c>
      <c r="F108" s="2065">
        <v>0</v>
      </c>
      <c r="G108" s="2065">
        <v>0</v>
      </c>
      <c r="H108" s="2065">
        <v>0</v>
      </c>
      <c r="I108" s="2065">
        <v>0</v>
      </c>
      <c r="J108" s="2065"/>
      <c r="K108" s="2065"/>
      <c r="L108" s="2065"/>
      <c r="M108" s="3563"/>
      <c r="N108" s="3563"/>
      <c r="O108" s="3583"/>
    </row>
    <row r="109" spans="1:15" ht="13.5" hidden="1" customHeight="1" thickBot="1">
      <c r="A109" s="3579"/>
      <c r="B109" s="2075" t="s">
        <v>35</v>
      </c>
      <c r="C109" s="3561"/>
      <c r="D109" s="1979"/>
      <c r="E109" s="1979">
        <v>0</v>
      </c>
      <c r="F109" s="2073">
        <v>0</v>
      </c>
      <c r="G109" s="2073">
        <v>0</v>
      </c>
      <c r="H109" s="2073">
        <v>0</v>
      </c>
      <c r="I109" s="2073">
        <v>0</v>
      </c>
      <c r="J109" s="2073">
        <v>0</v>
      </c>
      <c r="K109" s="2073">
        <v>0</v>
      </c>
      <c r="L109" s="2073">
        <v>0</v>
      </c>
      <c r="M109" s="3564"/>
      <c r="N109" s="3564"/>
      <c r="O109" s="3584"/>
    </row>
    <row r="110" spans="1:15" ht="26.25" hidden="1" customHeight="1">
      <c r="A110" s="3574" t="s">
        <v>63</v>
      </c>
      <c r="B110" s="2076" t="s">
        <v>204</v>
      </c>
      <c r="C110" s="2077" t="s">
        <v>81</v>
      </c>
      <c r="D110" s="2078"/>
      <c r="E110" s="2048"/>
      <c r="F110" s="2048"/>
      <c r="G110" s="2048"/>
      <c r="H110" s="2048"/>
      <c r="I110" s="2048"/>
      <c r="J110" s="2048"/>
      <c r="K110" s="2048"/>
      <c r="L110" s="2048"/>
      <c r="M110" s="1974"/>
      <c r="N110" s="1974"/>
      <c r="O110" s="3526" t="s">
        <v>209</v>
      </c>
    </row>
    <row r="111" spans="1:15" s="1967" customFormat="1" ht="17.25" hidden="1" customHeight="1">
      <c r="A111" s="3575"/>
      <c r="B111" s="2079" t="s">
        <v>10</v>
      </c>
      <c r="C111" s="2059"/>
      <c r="D111" s="2080"/>
      <c r="E111" s="2080">
        <f t="shared" ref="E111:J112" si="71">E112</f>
        <v>0</v>
      </c>
      <c r="F111" s="2080">
        <f t="shared" si="71"/>
        <v>0</v>
      </c>
      <c r="G111" s="2080">
        <f t="shared" si="71"/>
        <v>0</v>
      </c>
      <c r="H111" s="2080">
        <f t="shared" si="71"/>
        <v>0</v>
      </c>
      <c r="I111" s="2080">
        <f t="shared" si="71"/>
        <v>0</v>
      </c>
      <c r="J111" s="2080">
        <f t="shared" si="71"/>
        <v>0</v>
      </c>
      <c r="K111" s="2080">
        <f>K112</f>
        <v>0</v>
      </c>
      <c r="L111" s="2080">
        <f>L112</f>
        <v>0</v>
      </c>
      <c r="M111" s="2081">
        <f>+M112</f>
        <v>0</v>
      </c>
      <c r="N111" s="2081">
        <f>+N112</f>
        <v>0</v>
      </c>
      <c r="O111" s="3527"/>
    </row>
    <row r="112" spans="1:15" s="2084" customFormat="1" ht="15" hidden="1" customHeight="1">
      <c r="A112" s="3575"/>
      <c r="B112" s="2082" t="s">
        <v>24</v>
      </c>
      <c r="C112" s="3577" t="s">
        <v>145</v>
      </c>
      <c r="D112" s="2072"/>
      <c r="E112" s="2072">
        <f>E113</f>
        <v>0</v>
      </c>
      <c r="F112" s="2072">
        <f t="shared" si="71"/>
        <v>0</v>
      </c>
      <c r="G112" s="2072">
        <f t="shared" si="71"/>
        <v>0</v>
      </c>
      <c r="H112" s="2072">
        <f t="shared" si="71"/>
        <v>0</v>
      </c>
      <c r="I112" s="2072">
        <f t="shared" si="71"/>
        <v>0</v>
      </c>
      <c r="J112" s="2072">
        <f t="shared" si="71"/>
        <v>0</v>
      </c>
      <c r="K112" s="2072">
        <f>K113</f>
        <v>0</v>
      </c>
      <c r="L112" s="2072">
        <f>L113</f>
        <v>0</v>
      </c>
      <c r="M112" s="2083">
        <f>+M113</f>
        <v>0</v>
      </c>
      <c r="N112" s="2083">
        <f>+N113</f>
        <v>0</v>
      </c>
      <c r="O112" s="3527"/>
    </row>
    <row r="113" spans="1:15" s="1967" customFormat="1" ht="15" hidden="1" customHeight="1" thickBot="1">
      <c r="A113" s="3576"/>
      <c r="B113" s="2085" t="s">
        <v>137</v>
      </c>
      <c r="C113" s="3578"/>
      <c r="D113" s="3126"/>
      <c r="E113" s="3126">
        <v>0</v>
      </c>
      <c r="F113" s="2086">
        <v>0</v>
      </c>
      <c r="G113" s="2086">
        <v>0</v>
      </c>
      <c r="H113" s="2086">
        <v>0</v>
      </c>
      <c r="I113" s="2086">
        <v>0</v>
      </c>
      <c r="J113" s="2086">
        <v>0</v>
      </c>
      <c r="K113" s="2086">
        <v>0</v>
      </c>
      <c r="L113" s="2086">
        <v>0</v>
      </c>
      <c r="M113" s="2087"/>
      <c r="N113" s="2087"/>
      <c r="O113" s="3528"/>
    </row>
    <row r="114" spans="1:15" ht="12.75">
      <c r="A114" s="3089"/>
      <c r="B114" s="3089"/>
      <c r="C114" s="3089"/>
      <c r="D114" s="3089"/>
      <c r="E114" s="3089"/>
      <c r="F114" s="3089"/>
      <c r="G114" s="3089"/>
      <c r="H114" s="3089"/>
      <c r="I114" s="3089"/>
      <c r="J114" s="3089"/>
      <c r="K114" s="3089"/>
      <c r="L114" s="3089"/>
      <c r="M114" s="3089"/>
      <c r="N114" s="3089"/>
    </row>
    <row r="115" spans="1:15" ht="12.75" hidden="1">
      <c r="A115" s="3089"/>
      <c r="B115" s="2089" t="s">
        <v>401</v>
      </c>
      <c r="C115" s="2070"/>
      <c r="D115" s="2070"/>
      <c r="E115" s="2070"/>
      <c r="F115" s="2070"/>
      <c r="G115" s="2070"/>
      <c r="H115" s="2070"/>
      <c r="I115" s="2070"/>
      <c r="J115" s="2070"/>
      <c r="K115" s="2070"/>
      <c r="L115" s="2070"/>
      <c r="M115" s="3089"/>
      <c r="N115" s="3089"/>
    </row>
    <row r="116" spans="1:15" ht="12.75" hidden="1">
      <c r="A116" s="3089"/>
      <c r="B116" s="2089" t="s">
        <v>402</v>
      </c>
      <c r="C116" s="2070"/>
      <c r="D116" s="2380">
        <f>D68+D54+D38</f>
        <v>746038</v>
      </c>
      <c r="E116" s="2380">
        <f t="shared" ref="E116:L116" si="72">E68+E54+E38</f>
        <v>292115</v>
      </c>
      <c r="F116" s="2380">
        <f t="shared" si="72"/>
        <v>108344</v>
      </c>
      <c r="G116" s="2380">
        <f t="shared" si="72"/>
        <v>116637</v>
      </c>
      <c r="H116" s="2380">
        <f t="shared" si="72"/>
        <v>99540</v>
      </c>
      <c r="I116" s="2380">
        <f t="shared" si="72"/>
        <v>99540</v>
      </c>
      <c r="J116" s="2380">
        <f t="shared" si="72"/>
        <v>29862</v>
      </c>
      <c r="K116" s="2380">
        <f t="shared" si="72"/>
        <v>0</v>
      </c>
      <c r="L116" s="2380">
        <f t="shared" si="72"/>
        <v>0</v>
      </c>
      <c r="M116" s="3089"/>
      <c r="N116" s="3089"/>
    </row>
    <row r="117" spans="1:15" ht="12.75" hidden="1">
      <c r="A117" s="3089"/>
      <c r="B117" s="2089" t="s">
        <v>403</v>
      </c>
      <c r="C117" s="2070"/>
      <c r="D117" s="2380">
        <v>0</v>
      </c>
      <c r="E117" s="2380">
        <v>0</v>
      </c>
      <c r="F117" s="2380">
        <v>0</v>
      </c>
      <c r="G117" s="2380">
        <v>0</v>
      </c>
      <c r="H117" s="2380">
        <v>0</v>
      </c>
      <c r="I117" s="2380">
        <v>0</v>
      </c>
      <c r="J117" s="2380">
        <v>0</v>
      </c>
      <c r="K117" s="2380">
        <v>0</v>
      </c>
      <c r="L117" s="2380">
        <v>0</v>
      </c>
      <c r="M117" s="3089"/>
      <c r="N117" s="3089"/>
    </row>
    <row r="118" spans="1:15" ht="12.75" hidden="1">
      <c r="A118" s="3089"/>
      <c r="B118" s="2089" t="s">
        <v>404</v>
      </c>
      <c r="C118" s="2070"/>
      <c r="D118" s="2570">
        <f>D116+D117</f>
        <v>746038</v>
      </c>
      <c r="E118" s="2570">
        <f t="shared" ref="E118:L118" si="73">E116+E117</f>
        <v>292115</v>
      </c>
      <c r="F118" s="2570">
        <f t="shared" si="73"/>
        <v>108344</v>
      </c>
      <c r="G118" s="2570">
        <f t="shared" si="73"/>
        <v>116637</v>
      </c>
      <c r="H118" s="2570">
        <f t="shared" si="73"/>
        <v>99540</v>
      </c>
      <c r="I118" s="2570">
        <f t="shared" si="73"/>
        <v>99540</v>
      </c>
      <c r="J118" s="2570">
        <f t="shared" si="73"/>
        <v>29862</v>
      </c>
      <c r="K118" s="2570">
        <f t="shared" si="73"/>
        <v>0</v>
      </c>
      <c r="L118" s="2570">
        <f t="shared" si="73"/>
        <v>0</v>
      </c>
      <c r="M118" s="3089"/>
      <c r="N118" s="3089"/>
    </row>
    <row r="119" spans="1:15" ht="12.75" hidden="1">
      <c r="B119" s="2090" t="s">
        <v>42</v>
      </c>
      <c r="C119" s="2091"/>
      <c r="D119" s="2571">
        <f>D18-D118</f>
        <v>0</v>
      </c>
      <c r="E119" s="2571">
        <f t="shared" ref="E119:L119" si="74">E18-E118</f>
        <v>0</v>
      </c>
      <c r="F119" s="2571">
        <f t="shared" si="74"/>
        <v>0</v>
      </c>
      <c r="G119" s="2571">
        <f t="shared" si="74"/>
        <v>0</v>
      </c>
      <c r="H119" s="2571">
        <f t="shared" si="74"/>
        <v>0</v>
      </c>
      <c r="I119" s="2571">
        <f t="shared" si="74"/>
        <v>0</v>
      </c>
      <c r="J119" s="2571">
        <f t="shared" si="74"/>
        <v>0</v>
      </c>
      <c r="K119" s="2571">
        <f t="shared" si="74"/>
        <v>0</v>
      </c>
      <c r="L119" s="2571">
        <f t="shared" si="74"/>
        <v>0</v>
      </c>
    </row>
    <row r="120" spans="1:15" hidden="1"/>
    <row r="121" spans="1:15" hidden="1"/>
    <row r="124" spans="1:15" ht="12" thickBot="1">
      <c r="A124" s="3127"/>
      <c r="B124" s="3128"/>
      <c r="C124" s="3128"/>
      <c r="D124" s="3128"/>
      <c r="E124" s="3128"/>
      <c r="F124" s="3128"/>
      <c r="G124" s="3128"/>
      <c r="H124" s="3128"/>
      <c r="I124" s="3128"/>
      <c r="J124" s="3128"/>
      <c r="K124" s="3128"/>
      <c r="L124" s="3128"/>
      <c r="M124" s="3128"/>
      <c r="N124" s="3128"/>
      <c r="O124" s="3129"/>
    </row>
    <row r="183" spans="1:15" ht="12.75">
      <c r="A183" s="2393"/>
      <c r="B183" s="2393" t="s">
        <v>69</v>
      </c>
      <c r="C183" s="2393"/>
      <c r="D183" s="2393"/>
      <c r="E183" s="2393"/>
      <c r="F183" s="2393"/>
      <c r="G183" s="2393"/>
      <c r="H183" s="2393"/>
      <c r="I183" s="2393"/>
      <c r="J183" s="2393"/>
      <c r="K183" s="2393"/>
      <c r="L183" s="2393"/>
      <c r="M183" s="2393"/>
      <c r="N183" s="2393"/>
      <c r="O183" s="2393"/>
    </row>
    <row r="184" spans="1:15" ht="12.75">
      <c r="A184" s="2393"/>
      <c r="O184" s="2393"/>
    </row>
    <row r="185" spans="1:15" ht="12.75">
      <c r="A185" s="2393"/>
      <c r="O185" s="2393"/>
    </row>
    <row r="186" spans="1:15" ht="12.75">
      <c r="A186" s="2393"/>
      <c r="O186" s="2393"/>
    </row>
    <row r="187" spans="1:15" ht="12.75">
      <c r="A187" s="2393"/>
      <c r="O187" s="2393"/>
    </row>
    <row r="188" spans="1:15" ht="12.75">
      <c r="A188" s="2393"/>
      <c r="O188" s="2393"/>
    </row>
    <row r="189" spans="1:15" ht="12.75">
      <c r="A189" s="2393"/>
      <c r="O189" s="2393"/>
    </row>
    <row r="190" spans="1:15" ht="12.75">
      <c r="A190" s="2393"/>
      <c r="O190" s="2393"/>
    </row>
    <row r="191" spans="1:15" ht="12.75">
      <c r="A191" s="2393"/>
      <c r="O191" s="2393"/>
    </row>
    <row r="192" spans="1:15" ht="12.75">
      <c r="A192" s="2393"/>
      <c r="O192" s="2393"/>
    </row>
    <row r="193" spans="1:15" ht="12.75">
      <c r="A193" s="2393"/>
      <c r="O193" s="2393"/>
    </row>
    <row r="194" spans="1:15" ht="12.75">
      <c r="A194" s="2393"/>
      <c r="B194" s="2393"/>
      <c r="C194" s="2393"/>
      <c r="D194" s="2393"/>
      <c r="E194" s="2393"/>
      <c r="F194" s="2393"/>
      <c r="G194" s="2393"/>
      <c r="H194" s="2393"/>
      <c r="I194" s="2393"/>
      <c r="J194" s="2393"/>
      <c r="K194" s="2393"/>
      <c r="L194" s="2393"/>
      <c r="M194" s="2393"/>
      <c r="N194" s="2393"/>
      <c r="O194" s="2393"/>
    </row>
  </sheetData>
  <mergeCells count="74">
    <mergeCell ref="M18:M20"/>
    <mergeCell ref="M27:M31"/>
    <mergeCell ref="M38:M42"/>
    <mergeCell ref="M47:M49"/>
    <mergeCell ref="M54:M56"/>
    <mergeCell ref="A110:A113"/>
    <mergeCell ref="O110:O113"/>
    <mergeCell ref="C112:C113"/>
    <mergeCell ref="A50:A56"/>
    <mergeCell ref="O50:O56"/>
    <mergeCell ref="C52:C53"/>
    <mergeCell ref="C55:C56"/>
    <mergeCell ref="A93:A96"/>
    <mergeCell ref="O93:O96"/>
    <mergeCell ref="C95:C96"/>
    <mergeCell ref="A97:A109"/>
    <mergeCell ref="O97:O109"/>
    <mergeCell ref="O89:O92"/>
    <mergeCell ref="C91:C92"/>
    <mergeCell ref="O73:O75"/>
    <mergeCell ref="O76:O80"/>
    <mergeCell ref="A43:A49"/>
    <mergeCell ref="A32:A42"/>
    <mergeCell ref="C34:C37"/>
    <mergeCell ref="A21:A31"/>
    <mergeCell ref="C28:C31"/>
    <mergeCell ref="C23:C26"/>
    <mergeCell ref="C39:C42"/>
    <mergeCell ref="C45:C46"/>
    <mergeCell ref="C48:C49"/>
    <mergeCell ref="C105:C109"/>
    <mergeCell ref="A72:L72"/>
    <mergeCell ref="N105:N109"/>
    <mergeCell ref="N54:N56"/>
    <mergeCell ref="C62:C63"/>
    <mergeCell ref="N61:N63"/>
    <mergeCell ref="C99:C103"/>
    <mergeCell ref="A57:A63"/>
    <mergeCell ref="A89:A92"/>
    <mergeCell ref="N84:N88"/>
    <mergeCell ref="A64:A70"/>
    <mergeCell ref="C59:C60"/>
    <mergeCell ref="M61:M63"/>
    <mergeCell ref="M68:M70"/>
    <mergeCell ref="M84:M88"/>
    <mergeCell ref="M105:M109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O43:O49"/>
    <mergeCell ref="N47:N49"/>
    <mergeCell ref="O64:O70"/>
    <mergeCell ref="C66:C67"/>
    <mergeCell ref="N68:N70"/>
    <mergeCell ref="C69:C70"/>
    <mergeCell ref="O57:O63"/>
    <mergeCell ref="N18:N20"/>
    <mergeCell ref="N27:N31"/>
    <mergeCell ref="O21:O31"/>
    <mergeCell ref="N38:N42"/>
    <mergeCell ref="O32:O42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4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2"/>
  <sheetViews>
    <sheetView showGridLines="0" view="pageBreakPreview" topLeftCell="A4" zoomScaleSheetLayoutView="100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B283" sqref="B283:B331"/>
    </sheetView>
  </sheetViews>
  <sheetFormatPr defaultColWidth="9.140625" defaultRowHeight="12.75"/>
  <cols>
    <col min="1" max="1" width="4.7109375" style="317" customWidth="1"/>
    <col min="2" max="2" width="61" style="318" customWidth="1"/>
    <col min="3" max="3" width="10" style="318" customWidth="1"/>
    <col min="4" max="4" width="14.28515625" style="318" customWidth="1"/>
    <col min="5" max="5" width="13.7109375" style="318" customWidth="1"/>
    <col min="6" max="6" width="10.28515625" style="318" customWidth="1"/>
    <col min="7" max="7" width="9.85546875" style="318" customWidth="1"/>
    <col min="8" max="8" width="11.28515625" style="318" customWidth="1"/>
    <col min="9" max="9" width="11" style="318" customWidth="1"/>
    <col min="10" max="10" width="9.85546875" style="318" customWidth="1"/>
    <col min="11" max="12" width="10.42578125" style="318" bestFit="1" customWidth="1"/>
    <col min="13" max="13" width="12.5703125" style="318" hidden="1" customWidth="1"/>
    <col min="14" max="14" width="12.5703125" style="318" customWidth="1"/>
    <col min="15" max="15" width="13.5703125" style="384" customWidth="1"/>
    <col min="16" max="16" width="15.140625" style="318" hidden="1" customWidth="1"/>
    <col min="17" max="17" width="16.42578125" style="318" hidden="1" customWidth="1"/>
    <col min="18" max="18" width="9.5703125" style="318" hidden="1" customWidth="1"/>
    <col min="19" max="19" width="0" style="318" hidden="1" customWidth="1"/>
    <col min="20" max="16384" width="9.140625" style="318"/>
  </cols>
  <sheetData>
    <row r="1" spans="1:77" ht="3.75" customHeight="1">
      <c r="M1" s="6"/>
      <c r="N1" s="6"/>
      <c r="O1" s="7"/>
    </row>
    <row r="2" spans="1:77" ht="15" customHeight="1">
      <c r="B2" s="320"/>
      <c r="E2" s="321"/>
      <c r="F2" s="321"/>
      <c r="I2" s="323" t="s">
        <v>474</v>
      </c>
      <c r="J2" s="323"/>
      <c r="K2" s="323"/>
      <c r="L2" s="323"/>
      <c r="M2" s="6"/>
      <c r="N2" s="6"/>
      <c r="O2" s="7"/>
    </row>
    <row r="3" spans="1:77" ht="0.75" customHeight="1">
      <c r="G3" s="324"/>
      <c r="H3" s="324"/>
      <c r="I3" s="324"/>
      <c r="J3" s="324"/>
      <c r="K3" s="324"/>
      <c r="L3" s="324"/>
      <c r="M3" s="6"/>
      <c r="N3" s="6"/>
      <c r="O3" s="7"/>
    </row>
    <row r="4" spans="1:77" ht="3" customHeight="1"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6"/>
      <c r="O4" s="7"/>
    </row>
    <row r="5" spans="1:77" s="325" customFormat="1" ht="40.5" customHeight="1" thickBot="1">
      <c r="A5" s="3635" t="s">
        <v>147</v>
      </c>
      <c r="B5" s="3635"/>
      <c r="C5" s="3635"/>
      <c r="D5" s="3635"/>
      <c r="E5" s="3635"/>
      <c r="F5" s="3635"/>
      <c r="G5" s="3635"/>
      <c r="H5" s="3635"/>
      <c r="I5" s="3635"/>
      <c r="J5" s="3635"/>
      <c r="K5" s="3635"/>
      <c r="L5" s="3635"/>
      <c r="M5" s="3635"/>
      <c r="N5" s="3635"/>
      <c r="O5" s="3635"/>
    </row>
    <row r="6" spans="1:77" s="327" customFormat="1" ht="55.5" customHeight="1" thickBot="1">
      <c r="A6" s="147"/>
      <c r="B6" s="3636" t="s">
        <v>75</v>
      </c>
      <c r="C6" s="3310" t="s">
        <v>71</v>
      </c>
      <c r="D6" s="3466" t="s">
        <v>117</v>
      </c>
      <c r="E6" s="3469" t="s">
        <v>461</v>
      </c>
      <c r="F6" s="3184" t="s">
        <v>525</v>
      </c>
      <c r="G6" s="3327" t="s">
        <v>457</v>
      </c>
      <c r="H6" s="3328"/>
      <c r="I6" s="3328"/>
      <c r="J6" s="3328"/>
      <c r="K6" s="3328"/>
      <c r="L6" s="3329"/>
      <c r="M6" s="3319" t="s">
        <v>478</v>
      </c>
      <c r="N6" s="3319" t="s">
        <v>458</v>
      </c>
      <c r="O6" s="3480" t="s">
        <v>73</v>
      </c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</row>
    <row r="7" spans="1:77" s="327" customFormat="1" ht="14.25" customHeight="1" thickBot="1">
      <c r="A7" s="148"/>
      <c r="B7" s="3636"/>
      <c r="C7" s="3311"/>
      <c r="D7" s="3468"/>
      <c r="E7" s="3471"/>
      <c r="F7" s="3186"/>
      <c r="G7" s="2607" t="s">
        <v>6</v>
      </c>
      <c r="H7" s="328" t="s">
        <v>206</v>
      </c>
      <c r="I7" s="328" t="s">
        <v>207</v>
      </c>
      <c r="J7" s="328" t="s">
        <v>255</v>
      </c>
      <c r="K7" s="328" t="s">
        <v>256</v>
      </c>
      <c r="L7" s="328" t="s">
        <v>257</v>
      </c>
      <c r="M7" s="3637"/>
      <c r="N7" s="3637"/>
      <c r="O7" s="3482"/>
      <c r="P7" s="179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</row>
    <row r="8" spans="1:77" s="327" customFormat="1" ht="12.75" customHeight="1">
      <c r="A8" s="1042">
        <v>1</v>
      </c>
      <c r="B8" s="1043">
        <v>2</v>
      </c>
      <c r="C8" s="1044" t="s">
        <v>118</v>
      </c>
      <c r="D8" s="1044" t="s">
        <v>119</v>
      </c>
      <c r="E8" s="1710">
        <v>5</v>
      </c>
      <c r="F8" s="1044">
        <v>6</v>
      </c>
      <c r="G8" s="1044">
        <v>7</v>
      </c>
      <c r="H8" s="1044">
        <v>8</v>
      </c>
      <c r="I8" s="1044">
        <v>9</v>
      </c>
      <c r="J8" s="1044">
        <v>10</v>
      </c>
      <c r="K8" s="1044">
        <v>11</v>
      </c>
      <c r="L8" s="1044">
        <v>12</v>
      </c>
      <c r="M8" s="1045">
        <v>13</v>
      </c>
      <c r="N8" s="1045">
        <v>13</v>
      </c>
      <c r="O8" s="1046">
        <v>14</v>
      </c>
      <c r="P8" s="327" t="s">
        <v>247</v>
      </c>
    </row>
    <row r="9" spans="1:77" s="1834" customFormat="1" ht="16.5" customHeight="1">
      <c r="A9" s="189"/>
      <c r="B9" s="427" t="s">
        <v>76</v>
      </c>
      <c r="C9" s="406"/>
      <c r="D9" s="407">
        <f>+D10+D11</f>
        <v>335894272</v>
      </c>
      <c r="E9" s="407">
        <f t="shared" ref="E9" si="0">+E10+E11</f>
        <v>27735923</v>
      </c>
      <c r="F9" s="407">
        <f t="shared" ref="F9:N9" si="1">+F10+F11</f>
        <v>30615437</v>
      </c>
      <c r="G9" s="407">
        <f t="shared" si="1"/>
        <v>47990920</v>
      </c>
      <c r="H9" s="222">
        <f t="shared" si="1"/>
        <v>91723054</v>
      </c>
      <c r="I9" s="222">
        <f t="shared" si="1"/>
        <v>59284086</v>
      </c>
      <c r="J9" s="222">
        <f t="shared" si="1"/>
        <v>27018513</v>
      </c>
      <c r="K9" s="222">
        <f t="shared" si="1"/>
        <v>26073404</v>
      </c>
      <c r="L9" s="222">
        <f t="shared" si="1"/>
        <v>25452935</v>
      </c>
      <c r="M9" s="150">
        <f t="shared" ref="M9" si="2">+M10+M11</f>
        <v>308158349</v>
      </c>
      <c r="N9" s="150">
        <f t="shared" si="1"/>
        <v>277542912</v>
      </c>
      <c r="O9" s="17"/>
      <c r="P9" s="329">
        <f>M9-M12</f>
        <v>0</v>
      </c>
      <c r="Q9" s="329"/>
    </row>
    <row r="10" spans="1:77" s="1834" customFormat="1">
      <c r="A10" s="189"/>
      <c r="B10" s="212" t="s">
        <v>77</v>
      </c>
      <c r="C10" s="213"/>
      <c r="D10" s="214">
        <f t="shared" ref="D10:L10" si="3">+D27+D72+D94-D102+D156+D186+D213-D217+D39</f>
        <v>235737524</v>
      </c>
      <c r="E10" s="214">
        <f t="shared" si="3"/>
        <v>26974240</v>
      </c>
      <c r="F10" s="214">
        <f t="shared" si="3"/>
        <v>29157729</v>
      </c>
      <c r="G10" s="214">
        <f t="shared" si="3"/>
        <v>38558620</v>
      </c>
      <c r="H10" s="214">
        <f t="shared" si="3"/>
        <v>33389582</v>
      </c>
      <c r="I10" s="214">
        <f t="shared" si="3"/>
        <v>29546001</v>
      </c>
      <c r="J10" s="214">
        <f t="shared" si="3"/>
        <v>26874013</v>
      </c>
      <c r="K10" s="214">
        <f t="shared" si="3"/>
        <v>25928904</v>
      </c>
      <c r="L10" s="214">
        <f t="shared" si="3"/>
        <v>25308435</v>
      </c>
      <c r="M10" s="594">
        <f>+M27+M72+M94+M156+M186+M213+M39</f>
        <v>208763284</v>
      </c>
      <c r="N10" s="594">
        <f>+N27+N72+N94+N156+N186+N213+N39</f>
        <v>179605555</v>
      </c>
      <c r="O10" s="17"/>
      <c r="P10" s="329">
        <f>F10+G10+H10+I10+J10+K10+L10-M10</f>
        <v>0</v>
      </c>
      <c r="Q10" s="329"/>
    </row>
    <row r="11" spans="1:77" s="1834" customFormat="1" ht="13.5" thickBot="1">
      <c r="A11" s="189"/>
      <c r="B11" s="215" t="s">
        <v>9</v>
      </c>
      <c r="C11" s="216"/>
      <c r="D11" s="217">
        <f>D60+D83+D119-D121+D170+D197+D226</f>
        <v>100156748</v>
      </c>
      <c r="E11" s="217">
        <f t="shared" ref="E11:L11" si="4">E60+E83+E119-E121+E170+E197+E226</f>
        <v>761683</v>
      </c>
      <c r="F11" s="217">
        <f t="shared" si="4"/>
        <v>1457708</v>
      </c>
      <c r="G11" s="217">
        <f t="shared" si="4"/>
        <v>9432300</v>
      </c>
      <c r="H11" s="217">
        <f t="shared" si="4"/>
        <v>58333472</v>
      </c>
      <c r="I11" s="217">
        <f t="shared" si="4"/>
        <v>29738085</v>
      </c>
      <c r="J11" s="217">
        <f t="shared" si="4"/>
        <v>144500</v>
      </c>
      <c r="K11" s="217">
        <f t="shared" si="4"/>
        <v>144500</v>
      </c>
      <c r="L11" s="217">
        <f t="shared" si="4"/>
        <v>144500</v>
      </c>
      <c r="M11" s="18">
        <f>+M60+M83+M119+M170+M197+M226</f>
        <v>99395065</v>
      </c>
      <c r="N11" s="18">
        <f>+N60+N83+N119+N170+N197+N226</f>
        <v>97937357</v>
      </c>
      <c r="O11" s="17"/>
      <c r="P11" s="329">
        <f>F11+G11+H11+I11+J11+K11+L11-M11</f>
        <v>0</v>
      </c>
    </row>
    <row r="12" spans="1:77" s="332" customFormat="1" ht="13.5" customHeight="1">
      <c r="A12" s="153"/>
      <c r="B12" s="154" t="s">
        <v>10</v>
      </c>
      <c r="C12" s="155"/>
      <c r="D12" s="156">
        <f>+D13+D18</f>
        <v>337500702</v>
      </c>
      <c r="E12" s="156">
        <f t="shared" ref="E12" si="5">+E13+E18</f>
        <v>28127039</v>
      </c>
      <c r="F12" s="156">
        <f t="shared" ref="F12:L12" si="6">+F13+F18</f>
        <v>31005316</v>
      </c>
      <c r="G12" s="156">
        <f t="shared" si="6"/>
        <v>48452567</v>
      </c>
      <c r="H12" s="156">
        <f t="shared" si="6"/>
        <v>91817322</v>
      </c>
      <c r="I12" s="156">
        <f t="shared" si="6"/>
        <v>59361551</v>
      </c>
      <c r="J12" s="156">
        <f t="shared" si="6"/>
        <v>27082532</v>
      </c>
      <c r="K12" s="156">
        <f t="shared" si="6"/>
        <v>26137422</v>
      </c>
      <c r="L12" s="156">
        <f t="shared" si="6"/>
        <v>25516953</v>
      </c>
      <c r="M12" s="190">
        <f>+M13+M18</f>
        <v>308158349</v>
      </c>
      <c r="N12" s="190">
        <f>+N13+N18</f>
        <v>277542912</v>
      </c>
      <c r="O12" s="151"/>
      <c r="P12" s="329"/>
      <c r="Q12" s="331"/>
    </row>
    <row r="13" spans="1:77" s="337" customFormat="1" ht="13.5" customHeight="1">
      <c r="A13" s="149"/>
      <c r="B13" s="157" t="s">
        <v>11</v>
      </c>
      <c r="C13" s="158"/>
      <c r="D13" s="333">
        <f>+D14+D15+D16+D17</f>
        <v>67684586</v>
      </c>
      <c r="E13" s="333">
        <f t="shared" ref="E13" si="7">+E14+E15+E16+E17</f>
        <v>4923411</v>
      </c>
      <c r="F13" s="333">
        <f t="shared" ref="F13:L13" si="8">+F14+F15+F16+F17</f>
        <v>5815596</v>
      </c>
      <c r="G13" s="333">
        <f t="shared" si="8"/>
        <v>8272200</v>
      </c>
      <c r="H13" s="333">
        <f t="shared" si="8"/>
        <v>21737595</v>
      </c>
      <c r="I13" s="333">
        <f t="shared" si="8"/>
        <v>16281498</v>
      </c>
      <c r="J13" s="333">
        <f t="shared" si="8"/>
        <v>4487584</v>
      </c>
      <c r="K13" s="333">
        <f t="shared" si="8"/>
        <v>3052728</v>
      </c>
      <c r="L13" s="333">
        <f t="shared" si="8"/>
        <v>3113974</v>
      </c>
      <c r="M13" s="334">
        <f>+M14+M15+M16+M17</f>
        <v>61545861</v>
      </c>
      <c r="N13" s="334">
        <f>+N14+N15+N16+N17</f>
        <v>56120144</v>
      </c>
      <c r="O13" s="335"/>
      <c r="P13" s="329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</row>
    <row r="14" spans="1:77" s="340" customFormat="1" ht="12" customHeight="1">
      <c r="A14" s="159"/>
      <c r="B14" s="160" t="s">
        <v>12</v>
      </c>
      <c r="C14" s="161"/>
      <c r="D14" s="338">
        <f t="shared" ref="D14:L14" si="9">+D96+D140+D215+D29+D41+D62</f>
        <v>63814873</v>
      </c>
      <c r="E14" s="338">
        <f t="shared" si="9"/>
        <v>4110906</v>
      </c>
      <c r="F14" s="338">
        <f t="shared" si="9"/>
        <v>5030072</v>
      </c>
      <c r="G14" s="338">
        <f t="shared" si="9"/>
        <v>6852560</v>
      </c>
      <c r="H14" s="338">
        <f t="shared" si="9"/>
        <v>21391699</v>
      </c>
      <c r="I14" s="338">
        <f t="shared" si="9"/>
        <v>15967405</v>
      </c>
      <c r="J14" s="338">
        <f t="shared" si="9"/>
        <v>4423565</v>
      </c>
      <c r="K14" s="338">
        <f t="shared" si="9"/>
        <v>2988710</v>
      </c>
      <c r="L14" s="338">
        <f t="shared" si="9"/>
        <v>3049956</v>
      </c>
      <c r="M14" s="339">
        <f>SUM(F14:L14)</f>
        <v>59703967</v>
      </c>
      <c r="N14" s="339">
        <f t="shared" ref="M14:N16" si="10">SUM(G14:L14)</f>
        <v>54673895</v>
      </c>
      <c r="O14" s="151"/>
      <c r="P14" s="329">
        <f t="shared" ref="P14:P19" si="11">F14+G14+H14+I14+J14+K14+L14-M14</f>
        <v>0</v>
      </c>
      <c r="Q14" s="340" t="s">
        <v>285</v>
      </c>
    </row>
    <row r="15" spans="1:77" s="340" customFormat="1" ht="11.25" customHeight="1">
      <c r="A15" s="159"/>
      <c r="B15" s="341" t="s">
        <v>13</v>
      </c>
      <c r="C15" s="342"/>
      <c r="D15" s="338">
        <f t="shared" ref="D15:L15" si="12">+D63+D74+D85+D216+D228+D45</f>
        <v>2263283</v>
      </c>
      <c r="E15" s="338">
        <f t="shared" si="12"/>
        <v>421389</v>
      </c>
      <c r="F15" s="338">
        <f t="shared" si="12"/>
        <v>395645</v>
      </c>
      <c r="G15" s="338">
        <f t="shared" si="12"/>
        <v>957993</v>
      </c>
      <c r="H15" s="338">
        <f t="shared" si="12"/>
        <v>251628</v>
      </c>
      <c r="I15" s="338">
        <f t="shared" si="12"/>
        <v>236628</v>
      </c>
      <c r="J15" s="338">
        <f t="shared" si="12"/>
        <v>0</v>
      </c>
      <c r="K15" s="338">
        <f t="shared" si="12"/>
        <v>0</v>
      </c>
      <c r="L15" s="338">
        <f t="shared" si="12"/>
        <v>0</v>
      </c>
      <c r="M15" s="339">
        <f>SUM(F15:L15)</f>
        <v>1841894</v>
      </c>
      <c r="N15" s="339">
        <f t="shared" si="10"/>
        <v>1446249</v>
      </c>
      <c r="O15" s="151"/>
      <c r="P15" s="329">
        <f t="shared" si="11"/>
        <v>0</v>
      </c>
    </row>
    <row r="16" spans="1:77" s="340" customFormat="1" ht="15" hidden="1" customHeight="1">
      <c r="A16" s="159"/>
      <c r="B16" s="341" t="s">
        <v>16</v>
      </c>
      <c r="C16" s="342"/>
      <c r="D16" s="343">
        <f>+D141</f>
        <v>0</v>
      </c>
      <c r="E16" s="343">
        <f t="shared" ref="E16:L16" si="13">+E141</f>
        <v>0</v>
      </c>
      <c r="F16" s="343">
        <f t="shared" si="13"/>
        <v>0</v>
      </c>
      <c r="G16" s="343">
        <f t="shared" si="13"/>
        <v>0</v>
      </c>
      <c r="H16" s="343">
        <f t="shared" si="13"/>
        <v>0</v>
      </c>
      <c r="I16" s="343">
        <f t="shared" si="13"/>
        <v>0</v>
      </c>
      <c r="J16" s="343">
        <f t="shared" si="13"/>
        <v>0</v>
      </c>
      <c r="K16" s="343">
        <f t="shared" si="13"/>
        <v>0</v>
      </c>
      <c r="L16" s="343">
        <f t="shared" si="13"/>
        <v>0</v>
      </c>
      <c r="M16" s="339">
        <f t="shared" si="10"/>
        <v>0</v>
      </c>
      <c r="N16" s="339">
        <f t="shared" si="10"/>
        <v>0</v>
      </c>
      <c r="O16" s="151"/>
      <c r="P16" s="329">
        <f t="shared" si="11"/>
        <v>0</v>
      </c>
    </row>
    <row r="17" spans="1:27" s="340" customFormat="1" ht="12" customHeight="1">
      <c r="A17" s="159"/>
      <c r="B17" s="341" t="s">
        <v>32</v>
      </c>
      <c r="C17" s="342"/>
      <c r="D17" s="343">
        <f t="shared" ref="D17:L17" si="14">D102+D121+D217</f>
        <v>1606430</v>
      </c>
      <c r="E17" s="343">
        <f t="shared" si="14"/>
        <v>391116</v>
      </c>
      <c r="F17" s="343">
        <f t="shared" si="14"/>
        <v>389879</v>
      </c>
      <c r="G17" s="343">
        <f t="shared" si="14"/>
        <v>461647</v>
      </c>
      <c r="H17" s="343">
        <f t="shared" si="14"/>
        <v>94268</v>
      </c>
      <c r="I17" s="343">
        <f t="shared" si="14"/>
        <v>77465</v>
      </c>
      <c r="J17" s="343">
        <f t="shared" si="14"/>
        <v>64019</v>
      </c>
      <c r="K17" s="343">
        <f t="shared" si="14"/>
        <v>64018</v>
      </c>
      <c r="L17" s="343">
        <f t="shared" si="14"/>
        <v>64018</v>
      </c>
      <c r="M17" s="344">
        <f>M102+M121</f>
        <v>0</v>
      </c>
      <c r="N17" s="344">
        <f>N102+N121</f>
        <v>0</v>
      </c>
      <c r="O17" s="151"/>
      <c r="P17" s="329">
        <f>D15-D22</f>
        <v>0</v>
      </c>
    </row>
    <row r="18" spans="1:27" s="337" customFormat="1" ht="12" customHeight="1">
      <c r="A18" s="149"/>
      <c r="B18" s="162" t="s">
        <v>18</v>
      </c>
      <c r="C18" s="163"/>
      <c r="D18" s="164">
        <f>SUM(D19)</f>
        <v>269816116</v>
      </c>
      <c r="E18" s="164">
        <f t="shared" ref="E18" si="15">SUM(E19)</f>
        <v>23203628</v>
      </c>
      <c r="F18" s="164">
        <f t="shared" ref="F18:N18" si="16">SUM(F19)</f>
        <v>25189720</v>
      </c>
      <c r="G18" s="164">
        <f t="shared" si="16"/>
        <v>40180367</v>
      </c>
      <c r="H18" s="164">
        <f t="shared" si="16"/>
        <v>70079727</v>
      </c>
      <c r="I18" s="164">
        <f t="shared" si="16"/>
        <v>43080053</v>
      </c>
      <c r="J18" s="164">
        <f t="shared" si="16"/>
        <v>22594948</v>
      </c>
      <c r="K18" s="164">
        <f t="shared" si="16"/>
        <v>23084694</v>
      </c>
      <c r="L18" s="164">
        <f t="shared" si="16"/>
        <v>22402979</v>
      </c>
      <c r="M18" s="334">
        <f t="shared" si="16"/>
        <v>246612488</v>
      </c>
      <c r="N18" s="334">
        <f t="shared" si="16"/>
        <v>221422768</v>
      </c>
      <c r="O18" s="335"/>
      <c r="P18" s="329">
        <f t="shared" si="11"/>
        <v>0</v>
      </c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</row>
    <row r="19" spans="1:27" s="349" customFormat="1" ht="12" customHeight="1">
      <c r="A19" s="165"/>
      <c r="B19" s="345" t="s">
        <v>21</v>
      </c>
      <c r="C19" s="346"/>
      <c r="D19" s="338">
        <f t="shared" ref="D19:L19" si="17">+D31+D65+D76+D87+D106+D125+D143+D219+D230+D50</f>
        <v>269816116</v>
      </c>
      <c r="E19" s="338">
        <f t="shared" si="17"/>
        <v>23203628</v>
      </c>
      <c r="F19" s="338">
        <f t="shared" si="17"/>
        <v>25189720</v>
      </c>
      <c r="G19" s="338">
        <f t="shared" si="17"/>
        <v>40180367</v>
      </c>
      <c r="H19" s="338">
        <f t="shared" si="17"/>
        <v>70079727</v>
      </c>
      <c r="I19" s="338">
        <f t="shared" si="17"/>
        <v>43080053</v>
      </c>
      <c r="J19" s="338">
        <f t="shared" si="17"/>
        <v>22594948</v>
      </c>
      <c r="K19" s="338">
        <f t="shared" si="17"/>
        <v>23084694</v>
      </c>
      <c r="L19" s="338">
        <f t="shared" si="17"/>
        <v>22402979</v>
      </c>
      <c r="M19" s="339">
        <f>SUM(F19:L19)</f>
        <v>246612488</v>
      </c>
      <c r="N19" s="339">
        <f>SUM(G19:L19)</f>
        <v>221422768</v>
      </c>
      <c r="O19" s="347"/>
      <c r="P19" s="329">
        <f t="shared" si="11"/>
        <v>0</v>
      </c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</row>
    <row r="20" spans="1:27" s="349" customFormat="1" ht="12.75" customHeight="1">
      <c r="A20" s="165"/>
      <c r="B20" s="80" t="s">
        <v>22</v>
      </c>
      <c r="C20" s="411"/>
      <c r="D20" s="412">
        <f>+D21+D24</f>
        <v>272079399</v>
      </c>
      <c r="E20" s="412">
        <f t="shared" ref="E20" si="18">+E21+E24</f>
        <v>17792390</v>
      </c>
      <c r="F20" s="412">
        <f t="shared" ref="F20:L20" si="19">+F21+F24</f>
        <v>26599494</v>
      </c>
      <c r="G20" s="412">
        <f t="shared" si="19"/>
        <v>41406593</v>
      </c>
      <c r="H20" s="412">
        <f t="shared" si="19"/>
        <v>67035201</v>
      </c>
      <c r="I20" s="412">
        <f t="shared" si="19"/>
        <v>43430016</v>
      </c>
      <c r="J20" s="412">
        <f t="shared" si="19"/>
        <v>22721431</v>
      </c>
      <c r="K20" s="412">
        <f t="shared" si="19"/>
        <v>22935629</v>
      </c>
      <c r="L20" s="412">
        <f t="shared" si="19"/>
        <v>22764014</v>
      </c>
      <c r="M20" s="3638" t="s">
        <v>61</v>
      </c>
      <c r="N20" s="3638" t="s">
        <v>61</v>
      </c>
      <c r="O20" s="151"/>
      <c r="P20" s="353">
        <f>D77+D88+D115+D134+D147+D220+D54+D35+D66+D231</f>
        <v>272079399</v>
      </c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</row>
    <row r="21" spans="1:27" s="337" customFormat="1" ht="12" customHeight="1">
      <c r="A21" s="149"/>
      <c r="B21" s="157" t="s">
        <v>11</v>
      </c>
      <c r="C21" s="158"/>
      <c r="D21" s="333">
        <f>+D22+D23</f>
        <v>2263283</v>
      </c>
      <c r="E21" s="333">
        <f t="shared" ref="E21" si="20">+E22+E23</f>
        <v>413005</v>
      </c>
      <c r="F21" s="333">
        <f t="shared" ref="F21:L21" si="21">+F22+F23</f>
        <v>369575</v>
      </c>
      <c r="G21" s="333">
        <f t="shared" si="21"/>
        <v>969040</v>
      </c>
      <c r="H21" s="333">
        <f t="shared" si="21"/>
        <v>261721</v>
      </c>
      <c r="I21" s="333">
        <f t="shared" si="21"/>
        <v>236628</v>
      </c>
      <c r="J21" s="333">
        <f t="shared" si="21"/>
        <v>13314</v>
      </c>
      <c r="K21" s="333">
        <f t="shared" si="21"/>
        <v>0</v>
      </c>
      <c r="L21" s="333">
        <f t="shared" si="21"/>
        <v>0</v>
      </c>
      <c r="M21" s="3518"/>
      <c r="N21" s="3518"/>
      <c r="O21" s="335"/>
      <c r="P21" s="353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</row>
    <row r="22" spans="1:27" s="349" customFormat="1" ht="12" customHeight="1">
      <c r="A22" s="165"/>
      <c r="B22" s="341" t="s">
        <v>13</v>
      </c>
      <c r="C22" s="350"/>
      <c r="D22" s="338">
        <f t="shared" ref="D22:L22" si="22">+D68+D79+D222+D233+D90+D56</f>
        <v>2263283</v>
      </c>
      <c r="E22" s="338">
        <f t="shared" si="22"/>
        <v>413005</v>
      </c>
      <c r="F22" s="338">
        <f t="shared" si="22"/>
        <v>369575</v>
      </c>
      <c r="G22" s="338">
        <f t="shared" si="22"/>
        <v>969040</v>
      </c>
      <c r="H22" s="338">
        <f t="shared" si="22"/>
        <v>261721</v>
      </c>
      <c r="I22" s="338">
        <f t="shared" si="22"/>
        <v>236628</v>
      </c>
      <c r="J22" s="338">
        <f t="shared" si="22"/>
        <v>13314</v>
      </c>
      <c r="K22" s="338">
        <f t="shared" si="22"/>
        <v>0</v>
      </c>
      <c r="L22" s="338">
        <f t="shared" si="22"/>
        <v>0</v>
      </c>
      <c r="M22" s="3518"/>
      <c r="N22" s="3518"/>
      <c r="O22" s="347"/>
      <c r="P22" s="353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</row>
    <row r="23" spans="1:27" s="349" customFormat="1" ht="12" hidden="1" customHeight="1">
      <c r="A23" s="165"/>
      <c r="B23" s="341" t="s">
        <v>16</v>
      </c>
      <c r="C23" s="350"/>
      <c r="D23" s="343">
        <f>+D149</f>
        <v>0</v>
      </c>
      <c r="E23" s="343">
        <f>+E149</f>
        <v>0</v>
      </c>
      <c r="F23" s="343">
        <f>+F149</f>
        <v>0</v>
      </c>
      <c r="G23" s="343">
        <f t="shared" ref="G23:L23" si="23">+G149</f>
        <v>0</v>
      </c>
      <c r="H23" s="343">
        <f t="shared" si="23"/>
        <v>0</v>
      </c>
      <c r="I23" s="343">
        <f t="shared" si="23"/>
        <v>0</v>
      </c>
      <c r="J23" s="343">
        <f t="shared" si="23"/>
        <v>0</v>
      </c>
      <c r="K23" s="343">
        <f t="shared" si="23"/>
        <v>0</v>
      </c>
      <c r="L23" s="343">
        <f t="shared" si="23"/>
        <v>0</v>
      </c>
      <c r="M23" s="3518"/>
      <c r="N23" s="3518"/>
      <c r="O23" s="347"/>
      <c r="P23" s="353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</row>
    <row r="24" spans="1:27" s="337" customFormat="1" ht="12" customHeight="1">
      <c r="A24" s="149"/>
      <c r="B24" s="162" t="s">
        <v>18</v>
      </c>
      <c r="C24" s="163"/>
      <c r="D24" s="164">
        <f>+D25</f>
        <v>269816116</v>
      </c>
      <c r="E24" s="164">
        <f t="shared" ref="E24" si="24">+E25</f>
        <v>17379385</v>
      </c>
      <c r="F24" s="164">
        <f t="shared" ref="F24:L24" si="25">+F25</f>
        <v>26229919</v>
      </c>
      <c r="G24" s="164">
        <f t="shared" si="25"/>
        <v>40437553</v>
      </c>
      <c r="H24" s="164">
        <f t="shared" si="25"/>
        <v>66773480</v>
      </c>
      <c r="I24" s="164">
        <f t="shared" si="25"/>
        <v>43193388</v>
      </c>
      <c r="J24" s="164">
        <f t="shared" si="25"/>
        <v>22708117</v>
      </c>
      <c r="K24" s="164">
        <f t="shared" si="25"/>
        <v>22935629</v>
      </c>
      <c r="L24" s="164">
        <f t="shared" si="25"/>
        <v>22764014</v>
      </c>
      <c r="M24" s="3518"/>
      <c r="N24" s="3518"/>
      <c r="O24" s="335"/>
      <c r="P24" s="353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</row>
    <row r="25" spans="1:27" s="349" customFormat="1" ht="12" customHeight="1" thickBot="1">
      <c r="A25" s="166"/>
      <c r="B25" s="351" t="s">
        <v>21</v>
      </c>
      <c r="C25" s="167"/>
      <c r="D25" s="168">
        <f t="shared" ref="D25:L25" si="26">+D37+D70+D81+D92+D117+D136+D151+D224+D235+D58</f>
        <v>269816116</v>
      </c>
      <c r="E25" s="168">
        <f t="shared" si="26"/>
        <v>17379385</v>
      </c>
      <c r="F25" s="168">
        <f t="shared" si="26"/>
        <v>26229919</v>
      </c>
      <c r="G25" s="168">
        <f t="shared" si="26"/>
        <v>40437553</v>
      </c>
      <c r="H25" s="168">
        <f t="shared" si="26"/>
        <v>66773480</v>
      </c>
      <c r="I25" s="168">
        <f t="shared" si="26"/>
        <v>43193388</v>
      </c>
      <c r="J25" s="168">
        <f t="shared" si="26"/>
        <v>22708117</v>
      </c>
      <c r="K25" s="168">
        <f t="shared" si="26"/>
        <v>22935629</v>
      </c>
      <c r="L25" s="168">
        <f t="shared" si="26"/>
        <v>22764014</v>
      </c>
      <c r="M25" s="3519"/>
      <c r="N25" s="3519"/>
      <c r="O25" s="352"/>
      <c r="P25" s="353">
        <f>D19-D25</f>
        <v>0</v>
      </c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</row>
    <row r="26" spans="1:27" s="348" customFormat="1" ht="25.5" customHeight="1">
      <c r="A26" s="3613" t="s">
        <v>63</v>
      </c>
      <c r="B26" s="169" t="s">
        <v>566</v>
      </c>
      <c r="C26" s="170" t="s">
        <v>109</v>
      </c>
      <c r="D26" s="186"/>
      <c r="E26" s="185"/>
      <c r="F26" s="185"/>
      <c r="G26" s="185"/>
      <c r="H26" s="185"/>
      <c r="I26" s="185"/>
      <c r="J26" s="185"/>
      <c r="K26" s="185"/>
      <c r="L26" s="259"/>
      <c r="M26" s="354"/>
      <c r="N26" s="354"/>
      <c r="O26" s="3645" t="s">
        <v>342</v>
      </c>
      <c r="P26" s="353"/>
    </row>
    <row r="27" spans="1:27" s="348" customFormat="1" ht="14.25" customHeight="1">
      <c r="A27" s="3614"/>
      <c r="B27" s="21" t="s">
        <v>10</v>
      </c>
      <c r="C27" s="2768"/>
      <c r="D27" s="355">
        <f>+D28+D30</f>
        <v>1966760</v>
      </c>
      <c r="E27" s="355">
        <f t="shared" ref="E27" si="27">+E28+E30</f>
        <v>192432</v>
      </c>
      <c r="F27" s="355">
        <f t="shared" ref="F27:K27" si="28">+F28+F30</f>
        <v>190282</v>
      </c>
      <c r="G27" s="355">
        <f t="shared" si="28"/>
        <v>310701</v>
      </c>
      <c r="H27" s="355">
        <f t="shared" si="28"/>
        <v>281170</v>
      </c>
      <c r="I27" s="355">
        <f t="shared" si="28"/>
        <v>281170</v>
      </c>
      <c r="J27" s="355">
        <f t="shared" si="28"/>
        <v>280970</v>
      </c>
      <c r="K27" s="355">
        <f t="shared" si="28"/>
        <v>430035</v>
      </c>
      <c r="L27" s="355"/>
      <c r="M27" s="2769">
        <f>M28+M30</f>
        <v>1774328</v>
      </c>
      <c r="N27" s="2769">
        <f>N28+N30</f>
        <v>1584046</v>
      </c>
      <c r="O27" s="3646"/>
      <c r="P27" s="329"/>
    </row>
    <row r="28" spans="1:27" s="2256" customFormat="1" ht="12" customHeight="1">
      <c r="A28" s="3614"/>
      <c r="B28" s="633" t="s">
        <v>24</v>
      </c>
      <c r="C28" s="3623" t="s">
        <v>148</v>
      </c>
      <c r="D28" s="356">
        <f>+D29</f>
        <v>2000</v>
      </c>
      <c r="E28" s="356">
        <f t="shared" ref="E28" si="29">+E29</f>
        <v>10</v>
      </c>
      <c r="F28" s="356">
        <f t="shared" ref="F28:K28" si="30">+F29</f>
        <v>0</v>
      </c>
      <c r="G28" s="356">
        <f t="shared" si="30"/>
        <v>790</v>
      </c>
      <c r="H28" s="356">
        <f t="shared" si="30"/>
        <v>400</v>
      </c>
      <c r="I28" s="356">
        <f t="shared" si="30"/>
        <v>400</v>
      </c>
      <c r="J28" s="356">
        <f t="shared" si="30"/>
        <v>200</v>
      </c>
      <c r="K28" s="356">
        <f t="shared" si="30"/>
        <v>200</v>
      </c>
      <c r="L28" s="356"/>
      <c r="M28" s="357">
        <f>+M29</f>
        <v>1990</v>
      </c>
      <c r="N28" s="357">
        <f>+N29</f>
        <v>1990</v>
      </c>
      <c r="O28" s="3646"/>
      <c r="P28" s="2255"/>
    </row>
    <row r="29" spans="1:27" s="2256" customFormat="1" ht="11.25" customHeight="1">
      <c r="A29" s="3614"/>
      <c r="B29" s="172" t="s">
        <v>12</v>
      </c>
      <c r="C29" s="3594"/>
      <c r="D29" s="247">
        <f>E29+F29+G29+H29+I29+J29+K29+L29</f>
        <v>2000</v>
      </c>
      <c r="E29" s="1455">
        <v>10</v>
      </c>
      <c r="F29" s="1455">
        <f>300-300</f>
        <v>0</v>
      </c>
      <c r="G29" s="1455">
        <f>400+90+300</f>
        <v>790</v>
      </c>
      <c r="H29" s="1455">
        <v>400</v>
      </c>
      <c r="I29" s="1455">
        <v>400</v>
      </c>
      <c r="J29" s="1455">
        <v>200</v>
      </c>
      <c r="K29" s="1455">
        <v>200</v>
      </c>
      <c r="L29" s="2770"/>
      <c r="M29" s="695">
        <f>SUM(F29:K29)</f>
        <v>1990</v>
      </c>
      <c r="N29" s="695">
        <f>SUM(G29:L29)</f>
        <v>1990</v>
      </c>
      <c r="O29" s="3646"/>
      <c r="P29" s="2257"/>
    </row>
    <row r="30" spans="1:27" s="348" customFormat="1" ht="12" customHeight="1">
      <c r="A30" s="3614"/>
      <c r="B30" s="685" t="s">
        <v>18</v>
      </c>
      <c r="C30" s="3595"/>
      <c r="D30" s="358">
        <f>+D31</f>
        <v>1964760</v>
      </c>
      <c r="E30" s="358">
        <f t="shared" ref="E30:K30" si="31">E31</f>
        <v>192422</v>
      </c>
      <c r="F30" s="358">
        <f t="shared" si="31"/>
        <v>190282</v>
      </c>
      <c r="G30" s="358">
        <f t="shared" si="31"/>
        <v>309911</v>
      </c>
      <c r="H30" s="358">
        <f t="shared" si="31"/>
        <v>280770</v>
      </c>
      <c r="I30" s="358">
        <f t="shared" si="31"/>
        <v>280770</v>
      </c>
      <c r="J30" s="358">
        <f t="shared" si="31"/>
        <v>280770</v>
      </c>
      <c r="K30" s="358">
        <f t="shared" si="31"/>
        <v>429835</v>
      </c>
      <c r="L30" s="358"/>
      <c r="M30" s="357">
        <f>+M31</f>
        <v>1772338</v>
      </c>
      <c r="N30" s="357">
        <f>+N31</f>
        <v>1582056</v>
      </c>
      <c r="O30" s="3646"/>
      <c r="P30" s="353"/>
      <c r="Q30" s="353"/>
    </row>
    <row r="31" spans="1:27" s="1834" customFormat="1">
      <c r="A31" s="3614"/>
      <c r="B31" s="1456" t="s">
        <v>21</v>
      </c>
      <c r="C31" s="3596"/>
      <c r="D31" s="247">
        <f>E31+F31+G31+H31+I31+J31+K31+L31</f>
        <v>1964760</v>
      </c>
      <c r="E31" s="1455">
        <f>+E33+E34</f>
        <v>192422</v>
      </c>
      <c r="F31" s="247">
        <f t="shared" ref="F31:K31" si="32">SUM(F33:F34)</f>
        <v>190282</v>
      </c>
      <c r="G31" s="247">
        <f t="shared" si="32"/>
        <v>309911</v>
      </c>
      <c r="H31" s="247">
        <f t="shared" si="32"/>
        <v>280770</v>
      </c>
      <c r="I31" s="247">
        <f t="shared" si="32"/>
        <v>280770</v>
      </c>
      <c r="J31" s="247">
        <f t="shared" si="32"/>
        <v>280770</v>
      </c>
      <c r="K31" s="247">
        <f t="shared" si="32"/>
        <v>429835</v>
      </c>
      <c r="L31" s="2771"/>
      <c r="M31" s="695">
        <f>SUM(F31:L31)</f>
        <v>1772338</v>
      </c>
      <c r="N31" s="695">
        <f>SUM(G31:L31)</f>
        <v>1582056</v>
      </c>
      <c r="O31" s="3646"/>
      <c r="P31" s="329"/>
    </row>
    <row r="32" spans="1:27" s="1834" customFormat="1" hidden="1">
      <c r="A32" s="3614"/>
      <c r="B32" s="2772" t="s">
        <v>395</v>
      </c>
      <c r="C32" s="2628"/>
      <c r="D32" s="949"/>
      <c r="E32" s="2773"/>
      <c r="F32" s="2773"/>
      <c r="G32" s="2773"/>
      <c r="H32" s="2773"/>
      <c r="I32" s="2773"/>
      <c r="J32" s="2773"/>
      <c r="K32" s="2773"/>
      <c r="L32" s="2773"/>
      <c r="M32" s="2774"/>
      <c r="N32" s="2774"/>
      <c r="O32" s="3646"/>
      <c r="P32" s="329"/>
    </row>
    <row r="33" spans="1:16" s="1834" customFormat="1" hidden="1">
      <c r="A33" s="3614"/>
      <c r="B33" s="2775" t="s">
        <v>293</v>
      </c>
      <c r="C33" s="2625"/>
      <c r="D33" s="1007">
        <f>SUM(E33:K33)</f>
        <v>1881600</v>
      </c>
      <c r="E33" s="2776">
        <v>187905</v>
      </c>
      <c r="F33" s="2776">
        <f>268800-68800-19862</f>
        <v>180138</v>
      </c>
      <c r="G33" s="2776">
        <f>268800+19862</f>
        <v>288662</v>
      </c>
      <c r="H33" s="2776">
        <v>268800</v>
      </c>
      <c r="I33" s="2776">
        <v>268800</v>
      </c>
      <c r="J33" s="2776">
        <v>268800</v>
      </c>
      <c r="K33" s="2776">
        <f>268800+80895+68800</f>
        <v>418495</v>
      </c>
      <c r="L33" s="2776"/>
      <c r="M33" s="2777">
        <f>SUM(F33:K33)</f>
        <v>1693695</v>
      </c>
      <c r="N33" s="2777">
        <f>SUM(F33:L33)</f>
        <v>1693695</v>
      </c>
      <c r="O33" s="3646"/>
      <c r="P33" s="329"/>
    </row>
    <row r="34" spans="1:16" s="1834" customFormat="1" hidden="1">
      <c r="A34" s="3614"/>
      <c r="B34" s="2775" t="s">
        <v>110</v>
      </c>
      <c r="C34" s="2625"/>
      <c r="D34" s="949">
        <f>+E34+F34+G34+H34+I34+J34+K34</f>
        <v>83160</v>
      </c>
      <c r="E34" s="2778">
        <v>4517</v>
      </c>
      <c r="F34" s="2778">
        <f>11970-1826</f>
        <v>10144</v>
      </c>
      <c r="G34" s="2778">
        <f>11970+7453+1826</f>
        <v>21249</v>
      </c>
      <c r="H34" s="2778">
        <v>11970</v>
      </c>
      <c r="I34" s="2778">
        <v>11970</v>
      </c>
      <c r="J34" s="2778">
        <v>11970</v>
      </c>
      <c r="K34" s="2778">
        <v>11340</v>
      </c>
      <c r="L34" s="2778"/>
      <c r="M34" s="2779">
        <f>SUM(F34:K34)</f>
        <v>78643</v>
      </c>
      <c r="N34" s="2779">
        <f>SUM(F34:L34)</f>
        <v>78643</v>
      </c>
      <c r="O34" s="3646"/>
      <c r="P34" s="329"/>
    </row>
    <row r="35" spans="1:16" s="1834" customFormat="1" ht="12.75" customHeight="1">
      <c r="A35" s="3227"/>
      <c r="B35" s="21" t="s">
        <v>22</v>
      </c>
      <c r="C35" s="174"/>
      <c r="D35" s="355">
        <f>+D36</f>
        <v>1964760</v>
      </c>
      <c r="E35" s="355">
        <f t="shared" ref="E35:L35" si="33">+E36</f>
        <v>0</v>
      </c>
      <c r="F35" s="355">
        <f t="shared" si="33"/>
        <v>0</v>
      </c>
      <c r="G35" s="355">
        <f t="shared" si="33"/>
        <v>473192</v>
      </c>
      <c r="H35" s="355">
        <f t="shared" si="33"/>
        <v>288223</v>
      </c>
      <c r="I35" s="355">
        <f t="shared" si="33"/>
        <v>280770</v>
      </c>
      <c r="J35" s="355">
        <f t="shared" si="33"/>
        <v>280770</v>
      </c>
      <c r="K35" s="355">
        <f t="shared" si="33"/>
        <v>280770</v>
      </c>
      <c r="L35" s="355">
        <f t="shared" si="33"/>
        <v>361035</v>
      </c>
      <c r="M35" s="3597" t="s">
        <v>61</v>
      </c>
      <c r="N35" s="3597" t="s">
        <v>61</v>
      </c>
      <c r="O35" s="3646"/>
      <c r="P35" s="329">
        <f>G35-'[1]Tab. 6E - Administracja'!$G$35</f>
        <v>0</v>
      </c>
    </row>
    <row r="36" spans="1:16" s="1834" customFormat="1" ht="12.75" customHeight="1">
      <c r="A36" s="3227"/>
      <c r="B36" s="2780" t="s">
        <v>18</v>
      </c>
      <c r="C36" s="3595" t="s">
        <v>148</v>
      </c>
      <c r="D36" s="358">
        <f>+D37</f>
        <v>1964760</v>
      </c>
      <c r="E36" s="358">
        <f t="shared" ref="E36:L36" si="34">E37</f>
        <v>0</v>
      </c>
      <c r="F36" s="358">
        <f t="shared" si="34"/>
        <v>0</v>
      </c>
      <c r="G36" s="358">
        <f t="shared" si="34"/>
        <v>473192</v>
      </c>
      <c r="H36" s="358">
        <f t="shared" si="34"/>
        <v>288223</v>
      </c>
      <c r="I36" s="358">
        <f t="shared" si="34"/>
        <v>280770</v>
      </c>
      <c r="J36" s="358">
        <f t="shared" si="34"/>
        <v>280770</v>
      </c>
      <c r="K36" s="358">
        <f t="shared" si="34"/>
        <v>280770</v>
      </c>
      <c r="L36" s="358">
        <f t="shared" si="34"/>
        <v>361035</v>
      </c>
      <c r="M36" s="3521"/>
      <c r="N36" s="3521"/>
      <c r="O36" s="3646"/>
    </row>
    <row r="37" spans="1:16" s="1834" customFormat="1" ht="12" customHeight="1" thickBot="1">
      <c r="A37" s="3228"/>
      <c r="B37" s="360" t="s">
        <v>21</v>
      </c>
      <c r="C37" s="3598"/>
      <c r="D37" s="247">
        <f>E37+F37+G37+H37+I37+J37+K37+L37</f>
        <v>1964760</v>
      </c>
      <c r="E37" s="1455">
        <v>0</v>
      </c>
      <c r="F37" s="2771">
        <f>192422-192422</f>
        <v>0</v>
      </c>
      <c r="G37" s="2771">
        <f>280770+192422</f>
        <v>473192</v>
      </c>
      <c r="H37" s="2771">
        <f>288223</f>
        <v>288223</v>
      </c>
      <c r="I37" s="2771">
        <v>280770</v>
      </c>
      <c r="J37" s="2771">
        <v>280770</v>
      </c>
      <c r="K37" s="2771">
        <v>280770</v>
      </c>
      <c r="L37" s="2771">
        <v>361035</v>
      </c>
      <c r="M37" s="3522"/>
      <c r="N37" s="3522"/>
      <c r="O37" s="3647"/>
      <c r="P37" s="329">
        <f>D37-D31</f>
        <v>0</v>
      </c>
    </row>
    <row r="38" spans="1:16" s="1834" customFormat="1" ht="30" customHeight="1">
      <c r="A38" s="3613" t="s">
        <v>64</v>
      </c>
      <c r="B38" s="169" t="s">
        <v>416</v>
      </c>
      <c r="C38" s="170" t="s">
        <v>109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>
        <f t="shared" ref="M38" si="35">M43+M47+M52</f>
        <v>783552</v>
      </c>
      <c r="N38" s="186"/>
      <c r="O38" s="3645" t="s">
        <v>316</v>
      </c>
      <c r="P38" s="1834" t="s">
        <v>430</v>
      </c>
    </row>
    <row r="39" spans="1:16" s="1834" customFormat="1" ht="12" customHeight="1">
      <c r="A39" s="3614"/>
      <c r="B39" s="662" t="s">
        <v>10</v>
      </c>
      <c r="C39" s="1749"/>
      <c r="D39" s="2781">
        <f t="shared" ref="D39:I39" si="36">+D40+D49</f>
        <v>1333052</v>
      </c>
      <c r="E39" s="2781">
        <f t="shared" si="36"/>
        <v>83853</v>
      </c>
      <c r="F39" s="2781">
        <f t="shared" si="36"/>
        <v>248327</v>
      </c>
      <c r="G39" s="2781">
        <f t="shared" si="36"/>
        <v>467622</v>
      </c>
      <c r="H39" s="2781">
        <f t="shared" si="36"/>
        <v>266680</v>
      </c>
      <c r="I39" s="2781">
        <f t="shared" si="36"/>
        <v>266570</v>
      </c>
      <c r="J39" s="2782">
        <v>0</v>
      </c>
      <c r="K39" s="2781"/>
      <c r="L39" s="2781"/>
      <c r="M39" s="2783">
        <f>+M40+M49</f>
        <v>1249199</v>
      </c>
      <c r="N39" s="2783">
        <f>+N40+N49</f>
        <v>1000872</v>
      </c>
      <c r="O39" s="3646"/>
      <c r="P39" s="329"/>
    </row>
    <row r="40" spans="1:16" s="1834" customFormat="1" ht="12" customHeight="1">
      <c r="A40" s="3614"/>
      <c r="B40" s="633" t="s">
        <v>24</v>
      </c>
      <c r="C40" s="3644" t="s">
        <v>148</v>
      </c>
      <c r="D40" s="1750">
        <f>+D41+D45</f>
        <v>201234</v>
      </c>
      <c r="E40" s="1750">
        <f>+E41+E45</f>
        <v>12587</v>
      </c>
      <c r="F40" s="1750">
        <f t="shared" ref="F40:I40" si="37">+F41+F45</f>
        <v>37319</v>
      </c>
      <c r="G40" s="1750">
        <f t="shared" si="37"/>
        <v>70754</v>
      </c>
      <c r="H40" s="1750">
        <f t="shared" si="37"/>
        <v>40342</v>
      </c>
      <c r="I40" s="1750">
        <f t="shared" si="37"/>
        <v>40232</v>
      </c>
      <c r="J40" s="2784">
        <v>0</v>
      </c>
      <c r="K40" s="1750"/>
      <c r="L40" s="1750"/>
      <c r="M40" s="1751">
        <f>+M41+M45</f>
        <v>188647</v>
      </c>
      <c r="N40" s="1751">
        <f>+N41+N45</f>
        <v>151328</v>
      </c>
      <c r="O40" s="3646"/>
    </row>
    <row r="41" spans="1:16" s="1834" customFormat="1" ht="12" customHeight="1">
      <c r="A41" s="3614"/>
      <c r="B41" s="172" t="s">
        <v>12</v>
      </c>
      <c r="C41" s="3594"/>
      <c r="D41" s="1715">
        <f>E41+F41+G41+H41+I41+J41+K41+L41</f>
        <v>68078</v>
      </c>
      <c r="E41" s="1752">
        <f>+E43+E44</f>
        <v>4203</v>
      </c>
      <c r="F41" s="2785">
        <f t="shared" ref="F41:I41" si="38">+F43+F44</f>
        <v>12494</v>
      </c>
      <c r="G41" s="2785">
        <f t="shared" si="38"/>
        <v>24063</v>
      </c>
      <c r="H41" s="2785">
        <f t="shared" si="38"/>
        <v>13714</v>
      </c>
      <c r="I41" s="2785">
        <f t="shared" si="38"/>
        <v>13604</v>
      </c>
      <c r="J41" s="2786">
        <v>0</v>
      </c>
      <c r="K41" s="433"/>
      <c r="L41" s="433"/>
      <c r="M41" s="695">
        <f>SUM(F41:K41)</f>
        <v>63875</v>
      </c>
      <c r="N41" s="695">
        <f>SUM(G41:L41)</f>
        <v>51381</v>
      </c>
      <c r="O41" s="3646"/>
    </row>
    <row r="42" spans="1:16" s="1834" customFormat="1" ht="12" hidden="1" customHeight="1">
      <c r="A42" s="3614"/>
      <c r="B42" s="172" t="s">
        <v>149</v>
      </c>
      <c r="C42" s="3594"/>
      <c r="D42" s="1715"/>
      <c r="E42" s="1752"/>
      <c r="F42" s="2785"/>
      <c r="G42" s="2785"/>
      <c r="H42" s="2785"/>
      <c r="I42" s="2785"/>
      <c r="J42" s="2786"/>
      <c r="K42" s="433"/>
      <c r="L42" s="433"/>
      <c r="M42" s="1751"/>
      <c r="N42" s="1751"/>
      <c r="O42" s="3646"/>
    </row>
    <row r="43" spans="1:16" s="1834" customFormat="1" ht="12" hidden="1" customHeight="1">
      <c r="A43" s="3614"/>
      <c r="B43" s="2716" t="s">
        <v>293</v>
      </c>
      <c r="C43" s="3594"/>
      <c r="D43" s="1715">
        <f>E43+F43+G43+H43+I43+J43+K43+L43</f>
        <v>43007</v>
      </c>
      <c r="E43" s="1752">
        <f>3610+217</f>
        <v>3827</v>
      </c>
      <c r="F43" s="1753">
        <f>9240+555-674</f>
        <v>9121</v>
      </c>
      <c r="G43" s="1753">
        <f>9240+555+674</f>
        <v>10469</v>
      </c>
      <c r="H43" s="173">
        <f>9240+555</f>
        <v>9795</v>
      </c>
      <c r="I43" s="173">
        <f>9240+555</f>
        <v>9795</v>
      </c>
      <c r="J43" s="2786">
        <v>0</v>
      </c>
      <c r="K43" s="433"/>
      <c r="L43" s="433"/>
      <c r="M43" s="695">
        <f t="shared" ref="M43:N45" si="39">SUM(F43:K43)</f>
        <v>39180</v>
      </c>
      <c r="N43" s="695">
        <f t="shared" si="39"/>
        <v>30059</v>
      </c>
      <c r="O43" s="3646"/>
    </row>
    <row r="44" spans="1:16" s="1834" customFormat="1" ht="12" hidden="1" customHeight="1">
      <c r="A44" s="3614"/>
      <c r="B44" s="982" t="s">
        <v>110</v>
      </c>
      <c r="C44" s="3594"/>
      <c r="D44" s="1715">
        <f>E44+F44+G44+H44+I44+J44+K44+L44</f>
        <v>25071</v>
      </c>
      <c r="E44" s="1752">
        <f>286+90</f>
        <v>376</v>
      </c>
      <c r="F44" s="2785">
        <f>13902-772-9757</f>
        <v>3373</v>
      </c>
      <c r="G44" s="2785">
        <f>4474-555+9675</f>
        <v>13594</v>
      </c>
      <c r="H44" s="2785">
        <f>4474-555</f>
        <v>3919</v>
      </c>
      <c r="I44" s="2785">
        <f>4364-555</f>
        <v>3809</v>
      </c>
      <c r="J44" s="2787">
        <v>0</v>
      </c>
      <c r="K44" s="2785"/>
      <c r="L44" s="2785"/>
      <c r="M44" s="695">
        <f t="shared" si="39"/>
        <v>24695</v>
      </c>
      <c r="N44" s="695">
        <f t="shared" si="39"/>
        <v>21322</v>
      </c>
      <c r="O44" s="3646"/>
    </row>
    <row r="45" spans="1:16" s="281" customFormat="1">
      <c r="A45" s="3614"/>
      <c r="B45" s="2788" t="s">
        <v>13</v>
      </c>
      <c r="C45" s="3594"/>
      <c r="D45" s="1715">
        <f>+E45+F45+G45+H45+I45</f>
        <v>133156</v>
      </c>
      <c r="E45" s="2789">
        <f>+E47+E48</f>
        <v>8384</v>
      </c>
      <c r="F45" s="2790">
        <f>+F47+F48</f>
        <v>24825</v>
      </c>
      <c r="G45" s="2790">
        <f>+G47+G48</f>
        <v>46691</v>
      </c>
      <c r="H45" s="2790">
        <f>+H47+H48</f>
        <v>26628</v>
      </c>
      <c r="I45" s="2790">
        <f>+I47+I48</f>
        <v>26628</v>
      </c>
      <c r="J45" s="2791">
        <v>0</v>
      </c>
      <c r="K45" s="2790"/>
      <c r="L45" s="2790"/>
      <c r="M45" s="2792">
        <f t="shared" si="39"/>
        <v>124772</v>
      </c>
      <c r="N45" s="2792">
        <f t="shared" si="39"/>
        <v>99947</v>
      </c>
      <c r="O45" s="3646"/>
    </row>
    <row r="46" spans="1:16" s="1834" customFormat="1" ht="11.25" hidden="1" customHeight="1">
      <c r="A46" s="3614"/>
      <c r="B46" s="172" t="s">
        <v>149</v>
      </c>
      <c r="C46" s="3594"/>
      <c r="D46" s="1753"/>
      <c r="E46" s="173"/>
      <c r="F46" s="173"/>
      <c r="G46" s="173"/>
      <c r="H46" s="173"/>
      <c r="I46" s="173"/>
      <c r="J46" s="2793"/>
      <c r="K46" s="173"/>
      <c r="L46" s="173"/>
      <c r="M46" s="1754"/>
      <c r="N46" s="1754"/>
      <c r="O46" s="3646"/>
    </row>
    <row r="47" spans="1:16" s="1834" customFormat="1" ht="13.5" hidden="1" customHeight="1">
      <c r="A47" s="3614"/>
      <c r="B47" s="2716" t="s">
        <v>293</v>
      </c>
      <c r="C47" s="3594"/>
      <c r="D47" s="1753">
        <f>+E47+F47+G47+H47+I47</f>
        <v>86006</v>
      </c>
      <c r="E47" s="173">
        <f>7221+433</f>
        <v>7654</v>
      </c>
      <c r="F47" s="173">
        <f>18480+1108-1345</f>
        <v>18243</v>
      </c>
      <c r="G47" s="173">
        <f>18480+1108+1345</f>
        <v>20933</v>
      </c>
      <c r="H47" s="173">
        <f>18480+1108</f>
        <v>19588</v>
      </c>
      <c r="I47" s="173">
        <f>18480+1108</f>
        <v>19588</v>
      </c>
      <c r="J47" s="2793">
        <v>0</v>
      </c>
      <c r="K47" s="173"/>
      <c r="L47" s="173"/>
      <c r="M47" s="695">
        <f>SUM(F47:K47)</f>
        <v>78352</v>
      </c>
      <c r="N47" s="695">
        <f>SUM(G47:L47)</f>
        <v>60109</v>
      </c>
      <c r="O47" s="3646"/>
    </row>
    <row r="48" spans="1:16" s="1834" customFormat="1" ht="10.5" hidden="1" customHeight="1">
      <c r="A48" s="3614"/>
      <c r="B48" s="2794" t="s">
        <v>110</v>
      </c>
      <c r="C48" s="3594"/>
      <c r="D48" s="1753">
        <f>+E48+F48+G48+H48+I48</f>
        <v>47150</v>
      </c>
      <c r="E48" s="173">
        <f>552+178</f>
        <v>730</v>
      </c>
      <c r="F48" s="173">
        <f>27004-1541-18881</f>
        <v>6582</v>
      </c>
      <c r="G48" s="173">
        <f>8148-1108+18718</f>
        <v>25758</v>
      </c>
      <c r="H48" s="173">
        <f>8148-1108</f>
        <v>7040</v>
      </c>
      <c r="I48" s="173">
        <f>8148-1108</f>
        <v>7040</v>
      </c>
      <c r="J48" s="2793">
        <v>0</v>
      </c>
      <c r="K48" s="173"/>
      <c r="L48" s="173"/>
      <c r="M48" s="695">
        <f>SUM(F48:K48)</f>
        <v>46420</v>
      </c>
      <c r="N48" s="695">
        <f>SUM(G48:L48)</f>
        <v>39838</v>
      </c>
      <c r="O48" s="3646"/>
    </row>
    <row r="49" spans="1:16" s="1834" customFormat="1" ht="12.75" customHeight="1">
      <c r="A49" s="3614"/>
      <c r="B49" s="685" t="s">
        <v>18</v>
      </c>
      <c r="C49" s="3595"/>
      <c r="D49" s="1755">
        <f>+D50</f>
        <v>1131818</v>
      </c>
      <c r="E49" s="1755">
        <f>+E50</f>
        <v>71266</v>
      </c>
      <c r="F49" s="1755">
        <f t="shared" ref="F49:I49" si="40">+F50</f>
        <v>211008</v>
      </c>
      <c r="G49" s="1755">
        <f t="shared" si="40"/>
        <v>396868</v>
      </c>
      <c r="H49" s="1755">
        <f t="shared" si="40"/>
        <v>226338</v>
      </c>
      <c r="I49" s="1755">
        <f t="shared" si="40"/>
        <v>226338</v>
      </c>
      <c r="J49" s="1756">
        <v>0</v>
      </c>
      <c r="K49" s="1755"/>
      <c r="L49" s="1755"/>
      <c r="M49" s="1751">
        <f>+M50</f>
        <v>1060552</v>
      </c>
      <c r="N49" s="1751">
        <f>+N50</f>
        <v>849544</v>
      </c>
      <c r="O49" s="3646"/>
    </row>
    <row r="50" spans="1:16" s="2480" customFormat="1" ht="12" customHeight="1">
      <c r="A50" s="3614"/>
      <c r="B50" s="1456" t="s">
        <v>21</v>
      </c>
      <c r="C50" s="3596"/>
      <c r="D50" s="1715">
        <f>E50+F50+G50+H50+I50+J50+K50+L50</f>
        <v>1131818</v>
      </c>
      <c r="E50" s="1752">
        <f>+E52+E53</f>
        <v>71266</v>
      </c>
      <c r="F50" s="2795">
        <f t="shared" ref="F50:I50" si="41">+F52+F53</f>
        <v>211008</v>
      </c>
      <c r="G50" s="2795">
        <f t="shared" si="41"/>
        <v>396868</v>
      </c>
      <c r="H50" s="2795">
        <f t="shared" si="41"/>
        <v>226338</v>
      </c>
      <c r="I50" s="2795">
        <f t="shared" si="41"/>
        <v>226338</v>
      </c>
      <c r="J50" s="2796">
        <v>0</v>
      </c>
      <c r="K50" s="2795"/>
      <c r="L50" s="2795"/>
      <c r="M50" s="695">
        <f>SUM(F50:K50)</f>
        <v>1060552</v>
      </c>
      <c r="N50" s="695">
        <f>SUM(G50:L50)</f>
        <v>849544</v>
      </c>
      <c r="O50" s="3646"/>
    </row>
    <row r="51" spans="1:16" s="2480" customFormat="1" ht="12" hidden="1" customHeight="1">
      <c r="A51" s="3614"/>
      <c r="B51" s="2797" t="s">
        <v>149</v>
      </c>
      <c r="C51" s="2625"/>
      <c r="D51" s="173"/>
      <c r="E51" s="2793"/>
      <c r="F51" s="2798"/>
      <c r="G51" s="2798"/>
      <c r="H51" s="2798"/>
      <c r="I51" s="2798"/>
      <c r="J51" s="1424"/>
      <c r="K51" s="2798"/>
      <c r="L51" s="2798"/>
      <c r="M51" s="1754"/>
      <c r="N51" s="1754"/>
      <c r="O51" s="3646"/>
    </row>
    <row r="52" spans="1:16" s="2480" customFormat="1" ht="12" hidden="1" customHeight="1">
      <c r="A52" s="3614"/>
      <c r="B52" s="2716" t="s">
        <v>293</v>
      </c>
      <c r="C52" s="2625"/>
      <c r="D52" s="173">
        <f>+F52+G52+H52+I52+E52</f>
        <v>731081</v>
      </c>
      <c r="E52" s="2799">
        <f>61378+3683</f>
        <v>65061</v>
      </c>
      <c r="F52" s="1757">
        <f>157080+9425-11439</f>
        <v>155066</v>
      </c>
      <c r="G52" s="1757">
        <f>157080+9425+11439</f>
        <v>177944</v>
      </c>
      <c r="H52" s="1757">
        <f>157080+9425</f>
        <v>166505</v>
      </c>
      <c r="I52" s="1757">
        <f>157080+9425</f>
        <v>166505</v>
      </c>
      <c r="J52" s="1758">
        <v>0</v>
      </c>
      <c r="K52" s="1757"/>
      <c r="L52" s="1757"/>
      <c r="M52" s="695">
        <f>SUM(F52:K52)</f>
        <v>666020</v>
      </c>
      <c r="N52" s="695">
        <f>SUM(G52:L52)</f>
        <v>510954</v>
      </c>
      <c r="O52" s="3646"/>
    </row>
    <row r="53" spans="1:16" s="1834" customFormat="1" ht="12" hidden="1" customHeight="1">
      <c r="A53" s="3614"/>
      <c r="B53" s="2794" t="s">
        <v>110</v>
      </c>
      <c r="C53" s="2625"/>
      <c r="D53" s="1753">
        <f>+F53+G53+H53+I53</f>
        <v>394532</v>
      </c>
      <c r="E53" s="112">
        <f>4689+1516</f>
        <v>6205</v>
      </c>
      <c r="F53" s="112">
        <f>229528-13108-160478</f>
        <v>55942</v>
      </c>
      <c r="G53" s="112">
        <f>69258-9425+159091</f>
        <v>218924</v>
      </c>
      <c r="H53" s="112">
        <f>69258-9425</f>
        <v>59833</v>
      </c>
      <c r="I53" s="112">
        <f>69258-9425</f>
        <v>59833</v>
      </c>
      <c r="J53" s="482">
        <v>0</v>
      </c>
      <c r="K53" s="112"/>
      <c r="L53" s="112"/>
      <c r="M53" s="695">
        <f>SUM(F53:K53)</f>
        <v>394532</v>
      </c>
      <c r="N53" s="695">
        <f>SUM(G53:L53)</f>
        <v>338590</v>
      </c>
      <c r="O53" s="3646"/>
    </row>
    <row r="54" spans="1:16" s="1834" customFormat="1" ht="12" customHeight="1">
      <c r="A54" s="3614"/>
      <c r="B54" s="662" t="s">
        <v>22</v>
      </c>
      <c r="C54" s="1759"/>
      <c r="D54" s="1760">
        <f>+D55+D57</f>
        <v>1264974</v>
      </c>
      <c r="E54" s="1760">
        <f>+E55+E57</f>
        <v>0</v>
      </c>
      <c r="F54" s="1760">
        <f>+F55+F57</f>
        <v>0</v>
      </c>
      <c r="G54" s="1760">
        <f t="shared" ref="G54:J54" si="42">+G55+G57</f>
        <v>536685</v>
      </c>
      <c r="H54" s="1760">
        <f t="shared" si="42"/>
        <v>348840</v>
      </c>
      <c r="I54" s="1760">
        <f t="shared" si="42"/>
        <v>252966</v>
      </c>
      <c r="J54" s="1760">
        <f t="shared" si="42"/>
        <v>126483</v>
      </c>
      <c r="K54" s="1760"/>
      <c r="L54" s="1760"/>
      <c r="M54" s="3520"/>
      <c r="N54" s="3520"/>
      <c r="O54" s="3646"/>
      <c r="P54" s="329">
        <f>G54-'[1]Tab. 6E - Administracja'!$G$54</f>
        <v>-95730</v>
      </c>
    </row>
    <row r="55" spans="1:16" s="1834" customFormat="1" ht="12" customHeight="1">
      <c r="A55" s="3614"/>
      <c r="B55" s="1761" t="s">
        <v>24</v>
      </c>
      <c r="C55" s="3644" t="s">
        <v>148</v>
      </c>
      <c r="D55" s="1750">
        <f>+D56</f>
        <v>133156</v>
      </c>
      <c r="E55" s="1750">
        <f>+E56</f>
        <v>0</v>
      </c>
      <c r="F55" s="1750">
        <f>+F56</f>
        <v>0</v>
      </c>
      <c r="G55" s="1750">
        <f t="shared" ref="G55:J55" si="43">+G56</f>
        <v>56493</v>
      </c>
      <c r="H55" s="1750">
        <f t="shared" si="43"/>
        <v>36721</v>
      </c>
      <c r="I55" s="1750">
        <f t="shared" si="43"/>
        <v>26628</v>
      </c>
      <c r="J55" s="1750">
        <f t="shared" si="43"/>
        <v>13314</v>
      </c>
      <c r="K55" s="1750"/>
      <c r="L55" s="1750"/>
      <c r="M55" s="3521"/>
      <c r="N55" s="3521"/>
      <c r="O55" s="3646"/>
    </row>
    <row r="56" spans="1:16" s="1834" customFormat="1" ht="12" customHeight="1">
      <c r="A56" s="3614"/>
      <c r="B56" s="176" t="s">
        <v>13</v>
      </c>
      <c r="C56" s="3594"/>
      <c r="D56" s="1715">
        <f>E56+F56+G56+H56+I56+J56+K56+L56</f>
        <v>133156</v>
      </c>
      <c r="E56" s="1752">
        <v>0</v>
      </c>
      <c r="F56" s="1762">
        <v>0</v>
      </c>
      <c r="G56" s="1762">
        <f>58798+7773-10078</f>
        <v>56493</v>
      </c>
      <c r="H56" s="1762">
        <f>26628+10093</f>
        <v>36721</v>
      </c>
      <c r="I56" s="1762">
        <v>26628</v>
      </c>
      <c r="J56" s="1762">
        <v>13314</v>
      </c>
      <c r="K56" s="1762"/>
      <c r="L56" s="1762"/>
      <c r="M56" s="3521"/>
      <c r="N56" s="3521"/>
      <c r="O56" s="3646"/>
    </row>
    <row r="57" spans="1:16" s="1834" customFormat="1" ht="12" customHeight="1">
      <c r="A57" s="3614"/>
      <c r="B57" s="1763" t="s">
        <v>18</v>
      </c>
      <c r="C57" s="3595"/>
      <c r="D57" s="1755">
        <f>+D58</f>
        <v>1131818</v>
      </c>
      <c r="E57" s="1755">
        <f>+E58</f>
        <v>0</v>
      </c>
      <c r="F57" s="1755">
        <f>+F58</f>
        <v>0</v>
      </c>
      <c r="G57" s="1755">
        <f t="shared" ref="G57:J57" si="44">+G58</f>
        <v>480192</v>
      </c>
      <c r="H57" s="1755">
        <f t="shared" si="44"/>
        <v>312119</v>
      </c>
      <c r="I57" s="1755">
        <f t="shared" si="44"/>
        <v>226338</v>
      </c>
      <c r="J57" s="1755">
        <f t="shared" si="44"/>
        <v>113169</v>
      </c>
      <c r="K57" s="1755"/>
      <c r="L57" s="1755"/>
      <c r="M57" s="3521"/>
      <c r="N57" s="3521"/>
      <c r="O57" s="3646"/>
    </row>
    <row r="58" spans="1:16" s="1834" customFormat="1" ht="12" customHeight="1" thickBot="1">
      <c r="A58" s="3615"/>
      <c r="B58" s="360" t="s">
        <v>21</v>
      </c>
      <c r="C58" s="3598"/>
      <c r="D58" s="942">
        <f>E58+F58+G58+H58+I58+J58+K58+L58</f>
        <v>1131818</v>
      </c>
      <c r="E58" s="1764">
        <v>0</v>
      </c>
      <c r="F58" s="657">
        <f>66067-66067</f>
        <v>0</v>
      </c>
      <c r="G58" s="657">
        <f>499777+66067-85652</f>
        <v>480192</v>
      </c>
      <c r="H58" s="657">
        <f>226338+85781</f>
        <v>312119</v>
      </c>
      <c r="I58" s="657">
        <v>226338</v>
      </c>
      <c r="J58" s="657">
        <v>113169</v>
      </c>
      <c r="K58" s="657"/>
      <c r="L58" s="657"/>
      <c r="M58" s="3522"/>
      <c r="N58" s="3522"/>
      <c r="O58" s="3647"/>
    </row>
    <row r="59" spans="1:16" s="1834" customFormat="1" ht="27" customHeight="1">
      <c r="A59" s="3613" t="s">
        <v>65</v>
      </c>
      <c r="B59" s="169" t="s">
        <v>434</v>
      </c>
      <c r="C59" s="170" t="s">
        <v>81</v>
      </c>
      <c r="D59" s="186"/>
      <c r="E59" s="185"/>
      <c r="F59" s="185"/>
      <c r="G59" s="185"/>
      <c r="H59" s="185"/>
      <c r="I59" s="185"/>
      <c r="J59" s="185"/>
      <c r="K59" s="185"/>
      <c r="L59" s="259"/>
      <c r="M59" s="354"/>
      <c r="N59" s="354"/>
      <c r="O59" s="3645" t="s">
        <v>110</v>
      </c>
      <c r="P59" s="1834" t="s">
        <v>430</v>
      </c>
    </row>
    <row r="60" spans="1:16" s="1834" customFormat="1" ht="12" customHeight="1">
      <c r="A60" s="3614"/>
      <c r="B60" s="662" t="s">
        <v>10</v>
      </c>
      <c r="C60" s="1749"/>
      <c r="D60" s="1760">
        <f>+D61+D64</f>
        <v>12448</v>
      </c>
      <c r="E60" s="1760">
        <f t="shared" ref="E60" si="45">+E61+E64</f>
        <v>0</v>
      </c>
      <c r="F60" s="1760">
        <f t="shared" ref="F60:I60" si="46">+F61+F64</f>
        <v>12448</v>
      </c>
      <c r="G60" s="1878">
        <f t="shared" si="46"/>
        <v>0</v>
      </c>
      <c r="H60" s="1878">
        <f t="shared" si="46"/>
        <v>0</v>
      </c>
      <c r="I60" s="1878">
        <f t="shared" si="46"/>
        <v>0</v>
      </c>
      <c r="J60" s="1760"/>
      <c r="K60" s="1760"/>
      <c r="L60" s="1760"/>
      <c r="M60" s="1879">
        <f>M61+M64</f>
        <v>12448</v>
      </c>
      <c r="N60" s="1879">
        <f>N61+N64</f>
        <v>0</v>
      </c>
      <c r="O60" s="3646"/>
      <c r="P60" s="329"/>
    </row>
    <row r="61" spans="1:16" s="1834" customFormat="1" ht="12" customHeight="1">
      <c r="A61" s="3614"/>
      <c r="B61" s="633" t="s">
        <v>24</v>
      </c>
      <c r="C61" s="3623" t="s">
        <v>148</v>
      </c>
      <c r="D61" s="1750">
        <f>+D62+D63</f>
        <v>1867</v>
      </c>
      <c r="E61" s="1750">
        <f>+E62+E63</f>
        <v>0</v>
      </c>
      <c r="F61" s="1750">
        <f>+F62+F63</f>
        <v>1867</v>
      </c>
      <c r="G61" s="2784">
        <f t="shared" ref="G61:H61" si="47">+G63</f>
        <v>0</v>
      </c>
      <c r="H61" s="2784">
        <f t="shared" si="47"/>
        <v>0</v>
      </c>
      <c r="I61" s="2784">
        <f>+I63</f>
        <v>0</v>
      </c>
      <c r="J61" s="1750"/>
      <c r="K61" s="1750"/>
      <c r="L61" s="1750"/>
      <c r="M61" s="1751">
        <f>+M62+M63</f>
        <v>1867</v>
      </c>
      <c r="N61" s="1751">
        <f>+N62+N63</f>
        <v>0</v>
      </c>
      <c r="O61" s="3646"/>
    </row>
    <row r="62" spans="1:16" s="1834" customFormat="1" ht="12" customHeight="1">
      <c r="A62" s="3614"/>
      <c r="B62" s="172" t="s">
        <v>12</v>
      </c>
      <c r="C62" s="3594"/>
      <c r="D62" s="949">
        <f>E62+F62+G62+H62+I62+J62+K62+L62</f>
        <v>622</v>
      </c>
      <c r="E62" s="1752">
        <v>0</v>
      </c>
      <c r="F62" s="2785">
        <f>630-8</f>
        <v>622</v>
      </c>
      <c r="G62" s="2786">
        <v>0</v>
      </c>
      <c r="H62" s="2786">
        <v>0</v>
      </c>
      <c r="I62" s="2786">
        <v>0</v>
      </c>
      <c r="J62" s="433"/>
      <c r="K62" s="433"/>
      <c r="L62" s="433"/>
      <c r="M62" s="1754">
        <f>SUM(F62:K62)</f>
        <v>622</v>
      </c>
      <c r="N62" s="1754">
        <f>SUM(G62:L62)</f>
        <v>0</v>
      </c>
      <c r="O62" s="3646"/>
    </row>
    <row r="63" spans="1:16" s="1834" customFormat="1" ht="12" customHeight="1">
      <c r="A63" s="3614"/>
      <c r="B63" s="172" t="s">
        <v>13</v>
      </c>
      <c r="C63" s="3595"/>
      <c r="D63" s="949">
        <f>E63+F63+G63+H63+I63+J63+K63+L63</f>
        <v>1245</v>
      </c>
      <c r="E63" s="1752">
        <v>0</v>
      </c>
      <c r="F63" s="173">
        <f>1260-15</f>
        <v>1245</v>
      </c>
      <c r="G63" s="2793">
        <v>0</v>
      </c>
      <c r="H63" s="2793">
        <v>0</v>
      </c>
      <c r="I63" s="2793">
        <v>0</v>
      </c>
      <c r="J63" s="173"/>
      <c r="K63" s="173"/>
      <c r="L63" s="173"/>
      <c r="M63" s="1754">
        <f>SUM(F63:K63)</f>
        <v>1245</v>
      </c>
      <c r="N63" s="1754">
        <f>SUM(G63:L63)</f>
        <v>0</v>
      </c>
      <c r="O63" s="3646"/>
      <c r="P63" s="2585">
        <f>D63-D68</f>
        <v>0</v>
      </c>
    </row>
    <row r="64" spans="1:16" s="1834" customFormat="1" ht="12" customHeight="1">
      <c r="A64" s="3614"/>
      <c r="B64" s="685" t="s">
        <v>18</v>
      </c>
      <c r="C64" s="3595"/>
      <c r="D64" s="1755">
        <f t="shared" ref="D64:I64" si="48">D65</f>
        <v>10581</v>
      </c>
      <c r="E64" s="1755">
        <f t="shared" si="48"/>
        <v>0</v>
      </c>
      <c r="F64" s="1755">
        <f t="shared" si="48"/>
        <v>10581</v>
      </c>
      <c r="G64" s="1756">
        <f t="shared" si="48"/>
        <v>0</v>
      </c>
      <c r="H64" s="1756">
        <f t="shared" si="48"/>
        <v>0</v>
      </c>
      <c r="I64" s="1756">
        <f t="shared" si="48"/>
        <v>0</v>
      </c>
      <c r="J64" s="1755"/>
      <c r="K64" s="1755"/>
      <c r="L64" s="1755"/>
      <c r="M64" s="2800">
        <f>+M65</f>
        <v>10581</v>
      </c>
      <c r="N64" s="2800">
        <f>+N65</f>
        <v>0</v>
      </c>
      <c r="O64" s="3646"/>
    </row>
    <row r="65" spans="1:16" s="1834" customFormat="1">
      <c r="A65" s="3614"/>
      <c r="B65" s="686" t="s">
        <v>21</v>
      </c>
      <c r="C65" s="3596"/>
      <c r="D65" s="949">
        <f>E65+F65+G65+H65+I65+J65+K65+L65</f>
        <v>10581</v>
      </c>
      <c r="E65" s="1752">
        <v>0</v>
      </c>
      <c r="F65" s="135">
        <f>10710-129</f>
        <v>10581</v>
      </c>
      <c r="G65" s="2801">
        <v>0</v>
      </c>
      <c r="H65" s="2801">
        <v>0</v>
      </c>
      <c r="I65" s="2801">
        <v>0</v>
      </c>
      <c r="J65" s="135"/>
      <c r="K65" s="135"/>
      <c r="L65" s="135"/>
      <c r="M65" s="1754">
        <f>SUM(F65:K65)</f>
        <v>10581</v>
      </c>
      <c r="N65" s="1754">
        <f>SUM(G65:L65)</f>
        <v>0</v>
      </c>
      <c r="O65" s="3646"/>
    </row>
    <row r="66" spans="1:16" s="1834" customFormat="1" ht="12" customHeight="1">
      <c r="A66" s="3227"/>
      <c r="B66" s="662" t="s">
        <v>22</v>
      </c>
      <c r="C66" s="2802"/>
      <c r="D66" s="1760">
        <f>+D67+D69</f>
        <v>11826</v>
      </c>
      <c r="E66" s="1760">
        <f t="shared" ref="E66" si="49">E67+E69</f>
        <v>0</v>
      </c>
      <c r="F66" s="1878">
        <f t="shared" ref="F66:I66" si="50">F67+F69</f>
        <v>0</v>
      </c>
      <c r="G66" s="1760">
        <f t="shared" si="50"/>
        <v>11826</v>
      </c>
      <c r="H66" s="1878">
        <f t="shared" si="50"/>
        <v>0</v>
      </c>
      <c r="I66" s="1878">
        <f t="shared" si="50"/>
        <v>0</v>
      </c>
      <c r="J66" s="1760"/>
      <c r="K66" s="1760"/>
      <c r="L66" s="1760"/>
      <c r="M66" s="3625" t="s">
        <v>61</v>
      </c>
      <c r="N66" s="3625" t="s">
        <v>61</v>
      </c>
      <c r="O66" s="3646"/>
      <c r="P66" s="329">
        <f>G66-'[1]Tab. 6E - Administracja'!$G$66</f>
        <v>-144</v>
      </c>
    </row>
    <row r="67" spans="1:16" s="1834" customFormat="1" ht="12" customHeight="1">
      <c r="A67" s="3227"/>
      <c r="B67" s="1880" t="s">
        <v>24</v>
      </c>
      <c r="C67" s="3623" t="s">
        <v>148</v>
      </c>
      <c r="D67" s="1750">
        <f t="shared" ref="D67:I67" si="51">D68</f>
        <v>1245</v>
      </c>
      <c r="E67" s="1750">
        <f t="shared" si="51"/>
        <v>0</v>
      </c>
      <c r="F67" s="2784">
        <f t="shared" si="51"/>
        <v>0</v>
      </c>
      <c r="G67" s="1750">
        <f t="shared" si="51"/>
        <v>1245</v>
      </c>
      <c r="H67" s="2784">
        <f t="shared" si="51"/>
        <v>0</v>
      </c>
      <c r="I67" s="2784">
        <f t="shared" si="51"/>
        <v>0</v>
      </c>
      <c r="J67" s="1750"/>
      <c r="K67" s="1750"/>
      <c r="L67" s="1750"/>
      <c r="M67" s="3521"/>
      <c r="N67" s="3521"/>
      <c r="O67" s="3646"/>
    </row>
    <row r="68" spans="1:16" s="1834" customFormat="1" ht="10.5" customHeight="1">
      <c r="A68" s="3227"/>
      <c r="B68" s="176" t="s">
        <v>13</v>
      </c>
      <c r="C68" s="3595"/>
      <c r="D68" s="949">
        <f>E68+F68+G68+H68+I68+J68+K68+L68</f>
        <v>1245</v>
      </c>
      <c r="E68" s="1752">
        <v>0</v>
      </c>
      <c r="F68" s="2803">
        <v>0</v>
      </c>
      <c r="G68" s="1762">
        <f>1260-15</f>
        <v>1245</v>
      </c>
      <c r="H68" s="2803">
        <v>0</v>
      </c>
      <c r="I68" s="2803">
        <v>0</v>
      </c>
      <c r="J68" s="1762"/>
      <c r="K68" s="1762"/>
      <c r="L68" s="1762"/>
      <c r="M68" s="3521"/>
      <c r="N68" s="3521"/>
      <c r="O68" s="3646"/>
    </row>
    <row r="69" spans="1:16" s="1834" customFormat="1" ht="12" customHeight="1">
      <c r="A69" s="3227"/>
      <c r="B69" s="2804" t="s">
        <v>18</v>
      </c>
      <c r="C69" s="3595"/>
      <c r="D69" s="1755">
        <f t="shared" ref="D69:I69" si="52">D70</f>
        <v>10581</v>
      </c>
      <c r="E69" s="1755">
        <f t="shared" si="52"/>
        <v>0</v>
      </c>
      <c r="F69" s="1756">
        <f t="shared" si="52"/>
        <v>0</v>
      </c>
      <c r="G69" s="1755">
        <f t="shared" si="52"/>
        <v>10581</v>
      </c>
      <c r="H69" s="1756">
        <f t="shared" si="52"/>
        <v>0</v>
      </c>
      <c r="I69" s="1756">
        <f t="shared" si="52"/>
        <v>0</v>
      </c>
      <c r="J69" s="1755"/>
      <c r="K69" s="1755"/>
      <c r="L69" s="1755"/>
      <c r="M69" s="3521"/>
      <c r="N69" s="3521"/>
      <c r="O69" s="3646"/>
    </row>
    <row r="70" spans="1:16" s="1834" customFormat="1" ht="12" customHeight="1" thickBot="1">
      <c r="A70" s="3228"/>
      <c r="B70" s="360" t="s">
        <v>21</v>
      </c>
      <c r="C70" s="3598"/>
      <c r="D70" s="942">
        <f>E70+F70+G70+H70+I70+J70+K70+L70</f>
        <v>10581</v>
      </c>
      <c r="E70" s="1764">
        <v>0</v>
      </c>
      <c r="F70" s="1877">
        <v>0</v>
      </c>
      <c r="G70" s="657">
        <f>10710-129</f>
        <v>10581</v>
      </c>
      <c r="H70" s="1877">
        <v>0</v>
      </c>
      <c r="I70" s="1877">
        <v>0</v>
      </c>
      <c r="J70" s="657"/>
      <c r="K70" s="657"/>
      <c r="L70" s="657"/>
      <c r="M70" s="3522"/>
      <c r="N70" s="3522"/>
      <c r="O70" s="3647"/>
    </row>
    <row r="71" spans="1:16" s="1834" customFormat="1" ht="36.75" customHeight="1">
      <c r="A71" s="3613" t="s">
        <v>66</v>
      </c>
      <c r="B71" s="169" t="s">
        <v>266</v>
      </c>
      <c r="C71" s="170" t="s">
        <v>109</v>
      </c>
      <c r="D71" s="186"/>
      <c r="E71" s="185"/>
      <c r="F71" s="186"/>
      <c r="G71" s="185"/>
      <c r="H71" s="185"/>
      <c r="I71" s="185"/>
      <c r="J71" s="185"/>
      <c r="K71" s="185"/>
      <c r="L71" s="259"/>
      <c r="M71" s="354"/>
      <c r="N71" s="354"/>
      <c r="O71" s="3590" t="s">
        <v>391</v>
      </c>
    </row>
    <row r="72" spans="1:16" s="1834" customFormat="1" ht="14.25" customHeight="1">
      <c r="A72" s="3614"/>
      <c r="B72" s="662" t="s">
        <v>10</v>
      </c>
      <c r="C72" s="691"/>
      <c r="D72" s="950">
        <f>+D73+D75</f>
        <v>9208690</v>
      </c>
      <c r="E72" s="950">
        <f t="shared" ref="E72" si="53">+E73+E75</f>
        <v>2589029</v>
      </c>
      <c r="F72" s="950">
        <f>+F73+F75</f>
        <v>1519661</v>
      </c>
      <c r="G72" s="950">
        <f>+G73+G75</f>
        <v>2200000</v>
      </c>
      <c r="H72" s="950">
        <f>+H73+H75</f>
        <v>1500000</v>
      </c>
      <c r="I72" s="950">
        <f>+I73+I75</f>
        <v>1400000</v>
      </c>
      <c r="J72" s="950"/>
      <c r="K72" s="950"/>
      <c r="L72" s="950"/>
      <c r="M72" s="951">
        <f>M73+M75</f>
        <v>6619661</v>
      </c>
      <c r="N72" s="951">
        <f>N73+N75</f>
        <v>5100000</v>
      </c>
      <c r="O72" s="3591"/>
    </row>
    <row r="73" spans="1:16" s="1834" customFormat="1">
      <c r="A73" s="3614"/>
      <c r="B73" s="633" t="s">
        <v>24</v>
      </c>
      <c r="C73" s="3623" t="s">
        <v>205</v>
      </c>
      <c r="D73" s="952">
        <f>+D74</f>
        <v>1381303</v>
      </c>
      <c r="E73" s="952">
        <f t="shared" ref="E73:I73" si="54">+E74</f>
        <v>388354</v>
      </c>
      <c r="F73" s="952">
        <f t="shared" si="54"/>
        <v>227949</v>
      </c>
      <c r="G73" s="952">
        <f t="shared" si="54"/>
        <v>330000</v>
      </c>
      <c r="H73" s="952">
        <f t="shared" si="54"/>
        <v>225000</v>
      </c>
      <c r="I73" s="952">
        <f t="shared" si="54"/>
        <v>210000</v>
      </c>
      <c r="J73" s="952"/>
      <c r="K73" s="952"/>
      <c r="L73" s="952"/>
      <c r="M73" s="684">
        <f>+M74</f>
        <v>992949</v>
      </c>
      <c r="N73" s="684">
        <f>+N74</f>
        <v>765000</v>
      </c>
      <c r="O73" s="3591"/>
    </row>
    <row r="74" spans="1:16" s="1834" customFormat="1">
      <c r="A74" s="3614"/>
      <c r="B74" s="172" t="s">
        <v>13</v>
      </c>
      <c r="C74" s="3595"/>
      <c r="D74" s="1782">
        <f>E74+F74+G74+H74+I74+J74+K74+L74</f>
        <v>1381303</v>
      </c>
      <c r="E74" s="1752">
        <v>388354</v>
      </c>
      <c r="F74" s="173">
        <f>330000-21328-80723</f>
        <v>227949</v>
      </c>
      <c r="G74" s="173">
        <v>330000</v>
      </c>
      <c r="H74" s="173">
        <v>225000</v>
      </c>
      <c r="I74" s="173">
        <v>210000</v>
      </c>
      <c r="J74" s="173"/>
      <c r="K74" s="173"/>
      <c r="L74" s="173"/>
      <c r="M74" s="695">
        <f>SUM(F74:K74)</f>
        <v>992949</v>
      </c>
      <c r="N74" s="695">
        <f>SUM(G74:L74)</f>
        <v>765000</v>
      </c>
      <c r="O74" s="3591"/>
    </row>
    <row r="75" spans="1:16" s="1834" customFormat="1" ht="12" customHeight="1">
      <c r="A75" s="3614"/>
      <c r="B75" s="685" t="s">
        <v>18</v>
      </c>
      <c r="C75" s="3595"/>
      <c r="D75" s="953">
        <f>+D76</f>
        <v>7827387</v>
      </c>
      <c r="E75" s="953">
        <f t="shared" ref="E75:I75" si="55">E76</f>
        <v>2200675</v>
      </c>
      <c r="F75" s="953">
        <f t="shared" si="55"/>
        <v>1291712</v>
      </c>
      <c r="G75" s="953">
        <f t="shared" si="55"/>
        <v>1870000</v>
      </c>
      <c r="H75" s="953">
        <f t="shared" si="55"/>
        <v>1275000</v>
      </c>
      <c r="I75" s="953">
        <f t="shared" si="55"/>
        <v>1190000</v>
      </c>
      <c r="J75" s="953"/>
      <c r="K75" s="953"/>
      <c r="L75" s="953"/>
      <c r="M75" s="684">
        <f>+M76</f>
        <v>5626712</v>
      </c>
      <c r="N75" s="684">
        <f>+N76</f>
        <v>4335000</v>
      </c>
      <c r="O75" s="3591"/>
    </row>
    <row r="76" spans="1:16" s="1834" customFormat="1" ht="12" customHeight="1">
      <c r="A76" s="3614"/>
      <c r="B76" s="686" t="s">
        <v>21</v>
      </c>
      <c r="C76" s="3596"/>
      <c r="D76" s="247">
        <f>E76+F76+G76+H76+I76+J76+K76+L76</f>
        <v>7827387</v>
      </c>
      <c r="E76" s="1455">
        <v>2200675</v>
      </c>
      <c r="F76" s="135">
        <f>1870000-120859-457429</f>
        <v>1291712</v>
      </c>
      <c r="G76" s="135">
        <v>1870000</v>
      </c>
      <c r="H76" s="135">
        <v>1275000</v>
      </c>
      <c r="I76" s="135">
        <v>1190000</v>
      </c>
      <c r="J76" s="135"/>
      <c r="K76" s="135"/>
      <c r="L76" s="135"/>
      <c r="M76" s="695">
        <f>SUM(F76:K76)</f>
        <v>5626712</v>
      </c>
      <c r="N76" s="695">
        <f>SUM(G76:L76)</f>
        <v>4335000</v>
      </c>
      <c r="O76" s="3591"/>
    </row>
    <row r="77" spans="1:16" s="1834" customFormat="1" ht="14.25" customHeight="1">
      <c r="A77" s="3227"/>
      <c r="B77" s="662" t="s">
        <v>22</v>
      </c>
      <c r="C77" s="687"/>
      <c r="D77" s="950">
        <f>+D78+D80</f>
        <v>9208690</v>
      </c>
      <c r="E77" s="950">
        <f t="shared" ref="E77" si="56">E78+E80</f>
        <v>2589029</v>
      </c>
      <c r="F77" s="950">
        <f>F78+F80</f>
        <v>1519661</v>
      </c>
      <c r="G77" s="950">
        <f>G78+G80</f>
        <v>2200000</v>
      </c>
      <c r="H77" s="663">
        <f>H78+H80</f>
        <v>1500000</v>
      </c>
      <c r="I77" s="950">
        <f>I78+I80</f>
        <v>1400000</v>
      </c>
      <c r="J77" s="950"/>
      <c r="K77" s="950"/>
      <c r="L77" s="950"/>
      <c r="M77" s="3668" t="s">
        <v>61</v>
      </c>
      <c r="N77" s="3668" t="s">
        <v>61</v>
      </c>
      <c r="O77" s="3591"/>
      <c r="P77" s="329">
        <f>G77-'[1]Tab. 6E - Administracja'!$G$77</f>
        <v>0</v>
      </c>
    </row>
    <row r="78" spans="1:16" s="1834" customFormat="1" ht="13.5" customHeight="1">
      <c r="A78" s="3227"/>
      <c r="B78" s="688" t="s">
        <v>24</v>
      </c>
      <c r="C78" s="3623" t="s">
        <v>205</v>
      </c>
      <c r="D78" s="952">
        <f>+D79</f>
        <v>1381303</v>
      </c>
      <c r="E78" s="952">
        <f t="shared" ref="E78:I78" si="57">E79</f>
        <v>388354</v>
      </c>
      <c r="F78" s="952">
        <f t="shared" si="57"/>
        <v>227949</v>
      </c>
      <c r="G78" s="952">
        <f t="shared" si="57"/>
        <v>330000</v>
      </c>
      <c r="H78" s="689">
        <f t="shared" si="57"/>
        <v>225000</v>
      </c>
      <c r="I78" s="952">
        <f t="shared" si="57"/>
        <v>210000</v>
      </c>
      <c r="J78" s="952"/>
      <c r="K78" s="952"/>
      <c r="L78" s="952"/>
      <c r="M78" s="3521"/>
      <c r="N78" s="3521"/>
      <c r="O78" s="3591"/>
    </row>
    <row r="79" spans="1:16" s="1834" customFormat="1" ht="13.5" customHeight="1">
      <c r="A79" s="3227"/>
      <c r="B79" s="176" t="s">
        <v>13</v>
      </c>
      <c r="C79" s="3595"/>
      <c r="D79" s="247">
        <f>E79+F79+G79+H79+I79+J79+K79+L79</f>
        <v>1381303</v>
      </c>
      <c r="E79" s="1455">
        <v>388354</v>
      </c>
      <c r="F79" s="669">
        <f>330000-21328-80723</f>
        <v>227949</v>
      </c>
      <c r="G79" s="669">
        <v>330000</v>
      </c>
      <c r="H79" s="669">
        <v>225000</v>
      </c>
      <c r="I79" s="669">
        <v>210000</v>
      </c>
      <c r="J79" s="669"/>
      <c r="K79" s="669"/>
      <c r="L79" s="669"/>
      <c r="M79" s="3521"/>
      <c r="N79" s="3521"/>
      <c r="O79" s="3591"/>
    </row>
    <row r="80" spans="1:16" s="1834" customFormat="1">
      <c r="A80" s="3227"/>
      <c r="B80" s="690" t="s">
        <v>18</v>
      </c>
      <c r="C80" s="3595"/>
      <c r="D80" s="953">
        <f>+D81</f>
        <v>7827387</v>
      </c>
      <c r="E80" s="953">
        <f t="shared" ref="E80:I80" si="58">E81</f>
        <v>2200675</v>
      </c>
      <c r="F80" s="953">
        <f t="shared" si="58"/>
        <v>1291712</v>
      </c>
      <c r="G80" s="953">
        <f t="shared" si="58"/>
        <v>1870000</v>
      </c>
      <c r="H80" s="671">
        <f t="shared" si="58"/>
        <v>1275000</v>
      </c>
      <c r="I80" s="953">
        <f t="shared" si="58"/>
        <v>1190000</v>
      </c>
      <c r="J80" s="953"/>
      <c r="K80" s="953"/>
      <c r="L80" s="953"/>
      <c r="M80" s="3521"/>
      <c r="N80" s="3521"/>
      <c r="O80" s="3591"/>
    </row>
    <row r="81" spans="1:18" s="1834" customFormat="1" ht="12" customHeight="1" thickBot="1">
      <c r="A81" s="3228"/>
      <c r="B81" s="360" t="s">
        <v>21</v>
      </c>
      <c r="C81" s="3598"/>
      <c r="D81" s="247">
        <f>E81+F81+G81+H81+I81+J81+K81+L81</f>
        <v>7827387</v>
      </c>
      <c r="E81" s="1455">
        <v>2200675</v>
      </c>
      <c r="F81" s="657">
        <f>1870000-120859-457429</f>
        <v>1291712</v>
      </c>
      <c r="G81" s="657">
        <v>1870000</v>
      </c>
      <c r="H81" s="657">
        <v>1275000</v>
      </c>
      <c r="I81" s="657">
        <v>1190000</v>
      </c>
      <c r="J81" s="657"/>
      <c r="K81" s="657"/>
      <c r="L81" s="657"/>
      <c r="M81" s="3522"/>
      <c r="N81" s="3522"/>
      <c r="O81" s="3592"/>
    </row>
    <row r="82" spans="1:18" s="1834" customFormat="1" ht="43.5" customHeight="1">
      <c r="A82" s="3613" t="s">
        <v>67</v>
      </c>
      <c r="B82" s="169" t="s">
        <v>309</v>
      </c>
      <c r="C82" s="170" t="s">
        <v>81</v>
      </c>
      <c r="D82" s="186"/>
      <c r="E82" s="398"/>
      <c r="F82" s="185"/>
      <c r="G82" s="185"/>
      <c r="H82" s="185"/>
      <c r="I82" s="185"/>
      <c r="J82" s="185"/>
      <c r="K82" s="185"/>
      <c r="L82" s="259"/>
      <c r="M82" s="354"/>
      <c r="N82" s="354"/>
      <c r="O82" s="3590" t="s">
        <v>320</v>
      </c>
    </row>
    <row r="83" spans="1:18" s="1834" customFormat="1" ht="12" customHeight="1">
      <c r="A83" s="3614"/>
      <c r="B83" s="21" t="s">
        <v>10</v>
      </c>
      <c r="C83" s="1570"/>
      <c r="D83" s="417">
        <f>+D84+D86</f>
        <v>41857</v>
      </c>
      <c r="E83" s="417">
        <f t="shared" ref="E83" si="59">+E84+E86</f>
        <v>38038</v>
      </c>
      <c r="F83" s="417">
        <f>+F84+F86</f>
        <v>3819</v>
      </c>
      <c r="G83" s="417">
        <f>+G84+G86</f>
        <v>0</v>
      </c>
      <c r="H83" s="417">
        <f>+H84+H86</f>
        <v>0</v>
      </c>
      <c r="I83" s="417">
        <f>+I84+I86</f>
        <v>0</v>
      </c>
      <c r="J83" s="417"/>
      <c r="K83" s="417"/>
      <c r="L83" s="417"/>
      <c r="M83" s="1457">
        <f>M84+M86</f>
        <v>3819</v>
      </c>
      <c r="N83" s="1457">
        <f>N84+N86</f>
        <v>0</v>
      </c>
      <c r="O83" s="3591"/>
    </row>
    <row r="84" spans="1:18" s="1834" customFormat="1" ht="12" customHeight="1">
      <c r="A84" s="3614"/>
      <c r="B84" s="171" t="s">
        <v>24</v>
      </c>
      <c r="C84" s="3639" t="s">
        <v>205</v>
      </c>
      <c r="D84" s="418">
        <f>+D85</f>
        <v>6279</v>
      </c>
      <c r="E84" s="418">
        <f t="shared" ref="E84:I84" si="60">+E85</f>
        <v>5706</v>
      </c>
      <c r="F84" s="418">
        <f t="shared" si="60"/>
        <v>573</v>
      </c>
      <c r="G84" s="418">
        <f t="shared" si="60"/>
        <v>0</v>
      </c>
      <c r="H84" s="418">
        <f t="shared" si="60"/>
        <v>0</v>
      </c>
      <c r="I84" s="418">
        <f t="shared" si="60"/>
        <v>0</v>
      </c>
      <c r="J84" s="418"/>
      <c r="K84" s="418"/>
      <c r="L84" s="418"/>
      <c r="M84" s="1458">
        <f>+M85</f>
        <v>573</v>
      </c>
      <c r="N84" s="1458">
        <f>+N85</f>
        <v>0</v>
      </c>
      <c r="O84" s="3591"/>
    </row>
    <row r="85" spans="1:18" s="1834" customFormat="1" ht="12" customHeight="1">
      <c r="A85" s="3614"/>
      <c r="B85" s="172" t="s">
        <v>13</v>
      </c>
      <c r="C85" s="3595"/>
      <c r="D85" s="247">
        <f>E85+F85+G85+H85+I85+J85+K85+L85</f>
        <v>6279</v>
      </c>
      <c r="E85" s="1455">
        <v>5706</v>
      </c>
      <c r="F85" s="173">
        <f>960-387</f>
        <v>573</v>
      </c>
      <c r="G85" s="173">
        <v>0</v>
      </c>
      <c r="H85" s="173">
        <v>0</v>
      </c>
      <c r="I85" s="173">
        <v>0</v>
      </c>
      <c r="J85" s="173"/>
      <c r="K85" s="173"/>
      <c r="L85" s="173"/>
      <c r="M85" s="695">
        <f>SUM(F85:K85)</f>
        <v>573</v>
      </c>
      <c r="N85" s="695">
        <f>SUM(G85:L85)</f>
        <v>0</v>
      </c>
      <c r="O85" s="3591"/>
    </row>
    <row r="86" spans="1:18" s="1834" customFormat="1" ht="12" customHeight="1">
      <c r="A86" s="3614"/>
      <c r="B86" s="83" t="s">
        <v>18</v>
      </c>
      <c r="C86" s="3595"/>
      <c r="D86" s="419">
        <f>D87</f>
        <v>35578</v>
      </c>
      <c r="E86" s="419">
        <f t="shared" ref="E86:I86" si="61">E87</f>
        <v>32332</v>
      </c>
      <c r="F86" s="419">
        <f t="shared" si="61"/>
        <v>3246</v>
      </c>
      <c r="G86" s="419">
        <f t="shared" si="61"/>
        <v>0</v>
      </c>
      <c r="H86" s="419">
        <f t="shared" si="61"/>
        <v>0</v>
      </c>
      <c r="I86" s="419">
        <f t="shared" si="61"/>
        <v>0</v>
      </c>
      <c r="J86" s="419"/>
      <c r="K86" s="419"/>
      <c r="L86" s="419"/>
      <c r="M86" s="1458">
        <f>+M87</f>
        <v>3246</v>
      </c>
      <c r="N86" s="1458">
        <f>+N87</f>
        <v>0</v>
      </c>
      <c r="O86" s="3591"/>
    </row>
    <row r="87" spans="1:18" s="1834" customFormat="1" ht="12" customHeight="1">
      <c r="A87" s="3614"/>
      <c r="B87" s="1571" t="s">
        <v>21</v>
      </c>
      <c r="C87" s="3596"/>
      <c r="D87" s="247">
        <f>E87+F87+G87+H87+I87+J87+K87+L87</f>
        <v>35578</v>
      </c>
      <c r="E87" s="1455">
        <v>32332</v>
      </c>
      <c r="F87" s="135">
        <f>5440-2194</f>
        <v>3246</v>
      </c>
      <c r="G87" s="135">
        <v>0</v>
      </c>
      <c r="H87" s="135">
        <v>0</v>
      </c>
      <c r="I87" s="135">
        <v>0</v>
      </c>
      <c r="J87" s="135"/>
      <c r="K87" s="135"/>
      <c r="L87" s="135"/>
      <c r="M87" s="695">
        <f>SUM(F87:K87)</f>
        <v>3246</v>
      </c>
      <c r="N87" s="695">
        <f>SUM(G87:L87)</f>
        <v>0</v>
      </c>
      <c r="O87" s="3591"/>
    </row>
    <row r="88" spans="1:18" s="1834" customFormat="1" ht="12" customHeight="1">
      <c r="A88" s="3227"/>
      <c r="B88" s="21" t="s">
        <v>22</v>
      </c>
      <c r="C88" s="1572"/>
      <c r="D88" s="417">
        <f>D89+D91</f>
        <v>41857</v>
      </c>
      <c r="E88" s="417">
        <f t="shared" ref="E88" si="62">E89+E91</f>
        <v>38038</v>
      </c>
      <c r="F88" s="417">
        <f>F89+F91</f>
        <v>3819</v>
      </c>
      <c r="G88" s="417">
        <f>G89+G91</f>
        <v>0</v>
      </c>
      <c r="H88" s="417">
        <f>H89+H91</f>
        <v>0</v>
      </c>
      <c r="I88" s="417">
        <f>I89+I91</f>
        <v>0</v>
      </c>
      <c r="J88" s="417"/>
      <c r="K88" s="417"/>
      <c r="L88" s="417"/>
      <c r="M88" s="3604" t="s">
        <v>61</v>
      </c>
      <c r="N88" s="3604" t="s">
        <v>61</v>
      </c>
      <c r="O88" s="3591"/>
      <c r="P88" s="329">
        <f>G88-'[1]Tab. 6E - Administracja'!$G$88</f>
        <v>0</v>
      </c>
    </row>
    <row r="89" spans="1:18" s="1834" customFormat="1" ht="12" customHeight="1">
      <c r="A89" s="3227"/>
      <c r="B89" s="1573" t="s">
        <v>24</v>
      </c>
      <c r="C89" s="3639" t="s">
        <v>205</v>
      </c>
      <c r="D89" s="418">
        <f>D90</f>
        <v>6279</v>
      </c>
      <c r="E89" s="418">
        <f t="shared" ref="E89:I89" si="63">E90</f>
        <v>5706</v>
      </c>
      <c r="F89" s="418">
        <f t="shared" si="63"/>
        <v>573</v>
      </c>
      <c r="G89" s="418">
        <f t="shared" si="63"/>
        <v>0</v>
      </c>
      <c r="H89" s="418">
        <f t="shared" si="63"/>
        <v>0</v>
      </c>
      <c r="I89" s="418">
        <f t="shared" si="63"/>
        <v>0</v>
      </c>
      <c r="J89" s="418"/>
      <c r="K89" s="418"/>
      <c r="L89" s="418"/>
      <c r="M89" s="3521"/>
      <c r="N89" s="3521"/>
      <c r="O89" s="3591"/>
    </row>
    <row r="90" spans="1:18" s="1834" customFormat="1" ht="12" customHeight="1">
      <c r="A90" s="3227"/>
      <c r="B90" s="176" t="s">
        <v>13</v>
      </c>
      <c r="C90" s="3595"/>
      <c r="D90" s="247">
        <f>E90+F90+G90+H90+I90+J90+K90+L90</f>
        <v>6279</v>
      </c>
      <c r="E90" s="1455">
        <v>5706</v>
      </c>
      <c r="F90" s="409">
        <f>960-387</f>
        <v>573</v>
      </c>
      <c r="G90" s="409">
        <v>0</v>
      </c>
      <c r="H90" s="229">
        <v>0</v>
      </c>
      <c r="I90" s="229">
        <v>0</v>
      </c>
      <c r="J90" s="229"/>
      <c r="K90" s="229"/>
      <c r="L90" s="229"/>
      <c r="M90" s="3521"/>
      <c r="N90" s="3521"/>
      <c r="O90" s="3591"/>
    </row>
    <row r="91" spans="1:18" s="1834" customFormat="1" ht="12" customHeight="1">
      <c r="A91" s="3227"/>
      <c r="B91" s="1574" t="s">
        <v>18</v>
      </c>
      <c r="C91" s="3595"/>
      <c r="D91" s="419">
        <f>D92</f>
        <v>35578</v>
      </c>
      <c r="E91" s="419">
        <f t="shared" ref="E91:I91" si="64">E92</f>
        <v>32332</v>
      </c>
      <c r="F91" s="419">
        <f t="shared" si="64"/>
        <v>3246</v>
      </c>
      <c r="G91" s="419">
        <f t="shared" si="64"/>
        <v>0</v>
      </c>
      <c r="H91" s="419">
        <f t="shared" si="64"/>
        <v>0</v>
      </c>
      <c r="I91" s="419">
        <f t="shared" si="64"/>
        <v>0</v>
      </c>
      <c r="J91" s="419"/>
      <c r="K91" s="419"/>
      <c r="L91" s="419"/>
      <c r="M91" s="3521"/>
      <c r="N91" s="3521"/>
      <c r="O91" s="3591"/>
    </row>
    <row r="92" spans="1:18" s="1834" customFormat="1" ht="12" customHeight="1" thickBot="1">
      <c r="A92" s="3228"/>
      <c r="B92" s="360" t="s">
        <v>21</v>
      </c>
      <c r="C92" s="3598"/>
      <c r="D92" s="247">
        <f>E92+F92+G92+H92+I92+J92+K92+L92</f>
        <v>35578</v>
      </c>
      <c r="E92" s="1455">
        <v>32332</v>
      </c>
      <c r="F92" s="177">
        <f>5440-2194</f>
        <v>3246</v>
      </c>
      <c r="G92" s="177">
        <v>0</v>
      </c>
      <c r="H92" s="113">
        <v>0</v>
      </c>
      <c r="I92" s="113">
        <v>0</v>
      </c>
      <c r="J92" s="113"/>
      <c r="K92" s="113"/>
      <c r="L92" s="113"/>
      <c r="M92" s="3522"/>
      <c r="N92" s="3522"/>
      <c r="O92" s="3592"/>
    </row>
    <row r="93" spans="1:18" s="348" customFormat="1" ht="17.25" customHeight="1">
      <c r="A93" s="3613" t="s">
        <v>115</v>
      </c>
      <c r="B93" s="169" t="s">
        <v>258</v>
      </c>
      <c r="C93" s="170" t="s">
        <v>109</v>
      </c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665" t="s">
        <v>379</v>
      </c>
      <c r="P93" s="1426" t="s">
        <v>383</v>
      </c>
      <c r="Q93" s="1427" t="s">
        <v>384</v>
      </c>
      <c r="R93" s="353"/>
    </row>
    <row r="94" spans="1:18" s="348" customFormat="1" ht="15.75" customHeight="1">
      <c r="A94" s="3614"/>
      <c r="B94" s="662" t="s">
        <v>10</v>
      </c>
      <c r="C94" s="1765"/>
      <c r="D94" s="1766">
        <f>+D105+D95</f>
        <v>219308353</v>
      </c>
      <c r="E94" s="1766">
        <f t="shared" ref="E94" si="65">+E105+E95</f>
        <v>24333779</v>
      </c>
      <c r="F94" s="1766">
        <f t="shared" ref="F94:I94" si="66">+F105+F95</f>
        <v>26536529</v>
      </c>
      <c r="G94" s="1766">
        <f t="shared" si="66"/>
        <v>31733917</v>
      </c>
      <c r="H94" s="1766">
        <f t="shared" si="66"/>
        <v>31436000</v>
      </c>
      <c r="I94" s="1766">
        <f t="shared" si="66"/>
        <v>27675726</v>
      </c>
      <c r="J94" s="1766">
        <f>+J105+J95</f>
        <v>26657062</v>
      </c>
      <c r="K94" s="1766">
        <f>+K105+K95</f>
        <v>25562887</v>
      </c>
      <c r="L94" s="1766">
        <f>+L105+L95</f>
        <v>25372453</v>
      </c>
      <c r="M94" s="1767">
        <f>+M105+M95</f>
        <v>194215010</v>
      </c>
      <c r="N94" s="1767">
        <f>+N105+N95</f>
        <v>167981433</v>
      </c>
      <c r="O94" s="3666"/>
      <c r="P94" s="1429">
        <f>+P95+P105</f>
        <v>24456849</v>
      </c>
      <c r="Q94" s="1429"/>
    </row>
    <row r="95" spans="1:18" s="336" customFormat="1" ht="15.75" customHeight="1">
      <c r="A95" s="3614"/>
      <c r="B95" s="633" t="s">
        <v>24</v>
      </c>
      <c r="C95" s="3656" t="s">
        <v>377</v>
      </c>
      <c r="D95" s="1768">
        <f>D96+D102</f>
        <v>35857630</v>
      </c>
      <c r="E95" s="1768">
        <f t="shared" ref="E95" si="67">E96+E102</f>
        <v>4452085</v>
      </c>
      <c r="F95" s="1768">
        <f t="shared" ref="F95:I95" si="68">F96+F102</f>
        <v>5276732</v>
      </c>
      <c r="G95" s="1768">
        <f t="shared" si="68"/>
        <v>5252020</v>
      </c>
      <c r="H95" s="1768">
        <f t="shared" si="68"/>
        <v>5236646</v>
      </c>
      <c r="I95" s="1768">
        <f t="shared" si="68"/>
        <v>4986261</v>
      </c>
      <c r="J95" s="1768">
        <f>J96+J102</f>
        <v>4487384</v>
      </c>
      <c r="K95" s="1768">
        <f>K96+K102</f>
        <v>3052528</v>
      </c>
      <c r="L95" s="1768">
        <f>L96+L102</f>
        <v>3113974</v>
      </c>
      <c r="M95" s="1769">
        <f>M96+M102</f>
        <v>30645981</v>
      </c>
      <c r="N95" s="1769">
        <f>N96+N102</f>
        <v>25672201</v>
      </c>
      <c r="O95" s="3666"/>
      <c r="P95" s="1431">
        <f>+P96+P102</f>
        <v>2983757</v>
      </c>
      <c r="Q95" s="1431"/>
    </row>
    <row r="96" spans="1:18" s="348" customFormat="1" ht="12.75" customHeight="1">
      <c r="A96" s="3614"/>
      <c r="B96" s="172" t="s">
        <v>12</v>
      </c>
      <c r="C96" s="3595"/>
      <c r="D96" s="1715">
        <f t="shared" ref="D96:D104" si="69">E96+F96+G96+H96+I96+J96+K96+L96</f>
        <v>34742063</v>
      </c>
      <c r="E96" s="1770">
        <f t="shared" ref="E96:L96" si="70">+E98+E99+E100+E101</f>
        <v>4096082</v>
      </c>
      <c r="F96" s="1770">
        <f t="shared" si="70"/>
        <v>4973780</v>
      </c>
      <c r="G96" s="1770">
        <f t="shared" si="70"/>
        <v>5159196</v>
      </c>
      <c r="H96" s="1770">
        <f t="shared" si="70"/>
        <v>5142378</v>
      </c>
      <c r="I96" s="1770">
        <f t="shared" si="70"/>
        <v>4908796</v>
      </c>
      <c r="J96" s="1770">
        <f t="shared" si="70"/>
        <v>4423365</v>
      </c>
      <c r="K96" s="1770">
        <f t="shared" si="70"/>
        <v>2988510</v>
      </c>
      <c r="L96" s="1770">
        <f t="shared" si="70"/>
        <v>3049956</v>
      </c>
      <c r="M96" s="695">
        <f>SUM(F96:L96)</f>
        <v>30645981</v>
      </c>
      <c r="N96" s="695">
        <f>SUM(G96:L96)</f>
        <v>25672201</v>
      </c>
      <c r="O96" s="3666"/>
      <c r="P96" s="1428">
        <v>2627754</v>
      </c>
      <c r="Q96" s="1428"/>
    </row>
    <row r="97" spans="1:20" s="348" customFormat="1" ht="12.75" hidden="1" customHeight="1">
      <c r="A97" s="3614"/>
      <c r="B97" s="1456" t="s">
        <v>149</v>
      </c>
      <c r="C97" s="3595"/>
      <c r="D97" s="1715">
        <f t="shared" si="69"/>
        <v>0</v>
      </c>
      <c r="E97" s="1771"/>
      <c r="F97" s="1771"/>
      <c r="G97" s="1771"/>
      <c r="H97" s="1771"/>
      <c r="I97" s="1771"/>
      <c r="J97" s="1771"/>
      <c r="K97" s="1771"/>
      <c r="L97" s="1771"/>
      <c r="M97" s="1772"/>
      <c r="N97" s="1772"/>
      <c r="O97" s="3666"/>
      <c r="P97" s="1428"/>
      <c r="Q97" s="1428"/>
    </row>
    <row r="98" spans="1:20" s="348" customFormat="1" ht="12.75" hidden="1" customHeight="1">
      <c r="A98" s="3614"/>
      <c r="B98" s="429" t="s">
        <v>150</v>
      </c>
      <c r="C98" s="3595"/>
      <c r="D98" s="1715">
        <f t="shared" si="69"/>
        <v>7376248</v>
      </c>
      <c r="E98" s="1773">
        <v>2627754</v>
      </c>
      <c r="F98" s="1773">
        <f>9433+186725+10304+744248+897699+783429+5728+241266+25883+352396+742812-2</f>
        <v>3999921</v>
      </c>
      <c r="G98" s="1773">
        <f>29274+10755+5568+505031+197945</f>
        <v>748573</v>
      </c>
      <c r="H98" s="1773"/>
      <c r="I98" s="1773">
        <f>152659-152659</f>
        <v>0</v>
      </c>
      <c r="J98" s="1773"/>
      <c r="K98" s="1773"/>
      <c r="L98" s="1773"/>
      <c r="M98" s="1373">
        <f t="shared" ref="M98:N101" si="71">+F98+G98+H98+I98+J98+K98</f>
        <v>4748494</v>
      </c>
      <c r="N98" s="1373">
        <f t="shared" si="71"/>
        <v>748573</v>
      </c>
      <c r="O98" s="3666"/>
      <c r="P98" s="1428"/>
      <c r="Q98" s="1428"/>
    </row>
    <row r="99" spans="1:20" s="348" customFormat="1" ht="12.75" hidden="1" customHeight="1">
      <c r="A99" s="3614"/>
      <c r="B99" s="1551" t="s">
        <v>151</v>
      </c>
      <c r="C99" s="3595"/>
      <c r="D99" s="1715">
        <f t="shared" si="69"/>
        <v>0</v>
      </c>
      <c r="E99" s="1774"/>
      <c r="F99" s="1774"/>
      <c r="G99" s="1774"/>
      <c r="H99" s="1774"/>
      <c r="I99" s="1774"/>
      <c r="J99" s="1774"/>
      <c r="K99" s="1774"/>
      <c r="L99" s="1774"/>
      <c r="M99" s="1373">
        <f t="shared" si="71"/>
        <v>0</v>
      </c>
      <c r="N99" s="1373">
        <f t="shared" si="71"/>
        <v>0</v>
      </c>
      <c r="O99" s="3666"/>
      <c r="P99" s="1428"/>
      <c r="Q99" s="1428"/>
    </row>
    <row r="100" spans="1:20" s="348" customFormat="1" ht="12.75" hidden="1" customHeight="1">
      <c r="A100" s="3614"/>
      <c r="B100" s="1554" t="s">
        <v>152</v>
      </c>
      <c r="C100" s="3595"/>
      <c r="D100" s="1715">
        <f t="shared" si="69"/>
        <v>27365815</v>
      </c>
      <c r="E100" s="1775">
        <f>12575+1455753</f>
        <v>1468328</v>
      </c>
      <c r="F100" s="2805">
        <f>868747+1301922+95728+2022114+18844+588448-9433-186725-10304-744248-897699-783429-5728-241266-25883-352396-742812+77979</f>
        <v>973859</v>
      </c>
      <c r="G100" s="1369">
        <f>886122+1327960+97643+2062557+784914-29274-10755-197945-505031-5568</f>
        <v>4410623</v>
      </c>
      <c r="H100" s="1369">
        <f>903845+1354520+99595+2103807+347372+333239</f>
        <v>5142378</v>
      </c>
      <c r="I100" s="1369">
        <f>921922+1381610+101587+2145884+357793</f>
        <v>4908796</v>
      </c>
      <c r="J100" s="1369">
        <f>4642023+192558-411216</f>
        <v>4423365</v>
      </c>
      <c r="K100" s="1369">
        <f>2551196+450141-14983+2156</f>
        <v>2988510</v>
      </c>
      <c r="L100" s="1369">
        <f>2645893+416877-14984+2157+13</f>
        <v>3049956</v>
      </c>
      <c r="M100" s="1373">
        <f t="shared" si="71"/>
        <v>22847531</v>
      </c>
      <c r="N100" s="1373">
        <f t="shared" si="71"/>
        <v>24923628</v>
      </c>
      <c r="O100" s="3666"/>
      <c r="P100" s="1428"/>
      <c r="Q100" s="1428"/>
    </row>
    <row r="101" spans="1:20" s="348" customFormat="1" ht="12.75" hidden="1" customHeight="1">
      <c r="A101" s="3614"/>
      <c r="B101" s="430" t="s">
        <v>153</v>
      </c>
      <c r="C101" s="3595"/>
      <c r="D101" s="949">
        <f t="shared" si="69"/>
        <v>0</v>
      </c>
      <c r="E101" s="1776"/>
      <c r="F101" s="1776"/>
      <c r="G101" s="1776"/>
      <c r="H101" s="1776"/>
      <c r="I101" s="1776"/>
      <c r="J101" s="1776"/>
      <c r="K101" s="1776"/>
      <c r="L101" s="1776"/>
      <c r="M101" s="1373">
        <f t="shared" si="71"/>
        <v>0</v>
      </c>
      <c r="N101" s="1373">
        <f t="shared" si="71"/>
        <v>0</v>
      </c>
      <c r="O101" s="3666"/>
      <c r="P101" s="1428"/>
      <c r="Q101" s="1428"/>
    </row>
    <row r="102" spans="1:20" s="348" customFormat="1">
      <c r="A102" s="3614"/>
      <c r="B102" s="1777" t="s">
        <v>32</v>
      </c>
      <c r="C102" s="3595"/>
      <c r="D102" s="949">
        <f t="shared" si="69"/>
        <v>1115567</v>
      </c>
      <c r="E102" s="1770">
        <f t="shared" ref="E102:L102" si="72">SUM(E103:E104)</f>
        <v>356003</v>
      </c>
      <c r="F102" s="1770">
        <f t="shared" si="72"/>
        <v>302952</v>
      </c>
      <c r="G102" s="1770">
        <f t="shared" si="72"/>
        <v>92824</v>
      </c>
      <c r="H102" s="1770">
        <f t="shared" si="72"/>
        <v>94268</v>
      </c>
      <c r="I102" s="1770">
        <f t="shared" si="72"/>
        <v>77465</v>
      </c>
      <c r="J102" s="1770">
        <f t="shared" si="72"/>
        <v>64019</v>
      </c>
      <c r="K102" s="1770">
        <f t="shared" si="72"/>
        <v>64018</v>
      </c>
      <c r="L102" s="1770">
        <f t="shared" si="72"/>
        <v>64018</v>
      </c>
      <c r="M102" s="1778">
        <f>M103+M104</f>
        <v>0</v>
      </c>
      <c r="N102" s="1778">
        <f>N103+N104</f>
        <v>0</v>
      </c>
      <c r="O102" s="3666"/>
      <c r="P102" s="1428">
        <v>356003</v>
      </c>
      <c r="Q102" s="1428"/>
    </row>
    <row r="103" spans="1:20" s="348" customFormat="1" ht="12.75" hidden="1" customHeight="1">
      <c r="A103" s="3614"/>
      <c r="B103" s="1553" t="s">
        <v>245</v>
      </c>
      <c r="C103" s="3595"/>
      <c r="D103" s="949">
        <f t="shared" si="69"/>
        <v>576913</v>
      </c>
      <c r="E103" s="1779">
        <v>51728</v>
      </c>
      <c r="F103" s="1370">
        <f>70632+15201+19134+6435-3544-34119-5166</f>
        <v>68573</v>
      </c>
      <c r="G103" s="1371">
        <f>70167+14504+8153</f>
        <v>92824</v>
      </c>
      <c r="H103" s="1371">
        <f>64019+3544+20673+6032</f>
        <v>94268</v>
      </c>
      <c r="I103" s="1371">
        <f>64019+13446</f>
        <v>77465</v>
      </c>
      <c r="J103" s="1371">
        <v>64019</v>
      </c>
      <c r="K103" s="1371">
        <v>64018</v>
      </c>
      <c r="L103" s="1371">
        <v>64018</v>
      </c>
      <c r="M103" s="1780">
        <v>0</v>
      </c>
      <c r="N103" s="1780">
        <v>0</v>
      </c>
      <c r="O103" s="3666"/>
      <c r="P103" s="1428"/>
      <c r="Q103" s="1428"/>
    </row>
    <row r="104" spans="1:20" s="348" customFormat="1" ht="12.75" hidden="1" customHeight="1">
      <c r="A104" s="3614"/>
      <c r="B104" s="1553" t="s">
        <v>246</v>
      </c>
      <c r="C104" s="3595"/>
      <c r="D104" s="949">
        <f t="shared" si="69"/>
        <v>538654</v>
      </c>
      <c r="E104" s="1779">
        <v>304275</v>
      </c>
      <c r="F104" s="1370">
        <f>390656-525+1+195845-377239+29967-4313-13</f>
        <v>234379</v>
      </c>
      <c r="G104" s="1371">
        <f>441506+300-2-441804</f>
        <v>0</v>
      </c>
      <c r="H104" s="1371">
        <f>406479-406479</f>
        <v>0</v>
      </c>
      <c r="I104" s="1371">
        <f>406478-406478</f>
        <v>0</v>
      </c>
      <c r="J104" s="1371">
        <f>406478-406478</f>
        <v>0</v>
      </c>
      <c r="K104" s="1371">
        <f>406479-406479</f>
        <v>0</v>
      </c>
      <c r="L104" s="1371">
        <f>406479-406479</f>
        <v>0</v>
      </c>
      <c r="M104" s="1780">
        <v>0</v>
      </c>
      <c r="N104" s="1780">
        <v>0</v>
      </c>
      <c r="O104" s="3666"/>
      <c r="P104" s="1428"/>
      <c r="Q104" s="1428"/>
    </row>
    <row r="105" spans="1:20" s="348" customFormat="1" ht="12.75" customHeight="1">
      <c r="A105" s="3614"/>
      <c r="B105" s="685" t="s">
        <v>18</v>
      </c>
      <c r="C105" s="3595"/>
      <c r="D105" s="1755">
        <f>+D106</f>
        <v>183450723</v>
      </c>
      <c r="E105" s="1755">
        <f>+E106</f>
        <v>19881694</v>
      </c>
      <c r="F105" s="1755">
        <f>+F106</f>
        <v>21259797</v>
      </c>
      <c r="G105" s="1781">
        <f t="shared" ref="G105:N105" si="73">+G106</f>
        <v>26481897</v>
      </c>
      <c r="H105" s="1781">
        <f t="shared" si="73"/>
        <v>26199354</v>
      </c>
      <c r="I105" s="1781">
        <f t="shared" si="73"/>
        <v>22689465</v>
      </c>
      <c r="J105" s="1781">
        <f t="shared" si="73"/>
        <v>22169678</v>
      </c>
      <c r="K105" s="1781">
        <f t="shared" si="73"/>
        <v>22510359</v>
      </c>
      <c r="L105" s="1781">
        <f t="shared" si="73"/>
        <v>22258479</v>
      </c>
      <c r="M105" s="1772">
        <f t="shared" si="73"/>
        <v>163569029</v>
      </c>
      <c r="N105" s="1772">
        <f t="shared" si="73"/>
        <v>142309232</v>
      </c>
      <c r="O105" s="3666"/>
      <c r="P105" s="1431">
        <f>+P106</f>
        <v>21473092</v>
      </c>
      <c r="Q105" s="1431"/>
    </row>
    <row r="106" spans="1:20" s="1834" customFormat="1" ht="13.5" thickBot="1">
      <c r="A106" s="3614"/>
      <c r="B106" s="1456" t="s">
        <v>21</v>
      </c>
      <c r="C106" s="3596"/>
      <c r="D106" s="1782">
        <f>E106+F106+G106+H106+I106+J106+K106+L106</f>
        <v>183450723</v>
      </c>
      <c r="E106" s="1770">
        <f>+E108+E109+E110+E111+E112+E113+E114</f>
        <v>19881694</v>
      </c>
      <c r="F106" s="1770">
        <f t="shared" ref="F106:L106" si="74">+F108+F109+F110+F111+F112+F113+F114</f>
        <v>21259797</v>
      </c>
      <c r="G106" s="1770">
        <f t="shared" si="74"/>
        <v>26481897</v>
      </c>
      <c r="H106" s="1770">
        <f t="shared" si="74"/>
        <v>26199354</v>
      </c>
      <c r="I106" s="1770">
        <f t="shared" si="74"/>
        <v>22689465</v>
      </c>
      <c r="J106" s="1770">
        <f t="shared" si="74"/>
        <v>22169678</v>
      </c>
      <c r="K106" s="1770">
        <f t="shared" si="74"/>
        <v>22510359</v>
      </c>
      <c r="L106" s="1770">
        <f t="shared" si="74"/>
        <v>22258479</v>
      </c>
      <c r="M106" s="1754">
        <f>SUM(F106:L106)</f>
        <v>163569029</v>
      </c>
      <c r="N106" s="1754">
        <f>SUM(G106:L106)</f>
        <v>142309232</v>
      </c>
      <c r="O106" s="3666"/>
      <c r="P106" s="1428">
        <v>21473092</v>
      </c>
      <c r="Q106" s="1428">
        <f>G115-'[1]Tab. 6E - Administracja'!$G$115</f>
        <v>19922</v>
      </c>
      <c r="T106" s="365"/>
    </row>
    <row r="107" spans="1:20" s="1834" customFormat="1" ht="15.75" hidden="1" customHeight="1">
      <c r="A107" s="3614"/>
      <c r="B107" s="1456" t="s">
        <v>149</v>
      </c>
      <c r="C107" s="1783"/>
      <c r="D107" s="1762"/>
      <c r="E107" s="1753"/>
      <c r="F107" s="1757"/>
      <c r="G107" s="1757"/>
      <c r="H107" s="1757"/>
      <c r="I107" s="1757"/>
      <c r="J107" s="1757"/>
      <c r="K107" s="1757"/>
      <c r="L107" s="1757"/>
      <c r="M107" s="1784"/>
      <c r="N107" s="1784"/>
      <c r="O107" s="3666"/>
      <c r="P107" s="1428"/>
      <c r="Q107" s="1430"/>
      <c r="T107" s="180"/>
    </row>
    <row r="108" spans="1:20" s="1834" customFormat="1" ht="12.75" hidden="1" customHeight="1">
      <c r="A108" s="3614"/>
      <c r="B108" s="429" t="s">
        <v>150</v>
      </c>
      <c r="C108" s="370"/>
      <c r="D108" s="949">
        <f t="shared" ref="D108:D114" si="75">E108+F108+G108+H108+I108+J108+K108+L108</f>
        <v>37940089</v>
      </c>
      <c r="E108" s="1372">
        <f>6418+10696707-5063</f>
        <v>10698062</v>
      </c>
      <c r="F108" s="1361">
        <f>2407721+10000000-9866168-241553+53444+1058102+58380+2400014-50000+1938307+1976201-349079+32463+337289+146679+936304+2150284-222394</f>
        <v>12765994</v>
      </c>
      <c r="G108" s="1361">
        <f>2407721-107721+610000+165878+60947+31558+682567+1121686</f>
        <v>4972636</v>
      </c>
      <c r="H108" s="1361">
        <f>1820395+620000-140395+15000+227456</f>
        <v>2542456</v>
      </c>
      <c r="I108" s="1361">
        <f>1820395+865067-985462+326000</f>
        <v>2026000</v>
      </c>
      <c r="J108" s="1361">
        <f>1820395-120395</f>
        <v>1700000</v>
      </c>
      <c r="K108" s="1361">
        <f>1820395-120395</f>
        <v>1700000</v>
      </c>
      <c r="L108" s="1361">
        <f>1820391-285524+74</f>
        <v>1534941</v>
      </c>
      <c r="M108" s="1373">
        <f t="shared" ref="M108:N114" si="76">+F108+G108+H108+I108+J108+K108</f>
        <v>25707086</v>
      </c>
      <c r="N108" s="1373">
        <f t="shared" si="76"/>
        <v>14476033</v>
      </c>
      <c r="O108" s="3666"/>
      <c r="P108" s="1428"/>
      <c r="Q108" s="1432"/>
      <c r="T108" s="180"/>
    </row>
    <row r="109" spans="1:20" s="1834" customFormat="1" ht="12.75" hidden="1" customHeight="1">
      <c r="A109" s="3614"/>
      <c r="B109" s="1551" t="s">
        <v>151</v>
      </c>
      <c r="C109" s="1785"/>
      <c r="D109" s="949">
        <f t="shared" si="75"/>
        <v>17817945</v>
      </c>
      <c r="E109" s="1774">
        <f>5406+2022679</f>
        <v>2028085</v>
      </c>
      <c r="F109" s="1774">
        <f>2618000+177406-295406+300000-133900-241869</f>
        <v>2424231</v>
      </c>
      <c r="G109" s="1774">
        <f>2618000-118000+599987+19922</f>
        <v>3119909</v>
      </c>
      <c r="H109" s="1774">
        <f>1813339+841315-154654+596852</f>
        <v>3096852</v>
      </c>
      <c r="I109" s="1774">
        <f>1813339-113339+446000+17000</f>
        <v>2163000</v>
      </c>
      <c r="J109" s="1774">
        <f>1813339-113339+17000</f>
        <v>1717000</v>
      </c>
      <c r="K109" s="1774">
        <f>1813339-113339+17000</f>
        <v>1717000</v>
      </c>
      <c r="L109" s="1774">
        <f>1813335-278467+17000</f>
        <v>1551868</v>
      </c>
      <c r="M109" s="1373">
        <f t="shared" si="76"/>
        <v>14237992</v>
      </c>
      <c r="N109" s="1373">
        <f t="shared" si="76"/>
        <v>13365629</v>
      </c>
      <c r="O109" s="3666"/>
      <c r="P109" s="1428"/>
      <c r="Q109" s="1425"/>
      <c r="T109" s="180"/>
    </row>
    <row r="110" spans="1:20" s="366" customFormat="1" ht="12.75" hidden="1" customHeight="1">
      <c r="A110" s="3614"/>
      <c r="B110" s="1554" t="s">
        <v>152</v>
      </c>
      <c r="C110" s="1786"/>
      <c r="D110" s="949">
        <f t="shared" si="75"/>
        <v>103478507</v>
      </c>
      <c r="E110" s="1787">
        <f>71254+3533980</f>
        <v>3605234</v>
      </c>
      <c r="F110" s="1374">
        <f>4922901+7377557+542459+106789+2990770-53444-1058102-58380-2500014-1938307-1976201-32463-337289-146679-936304-2150284-2006238</f>
        <v>2746771</v>
      </c>
      <c r="G110" s="1374">
        <f>5021358+7525108+553309+4097213-165878-60947-1121686-682567-31558</f>
        <v>15134352</v>
      </c>
      <c r="H110" s="1374">
        <f>5121786+7675610+564375+1968441+2006240</f>
        <v>17336452</v>
      </c>
      <c r="I110" s="1374">
        <f>5224221+7829122+575662+2027494</f>
        <v>15656499</v>
      </c>
      <c r="J110" s="1374">
        <f>13901587+2088319</f>
        <v>15989906</v>
      </c>
      <c r="K110" s="1374">
        <f>14179618+2150968</f>
        <v>16330586</v>
      </c>
      <c r="L110" s="1374">
        <f>14463209+2215498</f>
        <v>16678707</v>
      </c>
      <c r="M110" s="1373">
        <f t="shared" si="76"/>
        <v>83194566</v>
      </c>
      <c r="N110" s="1373">
        <f t="shared" si="76"/>
        <v>97126502</v>
      </c>
      <c r="O110" s="3666"/>
      <c r="P110" s="1428"/>
      <c r="Q110" s="1425"/>
      <c r="T110" s="367"/>
    </row>
    <row r="111" spans="1:20" s="366" customFormat="1" ht="12.75" hidden="1" customHeight="1">
      <c r="A111" s="3614"/>
      <c r="B111" s="1886" t="s">
        <v>153</v>
      </c>
      <c r="C111" s="1788"/>
      <c r="D111" s="949">
        <f t="shared" si="75"/>
        <v>14708647</v>
      </c>
      <c r="E111" s="1776">
        <v>1532968</v>
      </c>
      <c r="F111" s="1776">
        <f>2190000-99000-10000-304021-331490</f>
        <v>1445489</v>
      </c>
      <c r="G111" s="1776">
        <f>2190000-190000</f>
        <v>2000000</v>
      </c>
      <c r="H111" s="1776">
        <f>2048339-48339</f>
        <v>2000000</v>
      </c>
      <c r="I111" s="1776">
        <f>2048339-48339</f>
        <v>2000000</v>
      </c>
      <c r="J111" s="1776">
        <f>2048339-48339</f>
        <v>2000000</v>
      </c>
      <c r="K111" s="1776">
        <f>2048339-48339</f>
        <v>2000000</v>
      </c>
      <c r="L111" s="1776">
        <f>2048336-148336-169810</f>
        <v>1730190</v>
      </c>
      <c r="M111" s="1373">
        <f t="shared" si="76"/>
        <v>11445489</v>
      </c>
      <c r="N111" s="1373">
        <f t="shared" si="76"/>
        <v>11730190</v>
      </c>
      <c r="O111" s="3666"/>
      <c r="P111" s="1428"/>
      <c r="Q111" s="1425"/>
      <c r="T111" s="367"/>
    </row>
    <row r="112" spans="1:20" s="366" customFormat="1" ht="12.75" hidden="1" customHeight="1">
      <c r="A112" s="3614"/>
      <c r="B112" s="1886" t="s">
        <v>363</v>
      </c>
      <c r="C112" s="1789"/>
      <c r="D112" s="949">
        <f t="shared" si="75"/>
        <v>3184000</v>
      </c>
      <c r="E112" s="1776"/>
      <c r="F112" s="1375">
        <f>330000+100000-88900-180510</f>
        <v>160590</v>
      </c>
      <c r="G112" s="1375">
        <f>420000+309000</f>
        <v>729000</v>
      </c>
      <c r="H112" s="1375">
        <f>420000+88900+180510</f>
        <v>689410</v>
      </c>
      <c r="I112" s="1375">
        <v>405000</v>
      </c>
      <c r="J112" s="1375">
        <v>400000</v>
      </c>
      <c r="K112" s="1375">
        <v>400000</v>
      </c>
      <c r="L112" s="1375">
        <v>400000</v>
      </c>
      <c r="M112" s="1373">
        <f t="shared" si="76"/>
        <v>2784000</v>
      </c>
      <c r="N112" s="1373">
        <f t="shared" si="76"/>
        <v>3023410</v>
      </c>
      <c r="O112" s="3666"/>
      <c r="P112" s="1428"/>
      <c r="Q112" s="1425"/>
      <c r="T112" s="367"/>
    </row>
    <row r="113" spans="1:20" s="366" customFormat="1" ht="12.75" hidden="1" customHeight="1">
      <c r="A113" s="3614"/>
      <c r="B113" s="1553" t="s">
        <v>264</v>
      </c>
      <c r="C113" s="1790"/>
      <c r="D113" s="949">
        <f t="shared" si="75"/>
        <v>3269172</v>
      </c>
      <c r="E113" s="1779">
        <v>293127</v>
      </c>
      <c r="F113" s="2806">
        <f>400248+86140-1+108427+36462-20083-193339-29277</f>
        <v>388577</v>
      </c>
      <c r="G113" s="1376">
        <f>397613+82194+46193</f>
        <v>526000</v>
      </c>
      <c r="H113" s="1376">
        <f>362772+20083+117145+34184</f>
        <v>534184</v>
      </c>
      <c r="I113" s="1376">
        <f>362772+76194</f>
        <v>438966</v>
      </c>
      <c r="J113" s="1376">
        <v>362772</v>
      </c>
      <c r="K113" s="1376">
        <v>362773</v>
      </c>
      <c r="L113" s="1376">
        <v>362773</v>
      </c>
      <c r="M113" s="1373">
        <f t="shared" si="76"/>
        <v>2613272</v>
      </c>
      <c r="N113" s="1373">
        <f t="shared" si="76"/>
        <v>2587468</v>
      </c>
      <c r="O113" s="3666"/>
      <c r="P113" s="1428"/>
      <c r="Q113" s="1425"/>
      <c r="T113" s="367"/>
    </row>
    <row r="114" spans="1:20" s="366" customFormat="1" ht="12.75" hidden="1" customHeight="1">
      <c r="A114" s="3614"/>
      <c r="B114" s="1553" t="s">
        <v>265</v>
      </c>
      <c r="C114" s="1791"/>
      <c r="D114" s="949">
        <f t="shared" si="75"/>
        <v>3052363</v>
      </c>
      <c r="E114" s="1779">
        <v>1724218</v>
      </c>
      <c r="F114" s="2806">
        <f>2213719-2975+1109794-2137692+169810-24436-74-1</f>
        <v>1328145</v>
      </c>
      <c r="G114" s="1376">
        <f>2501869+1700-1-2503568</f>
        <v>0</v>
      </c>
      <c r="H114" s="1376">
        <f>2303378-2303378</f>
        <v>0</v>
      </c>
      <c r="I114" s="1376">
        <f>2303378-2303378</f>
        <v>0</v>
      </c>
      <c r="J114" s="1376">
        <f>2303378-2303378</f>
        <v>0</v>
      </c>
      <c r="K114" s="1376">
        <f>2303377-2303377</f>
        <v>0</v>
      </c>
      <c r="L114" s="1376">
        <f>2303377-2303377</f>
        <v>0</v>
      </c>
      <c r="M114" s="1373">
        <f t="shared" si="76"/>
        <v>1328145</v>
      </c>
      <c r="N114" s="1373">
        <f t="shared" si="76"/>
        <v>0</v>
      </c>
      <c r="O114" s="3666"/>
      <c r="P114" s="1428"/>
      <c r="Q114" s="1425"/>
      <c r="T114" s="367"/>
    </row>
    <row r="115" spans="1:20" s="1834" customFormat="1" ht="16.5" customHeight="1">
      <c r="A115" s="3227"/>
      <c r="B115" s="82" t="s">
        <v>22</v>
      </c>
      <c r="C115" s="178"/>
      <c r="D115" s="371">
        <f>+D116</f>
        <v>183450723</v>
      </c>
      <c r="E115" s="371">
        <f t="shared" ref="E115:L115" si="77">+E116</f>
        <v>14576272</v>
      </c>
      <c r="F115" s="371">
        <f t="shared" si="77"/>
        <v>22881140</v>
      </c>
      <c r="G115" s="371">
        <f t="shared" si="77"/>
        <v>26481897</v>
      </c>
      <c r="H115" s="1792">
        <f t="shared" si="77"/>
        <v>22799873</v>
      </c>
      <c r="I115" s="1792">
        <f t="shared" si="77"/>
        <v>22689465</v>
      </c>
      <c r="J115" s="1792">
        <f t="shared" si="77"/>
        <v>22169678</v>
      </c>
      <c r="K115" s="1792">
        <f t="shared" si="77"/>
        <v>22510359</v>
      </c>
      <c r="L115" s="1792">
        <f t="shared" si="77"/>
        <v>22258479</v>
      </c>
      <c r="M115" s="3520" t="s">
        <v>61</v>
      </c>
      <c r="N115" s="3520" t="s">
        <v>61</v>
      </c>
      <c r="O115" s="3666"/>
      <c r="P115" s="3663" t="s">
        <v>514</v>
      </c>
      <c r="Q115" s="3664"/>
      <c r="R115" s="3664"/>
      <c r="S115" s="3664"/>
    </row>
    <row r="116" spans="1:20" s="1834" customFormat="1">
      <c r="A116" s="3227"/>
      <c r="B116" s="1793" t="s">
        <v>18</v>
      </c>
      <c r="C116" s="3656" t="s">
        <v>244</v>
      </c>
      <c r="D116" s="1755">
        <f t="shared" ref="D116:L116" si="78">+D117</f>
        <v>183450723</v>
      </c>
      <c r="E116" s="1755">
        <f t="shared" si="78"/>
        <v>14576272</v>
      </c>
      <c r="F116" s="1781">
        <f t="shared" si="78"/>
        <v>22881140</v>
      </c>
      <c r="G116" s="1781">
        <f t="shared" si="78"/>
        <v>26481897</v>
      </c>
      <c r="H116" s="1781">
        <f t="shared" si="78"/>
        <v>22799873</v>
      </c>
      <c r="I116" s="1781">
        <f t="shared" si="78"/>
        <v>22689465</v>
      </c>
      <c r="J116" s="1781">
        <f t="shared" si="78"/>
        <v>22169678</v>
      </c>
      <c r="K116" s="1781">
        <f t="shared" si="78"/>
        <v>22510359</v>
      </c>
      <c r="L116" s="1781">
        <f t="shared" si="78"/>
        <v>22258479</v>
      </c>
      <c r="M116" s="3521"/>
      <c r="N116" s="3521"/>
      <c r="O116" s="3666"/>
      <c r="P116" s="3663"/>
      <c r="Q116" s="3664"/>
      <c r="R116" s="3664"/>
      <c r="S116" s="3664"/>
    </row>
    <row r="117" spans="1:20" s="1834" customFormat="1" ht="13.5" thickBot="1">
      <c r="A117" s="3228"/>
      <c r="B117" s="360" t="s">
        <v>441</v>
      </c>
      <c r="C117" s="3598"/>
      <c r="D117" s="2989">
        <f>E117+F117+G117+H117+I117+J117+K117+L117+2029435+2998719+2055406</f>
        <v>183450723</v>
      </c>
      <c r="E117" s="3125">
        <f>14581335-5063</f>
        <v>14576272</v>
      </c>
      <c r="F117" s="2106">
        <f>51433208-8318334-17866393+1853416+1574979-50000-10000-74-4067958-1667704</f>
        <v>22881140</v>
      </c>
      <c r="G117" s="2106">
        <f>30885930-8318334+1316270-584995-2464989+5628093+19922</f>
        <v>26481897</v>
      </c>
      <c r="H117" s="2106">
        <f>29939078-8229084+354097+1107218+5454925-5693167+221045-354239</f>
        <v>22799873</v>
      </c>
      <c r="I117" s="2106">
        <f>30223312-8246084-386089+82192+1168964-1018024+848194+17000</f>
        <v>22689465</v>
      </c>
      <c r="J117" s="2106">
        <f>30407494-8157684-97132+17000</f>
        <v>22169678</v>
      </c>
      <c r="K117" s="2106">
        <f>30073524-7545683-34482+17000</f>
        <v>22510359</v>
      </c>
      <c r="L117" s="2106">
        <f>30175721-7364300-400206-169810+74+17000</f>
        <v>22258479</v>
      </c>
      <c r="M117" s="3522"/>
      <c r="N117" s="3522"/>
      <c r="O117" s="3667"/>
      <c r="P117" s="3663"/>
      <c r="Q117" s="3664"/>
      <c r="R117" s="3664"/>
      <c r="S117" s="3664"/>
    </row>
    <row r="118" spans="1:20" s="1834" customFormat="1" ht="26.25" customHeight="1">
      <c r="A118" s="3613" t="s">
        <v>87</v>
      </c>
      <c r="B118" s="169" t="s">
        <v>259</v>
      </c>
      <c r="C118" s="170" t="s">
        <v>81</v>
      </c>
      <c r="D118" s="397"/>
      <c r="E118" s="397"/>
      <c r="F118" s="397"/>
      <c r="G118" s="397"/>
      <c r="H118" s="397"/>
      <c r="I118" s="397"/>
      <c r="J118" s="397"/>
      <c r="K118" s="397"/>
      <c r="L118" s="397"/>
      <c r="M118" s="397">
        <f t="shared" ref="M118" si="79">M119-M121</f>
        <v>1587065</v>
      </c>
      <c r="N118" s="397"/>
      <c r="O118" s="3657" t="s">
        <v>386</v>
      </c>
      <c r="P118" s="3663"/>
      <c r="Q118" s="3664"/>
      <c r="R118" s="3664"/>
      <c r="S118" s="3664"/>
    </row>
    <row r="119" spans="1:20" s="1834" customFormat="1" ht="14.25" customHeight="1">
      <c r="A119" s="3614"/>
      <c r="B119" s="662" t="s">
        <v>10</v>
      </c>
      <c r="C119" s="1765"/>
      <c r="D119" s="1766">
        <f t="shared" ref="D119:I119" si="80">+D124+D120</f>
        <v>1980226</v>
      </c>
      <c r="E119" s="1766">
        <f t="shared" ref="E119" si="81">+E124+E120</f>
        <v>392617</v>
      </c>
      <c r="F119" s="1766">
        <f t="shared" si="80"/>
        <v>422482</v>
      </c>
      <c r="G119" s="1766">
        <f t="shared" si="80"/>
        <v>350000</v>
      </c>
      <c r="H119" s="1766">
        <f t="shared" si="80"/>
        <v>237127</v>
      </c>
      <c r="I119" s="1766">
        <f t="shared" si="80"/>
        <v>144500</v>
      </c>
      <c r="J119" s="1766">
        <f>+J124+J120</f>
        <v>144500</v>
      </c>
      <c r="K119" s="1766">
        <f>+K124+K120</f>
        <v>144500</v>
      </c>
      <c r="L119" s="1766">
        <f>+L124+L120</f>
        <v>144500</v>
      </c>
      <c r="M119" s="1767">
        <f>+M124</f>
        <v>1587065</v>
      </c>
      <c r="N119" s="1767">
        <f>+N124</f>
        <v>1165127</v>
      </c>
      <c r="O119" s="3658"/>
      <c r="P119" s="3663"/>
      <c r="Q119" s="3664"/>
      <c r="R119" s="3664"/>
      <c r="S119" s="3664"/>
    </row>
    <row r="120" spans="1:20" s="1834" customFormat="1" ht="13.5" customHeight="1">
      <c r="A120" s="3614"/>
      <c r="B120" s="633" t="s">
        <v>24</v>
      </c>
      <c r="C120" s="3656" t="s">
        <v>377</v>
      </c>
      <c r="D120" s="1768">
        <f>+D121</f>
        <v>35657</v>
      </c>
      <c r="E120" s="1768">
        <f t="shared" ref="E120:L120" si="82">+E121</f>
        <v>35113</v>
      </c>
      <c r="F120" s="1768">
        <f t="shared" si="82"/>
        <v>544</v>
      </c>
      <c r="G120" s="1768">
        <f t="shared" si="82"/>
        <v>0</v>
      </c>
      <c r="H120" s="1768">
        <f t="shared" si="82"/>
        <v>0</v>
      </c>
      <c r="I120" s="1768">
        <f t="shared" si="82"/>
        <v>0</v>
      </c>
      <c r="J120" s="1768">
        <f t="shared" si="82"/>
        <v>0</v>
      </c>
      <c r="K120" s="1768">
        <f t="shared" si="82"/>
        <v>0</v>
      </c>
      <c r="L120" s="1768">
        <f t="shared" si="82"/>
        <v>0</v>
      </c>
      <c r="M120" s="1881">
        <f>+M121</f>
        <v>0</v>
      </c>
      <c r="N120" s="1881">
        <f>+N121</f>
        <v>0</v>
      </c>
      <c r="O120" s="3658"/>
      <c r="P120" s="3663"/>
      <c r="Q120" s="3664"/>
      <c r="R120" s="3664"/>
      <c r="S120" s="3664"/>
    </row>
    <row r="121" spans="1:20" s="1834" customFormat="1" ht="13.5" customHeight="1">
      <c r="A121" s="3614"/>
      <c r="B121" s="3159" t="s">
        <v>32</v>
      </c>
      <c r="C121" s="3595"/>
      <c r="D121" s="1770">
        <f>E121+F121+G121+H121+I121+J121+K121+L121</f>
        <v>35657</v>
      </c>
      <c r="E121" s="1770">
        <f t="shared" ref="E121:L121" si="83">SUM(E122:E123)</f>
        <v>35113</v>
      </c>
      <c r="F121" s="1770">
        <f t="shared" si="83"/>
        <v>544</v>
      </c>
      <c r="G121" s="1770">
        <f t="shared" si="83"/>
        <v>0</v>
      </c>
      <c r="H121" s="1770">
        <f t="shared" si="83"/>
        <v>0</v>
      </c>
      <c r="I121" s="1770">
        <f t="shared" si="83"/>
        <v>0</v>
      </c>
      <c r="J121" s="1770">
        <f t="shared" si="83"/>
        <v>0</v>
      </c>
      <c r="K121" s="1770">
        <f t="shared" si="83"/>
        <v>0</v>
      </c>
      <c r="L121" s="1770">
        <f t="shared" si="83"/>
        <v>0</v>
      </c>
      <c r="M121" s="1882">
        <v>0</v>
      </c>
      <c r="N121" s="1882">
        <v>0</v>
      </c>
      <c r="O121" s="3658"/>
      <c r="P121" s="3663"/>
      <c r="Q121" s="3664"/>
      <c r="R121" s="3664"/>
      <c r="S121" s="3664"/>
    </row>
    <row r="122" spans="1:20" s="1834" customFormat="1" ht="13.5" hidden="1" customHeight="1">
      <c r="A122" s="3614"/>
      <c r="B122" s="3160" t="s">
        <v>245</v>
      </c>
      <c r="C122" s="3595"/>
      <c r="D122" s="1779">
        <f>E122+F122+G122+H122+I122+J122+K122+L122</f>
        <v>7180</v>
      </c>
      <c r="E122" s="1779">
        <v>6636</v>
      </c>
      <c r="F122" s="1370">
        <f>1410-865-1</f>
        <v>544</v>
      </c>
      <c r="G122" s="1371">
        <f>865-865</f>
        <v>0</v>
      </c>
      <c r="H122" s="1371">
        <f>865-865</f>
        <v>0</v>
      </c>
      <c r="I122" s="1371"/>
      <c r="J122" s="1371"/>
      <c r="K122" s="1371"/>
      <c r="L122" s="1371"/>
      <c r="M122" s="1780">
        <v>0</v>
      </c>
      <c r="N122" s="1780">
        <v>0</v>
      </c>
      <c r="O122" s="3658"/>
      <c r="P122" s="3663"/>
      <c r="Q122" s="3664"/>
      <c r="R122" s="3664"/>
      <c r="S122" s="3664"/>
    </row>
    <row r="123" spans="1:20" s="1834" customFormat="1" ht="13.5" hidden="1" customHeight="1">
      <c r="A123" s="3614"/>
      <c r="B123" s="3160" t="s">
        <v>246</v>
      </c>
      <c r="C123" s="3595"/>
      <c r="D123" s="1779">
        <f>E123+F123+G123+H123+I123+J123+K123+L123</f>
        <v>28477</v>
      </c>
      <c r="E123" s="1779">
        <v>28477</v>
      </c>
      <c r="F123" s="1370">
        <f>975+525+5215-6715</f>
        <v>0</v>
      </c>
      <c r="G123" s="1371">
        <f>1800-300-1500</f>
        <v>0</v>
      </c>
      <c r="H123" s="1371">
        <f>975-975</f>
        <v>0</v>
      </c>
      <c r="I123" s="1371">
        <f>975-975</f>
        <v>0</v>
      </c>
      <c r="J123" s="1371">
        <f>975-975</f>
        <v>0</v>
      </c>
      <c r="K123" s="1371">
        <f>975-975</f>
        <v>0</v>
      </c>
      <c r="L123" s="1371">
        <f>975-975</f>
        <v>0</v>
      </c>
      <c r="M123" s="1780">
        <v>0</v>
      </c>
      <c r="N123" s="1780">
        <v>0</v>
      </c>
      <c r="O123" s="3658"/>
      <c r="P123" s="3663"/>
      <c r="Q123" s="3664"/>
      <c r="R123" s="3664"/>
      <c r="S123" s="3664"/>
    </row>
    <row r="124" spans="1:20" s="1834" customFormat="1" ht="13.5" customHeight="1" thickBot="1">
      <c r="A124" s="3615"/>
      <c r="B124" s="3161" t="s">
        <v>18</v>
      </c>
      <c r="C124" s="3598"/>
      <c r="D124" s="2954">
        <f>+D125</f>
        <v>1944569</v>
      </c>
      <c r="E124" s="3162">
        <f>+E125</f>
        <v>357504</v>
      </c>
      <c r="F124" s="3162">
        <f>+F125</f>
        <v>421938</v>
      </c>
      <c r="G124" s="2954">
        <f t="shared" ref="G124:N124" si="84">+G125</f>
        <v>350000</v>
      </c>
      <c r="H124" s="2954">
        <f t="shared" si="84"/>
        <v>237127</v>
      </c>
      <c r="I124" s="2954">
        <f t="shared" si="84"/>
        <v>144500</v>
      </c>
      <c r="J124" s="2954">
        <f t="shared" si="84"/>
        <v>144500</v>
      </c>
      <c r="K124" s="2954">
        <f t="shared" si="84"/>
        <v>144500</v>
      </c>
      <c r="L124" s="2954">
        <f t="shared" si="84"/>
        <v>144500</v>
      </c>
      <c r="M124" s="3163">
        <f t="shared" si="84"/>
        <v>1587065</v>
      </c>
      <c r="N124" s="3163">
        <f t="shared" si="84"/>
        <v>1165127</v>
      </c>
      <c r="O124" s="3659"/>
      <c r="P124" s="3663"/>
      <c r="Q124" s="3664"/>
      <c r="R124" s="3664"/>
      <c r="S124" s="3664"/>
    </row>
    <row r="125" spans="1:20" s="1834" customFormat="1">
      <c r="A125" s="3614"/>
      <c r="B125" s="2797" t="s">
        <v>21</v>
      </c>
      <c r="C125" s="3596"/>
      <c r="D125" s="2785">
        <f>E125+F125+G125+H125+I125+J125+K125+L125</f>
        <v>1944569</v>
      </c>
      <c r="E125" s="2785">
        <f>+E127+E128+E129+E130+E131+E132+E133</f>
        <v>357504</v>
      </c>
      <c r="F125" s="2785">
        <f t="shared" ref="F125:L125" si="85">+F127+F128+F129+F130+F131+F132+F133</f>
        <v>421938</v>
      </c>
      <c r="G125" s="2785">
        <f t="shared" si="85"/>
        <v>350000</v>
      </c>
      <c r="H125" s="2785">
        <f t="shared" si="85"/>
        <v>237127</v>
      </c>
      <c r="I125" s="2785">
        <f t="shared" si="85"/>
        <v>144500</v>
      </c>
      <c r="J125" s="2785">
        <f t="shared" si="85"/>
        <v>144500</v>
      </c>
      <c r="K125" s="2785">
        <f t="shared" si="85"/>
        <v>144500</v>
      </c>
      <c r="L125" s="2785">
        <f t="shared" si="85"/>
        <v>144500</v>
      </c>
      <c r="M125" s="2100">
        <f>SUM(F125:L125)</f>
        <v>1587065</v>
      </c>
      <c r="N125" s="2100">
        <f>SUM(G125:L125)</f>
        <v>1165127</v>
      </c>
      <c r="O125" s="3658"/>
      <c r="P125" s="3663"/>
      <c r="Q125" s="3664"/>
      <c r="R125" s="3664"/>
      <c r="S125" s="3664"/>
    </row>
    <row r="126" spans="1:20" s="1834" customFormat="1" ht="12.75" hidden="1" customHeight="1">
      <c r="A126" s="3614"/>
      <c r="B126" s="1456" t="s">
        <v>149</v>
      </c>
      <c r="C126" s="1883"/>
      <c r="D126" s="1753"/>
      <c r="E126" s="1753"/>
      <c r="F126" s="1757"/>
      <c r="G126" s="1757"/>
      <c r="H126" s="1757"/>
      <c r="I126" s="1757"/>
      <c r="J126" s="1757"/>
      <c r="K126" s="1757"/>
      <c r="L126" s="1757"/>
      <c r="M126" s="1784"/>
      <c r="N126" s="1784"/>
      <c r="O126" s="3658"/>
      <c r="P126" s="3663"/>
      <c r="Q126" s="3664"/>
      <c r="R126" s="3664"/>
      <c r="S126" s="3664"/>
    </row>
    <row r="127" spans="1:20" s="1834" customFormat="1" ht="12.75" hidden="1" customHeight="1">
      <c r="A127" s="3614"/>
      <c r="B127" s="429" t="s">
        <v>150</v>
      </c>
      <c r="C127" s="370"/>
      <c r="D127" s="1372">
        <f t="shared" ref="D127:D133" si="86">E127+F127+G127+H127+I127+J127+K127+L127</f>
        <v>1660924</v>
      </c>
      <c r="E127" s="1372">
        <v>144449</v>
      </c>
      <c r="F127" s="1361">
        <f>144500+224475+25000+50000-50000-42627</f>
        <v>351348</v>
      </c>
      <c r="G127" s="1361">
        <f>144500+51+205449</f>
        <v>350000</v>
      </c>
      <c r="H127" s="1361">
        <f>144500+50000+42627</f>
        <v>237127</v>
      </c>
      <c r="I127" s="1361">
        <v>144500</v>
      </c>
      <c r="J127" s="1361">
        <v>144500</v>
      </c>
      <c r="K127" s="1361">
        <v>144500</v>
      </c>
      <c r="L127" s="1361">
        <v>144500</v>
      </c>
      <c r="M127" s="1754">
        <f>SUM(F127:L127)</f>
        <v>1516475</v>
      </c>
      <c r="N127" s="1754">
        <f t="shared" ref="M127:N133" si="87">SUM(G127:L127)</f>
        <v>1165127</v>
      </c>
      <c r="O127" s="3658"/>
      <c r="P127" s="3663"/>
      <c r="Q127" s="3664"/>
      <c r="R127" s="3664"/>
      <c r="S127" s="3664"/>
    </row>
    <row r="128" spans="1:20" s="1834" customFormat="1" ht="12.75" hidden="1" customHeight="1">
      <c r="A128" s="3614"/>
      <c r="B128" s="1551" t="s">
        <v>151</v>
      </c>
      <c r="C128" s="1884"/>
      <c r="D128" s="1774">
        <f t="shared" si="86"/>
        <v>59673</v>
      </c>
      <c r="E128" s="1774">
        <v>14078</v>
      </c>
      <c r="F128" s="1774">
        <f>17000+32000-3405</f>
        <v>45595</v>
      </c>
      <c r="G128" s="1774">
        <f>17000+2922-19922</f>
        <v>0</v>
      </c>
      <c r="H128" s="1774">
        <f>17000-17000</f>
        <v>0</v>
      </c>
      <c r="I128" s="1774">
        <f>17000-17000</f>
        <v>0</v>
      </c>
      <c r="J128" s="1774">
        <f>17000-17000</f>
        <v>0</v>
      </c>
      <c r="K128" s="1774">
        <f>17000-17000</f>
        <v>0</v>
      </c>
      <c r="L128" s="1774">
        <f>17000-17000</f>
        <v>0</v>
      </c>
      <c r="M128" s="1754">
        <f>SUM(F128:L128)</f>
        <v>45595</v>
      </c>
      <c r="N128" s="1754">
        <f t="shared" si="87"/>
        <v>0</v>
      </c>
      <c r="O128" s="3658"/>
      <c r="P128" s="3663"/>
      <c r="Q128" s="3664"/>
      <c r="R128" s="3664"/>
      <c r="S128" s="3664"/>
    </row>
    <row r="129" spans="1:19" s="1834" customFormat="1" ht="12.75" hidden="1" customHeight="1">
      <c r="A129" s="3614"/>
      <c r="B129" s="1554" t="s">
        <v>152</v>
      </c>
      <c r="C129" s="1885"/>
      <c r="D129" s="1787">
        <f t="shared" si="86"/>
        <v>0</v>
      </c>
      <c r="E129" s="1787"/>
      <c r="F129" s="1374"/>
      <c r="G129" s="1374"/>
      <c r="H129" s="1374"/>
      <c r="I129" s="1374"/>
      <c r="J129" s="1374"/>
      <c r="K129" s="1374"/>
      <c r="L129" s="1374"/>
      <c r="M129" s="1754">
        <f t="shared" si="87"/>
        <v>0</v>
      </c>
      <c r="N129" s="1754">
        <f t="shared" si="87"/>
        <v>0</v>
      </c>
      <c r="O129" s="3658"/>
      <c r="P129" s="3663"/>
      <c r="Q129" s="3664"/>
      <c r="R129" s="3664"/>
      <c r="S129" s="3664"/>
    </row>
    <row r="130" spans="1:19" s="1834" customFormat="1" ht="12.75" hidden="1" customHeight="1">
      <c r="A130" s="3614"/>
      <c r="B130" s="1886" t="s">
        <v>153</v>
      </c>
      <c r="C130" s="1887"/>
      <c r="D130" s="1776">
        <f t="shared" si="86"/>
        <v>21912</v>
      </c>
      <c r="E130" s="1776">
        <v>0</v>
      </c>
      <c r="F130" s="1776">
        <f>6000+9000+10000-3088</f>
        <v>21912</v>
      </c>
      <c r="G130" s="1776"/>
      <c r="H130" s="1776"/>
      <c r="I130" s="1776"/>
      <c r="J130" s="1776"/>
      <c r="K130" s="1776"/>
      <c r="L130" s="1776"/>
      <c r="M130" s="1754">
        <f>SUM(F130:L130)</f>
        <v>21912</v>
      </c>
      <c r="N130" s="1754">
        <f t="shared" si="87"/>
        <v>0</v>
      </c>
      <c r="O130" s="3658"/>
      <c r="P130" s="3663"/>
      <c r="Q130" s="3664"/>
      <c r="R130" s="3664"/>
      <c r="S130" s="3664"/>
    </row>
    <row r="131" spans="1:19" s="1834" customFormat="1" ht="12.75" hidden="1" customHeight="1">
      <c r="A131" s="3614"/>
      <c r="B131" s="1886" t="s">
        <v>364</v>
      </c>
      <c r="C131" s="1360"/>
      <c r="D131" s="1776">
        <f t="shared" si="86"/>
        <v>0</v>
      </c>
      <c r="E131" s="1776"/>
      <c r="F131" s="1776">
        <f>25000-25000</f>
        <v>0</v>
      </c>
      <c r="G131" s="1776"/>
      <c r="H131" s="1776"/>
      <c r="I131" s="1776"/>
      <c r="J131" s="1776"/>
      <c r="K131" s="1776"/>
      <c r="L131" s="1776"/>
      <c r="M131" s="1754">
        <f t="shared" si="87"/>
        <v>0</v>
      </c>
      <c r="N131" s="1754">
        <f t="shared" si="87"/>
        <v>0</v>
      </c>
      <c r="O131" s="3658"/>
      <c r="P131" s="3663"/>
      <c r="Q131" s="3664"/>
      <c r="R131" s="3664"/>
      <c r="S131" s="3664"/>
    </row>
    <row r="132" spans="1:19" s="1834" customFormat="1" ht="12.75" hidden="1" customHeight="1">
      <c r="A132" s="3614"/>
      <c r="B132" s="1553" t="s">
        <v>348</v>
      </c>
      <c r="C132" s="1888"/>
      <c r="D132" s="1779">
        <f t="shared" si="86"/>
        <v>40690</v>
      </c>
      <c r="E132" s="1779">
        <v>37607</v>
      </c>
      <c r="F132" s="1779">
        <f>7990-4907</f>
        <v>3083</v>
      </c>
      <c r="G132" s="1779">
        <f>4907-4907</f>
        <v>0</v>
      </c>
      <c r="H132" s="1779">
        <f>4907-4907</f>
        <v>0</v>
      </c>
      <c r="I132" s="1779"/>
      <c r="J132" s="1779"/>
      <c r="K132" s="1779"/>
      <c r="L132" s="1779"/>
      <c r="M132" s="1754">
        <f>SUM(F132:L132)</f>
        <v>3083</v>
      </c>
      <c r="N132" s="1754">
        <f t="shared" si="87"/>
        <v>0</v>
      </c>
      <c r="O132" s="3658"/>
      <c r="P132" s="3663"/>
      <c r="Q132" s="3664"/>
      <c r="R132" s="3664"/>
      <c r="S132" s="3664"/>
    </row>
    <row r="133" spans="1:19" s="1834" customFormat="1" ht="12.75" hidden="1" customHeight="1">
      <c r="A133" s="3614"/>
      <c r="B133" s="1553" t="s">
        <v>265</v>
      </c>
      <c r="C133" s="1889"/>
      <c r="D133" s="1779">
        <f t="shared" si="86"/>
        <v>161370</v>
      </c>
      <c r="E133" s="1779">
        <v>161370</v>
      </c>
      <c r="F133" s="1779">
        <f>5525+2975+29556-38056</f>
        <v>0</v>
      </c>
      <c r="G133" s="1779">
        <f>10200-1700-8500</f>
        <v>0</v>
      </c>
      <c r="H133" s="1779">
        <f>5525-5525</f>
        <v>0</v>
      </c>
      <c r="I133" s="1779">
        <f>5525-5525</f>
        <v>0</v>
      </c>
      <c r="J133" s="1779">
        <f>5525-5525</f>
        <v>0</v>
      </c>
      <c r="K133" s="1779">
        <f>5525-5525</f>
        <v>0</v>
      </c>
      <c r="L133" s="1779">
        <f>5525-5525</f>
        <v>0</v>
      </c>
      <c r="M133" s="1754">
        <f t="shared" si="87"/>
        <v>0</v>
      </c>
      <c r="N133" s="1754">
        <f t="shared" si="87"/>
        <v>0</v>
      </c>
      <c r="O133" s="3658"/>
      <c r="P133" s="3663"/>
      <c r="Q133" s="3664"/>
      <c r="R133" s="3664"/>
      <c r="S133" s="3664"/>
    </row>
    <row r="134" spans="1:19" s="1834" customFormat="1" ht="14.25" customHeight="1">
      <c r="A134" s="3614"/>
      <c r="B134" s="82" t="s">
        <v>22</v>
      </c>
      <c r="C134" s="178"/>
      <c r="D134" s="371">
        <f>+D135</f>
        <v>1944569</v>
      </c>
      <c r="E134" s="371">
        <f t="shared" ref="E134:L134" si="88">+E135</f>
        <v>236568</v>
      </c>
      <c r="F134" s="371">
        <f t="shared" si="88"/>
        <v>231803</v>
      </c>
      <c r="G134" s="371">
        <f t="shared" si="88"/>
        <v>350000</v>
      </c>
      <c r="H134" s="371">
        <f t="shared" si="88"/>
        <v>237127</v>
      </c>
      <c r="I134" s="371">
        <f t="shared" si="88"/>
        <v>144500</v>
      </c>
      <c r="J134" s="371">
        <f t="shared" si="88"/>
        <v>144500</v>
      </c>
      <c r="K134" s="371">
        <f t="shared" si="88"/>
        <v>144500</v>
      </c>
      <c r="L134" s="371">
        <f t="shared" si="88"/>
        <v>144500</v>
      </c>
      <c r="M134" s="3625" t="s">
        <v>61</v>
      </c>
      <c r="N134" s="3625" t="s">
        <v>61</v>
      </c>
      <c r="O134" s="3658"/>
      <c r="P134" s="3663"/>
      <c r="Q134" s="3664"/>
      <c r="R134" s="3664"/>
      <c r="S134" s="3664"/>
    </row>
    <row r="135" spans="1:19" s="1834" customFormat="1" ht="15.75" customHeight="1">
      <c r="A135" s="3614"/>
      <c r="B135" s="1842" t="s">
        <v>18</v>
      </c>
      <c r="C135" s="3370" t="s">
        <v>244</v>
      </c>
      <c r="D135" s="1890">
        <f t="shared" ref="D135:L135" si="89">+D136</f>
        <v>1944569</v>
      </c>
      <c r="E135" s="1890">
        <f t="shared" si="89"/>
        <v>236568</v>
      </c>
      <c r="F135" s="1890">
        <f t="shared" si="89"/>
        <v>231803</v>
      </c>
      <c r="G135" s="1890">
        <f t="shared" si="89"/>
        <v>350000</v>
      </c>
      <c r="H135" s="1890">
        <f t="shared" si="89"/>
        <v>237127</v>
      </c>
      <c r="I135" s="1890">
        <f t="shared" si="89"/>
        <v>144500</v>
      </c>
      <c r="J135" s="1890">
        <f t="shared" si="89"/>
        <v>144500</v>
      </c>
      <c r="K135" s="1890">
        <f t="shared" si="89"/>
        <v>144500</v>
      </c>
      <c r="L135" s="1890">
        <f t="shared" si="89"/>
        <v>144500</v>
      </c>
      <c r="M135" s="3521"/>
      <c r="N135" s="3521"/>
      <c r="O135" s="3658"/>
      <c r="P135" s="3663"/>
      <c r="Q135" s="3664"/>
      <c r="R135" s="3664"/>
      <c r="S135" s="3664"/>
    </row>
    <row r="136" spans="1:19" s="1834" customFormat="1" ht="13.5" customHeight="1" thickBot="1">
      <c r="A136" s="3615"/>
      <c r="B136" s="360" t="s">
        <v>496</v>
      </c>
      <c r="C136" s="3598"/>
      <c r="D136" s="942">
        <f>E136+F136+G136+H136+I136+J136+K136+L136+11590+299481</f>
        <v>1944569</v>
      </c>
      <c r="E136" s="1764">
        <v>236568</v>
      </c>
      <c r="F136" s="1377">
        <f>192515-22515+300021+111973+50000+10000-61590-348601</f>
        <v>231803</v>
      </c>
      <c r="G136" s="1377">
        <f>171700-1700-620+200542-19922</f>
        <v>350000</v>
      </c>
      <c r="H136" s="1377">
        <f>167025-5525+4907+50000+20720</f>
        <v>237127</v>
      </c>
      <c r="I136" s="1377">
        <f>167025-5525-17000</f>
        <v>144500</v>
      </c>
      <c r="J136" s="1377">
        <f>167025-5525-17000</f>
        <v>144500</v>
      </c>
      <c r="K136" s="1377">
        <f>167025-5525-17000</f>
        <v>144500</v>
      </c>
      <c r="L136" s="1377">
        <f>167025-5525-17000</f>
        <v>144500</v>
      </c>
      <c r="M136" s="3522"/>
      <c r="N136" s="3522"/>
      <c r="O136" s="3659"/>
      <c r="P136" s="3663"/>
      <c r="Q136" s="3664"/>
      <c r="R136" s="3664"/>
      <c r="S136" s="3664"/>
    </row>
    <row r="137" spans="1:19" s="2480" customFormat="1" ht="29.25" customHeight="1">
      <c r="A137" s="3613" t="s">
        <v>88</v>
      </c>
      <c r="B137" s="1575" t="s">
        <v>303</v>
      </c>
      <c r="C137" s="2807" t="s">
        <v>81</v>
      </c>
      <c r="D137" s="186"/>
      <c r="E137" s="398"/>
      <c r="F137" s="185"/>
      <c r="G137" s="185"/>
      <c r="H137" s="185"/>
      <c r="I137" s="185"/>
      <c r="J137" s="185"/>
      <c r="K137" s="185"/>
      <c r="L137" s="259"/>
      <c r="M137" s="2808"/>
      <c r="N137" s="2808"/>
      <c r="O137" s="3657" t="s">
        <v>321</v>
      </c>
      <c r="P137" s="2560">
        <f>G134-'[1]Tab. 6E - Administracja'!$G$134</f>
        <v>-19922</v>
      </c>
    </row>
    <row r="138" spans="1:19" s="2480" customFormat="1" ht="13.5" customHeight="1">
      <c r="A138" s="3614"/>
      <c r="B138" s="488" t="s">
        <v>10</v>
      </c>
      <c r="C138" s="2809"/>
      <c r="D138" s="2810">
        <f>+D139+D142</f>
        <v>98152110</v>
      </c>
      <c r="E138" s="2811">
        <f>+E139+E142</f>
        <v>360377</v>
      </c>
      <c r="F138" s="2811">
        <f t="shared" ref="F138:L138" si="90">+F139+F142</f>
        <v>1019503</v>
      </c>
      <c r="G138" s="2811">
        <f t="shared" si="90"/>
        <v>9082300</v>
      </c>
      <c r="H138" s="2811">
        <f t="shared" si="90"/>
        <v>58096345</v>
      </c>
      <c r="I138" s="2811">
        <f t="shared" si="90"/>
        <v>29593585</v>
      </c>
      <c r="J138" s="2811">
        <f t="shared" si="90"/>
        <v>0</v>
      </c>
      <c r="K138" s="2811">
        <f t="shared" si="90"/>
        <v>0</v>
      </c>
      <c r="L138" s="2811">
        <f t="shared" si="90"/>
        <v>0</v>
      </c>
      <c r="M138" s="2812">
        <f>+M139+M142</f>
        <v>97791733</v>
      </c>
      <c r="N138" s="2812">
        <f>+N139+N142</f>
        <v>96772230</v>
      </c>
      <c r="O138" s="3658"/>
      <c r="P138" s="2560"/>
    </row>
    <row r="139" spans="1:19" s="2480" customFormat="1" ht="13.5" customHeight="1">
      <c r="A139" s="3614"/>
      <c r="B139" s="668" t="s">
        <v>24</v>
      </c>
      <c r="C139" s="3648" t="s">
        <v>271</v>
      </c>
      <c r="D139" s="2813">
        <f>+D140+D141</f>
        <v>28902110</v>
      </c>
      <c r="E139" s="2814">
        <f t="shared" ref="E139" si="91">+E140+E141</f>
        <v>0</v>
      </c>
      <c r="F139" s="2814">
        <f t="shared" ref="F139:L139" si="92">+F140+F141</f>
        <v>17645</v>
      </c>
      <c r="G139" s="2814">
        <f t="shared" si="92"/>
        <v>1604653</v>
      </c>
      <c r="H139" s="2814">
        <f t="shared" si="92"/>
        <v>16235207</v>
      </c>
      <c r="I139" s="2814">
        <f t="shared" si="92"/>
        <v>11044605</v>
      </c>
      <c r="J139" s="2814">
        <f t="shared" si="92"/>
        <v>0</v>
      </c>
      <c r="K139" s="2814">
        <f t="shared" si="92"/>
        <v>0</v>
      </c>
      <c r="L139" s="2814">
        <f t="shared" si="92"/>
        <v>0</v>
      </c>
      <c r="M139" s="2815">
        <f>+M140</f>
        <v>28902110</v>
      </c>
      <c r="N139" s="2815">
        <f>+N140</f>
        <v>28884465</v>
      </c>
      <c r="O139" s="3658"/>
      <c r="P139" s="2560"/>
    </row>
    <row r="140" spans="1:19" s="2480" customFormat="1" ht="13.5" customHeight="1">
      <c r="A140" s="3614"/>
      <c r="B140" s="2816" t="s">
        <v>12</v>
      </c>
      <c r="C140" s="3648"/>
      <c r="D140" s="2817">
        <f>E140+F140+G140+H140+I140+J140+K140+L140</f>
        <v>28902110</v>
      </c>
      <c r="E140" s="1455">
        <v>0</v>
      </c>
      <c r="F140" s="2818">
        <f t="shared" ref="F140:L140" si="93">+F158+F172+F188+F199</f>
        <v>17645</v>
      </c>
      <c r="G140" s="2818">
        <f t="shared" si="93"/>
        <v>1604653</v>
      </c>
      <c r="H140" s="2818">
        <f t="shared" si="93"/>
        <v>16235207</v>
      </c>
      <c r="I140" s="2818">
        <f t="shared" si="93"/>
        <v>11044605</v>
      </c>
      <c r="J140" s="2818">
        <f t="shared" si="93"/>
        <v>0</v>
      </c>
      <c r="K140" s="2818">
        <f t="shared" si="93"/>
        <v>0</v>
      </c>
      <c r="L140" s="2818">
        <f t="shared" si="93"/>
        <v>0</v>
      </c>
      <c r="M140" s="695">
        <f>SUM(F140:L140)</f>
        <v>28902110</v>
      </c>
      <c r="N140" s="695">
        <f>SUM(G140:L140)</f>
        <v>28884465</v>
      </c>
      <c r="O140" s="3658"/>
      <c r="P140" s="2560"/>
    </row>
    <row r="141" spans="1:19" s="2480" customFormat="1" ht="13.5" hidden="1" customHeight="1">
      <c r="A141" s="3614"/>
      <c r="B141" s="2816" t="s">
        <v>16</v>
      </c>
      <c r="C141" s="3648"/>
      <c r="D141" s="2817">
        <f>E141+F141+G141+H141+I141+J141+K141+L141</f>
        <v>0</v>
      </c>
      <c r="E141" s="2819">
        <v>0</v>
      </c>
      <c r="F141" s="2818">
        <f t="shared" ref="F141:L141" si="94">+F159+F173+F200</f>
        <v>0</v>
      </c>
      <c r="G141" s="2818">
        <f t="shared" si="94"/>
        <v>0</v>
      </c>
      <c r="H141" s="2818">
        <f t="shared" si="94"/>
        <v>0</v>
      </c>
      <c r="I141" s="2818">
        <f t="shared" si="94"/>
        <v>0</v>
      </c>
      <c r="J141" s="2818">
        <f t="shared" si="94"/>
        <v>0</v>
      </c>
      <c r="K141" s="2818">
        <f t="shared" si="94"/>
        <v>0</v>
      </c>
      <c r="L141" s="2818">
        <f t="shared" si="94"/>
        <v>0</v>
      </c>
      <c r="M141" s="695">
        <f>SUM(F141:K141)</f>
        <v>0</v>
      </c>
      <c r="N141" s="695">
        <f>SUM(G141:L141)</f>
        <v>0</v>
      </c>
      <c r="O141" s="3658"/>
      <c r="P141" s="2560"/>
    </row>
    <row r="142" spans="1:19" s="2480" customFormat="1" ht="13.5" customHeight="1">
      <c r="A142" s="3614"/>
      <c r="B142" s="2820" t="s">
        <v>18</v>
      </c>
      <c r="C142" s="3648"/>
      <c r="D142" s="2821">
        <f>+D143</f>
        <v>69250000</v>
      </c>
      <c r="E142" s="2821">
        <f t="shared" ref="E142" si="95">+E143</f>
        <v>360377</v>
      </c>
      <c r="F142" s="2822">
        <f t="shared" ref="F142:L142" si="96">+F143</f>
        <v>1001858</v>
      </c>
      <c r="G142" s="2822">
        <f t="shared" si="96"/>
        <v>7477647</v>
      </c>
      <c r="H142" s="2822">
        <f t="shared" si="96"/>
        <v>41861138</v>
      </c>
      <c r="I142" s="2822">
        <f t="shared" si="96"/>
        <v>18548980</v>
      </c>
      <c r="J142" s="2822">
        <f t="shared" si="96"/>
        <v>0</v>
      </c>
      <c r="K142" s="2822">
        <f t="shared" si="96"/>
        <v>0</v>
      </c>
      <c r="L142" s="2822">
        <f t="shared" si="96"/>
        <v>0</v>
      </c>
      <c r="M142" s="2815">
        <f>+M143</f>
        <v>68889623</v>
      </c>
      <c r="N142" s="2815">
        <f>+N143</f>
        <v>67887765</v>
      </c>
      <c r="O142" s="3658"/>
      <c r="P142" s="2560"/>
    </row>
    <row r="143" spans="1:19" s="2480" customFormat="1" ht="12.75" customHeight="1">
      <c r="A143" s="3614"/>
      <c r="B143" s="715" t="s">
        <v>21</v>
      </c>
      <c r="C143" s="3648"/>
      <c r="D143" s="2823">
        <f>E143+F143+G143+H143+I143+J143+K143+L143</f>
        <v>69250000</v>
      </c>
      <c r="E143" s="2824">
        <f>+E144+E145+E146</f>
        <v>360377</v>
      </c>
      <c r="F143" s="2818">
        <f>+F144+F145+F146</f>
        <v>1001858</v>
      </c>
      <c r="G143" s="2818">
        <f t="shared" ref="G143:L143" si="97">+G144+G145+G146</f>
        <v>7477647</v>
      </c>
      <c r="H143" s="2818">
        <f t="shared" si="97"/>
        <v>41861138</v>
      </c>
      <c r="I143" s="2818">
        <f t="shared" si="97"/>
        <v>18548980</v>
      </c>
      <c r="J143" s="2818">
        <f t="shared" si="97"/>
        <v>0</v>
      </c>
      <c r="K143" s="2818">
        <f t="shared" si="97"/>
        <v>0</v>
      </c>
      <c r="L143" s="2818">
        <f t="shared" si="97"/>
        <v>0</v>
      </c>
      <c r="M143" s="695">
        <f>SUM(F143:L143)</f>
        <v>68889623</v>
      </c>
      <c r="N143" s="695">
        <f t="shared" ref="M143:N146" si="98">SUM(G143:L143)</f>
        <v>67887765</v>
      </c>
      <c r="O143" s="3658"/>
      <c r="P143" s="2560"/>
    </row>
    <row r="144" spans="1:19" s="2480" customFormat="1" ht="23.25" hidden="1" customHeight="1">
      <c r="A144" s="3614"/>
      <c r="B144" s="2816" t="s">
        <v>272</v>
      </c>
      <c r="C144" s="3648"/>
      <c r="D144" s="2824">
        <f>+D176</f>
        <v>18000000</v>
      </c>
      <c r="E144" s="2824">
        <f t="shared" ref="E144:L144" si="99">+E162+E176+E191+E203</f>
        <v>360377</v>
      </c>
      <c r="F144" s="2818">
        <f t="shared" si="99"/>
        <v>1001858</v>
      </c>
      <c r="G144" s="2818">
        <f t="shared" si="99"/>
        <v>5294849</v>
      </c>
      <c r="H144" s="2818">
        <f t="shared" si="99"/>
        <v>11342916</v>
      </c>
      <c r="I144" s="2818">
        <f t="shared" si="99"/>
        <v>0</v>
      </c>
      <c r="J144" s="2818">
        <f t="shared" si="99"/>
        <v>0</v>
      </c>
      <c r="K144" s="2818">
        <f t="shared" si="99"/>
        <v>0</v>
      </c>
      <c r="L144" s="2818">
        <f t="shared" si="99"/>
        <v>0</v>
      </c>
      <c r="M144" s="2792">
        <f t="shared" si="98"/>
        <v>17639623</v>
      </c>
      <c r="N144" s="2792">
        <f t="shared" si="98"/>
        <v>16637765</v>
      </c>
      <c r="O144" s="3658"/>
      <c r="P144" s="2560"/>
    </row>
    <row r="145" spans="1:16" s="2480" customFormat="1" ht="20.25" hidden="1" customHeight="1">
      <c r="A145" s="3614"/>
      <c r="B145" s="2816" t="s">
        <v>273</v>
      </c>
      <c r="C145" s="3648"/>
      <c r="D145" s="2824">
        <f>+D177</f>
        <v>10250000</v>
      </c>
      <c r="E145" s="2818">
        <v>0</v>
      </c>
      <c r="F145" s="2818">
        <f t="shared" ref="F145:L145" si="100">+F177</f>
        <v>0</v>
      </c>
      <c r="G145" s="2818">
        <f t="shared" si="100"/>
        <v>2182798</v>
      </c>
      <c r="H145" s="2818">
        <f t="shared" si="100"/>
        <v>8067202</v>
      </c>
      <c r="I145" s="2818">
        <f t="shared" si="100"/>
        <v>0</v>
      </c>
      <c r="J145" s="2818">
        <f t="shared" si="100"/>
        <v>0</v>
      </c>
      <c r="K145" s="2818">
        <f t="shared" si="100"/>
        <v>0</v>
      </c>
      <c r="L145" s="2818">
        <f t="shared" si="100"/>
        <v>0</v>
      </c>
      <c r="M145" s="2792">
        <f t="shared" si="98"/>
        <v>10250000</v>
      </c>
      <c r="N145" s="2792">
        <f t="shared" si="98"/>
        <v>10250000</v>
      </c>
      <c r="O145" s="3658"/>
      <c r="P145" s="2560"/>
    </row>
    <row r="146" spans="1:16" s="2480" customFormat="1" ht="27" hidden="1" customHeight="1">
      <c r="A146" s="3614"/>
      <c r="B146" s="2816" t="s">
        <v>274</v>
      </c>
      <c r="C146" s="3648"/>
      <c r="D146" s="2824">
        <f>+D178</f>
        <v>28250000</v>
      </c>
      <c r="E146" s="2825">
        <v>0</v>
      </c>
      <c r="F146" s="2825">
        <f t="shared" ref="F146:L146" si="101">+F204</f>
        <v>0</v>
      </c>
      <c r="G146" s="2825">
        <f t="shared" si="101"/>
        <v>0</v>
      </c>
      <c r="H146" s="2825">
        <f t="shared" si="101"/>
        <v>22451020</v>
      </c>
      <c r="I146" s="2825">
        <f t="shared" si="101"/>
        <v>18548980</v>
      </c>
      <c r="J146" s="2825">
        <f t="shared" si="101"/>
        <v>0</v>
      </c>
      <c r="K146" s="2825">
        <f t="shared" si="101"/>
        <v>0</v>
      </c>
      <c r="L146" s="2825">
        <f t="shared" si="101"/>
        <v>0</v>
      </c>
      <c r="M146" s="2792">
        <f t="shared" si="98"/>
        <v>41000000</v>
      </c>
      <c r="N146" s="2792">
        <f t="shared" si="98"/>
        <v>41000000</v>
      </c>
      <c r="O146" s="3658"/>
      <c r="P146" s="2560"/>
    </row>
    <row r="147" spans="1:16" s="2480" customFormat="1" ht="15">
      <c r="A147" s="3614"/>
      <c r="B147" s="187" t="s">
        <v>275</v>
      </c>
      <c r="C147" s="2809"/>
      <c r="D147" s="2810">
        <f t="shared" ref="D147:L147" si="102">+D148+D150</f>
        <v>69250000</v>
      </c>
      <c r="E147" s="2811">
        <f t="shared" si="102"/>
        <v>226180</v>
      </c>
      <c r="F147" s="2811">
        <f t="shared" si="102"/>
        <v>1022720</v>
      </c>
      <c r="G147" s="2811">
        <f t="shared" si="102"/>
        <v>7477647</v>
      </c>
      <c r="H147" s="2811">
        <f t="shared" si="102"/>
        <v>41861138</v>
      </c>
      <c r="I147" s="2811">
        <f t="shared" si="102"/>
        <v>18662315</v>
      </c>
      <c r="J147" s="2811">
        <f t="shared" si="102"/>
        <v>0</v>
      </c>
      <c r="K147" s="2811">
        <f t="shared" si="102"/>
        <v>0</v>
      </c>
      <c r="L147" s="2811">
        <f t="shared" si="102"/>
        <v>0</v>
      </c>
      <c r="M147" s="3662" t="s">
        <v>61</v>
      </c>
      <c r="N147" s="3662" t="s">
        <v>61</v>
      </c>
      <c r="O147" s="3658"/>
      <c r="P147" s="2560">
        <f>G147-'[1]Tab. 6E - Administracja'!$G$147</f>
        <v>-2034502</v>
      </c>
    </row>
    <row r="148" spans="1:16" s="2480" customFormat="1" ht="13.5" hidden="1" customHeight="1">
      <c r="A148" s="3614"/>
      <c r="B148" s="668" t="s">
        <v>24</v>
      </c>
      <c r="C148" s="3660" t="s">
        <v>276</v>
      </c>
      <c r="D148" s="2813">
        <f>+D149</f>
        <v>0</v>
      </c>
      <c r="E148" s="2814">
        <f t="shared" ref="E148:L148" si="103">+E149</f>
        <v>0</v>
      </c>
      <c r="F148" s="2814">
        <f t="shared" si="103"/>
        <v>0</v>
      </c>
      <c r="G148" s="2814">
        <f t="shared" si="103"/>
        <v>0</v>
      </c>
      <c r="H148" s="2814">
        <f t="shared" si="103"/>
        <v>0</v>
      </c>
      <c r="I148" s="2814">
        <f t="shared" si="103"/>
        <v>0</v>
      </c>
      <c r="J148" s="2814">
        <f t="shared" si="103"/>
        <v>0</v>
      </c>
      <c r="K148" s="2814">
        <f t="shared" si="103"/>
        <v>0</v>
      </c>
      <c r="L148" s="2814">
        <f t="shared" si="103"/>
        <v>0</v>
      </c>
      <c r="M148" s="3518"/>
      <c r="N148" s="3518"/>
      <c r="O148" s="3658"/>
      <c r="P148" s="2560"/>
    </row>
    <row r="149" spans="1:16" s="2480" customFormat="1" ht="13.5" hidden="1" customHeight="1">
      <c r="A149" s="3614"/>
      <c r="B149" s="2816" t="s">
        <v>16</v>
      </c>
      <c r="C149" s="3648"/>
      <c r="D149" s="2823">
        <f>E149+F149+G149+H149+I149+J149+K149+L149</f>
        <v>0</v>
      </c>
      <c r="E149" s="2826">
        <v>0</v>
      </c>
      <c r="F149" s="2827">
        <f t="shared" ref="F149:L149" si="104">+F180+F207</f>
        <v>0</v>
      </c>
      <c r="G149" s="2827">
        <f t="shared" si="104"/>
        <v>0</v>
      </c>
      <c r="H149" s="2827">
        <f t="shared" si="104"/>
        <v>0</v>
      </c>
      <c r="I149" s="2827">
        <f t="shared" si="104"/>
        <v>0</v>
      </c>
      <c r="J149" s="2827">
        <f t="shared" si="104"/>
        <v>0</v>
      </c>
      <c r="K149" s="2827">
        <f t="shared" si="104"/>
        <v>0</v>
      </c>
      <c r="L149" s="2827">
        <f t="shared" si="104"/>
        <v>0</v>
      </c>
      <c r="M149" s="3518"/>
      <c r="N149" s="3518"/>
      <c r="O149" s="3658"/>
      <c r="P149" s="2560"/>
    </row>
    <row r="150" spans="1:16" s="2480" customFormat="1" ht="13.5" customHeight="1">
      <c r="A150" s="3614"/>
      <c r="B150" s="2820" t="s">
        <v>18</v>
      </c>
      <c r="C150" s="3648"/>
      <c r="D150" s="2813">
        <f>+D151</f>
        <v>69250000</v>
      </c>
      <c r="E150" s="2814">
        <f>+E151</f>
        <v>226180</v>
      </c>
      <c r="F150" s="2814">
        <f>+F151</f>
        <v>1022720</v>
      </c>
      <c r="G150" s="2814">
        <f t="shared" ref="G150:L150" si="105">+G151</f>
        <v>7477647</v>
      </c>
      <c r="H150" s="2814">
        <f t="shared" si="105"/>
        <v>41861138</v>
      </c>
      <c r="I150" s="2814">
        <f t="shared" si="105"/>
        <v>18662315</v>
      </c>
      <c r="J150" s="2814">
        <f t="shared" si="105"/>
        <v>0</v>
      </c>
      <c r="K150" s="2814">
        <f t="shared" si="105"/>
        <v>0</v>
      </c>
      <c r="L150" s="2814">
        <f t="shared" si="105"/>
        <v>0</v>
      </c>
      <c r="M150" s="3518"/>
      <c r="N150" s="3518"/>
      <c r="O150" s="3658"/>
      <c r="P150" s="2560"/>
    </row>
    <row r="151" spans="1:16" s="2480" customFormat="1" ht="14.25" customHeight="1" thickBot="1">
      <c r="A151" s="3615"/>
      <c r="B151" s="81" t="s">
        <v>21</v>
      </c>
      <c r="C151" s="3661"/>
      <c r="D151" s="2828">
        <f>E151+F151+G151+H151+I151+J151+K151+L151</f>
        <v>69250000</v>
      </c>
      <c r="E151" s="2829">
        <f t="shared" ref="E151:L151" si="106">+E167+E182+E209+E194</f>
        <v>226180</v>
      </c>
      <c r="F151" s="2829">
        <f t="shared" si="106"/>
        <v>1022720</v>
      </c>
      <c r="G151" s="2829">
        <f t="shared" si="106"/>
        <v>7477647</v>
      </c>
      <c r="H151" s="2829">
        <f t="shared" si="106"/>
        <v>41861138</v>
      </c>
      <c r="I151" s="2829">
        <f t="shared" si="106"/>
        <v>18662315</v>
      </c>
      <c r="J151" s="2829">
        <f t="shared" si="106"/>
        <v>0</v>
      </c>
      <c r="K151" s="2829">
        <f t="shared" si="106"/>
        <v>0</v>
      </c>
      <c r="L151" s="2829">
        <f t="shared" si="106"/>
        <v>0</v>
      </c>
      <c r="M151" s="3519"/>
      <c r="N151" s="3519"/>
      <c r="O151" s="3659"/>
      <c r="P151" s="2560"/>
    </row>
    <row r="152" spans="1:16" s="2480" customFormat="1" ht="24" hidden="1" customHeight="1">
      <c r="A152" s="2626"/>
      <c r="B152" s="2830" t="s">
        <v>272</v>
      </c>
      <c r="C152" s="2831"/>
      <c r="D152" s="2832">
        <f t="shared" ref="D152:L152" si="107">+D168+D183+D195+D210</f>
        <v>18000000</v>
      </c>
      <c r="E152" s="2832">
        <f t="shared" si="107"/>
        <v>226180</v>
      </c>
      <c r="F152" s="2832">
        <f t="shared" si="107"/>
        <v>1022720</v>
      </c>
      <c r="G152" s="2832">
        <f t="shared" si="107"/>
        <v>5294849</v>
      </c>
      <c r="H152" s="2832">
        <f t="shared" si="107"/>
        <v>11342916</v>
      </c>
      <c r="I152" s="2832">
        <f t="shared" si="107"/>
        <v>113335</v>
      </c>
      <c r="J152" s="2832">
        <f t="shared" si="107"/>
        <v>0</v>
      </c>
      <c r="K152" s="2832">
        <f t="shared" si="107"/>
        <v>0</v>
      </c>
      <c r="L152" s="2832">
        <f t="shared" si="107"/>
        <v>0</v>
      </c>
      <c r="M152" s="2833"/>
      <c r="N152" s="2833"/>
      <c r="O152" s="2834"/>
      <c r="P152" s="2560"/>
    </row>
    <row r="153" spans="1:16" s="2480" customFormat="1" ht="24" hidden="1" customHeight="1">
      <c r="A153" s="2626"/>
      <c r="B153" s="2835" t="s">
        <v>273</v>
      </c>
      <c r="C153" s="2831"/>
      <c r="D153" s="2818">
        <f>+D184</f>
        <v>10250000</v>
      </c>
      <c r="E153" s="2818">
        <v>0</v>
      </c>
      <c r="F153" s="2818">
        <f t="shared" ref="F153:L153" si="108">+F184</f>
        <v>0</v>
      </c>
      <c r="G153" s="2818">
        <f t="shared" si="108"/>
        <v>2182798</v>
      </c>
      <c r="H153" s="2818">
        <f t="shared" si="108"/>
        <v>8067202</v>
      </c>
      <c r="I153" s="2818">
        <f t="shared" si="108"/>
        <v>0</v>
      </c>
      <c r="J153" s="2818">
        <f t="shared" si="108"/>
        <v>0</v>
      </c>
      <c r="K153" s="2818">
        <f t="shared" si="108"/>
        <v>0</v>
      </c>
      <c r="L153" s="2818">
        <f t="shared" si="108"/>
        <v>0</v>
      </c>
      <c r="M153" s="2833"/>
      <c r="N153" s="2833"/>
      <c r="O153" s="2834"/>
      <c r="P153" s="2560"/>
    </row>
    <row r="154" spans="1:16" s="2480" customFormat="1" ht="24" hidden="1" customHeight="1" thickBot="1">
      <c r="A154" s="2627"/>
      <c r="B154" s="2836" t="s">
        <v>274</v>
      </c>
      <c r="C154" s="2837"/>
      <c r="D154" s="2829">
        <f>+D211</f>
        <v>41000000</v>
      </c>
      <c r="E154" s="2829">
        <v>0</v>
      </c>
      <c r="F154" s="2829">
        <f t="shared" ref="F154:L154" si="109">+F211</f>
        <v>0</v>
      </c>
      <c r="G154" s="2829">
        <f t="shared" si="109"/>
        <v>0</v>
      </c>
      <c r="H154" s="2829">
        <f t="shared" si="109"/>
        <v>22451020</v>
      </c>
      <c r="I154" s="2829">
        <f t="shared" si="109"/>
        <v>18548980</v>
      </c>
      <c r="J154" s="2829">
        <f t="shared" si="109"/>
        <v>0</v>
      </c>
      <c r="K154" s="2829">
        <f t="shared" si="109"/>
        <v>0</v>
      </c>
      <c r="L154" s="2829">
        <f t="shared" si="109"/>
        <v>0</v>
      </c>
      <c r="M154" s="2838"/>
      <c r="N154" s="2838"/>
      <c r="O154" s="2839"/>
      <c r="P154" s="2560"/>
    </row>
    <row r="155" spans="1:16" s="2480" customFormat="1" ht="18.75" hidden="1" customHeight="1">
      <c r="A155" s="3613" t="s">
        <v>448</v>
      </c>
      <c r="B155" s="2840" t="s">
        <v>277</v>
      </c>
      <c r="C155" s="2841" t="s">
        <v>109</v>
      </c>
      <c r="D155" s="2842"/>
      <c r="E155" s="2843"/>
      <c r="F155" s="2844"/>
      <c r="G155" s="2844"/>
      <c r="H155" s="2844"/>
      <c r="I155" s="2844"/>
      <c r="J155" s="2844"/>
      <c r="K155" s="2844"/>
      <c r="L155" s="2845"/>
      <c r="M155" s="2846"/>
      <c r="N155" s="2846"/>
      <c r="O155" s="2834"/>
      <c r="P155" s="2560"/>
    </row>
    <row r="156" spans="1:16" s="2480" customFormat="1" ht="13.5" hidden="1" customHeight="1">
      <c r="A156" s="3614"/>
      <c r="B156" s="82" t="s">
        <v>10</v>
      </c>
      <c r="C156" s="2847"/>
      <c r="D156" s="1576">
        <f t="shared" ref="D156:D168" si="110">SUM(E156:L156)</f>
        <v>0</v>
      </c>
      <c r="E156" s="371">
        <v>0</v>
      </c>
      <c r="F156" s="371">
        <f t="shared" ref="F156:L156" si="111">+F157+F160</f>
        <v>0</v>
      </c>
      <c r="G156" s="371">
        <f t="shared" si="111"/>
        <v>0</v>
      </c>
      <c r="H156" s="371">
        <f t="shared" si="111"/>
        <v>0</v>
      </c>
      <c r="I156" s="371">
        <f t="shared" si="111"/>
        <v>0</v>
      </c>
      <c r="J156" s="371">
        <f t="shared" si="111"/>
        <v>0</v>
      </c>
      <c r="K156" s="371">
        <f t="shared" si="111"/>
        <v>0</v>
      </c>
      <c r="L156" s="371">
        <f t="shared" si="111"/>
        <v>0</v>
      </c>
      <c r="M156" s="374">
        <f t="shared" ref="M156:N162" si="112">SUM(D156:K156)</f>
        <v>0</v>
      </c>
      <c r="N156" s="374">
        <f t="shared" si="112"/>
        <v>0</v>
      </c>
      <c r="O156" s="2834"/>
      <c r="P156" s="2560"/>
    </row>
    <row r="157" spans="1:16" s="2480" customFormat="1" ht="13.5" hidden="1" customHeight="1">
      <c r="A157" s="3614"/>
      <c r="B157" s="171" t="s">
        <v>24</v>
      </c>
      <c r="C157" s="3643" t="s">
        <v>284</v>
      </c>
      <c r="D157" s="2848">
        <f t="shared" si="110"/>
        <v>0</v>
      </c>
      <c r="E157" s="358">
        <v>0</v>
      </c>
      <c r="F157" s="358">
        <f t="shared" ref="F157:L157" si="113">+F158+F159</f>
        <v>0</v>
      </c>
      <c r="G157" s="358">
        <f t="shared" si="113"/>
        <v>0</v>
      </c>
      <c r="H157" s="358">
        <f t="shared" si="113"/>
        <v>0</v>
      </c>
      <c r="I157" s="358">
        <f t="shared" si="113"/>
        <v>0</v>
      </c>
      <c r="J157" s="358">
        <f t="shared" si="113"/>
        <v>0</v>
      </c>
      <c r="K157" s="358">
        <f t="shared" si="113"/>
        <v>0</v>
      </c>
      <c r="L157" s="358">
        <f t="shared" si="113"/>
        <v>0</v>
      </c>
      <c r="M157" s="374">
        <f t="shared" si="112"/>
        <v>0</v>
      </c>
      <c r="N157" s="374">
        <f t="shared" si="112"/>
        <v>0</v>
      </c>
      <c r="O157" s="2834"/>
      <c r="P157" s="2560"/>
    </row>
    <row r="158" spans="1:16" s="2480" customFormat="1" ht="13.5" hidden="1" customHeight="1">
      <c r="A158" s="3614"/>
      <c r="B158" s="2849" t="s">
        <v>12</v>
      </c>
      <c r="C158" s="3606"/>
      <c r="D158" s="2850">
        <f t="shared" si="110"/>
        <v>0</v>
      </c>
      <c r="E158" s="2851"/>
      <c r="F158" s="2850">
        <f>1524390-1524390</f>
        <v>0</v>
      </c>
      <c r="G158" s="2850">
        <f>1840690-1840690</f>
        <v>0</v>
      </c>
      <c r="H158" s="2850"/>
      <c r="I158" s="2850"/>
      <c r="J158" s="2852"/>
      <c r="K158" s="2852"/>
      <c r="L158" s="2852"/>
      <c r="M158" s="2853">
        <f t="shared" si="112"/>
        <v>0</v>
      </c>
      <c r="N158" s="2853">
        <f t="shared" si="112"/>
        <v>0</v>
      </c>
      <c r="O158" s="2834"/>
      <c r="P158" s="2560"/>
    </row>
    <row r="159" spans="1:16" s="2480" customFormat="1" ht="13.5" hidden="1" customHeight="1">
      <c r="A159" s="3614"/>
      <c r="B159" s="2849" t="s">
        <v>62</v>
      </c>
      <c r="C159" s="3606"/>
      <c r="D159" s="2854">
        <f t="shared" si="110"/>
        <v>0</v>
      </c>
      <c r="E159" s="2855"/>
      <c r="F159" s="2854"/>
      <c r="G159" s="2854"/>
      <c r="H159" s="2854"/>
      <c r="I159" s="2854"/>
      <c r="J159" s="2856"/>
      <c r="K159" s="2856"/>
      <c r="L159" s="2856"/>
      <c r="M159" s="2857">
        <f t="shared" si="112"/>
        <v>0</v>
      </c>
      <c r="N159" s="2857">
        <f t="shared" si="112"/>
        <v>0</v>
      </c>
      <c r="O159" s="2834"/>
      <c r="P159" s="2560"/>
    </row>
    <row r="160" spans="1:16" s="2480" customFormat="1" ht="13.5" hidden="1" customHeight="1">
      <c r="A160" s="3614"/>
      <c r="B160" s="83" t="s">
        <v>18</v>
      </c>
      <c r="C160" s="3606"/>
      <c r="D160" s="2848">
        <f t="shared" si="110"/>
        <v>0</v>
      </c>
      <c r="E160" s="358">
        <v>0</v>
      </c>
      <c r="F160" s="358">
        <f t="shared" ref="F160:L160" si="114">+F161</f>
        <v>0</v>
      </c>
      <c r="G160" s="358">
        <f t="shared" si="114"/>
        <v>0</v>
      </c>
      <c r="H160" s="358">
        <f t="shared" si="114"/>
        <v>0</v>
      </c>
      <c r="I160" s="358">
        <f t="shared" si="114"/>
        <v>0</v>
      </c>
      <c r="J160" s="358">
        <f t="shared" si="114"/>
        <v>0</v>
      </c>
      <c r="K160" s="358">
        <f t="shared" si="114"/>
        <v>0</v>
      </c>
      <c r="L160" s="358">
        <f t="shared" si="114"/>
        <v>0</v>
      </c>
      <c r="M160" s="2858">
        <f t="shared" si="112"/>
        <v>0</v>
      </c>
      <c r="N160" s="2858">
        <f t="shared" si="112"/>
        <v>0</v>
      </c>
      <c r="O160" s="2834"/>
      <c r="P160" s="2560"/>
    </row>
    <row r="161" spans="1:16" s="2480" customFormat="1" ht="13.5" hidden="1" customHeight="1">
      <c r="A161" s="3614"/>
      <c r="B161" s="2859" t="s">
        <v>21</v>
      </c>
      <c r="C161" s="3606"/>
      <c r="D161" s="2850">
        <f t="shared" si="110"/>
        <v>0</v>
      </c>
      <c r="E161" s="2851">
        <v>0</v>
      </c>
      <c r="F161" s="2851">
        <f t="shared" ref="F161:L161" si="115">+F162</f>
        <v>0</v>
      </c>
      <c r="G161" s="2851">
        <f t="shared" si="115"/>
        <v>0</v>
      </c>
      <c r="H161" s="2851">
        <f t="shared" si="115"/>
        <v>0</v>
      </c>
      <c r="I161" s="2851">
        <f t="shared" si="115"/>
        <v>0</v>
      </c>
      <c r="J161" s="2851">
        <f t="shared" si="115"/>
        <v>0</v>
      </c>
      <c r="K161" s="2851">
        <f t="shared" si="115"/>
        <v>0</v>
      </c>
      <c r="L161" s="2851">
        <f t="shared" si="115"/>
        <v>0</v>
      </c>
      <c r="M161" s="2853">
        <f t="shared" si="112"/>
        <v>0</v>
      </c>
      <c r="N161" s="2853">
        <f t="shared" si="112"/>
        <v>0</v>
      </c>
      <c r="O161" s="2834"/>
      <c r="P161" s="2560"/>
    </row>
    <row r="162" spans="1:16" s="2480" customFormat="1" ht="24.75" hidden="1" customHeight="1">
      <c r="A162" s="3614"/>
      <c r="B162" s="2860" t="s">
        <v>278</v>
      </c>
      <c r="C162" s="3607"/>
      <c r="D162" s="2854">
        <f t="shared" si="110"/>
        <v>0</v>
      </c>
      <c r="E162" s="2855"/>
      <c r="F162" s="2854">
        <f>624800-624800</f>
        <v>0</v>
      </c>
      <c r="G162" s="2854">
        <f>312400-312400</f>
        <v>0</v>
      </c>
      <c r="H162" s="2854"/>
      <c r="I162" s="2854"/>
      <c r="J162" s="2856"/>
      <c r="K162" s="2856"/>
      <c r="L162" s="2854"/>
      <c r="M162" s="2857">
        <f t="shared" si="112"/>
        <v>0</v>
      </c>
      <c r="N162" s="2857">
        <f t="shared" si="112"/>
        <v>0</v>
      </c>
      <c r="O162" s="2834"/>
      <c r="P162" s="2560"/>
    </row>
    <row r="163" spans="1:16" s="2480" customFormat="1" ht="13.5" hidden="1" customHeight="1">
      <c r="A163" s="3614"/>
      <c r="B163" s="21" t="s">
        <v>275</v>
      </c>
      <c r="C163" s="174"/>
      <c r="D163" s="2861">
        <f t="shared" si="110"/>
        <v>0</v>
      </c>
      <c r="E163" s="2861">
        <v>0</v>
      </c>
      <c r="F163" s="2861">
        <f t="shared" ref="F163:L163" si="116">+F164+F166</f>
        <v>0</v>
      </c>
      <c r="G163" s="2861">
        <f t="shared" si="116"/>
        <v>0</v>
      </c>
      <c r="H163" s="2861">
        <f t="shared" si="116"/>
        <v>0</v>
      </c>
      <c r="I163" s="2861">
        <f t="shared" si="116"/>
        <v>0</v>
      </c>
      <c r="J163" s="2861">
        <f t="shared" si="116"/>
        <v>0</v>
      </c>
      <c r="K163" s="2861">
        <f t="shared" si="116"/>
        <v>0</v>
      </c>
      <c r="L163" s="2861">
        <f t="shared" si="116"/>
        <v>0</v>
      </c>
      <c r="M163" s="3520" t="s">
        <v>61</v>
      </c>
      <c r="N163" s="3520" t="s">
        <v>61</v>
      </c>
      <c r="O163" s="2834"/>
      <c r="P163" s="2560"/>
    </row>
    <row r="164" spans="1:16" s="2480" customFormat="1" ht="13.5" hidden="1" customHeight="1">
      <c r="A164" s="3614"/>
      <c r="B164" s="171" t="s">
        <v>24</v>
      </c>
      <c r="C164" s="3643" t="s">
        <v>284</v>
      </c>
      <c r="D164" s="2862">
        <f t="shared" si="110"/>
        <v>0</v>
      </c>
      <c r="E164" s="2863">
        <v>0</v>
      </c>
      <c r="F164" s="2863">
        <f t="shared" ref="F164:L164" si="117">+F165</f>
        <v>0</v>
      </c>
      <c r="G164" s="2863">
        <f t="shared" si="117"/>
        <v>0</v>
      </c>
      <c r="H164" s="2863">
        <f t="shared" si="117"/>
        <v>0</v>
      </c>
      <c r="I164" s="2863">
        <f t="shared" si="117"/>
        <v>0</v>
      </c>
      <c r="J164" s="2863">
        <f t="shared" si="117"/>
        <v>0</v>
      </c>
      <c r="K164" s="2863">
        <f t="shared" si="117"/>
        <v>0</v>
      </c>
      <c r="L164" s="2863">
        <f t="shared" si="117"/>
        <v>0</v>
      </c>
      <c r="M164" s="3521"/>
      <c r="N164" s="3521"/>
      <c r="O164" s="2834"/>
      <c r="P164" s="2560"/>
    </row>
    <row r="165" spans="1:16" s="2480" customFormat="1" ht="13.5" hidden="1" customHeight="1">
      <c r="A165" s="3614"/>
      <c r="B165" s="2849" t="s">
        <v>62</v>
      </c>
      <c r="C165" s="3607"/>
      <c r="D165" s="2864">
        <f t="shared" si="110"/>
        <v>0</v>
      </c>
      <c r="E165" s="409"/>
      <c r="F165" s="2865"/>
      <c r="G165" s="2865"/>
      <c r="H165" s="2865"/>
      <c r="I165" s="2865"/>
      <c r="J165" s="2865"/>
      <c r="K165" s="2865"/>
      <c r="L165" s="2865"/>
      <c r="M165" s="3521"/>
      <c r="N165" s="3521"/>
      <c r="O165" s="2834"/>
      <c r="P165" s="2560"/>
    </row>
    <row r="166" spans="1:16" s="2480" customFormat="1" ht="12" hidden="1" customHeight="1">
      <c r="A166" s="3614"/>
      <c r="B166" s="83" t="s">
        <v>18</v>
      </c>
      <c r="C166" s="3640" t="s">
        <v>244</v>
      </c>
      <c r="D166" s="2866">
        <f t="shared" si="110"/>
        <v>0</v>
      </c>
      <c r="E166" s="2867">
        <v>0</v>
      </c>
      <c r="F166" s="2867">
        <f t="shared" ref="F166:L166" si="118">+F167</f>
        <v>0</v>
      </c>
      <c r="G166" s="2867">
        <f t="shared" si="118"/>
        <v>0</v>
      </c>
      <c r="H166" s="2867">
        <f t="shared" si="118"/>
        <v>0</v>
      </c>
      <c r="I166" s="2867">
        <f t="shared" si="118"/>
        <v>0</v>
      </c>
      <c r="J166" s="2867">
        <f t="shared" si="118"/>
        <v>0</v>
      </c>
      <c r="K166" s="2867">
        <f t="shared" si="118"/>
        <v>0</v>
      </c>
      <c r="L166" s="2867">
        <f t="shared" si="118"/>
        <v>0</v>
      </c>
      <c r="M166" s="3521"/>
      <c r="N166" s="3521"/>
      <c r="O166" s="2834"/>
      <c r="P166" s="2560"/>
    </row>
    <row r="167" spans="1:16" s="2480" customFormat="1" ht="15" hidden="1" customHeight="1">
      <c r="A167" s="3614"/>
      <c r="B167" s="2859" t="s">
        <v>21</v>
      </c>
      <c r="C167" s="3641"/>
      <c r="D167" s="2864">
        <f t="shared" si="110"/>
        <v>0</v>
      </c>
      <c r="E167" s="409">
        <v>0</v>
      </c>
      <c r="F167" s="409">
        <f t="shared" ref="F167:L167" si="119">+F168</f>
        <v>0</v>
      </c>
      <c r="G167" s="409">
        <f t="shared" si="119"/>
        <v>0</v>
      </c>
      <c r="H167" s="409">
        <f t="shared" si="119"/>
        <v>0</v>
      </c>
      <c r="I167" s="409">
        <f t="shared" si="119"/>
        <v>0</v>
      </c>
      <c r="J167" s="409">
        <f t="shared" si="119"/>
        <v>0</v>
      </c>
      <c r="K167" s="409">
        <f t="shared" si="119"/>
        <v>0</v>
      </c>
      <c r="L167" s="409">
        <f t="shared" si="119"/>
        <v>0</v>
      </c>
      <c r="M167" s="3521"/>
      <c r="N167" s="3521"/>
      <c r="O167" s="2834"/>
      <c r="P167" s="2560"/>
    </row>
    <row r="168" spans="1:16" s="2480" customFormat="1" ht="24" hidden="1" customHeight="1">
      <c r="A168" s="2868"/>
      <c r="B168" s="2869" t="s">
        <v>272</v>
      </c>
      <c r="C168" s="3642"/>
      <c r="D168" s="2870">
        <f t="shared" si="110"/>
        <v>0</v>
      </c>
      <c r="E168" s="2871"/>
      <c r="F168" s="2870">
        <f>624800-624800</f>
        <v>0</v>
      </c>
      <c r="G168" s="2870">
        <f>312400-312400</f>
        <v>0</v>
      </c>
      <c r="H168" s="2870"/>
      <c r="I168" s="2870"/>
      <c r="J168" s="2870"/>
      <c r="K168" s="2870"/>
      <c r="L168" s="2870"/>
      <c r="M168" s="3651"/>
      <c r="N168" s="3651"/>
      <c r="O168" s="2834"/>
      <c r="P168" s="2560"/>
    </row>
    <row r="169" spans="1:16" s="2480" customFormat="1" ht="15.75" hidden="1" customHeight="1">
      <c r="A169" s="3652" t="s">
        <v>449</v>
      </c>
      <c r="B169" s="2872" t="s">
        <v>277</v>
      </c>
      <c r="C169" s="2873" t="s">
        <v>81</v>
      </c>
      <c r="D169" s="2874"/>
      <c r="E169" s="2875"/>
      <c r="F169" s="2876"/>
      <c r="G169" s="2876"/>
      <c r="H169" s="2876"/>
      <c r="I169" s="2876"/>
      <c r="J169" s="2876"/>
      <c r="K169" s="2876"/>
      <c r="L169" s="2877"/>
      <c r="M169" s="2878"/>
      <c r="N169" s="2878"/>
      <c r="O169" s="2834"/>
      <c r="P169" s="2560"/>
    </row>
    <row r="170" spans="1:16" s="2480" customFormat="1" ht="13.5" hidden="1" customHeight="1">
      <c r="A170" s="3614"/>
      <c r="B170" s="187" t="s">
        <v>10</v>
      </c>
      <c r="C170" s="2879"/>
      <c r="D170" s="412">
        <f t="shared" ref="D170:D177" si="120">SUM(E170:L170)</f>
        <v>32593801</v>
      </c>
      <c r="E170" s="2880">
        <f t="shared" ref="E170" si="121">+E171+E174</f>
        <v>360377</v>
      </c>
      <c r="F170" s="2880">
        <f t="shared" ref="F170:L170" si="122">+F171+F174</f>
        <v>1019503</v>
      </c>
      <c r="G170" s="2880">
        <f t="shared" si="122"/>
        <v>8928585</v>
      </c>
      <c r="H170" s="2880">
        <f t="shared" si="122"/>
        <v>22280336</v>
      </c>
      <c r="I170" s="2880">
        <f t="shared" si="122"/>
        <v>5000</v>
      </c>
      <c r="J170" s="2880">
        <f t="shared" si="122"/>
        <v>0</v>
      </c>
      <c r="K170" s="2880">
        <f t="shared" si="122"/>
        <v>0</v>
      </c>
      <c r="L170" s="2880">
        <f t="shared" si="122"/>
        <v>0</v>
      </c>
      <c r="M170" s="2812">
        <f>+M171+M174</f>
        <v>32233424</v>
      </c>
      <c r="N170" s="2812">
        <f>+N171+N174</f>
        <v>31213921</v>
      </c>
      <c r="O170" s="2834"/>
      <c r="P170" s="2560"/>
    </row>
    <row r="171" spans="1:16" s="2480" customFormat="1" ht="14.25" hidden="1" customHeight="1">
      <c r="A171" s="3614"/>
      <c r="B171" s="227" t="s">
        <v>24</v>
      </c>
      <c r="C171" s="3605" t="s">
        <v>284</v>
      </c>
      <c r="D171" s="2881">
        <f t="shared" si="120"/>
        <v>4343801</v>
      </c>
      <c r="E171" s="2882">
        <f t="shared" ref="E171" si="123">+E172+E173</f>
        <v>0</v>
      </c>
      <c r="F171" s="2882">
        <f t="shared" ref="F171:L171" si="124">+F172+F173</f>
        <v>17645</v>
      </c>
      <c r="G171" s="2882">
        <f t="shared" si="124"/>
        <v>1450938</v>
      </c>
      <c r="H171" s="2882">
        <f t="shared" si="124"/>
        <v>2870218</v>
      </c>
      <c r="I171" s="2882">
        <f t="shared" si="124"/>
        <v>5000</v>
      </c>
      <c r="J171" s="2882">
        <f t="shared" si="124"/>
        <v>0</v>
      </c>
      <c r="K171" s="2882">
        <f t="shared" si="124"/>
        <v>0</v>
      </c>
      <c r="L171" s="2882">
        <f t="shared" si="124"/>
        <v>0</v>
      </c>
      <c r="M171" s="2883">
        <f>+M172+M173</f>
        <v>4343801</v>
      </c>
      <c r="N171" s="2883">
        <f>+N172+N173</f>
        <v>4326156</v>
      </c>
      <c r="O171" s="2834"/>
      <c r="P171" s="2560"/>
    </row>
    <row r="172" spans="1:16" s="2480" customFormat="1" ht="15" hidden="1" customHeight="1">
      <c r="A172" s="3614"/>
      <c r="B172" s="2849" t="s">
        <v>12</v>
      </c>
      <c r="C172" s="3606"/>
      <c r="D172" s="2884">
        <f t="shared" si="120"/>
        <v>4343801</v>
      </c>
      <c r="E172" s="2885">
        <v>0</v>
      </c>
      <c r="F172" s="2884">
        <f>2771900+1650960-4222860-196679+14324</f>
        <v>17645</v>
      </c>
      <c r="G172" s="2884">
        <f>1331570+1528290+1746993-424083+157710-2889542</f>
        <v>1450938</v>
      </c>
      <c r="H172" s="2884">
        <v>2870218</v>
      </c>
      <c r="I172" s="2884">
        <v>5000</v>
      </c>
      <c r="J172" s="2884"/>
      <c r="K172" s="2884"/>
      <c r="L172" s="2884"/>
      <c r="M172" s="2886">
        <f>SUM(F172:K172)</f>
        <v>4343801</v>
      </c>
      <c r="N172" s="2886">
        <f>SUM(G172:L172)</f>
        <v>4326156</v>
      </c>
      <c r="O172" s="2834"/>
      <c r="P172" s="2560"/>
    </row>
    <row r="173" spans="1:16" s="2480" customFormat="1" ht="17.25" hidden="1" customHeight="1">
      <c r="A173" s="3614"/>
      <c r="B173" s="2849" t="s">
        <v>62</v>
      </c>
      <c r="C173" s="3606"/>
      <c r="D173" s="2887">
        <f t="shared" si="120"/>
        <v>0</v>
      </c>
      <c r="E173" s="2888"/>
      <c r="F173" s="2887"/>
      <c r="G173" s="2887"/>
      <c r="H173" s="2887"/>
      <c r="I173" s="2887"/>
      <c r="J173" s="2887"/>
      <c r="K173" s="2887"/>
      <c r="L173" s="2887"/>
      <c r="M173" s="2886">
        <f>SUM(F173:K173)</f>
        <v>0</v>
      </c>
      <c r="N173" s="2886">
        <f>SUM(G173:L173)</f>
        <v>0</v>
      </c>
      <c r="O173" s="2834"/>
      <c r="P173" s="2560"/>
    </row>
    <row r="174" spans="1:16" s="2482" customFormat="1" ht="15.75" hidden="1" customHeight="1">
      <c r="A174" s="3614"/>
      <c r="B174" s="866" t="s">
        <v>18</v>
      </c>
      <c r="C174" s="3606"/>
      <c r="D174" s="2881">
        <f t="shared" si="120"/>
        <v>28250000</v>
      </c>
      <c r="E174" s="2881">
        <f>+E175</f>
        <v>360377</v>
      </c>
      <c r="F174" s="2881">
        <f>+F175</f>
        <v>1001858</v>
      </c>
      <c r="G174" s="2881">
        <f t="shared" ref="G174:L174" si="125">+G175</f>
        <v>7477647</v>
      </c>
      <c r="H174" s="2881">
        <f t="shared" si="125"/>
        <v>19410118</v>
      </c>
      <c r="I174" s="2881">
        <f t="shared" si="125"/>
        <v>0</v>
      </c>
      <c r="J174" s="2881">
        <f t="shared" si="125"/>
        <v>0</v>
      </c>
      <c r="K174" s="2881">
        <f t="shared" si="125"/>
        <v>0</v>
      </c>
      <c r="L174" s="2881">
        <f t="shared" si="125"/>
        <v>0</v>
      </c>
      <c r="M174" s="2883">
        <f>+M175</f>
        <v>27889623</v>
      </c>
      <c r="N174" s="2883">
        <f>+N175</f>
        <v>26887765</v>
      </c>
      <c r="O174" s="2834"/>
      <c r="P174" s="2564"/>
    </row>
    <row r="175" spans="1:16" s="2480" customFormat="1" ht="13.5" hidden="1" customHeight="1">
      <c r="A175" s="3614"/>
      <c r="B175" s="2859" t="s">
        <v>21</v>
      </c>
      <c r="C175" s="3606"/>
      <c r="D175" s="2884">
        <f t="shared" si="120"/>
        <v>28250000</v>
      </c>
      <c r="E175" s="2885">
        <f>+E176+E177</f>
        <v>360377</v>
      </c>
      <c r="F175" s="2885">
        <f>+F176+F177</f>
        <v>1001858</v>
      </c>
      <c r="G175" s="2885">
        <f t="shared" ref="G175:L175" si="126">+G176+G177</f>
        <v>7477647</v>
      </c>
      <c r="H175" s="2885">
        <f t="shared" si="126"/>
        <v>19410118</v>
      </c>
      <c r="I175" s="2885">
        <f t="shared" si="126"/>
        <v>0</v>
      </c>
      <c r="J175" s="2885">
        <f t="shared" si="126"/>
        <v>0</v>
      </c>
      <c r="K175" s="2885">
        <f t="shared" si="126"/>
        <v>0</v>
      </c>
      <c r="L175" s="2885">
        <f t="shared" si="126"/>
        <v>0</v>
      </c>
      <c r="M175" s="2886">
        <f>+M176+M177</f>
        <v>27889623</v>
      </c>
      <c r="N175" s="2886">
        <f>+N176+N177</f>
        <v>26887765</v>
      </c>
      <c r="O175" s="2834"/>
      <c r="P175" s="2560"/>
    </row>
    <row r="176" spans="1:16" s="2480" customFormat="1" ht="27" hidden="1" customHeight="1">
      <c r="A176" s="3614"/>
      <c r="B176" s="2860" t="s">
        <v>272</v>
      </c>
      <c r="C176" s="3606"/>
      <c r="D176" s="2887">
        <f t="shared" si="120"/>
        <v>18000000</v>
      </c>
      <c r="E176" s="2888">
        <v>360377</v>
      </c>
      <c r="F176" s="2887">
        <f>6627800+624800-3893137-346286-1929747-81572</f>
        <v>1001858</v>
      </c>
      <c r="G176" s="2887">
        <f>8003000+624800+1372200+2609637-7314788</f>
        <v>5294849</v>
      </c>
      <c r="H176" s="2887">
        <f>3584737+432072+5314788+1929747+81572</f>
        <v>11342916</v>
      </c>
      <c r="I176" s="2887">
        <v>0</v>
      </c>
      <c r="J176" s="2887">
        <v>0</v>
      </c>
      <c r="K176" s="2887">
        <v>0</v>
      </c>
      <c r="L176" s="2887">
        <v>0</v>
      </c>
      <c r="M176" s="2886">
        <f>SUM(F176:K176)</f>
        <v>17639623</v>
      </c>
      <c r="N176" s="2886">
        <f>SUM(G176:L176)</f>
        <v>16637765</v>
      </c>
      <c r="O176" s="2834"/>
      <c r="P176" s="2560"/>
    </row>
    <row r="177" spans="1:16" s="2480" customFormat="1" ht="21.75" hidden="1" customHeight="1">
      <c r="A177" s="3614"/>
      <c r="B177" s="2860" t="s">
        <v>273</v>
      </c>
      <c r="C177" s="3607"/>
      <c r="D177" s="2887">
        <f t="shared" si="120"/>
        <v>10250000</v>
      </c>
      <c r="E177" s="2888">
        <v>0</v>
      </c>
      <c r="F177" s="2887">
        <f>3000000-3000000</f>
        <v>0</v>
      </c>
      <c r="G177" s="2887">
        <f>7000000+143000-583000-2342700-2034502</f>
        <v>2182798</v>
      </c>
      <c r="H177" s="2887">
        <f>2857000+833000+2295496+2081706</f>
        <v>8067202</v>
      </c>
      <c r="I177" s="2887">
        <f>47204-47204</f>
        <v>0</v>
      </c>
      <c r="J177" s="2887">
        <v>0</v>
      </c>
      <c r="K177" s="2887">
        <v>0</v>
      </c>
      <c r="L177" s="2887">
        <v>0</v>
      </c>
      <c r="M177" s="2886">
        <f>SUM(F177:K177)</f>
        <v>10250000</v>
      </c>
      <c r="N177" s="2886">
        <f>SUM(G177:L177)</f>
        <v>10250000</v>
      </c>
      <c r="O177" s="2834"/>
      <c r="P177" s="2560"/>
    </row>
    <row r="178" spans="1:16" s="2480" customFormat="1" ht="17.25" hidden="1" customHeight="1">
      <c r="A178" s="3614"/>
      <c r="B178" s="187" t="s">
        <v>275</v>
      </c>
      <c r="C178" s="174"/>
      <c r="D178" s="2880">
        <f t="shared" ref="D178:L178" si="127">+D179+D181</f>
        <v>28250000</v>
      </c>
      <c r="E178" s="2880">
        <f t="shared" ref="E178" si="128">+E179+E181</f>
        <v>226180</v>
      </c>
      <c r="F178" s="2880">
        <f t="shared" si="127"/>
        <v>1022720</v>
      </c>
      <c r="G178" s="2880">
        <f t="shared" si="127"/>
        <v>7477647</v>
      </c>
      <c r="H178" s="2880">
        <f t="shared" si="127"/>
        <v>19410118</v>
      </c>
      <c r="I178" s="2880">
        <f t="shared" si="127"/>
        <v>113335</v>
      </c>
      <c r="J178" s="2880">
        <f t="shared" si="127"/>
        <v>0</v>
      </c>
      <c r="K178" s="2880">
        <f t="shared" si="127"/>
        <v>0</v>
      </c>
      <c r="L178" s="2880">
        <f t="shared" si="127"/>
        <v>0</v>
      </c>
      <c r="M178" s="3649" t="s">
        <v>61</v>
      </c>
      <c r="N178" s="3649" t="s">
        <v>61</v>
      </c>
      <c r="O178" s="2834"/>
      <c r="P178" s="2560"/>
    </row>
    <row r="179" spans="1:16" s="2480" customFormat="1" ht="13.5" hidden="1" customHeight="1">
      <c r="A179" s="3614"/>
      <c r="B179" s="227" t="s">
        <v>24</v>
      </c>
      <c r="C179" s="3605" t="s">
        <v>284</v>
      </c>
      <c r="D179" s="2881">
        <f t="shared" ref="D179:D184" si="129">SUM(E179:L179)</f>
        <v>0</v>
      </c>
      <c r="E179" s="2882">
        <f t="shared" ref="E179:L179" si="130">+E180</f>
        <v>0</v>
      </c>
      <c r="F179" s="2882">
        <f t="shared" si="130"/>
        <v>0</v>
      </c>
      <c r="G179" s="2882">
        <f t="shared" si="130"/>
        <v>0</v>
      </c>
      <c r="H179" s="2882">
        <f t="shared" si="130"/>
        <v>0</v>
      </c>
      <c r="I179" s="2882">
        <f t="shared" si="130"/>
        <v>0</v>
      </c>
      <c r="J179" s="2882">
        <f t="shared" si="130"/>
        <v>0</v>
      </c>
      <c r="K179" s="2882">
        <f t="shared" si="130"/>
        <v>0</v>
      </c>
      <c r="L179" s="2882">
        <f t="shared" si="130"/>
        <v>0</v>
      </c>
      <c r="M179" s="3518"/>
      <c r="N179" s="3518"/>
      <c r="O179" s="2834"/>
      <c r="P179" s="2560"/>
    </row>
    <row r="180" spans="1:16" s="2480" customFormat="1" ht="15" hidden="1" customHeight="1">
      <c r="A180" s="3614"/>
      <c r="B180" s="2849" t="s">
        <v>62</v>
      </c>
      <c r="C180" s="3607"/>
      <c r="D180" s="2887">
        <f t="shared" si="129"/>
        <v>0</v>
      </c>
      <c r="E180" s="2887"/>
      <c r="F180" s="2887"/>
      <c r="G180" s="2887"/>
      <c r="H180" s="2887"/>
      <c r="I180" s="2887"/>
      <c r="J180" s="2887"/>
      <c r="K180" s="2887"/>
      <c r="L180" s="2887"/>
      <c r="M180" s="3518"/>
      <c r="N180" s="3518"/>
      <c r="O180" s="2834"/>
      <c r="P180" s="2560"/>
    </row>
    <row r="181" spans="1:16" s="2480" customFormat="1" ht="18.75" hidden="1" customHeight="1">
      <c r="A181" s="3614"/>
      <c r="B181" s="866" t="s">
        <v>18</v>
      </c>
      <c r="C181" s="3605" t="s">
        <v>290</v>
      </c>
      <c r="D181" s="2881">
        <f t="shared" si="129"/>
        <v>28250000</v>
      </c>
      <c r="E181" s="2882">
        <f t="shared" ref="E181:L181" si="131">+E182</f>
        <v>226180</v>
      </c>
      <c r="F181" s="2882">
        <f t="shared" si="131"/>
        <v>1022720</v>
      </c>
      <c r="G181" s="2882">
        <f t="shared" si="131"/>
        <v>7477647</v>
      </c>
      <c r="H181" s="2882">
        <f t="shared" si="131"/>
        <v>19410118</v>
      </c>
      <c r="I181" s="2882">
        <f t="shared" si="131"/>
        <v>113335</v>
      </c>
      <c r="J181" s="2882">
        <f t="shared" si="131"/>
        <v>0</v>
      </c>
      <c r="K181" s="2882">
        <f t="shared" si="131"/>
        <v>0</v>
      </c>
      <c r="L181" s="2882">
        <f t="shared" si="131"/>
        <v>0</v>
      </c>
      <c r="M181" s="3518"/>
      <c r="N181" s="3518"/>
      <c r="O181" s="2834"/>
      <c r="P181" s="2560"/>
    </row>
    <row r="182" spans="1:16" s="2480" customFormat="1" ht="18" hidden="1" customHeight="1">
      <c r="A182" s="3653"/>
      <c r="B182" s="435" t="s">
        <v>21</v>
      </c>
      <c r="C182" s="3610"/>
      <c r="D182" s="2884">
        <f t="shared" si="129"/>
        <v>28250000</v>
      </c>
      <c r="E182" s="2884">
        <f t="shared" ref="E182:L182" si="132">+E183+E184</f>
        <v>226180</v>
      </c>
      <c r="F182" s="2884">
        <f t="shared" si="132"/>
        <v>1022720</v>
      </c>
      <c r="G182" s="2884">
        <f t="shared" si="132"/>
        <v>7477647</v>
      </c>
      <c r="H182" s="2884">
        <f t="shared" si="132"/>
        <v>19410118</v>
      </c>
      <c r="I182" s="2884">
        <f t="shared" si="132"/>
        <v>113335</v>
      </c>
      <c r="J182" s="2884">
        <f t="shared" si="132"/>
        <v>0</v>
      </c>
      <c r="K182" s="2884">
        <f t="shared" si="132"/>
        <v>0</v>
      </c>
      <c r="L182" s="2884">
        <f t="shared" si="132"/>
        <v>0</v>
      </c>
      <c r="M182" s="3518"/>
      <c r="N182" s="3518"/>
      <c r="O182" s="2834"/>
      <c r="P182" s="2560"/>
    </row>
    <row r="183" spans="1:16" s="2480" customFormat="1" ht="22.5" hidden="1" customHeight="1">
      <c r="A183" s="2889"/>
      <c r="B183" s="2830" t="s">
        <v>279</v>
      </c>
      <c r="C183" s="2890" t="s">
        <v>244</v>
      </c>
      <c r="D183" s="2887">
        <f t="shared" si="129"/>
        <v>18000000</v>
      </c>
      <c r="E183" s="2888">
        <v>226180</v>
      </c>
      <c r="F183" s="2887">
        <f>6627800+624800-3893137-212089-2062295-62359</f>
        <v>1022720</v>
      </c>
      <c r="G183" s="2887">
        <f>8003000+624800+1372200+2609637-7314788</f>
        <v>5294849</v>
      </c>
      <c r="H183" s="2887">
        <f>3584737+432072+5314788+2062295-50976</f>
        <v>11342916</v>
      </c>
      <c r="I183" s="2887">
        <v>113335</v>
      </c>
      <c r="J183" s="2887"/>
      <c r="K183" s="2887"/>
      <c r="L183" s="2887"/>
      <c r="M183" s="3518"/>
      <c r="N183" s="3518"/>
      <c r="O183" s="2834"/>
      <c r="P183" s="2560"/>
    </row>
    <row r="184" spans="1:16" s="2480" customFormat="1" ht="24" hidden="1" customHeight="1">
      <c r="A184" s="2889"/>
      <c r="B184" s="2860" t="s">
        <v>280</v>
      </c>
      <c r="C184" s="2890" t="s">
        <v>218</v>
      </c>
      <c r="D184" s="2884">
        <f t="shared" si="129"/>
        <v>10250000</v>
      </c>
      <c r="E184" s="2885"/>
      <c r="F184" s="2884">
        <f>3000000-3000000</f>
        <v>0</v>
      </c>
      <c r="G184" s="2884">
        <f>7000000+143000-583000-2342700-2034502</f>
        <v>2182798</v>
      </c>
      <c r="H184" s="2884">
        <f>2857000+833000+2295496+2081706</f>
        <v>8067202</v>
      </c>
      <c r="I184" s="2884">
        <f>47204-47204</f>
        <v>0</v>
      </c>
      <c r="J184" s="2884"/>
      <c r="K184" s="2884"/>
      <c r="L184" s="2884"/>
      <c r="M184" s="3650"/>
      <c r="N184" s="3650"/>
      <c r="O184" s="2834"/>
      <c r="P184" s="2560"/>
    </row>
    <row r="185" spans="1:16" s="2480" customFormat="1" ht="15" hidden="1" customHeight="1">
      <c r="A185" s="3614" t="s">
        <v>296</v>
      </c>
      <c r="B185" s="2840" t="s">
        <v>281</v>
      </c>
      <c r="C185" s="2841" t="s">
        <v>109</v>
      </c>
      <c r="D185" s="2891"/>
      <c r="E185" s="2892"/>
      <c r="F185" s="2893"/>
      <c r="G185" s="2893"/>
      <c r="H185" s="2893"/>
      <c r="I185" s="2893"/>
      <c r="J185" s="2893"/>
      <c r="K185" s="2893"/>
      <c r="L185" s="2894"/>
      <c r="M185" s="2895"/>
      <c r="N185" s="2895"/>
      <c r="O185" s="2834"/>
      <c r="P185" s="2560"/>
    </row>
    <row r="186" spans="1:16" s="2480" customFormat="1" ht="13.5" hidden="1" customHeight="1">
      <c r="A186" s="3614"/>
      <c r="B186" s="82" t="s">
        <v>10</v>
      </c>
      <c r="C186" s="2896"/>
      <c r="D186" s="1576">
        <f>+D187+D189</f>
        <v>0</v>
      </c>
      <c r="E186" s="1576">
        <v>0</v>
      </c>
      <c r="F186" s="1576">
        <f t="shared" ref="F186:L186" si="133">+F187+F189</f>
        <v>0</v>
      </c>
      <c r="G186" s="1576">
        <f t="shared" si="133"/>
        <v>0</v>
      </c>
      <c r="H186" s="1576">
        <f t="shared" si="133"/>
        <v>0</v>
      </c>
      <c r="I186" s="1576">
        <f t="shared" si="133"/>
        <v>0</v>
      </c>
      <c r="J186" s="1576">
        <f t="shared" si="133"/>
        <v>0</v>
      </c>
      <c r="K186" s="1576">
        <f t="shared" si="133"/>
        <v>0</v>
      </c>
      <c r="L186" s="1576">
        <f t="shared" si="133"/>
        <v>0</v>
      </c>
      <c r="M186" s="2897">
        <f>+M187+M189</f>
        <v>0</v>
      </c>
      <c r="N186" s="2897">
        <f>+N187+N189</f>
        <v>0</v>
      </c>
      <c r="O186" s="2834"/>
      <c r="P186" s="2560"/>
    </row>
    <row r="187" spans="1:16" s="2480" customFormat="1" ht="13.5" hidden="1" customHeight="1">
      <c r="A187" s="3614"/>
      <c r="B187" s="2258" t="s">
        <v>24</v>
      </c>
      <c r="C187" s="3654" t="s">
        <v>284</v>
      </c>
      <c r="D187" s="2862">
        <f>SUM(E187:L187)</f>
        <v>0</v>
      </c>
      <c r="E187" s="2863">
        <v>0</v>
      </c>
      <c r="F187" s="2863">
        <f t="shared" ref="F187:L187" si="134">+F188</f>
        <v>0</v>
      </c>
      <c r="G187" s="2863">
        <f t="shared" si="134"/>
        <v>0</v>
      </c>
      <c r="H187" s="2863">
        <f t="shared" si="134"/>
        <v>0</v>
      </c>
      <c r="I187" s="2863">
        <f t="shared" si="134"/>
        <v>0</v>
      </c>
      <c r="J187" s="2863">
        <f t="shared" si="134"/>
        <v>0</v>
      </c>
      <c r="K187" s="2863">
        <f t="shared" si="134"/>
        <v>0</v>
      </c>
      <c r="L187" s="2863">
        <f t="shared" si="134"/>
        <v>0</v>
      </c>
      <c r="M187" s="2898">
        <f t="shared" ref="M187:N191" si="135">SUM(D187:K187)</f>
        <v>0</v>
      </c>
      <c r="N187" s="2898">
        <f t="shared" si="135"/>
        <v>0</v>
      </c>
      <c r="O187" s="2834"/>
      <c r="P187" s="2560"/>
    </row>
    <row r="188" spans="1:16" s="2480" customFormat="1" ht="13.5" hidden="1" customHeight="1">
      <c r="A188" s="3614"/>
      <c r="B188" s="2899" t="s">
        <v>12</v>
      </c>
      <c r="C188" s="3655"/>
      <c r="D188" s="2865">
        <f>SUM(E188:L188)</f>
        <v>0</v>
      </c>
      <c r="E188" s="2900">
        <v>0</v>
      </c>
      <c r="F188" s="2865">
        <v>0</v>
      </c>
      <c r="G188" s="2865">
        <v>0</v>
      </c>
      <c r="H188" s="2865">
        <v>0</v>
      </c>
      <c r="I188" s="2865">
        <v>0</v>
      </c>
      <c r="J188" s="2865">
        <v>0</v>
      </c>
      <c r="K188" s="2865">
        <v>0</v>
      </c>
      <c r="L188" s="2865"/>
      <c r="M188" s="2901">
        <f t="shared" si="135"/>
        <v>0</v>
      </c>
      <c r="N188" s="2901">
        <f t="shared" si="135"/>
        <v>0</v>
      </c>
      <c r="O188" s="2834"/>
      <c r="P188" s="2560"/>
    </row>
    <row r="189" spans="1:16" s="2480" customFormat="1" ht="13.5" hidden="1" customHeight="1">
      <c r="A189" s="3614"/>
      <c r="B189" s="83" t="s">
        <v>18</v>
      </c>
      <c r="C189" s="3602" t="s">
        <v>148</v>
      </c>
      <c r="D189" s="2862">
        <f>SUM(E189:L189)</f>
        <v>0</v>
      </c>
      <c r="E189" s="2863">
        <v>0</v>
      </c>
      <c r="F189" s="2863">
        <f t="shared" ref="F189:L189" si="136">+F190</f>
        <v>0</v>
      </c>
      <c r="G189" s="2863">
        <f t="shared" si="136"/>
        <v>0</v>
      </c>
      <c r="H189" s="2863">
        <f t="shared" si="136"/>
        <v>0</v>
      </c>
      <c r="I189" s="2863">
        <f t="shared" si="136"/>
        <v>0</v>
      </c>
      <c r="J189" s="2863">
        <f t="shared" si="136"/>
        <v>0</v>
      </c>
      <c r="K189" s="2863">
        <f t="shared" si="136"/>
        <v>0</v>
      </c>
      <c r="L189" s="2863">
        <f t="shared" si="136"/>
        <v>0</v>
      </c>
      <c r="M189" s="2898">
        <f t="shared" si="135"/>
        <v>0</v>
      </c>
      <c r="N189" s="2898">
        <f t="shared" si="135"/>
        <v>0</v>
      </c>
      <c r="O189" s="2834"/>
      <c r="P189" s="2560"/>
    </row>
    <row r="190" spans="1:16" s="2480" customFormat="1" ht="13.5" hidden="1" customHeight="1">
      <c r="A190" s="3614"/>
      <c r="B190" s="2859" t="s">
        <v>21</v>
      </c>
      <c r="C190" s="3608"/>
      <c r="D190" s="2864">
        <f>SUM(E190:L190)</f>
        <v>0</v>
      </c>
      <c r="E190" s="409">
        <v>0</v>
      </c>
      <c r="F190" s="409">
        <f t="shared" ref="F190:L190" si="137">+F191</f>
        <v>0</v>
      </c>
      <c r="G190" s="409">
        <f t="shared" si="137"/>
        <v>0</v>
      </c>
      <c r="H190" s="409">
        <f t="shared" si="137"/>
        <v>0</v>
      </c>
      <c r="I190" s="409">
        <f t="shared" si="137"/>
        <v>0</v>
      </c>
      <c r="J190" s="409">
        <f t="shared" si="137"/>
        <v>0</v>
      </c>
      <c r="K190" s="409">
        <f t="shared" si="137"/>
        <v>0</v>
      </c>
      <c r="L190" s="409">
        <f t="shared" si="137"/>
        <v>0</v>
      </c>
      <c r="M190" s="2902">
        <f t="shared" si="135"/>
        <v>0</v>
      </c>
      <c r="N190" s="2902">
        <f t="shared" si="135"/>
        <v>0</v>
      </c>
      <c r="O190" s="2834"/>
      <c r="P190" s="2560"/>
    </row>
    <row r="191" spans="1:16" s="2480" customFormat="1" ht="22.5" hidden="1" customHeight="1">
      <c r="A191" s="3614"/>
      <c r="B191" s="2903" t="s">
        <v>278</v>
      </c>
      <c r="C191" s="3609"/>
      <c r="D191" s="2865">
        <f>SUM(E191:L191)</f>
        <v>0</v>
      </c>
      <c r="E191" s="2900">
        <v>0</v>
      </c>
      <c r="F191" s="2865">
        <v>0</v>
      </c>
      <c r="G191" s="2865">
        <f>312400-312400</f>
        <v>0</v>
      </c>
      <c r="H191" s="2865">
        <f>624800-624800</f>
        <v>0</v>
      </c>
      <c r="I191" s="2865">
        <f>625000-625000</f>
        <v>0</v>
      </c>
      <c r="J191" s="2865">
        <v>0</v>
      </c>
      <c r="K191" s="2865">
        <v>0</v>
      </c>
      <c r="L191" s="2865">
        <v>0</v>
      </c>
      <c r="M191" s="2901">
        <f t="shared" si="135"/>
        <v>0</v>
      </c>
      <c r="N191" s="2901">
        <f t="shared" si="135"/>
        <v>0</v>
      </c>
      <c r="O191" s="2834"/>
      <c r="P191" s="2560"/>
    </row>
    <row r="192" spans="1:16" s="2480" customFormat="1" ht="13.5" hidden="1" customHeight="1">
      <c r="A192" s="3614"/>
      <c r="B192" s="82" t="s">
        <v>275</v>
      </c>
      <c r="C192" s="178"/>
      <c r="D192" s="371">
        <f>+D193</f>
        <v>0</v>
      </c>
      <c r="E192" s="371">
        <v>0</v>
      </c>
      <c r="F192" s="371">
        <f t="shared" ref="F192:L192" si="138">+F193</f>
        <v>0</v>
      </c>
      <c r="G192" s="371">
        <f t="shared" si="138"/>
        <v>0</v>
      </c>
      <c r="H192" s="371">
        <f t="shared" si="138"/>
        <v>0</v>
      </c>
      <c r="I192" s="371">
        <f t="shared" si="138"/>
        <v>0</v>
      </c>
      <c r="J192" s="371">
        <f t="shared" si="138"/>
        <v>0</v>
      </c>
      <c r="K192" s="371">
        <f t="shared" si="138"/>
        <v>0</v>
      </c>
      <c r="L192" s="371">
        <f t="shared" si="138"/>
        <v>0</v>
      </c>
      <c r="M192" s="3604" t="s">
        <v>61</v>
      </c>
      <c r="N192" s="3604" t="s">
        <v>61</v>
      </c>
      <c r="O192" s="2834"/>
      <c r="P192" s="2560"/>
    </row>
    <row r="193" spans="1:16" s="2480" customFormat="1" ht="13.5" hidden="1" customHeight="1">
      <c r="A193" s="3614"/>
      <c r="B193" s="83" t="s">
        <v>18</v>
      </c>
      <c r="C193" s="3602" t="s">
        <v>244</v>
      </c>
      <c r="D193" s="2862">
        <f>SUM(E193:L193)</f>
        <v>0</v>
      </c>
      <c r="E193" s="419">
        <v>0</v>
      </c>
      <c r="F193" s="419">
        <f t="shared" ref="F193:L194" si="139">+F194</f>
        <v>0</v>
      </c>
      <c r="G193" s="419">
        <f t="shared" si="139"/>
        <v>0</v>
      </c>
      <c r="H193" s="419">
        <f t="shared" si="139"/>
        <v>0</v>
      </c>
      <c r="I193" s="419">
        <f t="shared" si="139"/>
        <v>0</v>
      </c>
      <c r="J193" s="419">
        <f t="shared" si="139"/>
        <v>0</v>
      </c>
      <c r="K193" s="419">
        <f t="shared" si="139"/>
        <v>0</v>
      </c>
      <c r="L193" s="419">
        <f t="shared" si="139"/>
        <v>0</v>
      </c>
      <c r="M193" s="3521"/>
      <c r="N193" s="3521"/>
      <c r="O193" s="2834"/>
      <c r="P193" s="2560"/>
    </row>
    <row r="194" spans="1:16" s="2480" customFormat="1" ht="13.5" hidden="1" customHeight="1" thickBot="1">
      <c r="A194" s="3615"/>
      <c r="B194" s="81" t="s">
        <v>21</v>
      </c>
      <c r="C194" s="3603"/>
      <c r="D194" s="2904">
        <f>SUM(E194:L194)</f>
        <v>0</v>
      </c>
      <c r="E194" s="2905">
        <v>0</v>
      </c>
      <c r="F194" s="2905">
        <f t="shared" si="139"/>
        <v>0</v>
      </c>
      <c r="G194" s="2905">
        <f t="shared" si="139"/>
        <v>0</v>
      </c>
      <c r="H194" s="2905">
        <f t="shared" si="139"/>
        <v>0</v>
      </c>
      <c r="I194" s="2905">
        <f t="shared" si="139"/>
        <v>0</v>
      </c>
      <c r="J194" s="2905">
        <f t="shared" si="139"/>
        <v>0</v>
      </c>
      <c r="K194" s="2905">
        <f t="shared" si="139"/>
        <v>0</v>
      </c>
      <c r="L194" s="2905">
        <f t="shared" si="139"/>
        <v>0</v>
      </c>
      <c r="M194" s="3522"/>
      <c r="N194" s="3522"/>
      <c r="O194" s="2839"/>
      <c r="P194" s="2560">
        <f>+D190+D201</f>
        <v>41000000</v>
      </c>
    </row>
    <row r="195" spans="1:16" s="2480" customFormat="1" ht="12" hidden="1" customHeight="1" thickBot="1">
      <c r="A195" s="2906"/>
      <c r="B195" s="2907" t="s">
        <v>272</v>
      </c>
      <c r="C195" s="2908"/>
      <c r="D195" s="2909">
        <f>SUM(E195:L195)</f>
        <v>0</v>
      </c>
      <c r="E195" s="2910"/>
      <c r="F195" s="2909">
        <v>0</v>
      </c>
      <c r="G195" s="2909">
        <f>312400-312400</f>
        <v>0</v>
      </c>
      <c r="H195" s="2909">
        <f>624800-624800</f>
        <v>0</v>
      </c>
      <c r="I195" s="2909">
        <f>625000-625000</f>
        <v>0</v>
      </c>
      <c r="J195" s="2911"/>
      <c r="K195" s="2911"/>
      <c r="L195" s="2909"/>
      <c r="M195" s="2912"/>
      <c r="N195" s="2912"/>
      <c r="O195" s="2839"/>
      <c r="P195" s="2560"/>
    </row>
    <row r="196" spans="1:16" s="2480" customFormat="1" ht="16.5" hidden="1" customHeight="1">
      <c r="A196" s="3614" t="s">
        <v>295</v>
      </c>
      <c r="B196" s="2840" t="s">
        <v>281</v>
      </c>
      <c r="C196" s="2913" t="s">
        <v>81</v>
      </c>
      <c r="D196" s="2842"/>
      <c r="E196" s="2843"/>
      <c r="F196" s="2844"/>
      <c r="G196" s="2844"/>
      <c r="H196" s="2844"/>
      <c r="I196" s="2844"/>
      <c r="J196" s="2844"/>
      <c r="K196" s="2844"/>
      <c r="L196" s="2845"/>
      <c r="M196" s="2914"/>
      <c r="N196" s="2914"/>
      <c r="O196" s="2834"/>
      <c r="P196" s="2560"/>
    </row>
    <row r="197" spans="1:16" s="2480" customFormat="1" ht="13.5" hidden="1" customHeight="1">
      <c r="A197" s="3614"/>
      <c r="B197" s="82" t="s">
        <v>10</v>
      </c>
      <c r="C197" s="2915"/>
      <c r="D197" s="1576">
        <f t="shared" ref="D197:N197" si="140">+D198+D201</f>
        <v>65558309</v>
      </c>
      <c r="E197" s="1576">
        <v>0</v>
      </c>
      <c r="F197" s="1576">
        <f t="shared" si="140"/>
        <v>0</v>
      </c>
      <c r="G197" s="1576">
        <f t="shared" si="140"/>
        <v>153715</v>
      </c>
      <c r="H197" s="1576">
        <f t="shared" si="140"/>
        <v>35816009</v>
      </c>
      <c r="I197" s="1576">
        <f t="shared" si="140"/>
        <v>29588585</v>
      </c>
      <c r="J197" s="1576">
        <f t="shared" si="140"/>
        <v>0</v>
      </c>
      <c r="K197" s="1576">
        <f t="shared" si="140"/>
        <v>0</v>
      </c>
      <c r="L197" s="1576">
        <f t="shared" si="140"/>
        <v>0</v>
      </c>
      <c r="M197" s="374">
        <f t="shared" ref="M197" si="141">+M198+M201</f>
        <v>65558309</v>
      </c>
      <c r="N197" s="374">
        <f t="shared" si="140"/>
        <v>65558309</v>
      </c>
      <c r="O197" s="2834"/>
      <c r="P197" s="2560"/>
    </row>
    <row r="198" spans="1:16" s="2480" customFormat="1" ht="13.5" hidden="1" customHeight="1">
      <c r="A198" s="3614"/>
      <c r="B198" s="2258" t="s">
        <v>24</v>
      </c>
      <c r="C198" s="3605" t="s">
        <v>284</v>
      </c>
      <c r="D198" s="2848">
        <f>SUM(E198:L198)</f>
        <v>24558309</v>
      </c>
      <c r="E198" s="358">
        <v>0</v>
      </c>
      <c r="F198" s="358">
        <f>+F199+F200</f>
        <v>0</v>
      </c>
      <c r="G198" s="358">
        <f>+G199+G200</f>
        <v>153715</v>
      </c>
      <c r="H198" s="358">
        <f>+H199+H200</f>
        <v>13364989</v>
      </c>
      <c r="I198" s="358">
        <f t="shared" ref="I198:L198" si="142">+I199+I200</f>
        <v>11039605</v>
      </c>
      <c r="J198" s="358">
        <f t="shared" si="142"/>
        <v>0</v>
      </c>
      <c r="K198" s="358">
        <f t="shared" si="142"/>
        <v>0</v>
      </c>
      <c r="L198" s="358">
        <f t="shared" si="142"/>
        <v>0</v>
      </c>
      <c r="M198" s="2916">
        <f>SUM(F198:L198)</f>
        <v>24558309</v>
      </c>
      <c r="N198" s="2916">
        <f>SUM(E198:L198)</f>
        <v>24558309</v>
      </c>
      <c r="O198" s="2834"/>
      <c r="P198" s="2560"/>
    </row>
    <row r="199" spans="1:16" s="2480" customFormat="1" ht="13.5" hidden="1" customHeight="1">
      <c r="A199" s="3614"/>
      <c r="B199" s="2849" t="s">
        <v>12</v>
      </c>
      <c r="C199" s="3606"/>
      <c r="D199" s="2850">
        <f>SUM(E199:L199)</f>
        <v>24558309</v>
      </c>
      <c r="E199" s="359"/>
      <c r="F199" s="2850">
        <v>0</v>
      </c>
      <c r="G199" s="2850">
        <f>298890-145175</f>
        <v>153715</v>
      </c>
      <c r="H199" s="2850">
        <f>4006159-2149730+11478766-1254345+1284139</f>
        <v>13364989</v>
      </c>
      <c r="I199" s="2850">
        <f>825200-119869+1136000+9043924+1438489-1284139</f>
        <v>11039605</v>
      </c>
      <c r="J199" s="2850"/>
      <c r="K199" s="2850"/>
      <c r="L199" s="2850"/>
      <c r="M199" s="2886">
        <f>SUM(F199:K199)</f>
        <v>24558309</v>
      </c>
      <c r="N199" s="2886">
        <f>SUM(G199:L199)</f>
        <v>24558309</v>
      </c>
      <c r="O199" s="2834"/>
      <c r="P199" s="2560"/>
    </row>
    <row r="200" spans="1:16" s="2480" customFormat="1" ht="13.5" hidden="1" customHeight="1">
      <c r="A200" s="3614"/>
      <c r="B200" s="2849" t="s">
        <v>16</v>
      </c>
      <c r="C200" s="3606"/>
      <c r="D200" s="2850">
        <f>SUM(E200:L200)</f>
        <v>0</v>
      </c>
      <c r="E200" s="359"/>
      <c r="F200" s="2850">
        <v>0</v>
      </c>
      <c r="G200" s="2850">
        <f>277300-277300</f>
        <v>0</v>
      </c>
      <c r="H200" s="2850">
        <f>3328200-3328200</f>
        <v>0</v>
      </c>
      <c r="I200" s="2850">
        <f>1394500+277300-1671800</f>
        <v>0</v>
      </c>
      <c r="J200" s="2850"/>
      <c r="K200" s="2850"/>
      <c r="L200" s="2850"/>
      <c r="M200" s="2886">
        <f>SUM(F200:K200)</f>
        <v>0</v>
      </c>
      <c r="N200" s="2886">
        <f>SUM(G200:L200)</f>
        <v>0</v>
      </c>
      <c r="O200" s="2834"/>
      <c r="P200" s="2560"/>
    </row>
    <row r="201" spans="1:16" s="2480" customFormat="1" ht="15.75" hidden="1" customHeight="1">
      <c r="A201" s="3614"/>
      <c r="B201" s="464" t="s">
        <v>18</v>
      </c>
      <c r="C201" s="3606"/>
      <c r="D201" s="2848">
        <f>SUM(E201:L201)</f>
        <v>41000000</v>
      </c>
      <c r="E201" s="2848">
        <v>0</v>
      </c>
      <c r="F201" s="2848">
        <f t="shared" ref="F201:L201" si="143">+F202</f>
        <v>0</v>
      </c>
      <c r="G201" s="2848">
        <f t="shared" si="143"/>
        <v>0</v>
      </c>
      <c r="H201" s="2848">
        <f t="shared" si="143"/>
        <v>22451020</v>
      </c>
      <c r="I201" s="2848">
        <f t="shared" si="143"/>
        <v>18548980</v>
      </c>
      <c r="J201" s="2848">
        <f t="shared" si="143"/>
        <v>0</v>
      </c>
      <c r="K201" s="2848">
        <f t="shared" si="143"/>
        <v>0</v>
      </c>
      <c r="L201" s="2848">
        <f t="shared" si="143"/>
        <v>0</v>
      </c>
      <c r="M201" s="2917">
        <f>SUM(F201:K201)</f>
        <v>41000000</v>
      </c>
      <c r="N201" s="2917">
        <f>SUM(E201:L201)</f>
        <v>41000000</v>
      </c>
      <c r="O201" s="2834"/>
      <c r="P201" s="2560"/>
    </row>
    <row r="202" spans="1:16" s="2480" customFormat="1" ht="12" hidden="1" customHeight="1">
      <c r="A202" s="3614"/>
      <c r="B202" s="435" t="s">
        <v>21</v>
      </c>
      <c r="C202" s="3606"/>
      <c r="D202" s="2850">
        <f>+D203+D204</f>
        <v>41000000</v>
      </c>
      <c r="E202" s="2850">
        <v>0</v>
      </c>
      <c r="F202" s="2850">
        <f t="shared" ref="F202:L202" si="144">+F203+F204</f>
        <v>0</v>
      </c>
      <c r="G202" s="2850">
        <f t="shared" si="144"/>
        <v>0</v>
      </c>
      <c r="H202" s="2850">
        <f t="shared" si="144"/>
        <v>22451020</v>
      </c>
      <c r="I202" s="2850">
        <f t="shared" si="144"/>
        <v>18548980</v>
      </c>
      <c r="J202" s="2850">
        <f t="shared" si="144"/>
        <v>0</v>
      </c>
      <c r="K202" s="2850">
        <f t="shared" si="144"/>
        <v>0</v>
      </c>
      <c r="L202" s="2850">
        <f t="shared" si="144"/>
        <v>0</v>
      </c>
      <c r="M202" s="2886">
        <f>SUM(F202:K202)</f>
        <v>41000000</v>
      </c>
      <c r="N202" s="2886">
        <f t="shared" ref="M202:N204" si="145">SUM(G202:L202)</f>
        <v>41000000</v>
      </c>
      <c r="O202" s="2834"/>
      <c r="P202" s="2560"/>
    </row>
    <row r="203" spans="1:16" s="2480" customFormat="1" ht="22.5" hidden="1" customHeight="1">
      <c r="A203" s="3614"/>
      <c r="B203" s="2830" t="s">
        <v>282</v>
      </c>
      <c r="C203" s="3606"/>
      <c r="D203" s="2854">
        <f>+E203+F203+G203+H203+I203+J203+K203+L203</f>
        <v>0</v>
      </c>
      <c r="E203" s="2918">
        <v>0</v>
      </c>
      <c r="F203" s="2854">
        <v>0</v>
      </c>
      <c r="G203" s="2854">
        <v>0</v>
      </c>
      <c r="H203" s="2854">
        <f>915000+624800-1539800</f>
        <v>0</v>
      </c>
      <c r="I203" s="2854">
        <f>511000+625000-1136000</f>
        <v>0</v>
      </c>
      <c r="J203" s="2854">
        <v>0</v>
      </c>
      <c r="K203" s="2854">
        <v>0</v>
      </c>
      <c r="L203" s="2854">
        <v>0</v>
      </c>
      <c r="M203" s="2886">
        <f t="shared" si="145"/>
        <v>0</v>
      </c>
      <c r="N203" s="2886">
        <f t="shared" si="145"/>
        <v>0</v>
      </c>
      <c r="O203" s="2834"/>
      <c r="P203" s="2560"/>
    </row>
    <row r="204" spans="1:16" s="2480" customFormat="1" ht="23.25" hidden="1" customHeight="1">
      <c r="A204" s="3614"/>
      <c r="B204" s="2919" t="s">
        <v>274</v>
      </c>
      <c r="C204" s="3607"/>
      <c r="D204" s="2854">
        <f>+E204+F204+G204+H204+I204+J204+K204+L204</f>
        <v>41000000</v>
      </c>
      <c r="E204" s="2920">
        <v>0</v>
      </c>
      <c r="F204" s="2921">
        <v>0</v>
      </c>
      <c r="G204" s="2921">
        <f>2328000-2328000</f>
        <v>0</v>
      </c>
      <c r="H204" s="2921">
        <f>27936000-5731740+345740-2337736+2238756</f>
        <v>22451020</v>
      </c>
      <c r="I204" s="2921">
        <f>11600000+8059740-1209740+2337736-2238756</f>
        <v>18548980</v>
      </c>
      <c r="J204" s="2921">
        <v>0</v>
      </c>
      <c r="K204" s="2921">
        <v>0</v>
      </c>
      <c r="L204" s="2921">
        <v>0</v>
      </c>
      <c r="M204" s="2886">
        <f t="shared" si="145"/>
        <v>41000000</v>
      </c>
      <c r="N204" s="2886">
        <f t="shared" si="145"/>
        <v>41000000</v>
      </c>
      <c r="O204" s="2834"/>
      <c r="P204" s="2560"/>
    </row>
    <row r="205" spans="1:16" s="2480" customFormat="1" ht="13.5" hidden="1" customHeight="1">
      <c r="A205" s="3614"/>
      <c r="B205" s="21" t="s">
        <v>275</v>
      </c>
      <c r="C205" s="174"/>
      <c r="D205" s="368">
        <f t="shared" ref="D205:L205" si="146">+D206+D208</f>
        <v>41000000</v>
      </c>
      <c r="E205" s="368">
        <v>0</v>
      </c>
      <c r="F205" s="368">
        <f t="shared" si="146"/>
        <v>0</v>
      </c>
      <c r="G205" s="368">
        <f t="shared" si="146"/>
        <v>0</v>
      </c>
      <c r="H205" s="368">
        <f t="shared" si="146"/>
        <v>22451020</v>
      </c>
      <c r="I205" s="368">
        <f t="shared" si="146"/>
        <v>18548980</v>
      </c>
      <c r="J205" s="368">
        <f t="shared" si="146"/>
        <v>0</v>
      </c>
      <c r="K205" s="368">
        <f t="shared" si="146"/>
        <v>0</v>
      </c>
      <c r="L205" s="368">
        <f t="shared" si="146"/>
        <v>0</v>
      </c>
      <c r="M205" s="3597" t="s">
        <v>61</v>
      </c>
      <c r="N205" s="3597" t="s">
        <v>61</v>
      </c>
      <c r="O205" s="2834"/>
      <c r="P205" s="2560"/>
    </row>
    <row r="206" spans="1:16" s="2480" customFormat="1" ht="15" hidden="1" customHeight="1">
      <c r="A206" s="3614"/>
      <c r="B206" s="2258" t="s">
        <v>24</v>
      </c>
      <c r="C206" s="3599" t="s">
        <v>290</v>
      </c>
      <c r="D206" s="2848">
        <f>+D207</f>
        <v>0</v>
      </c>
      <c r="E206" s="2848">
        <v>0</v>
      </c>
      <c r="F206" s="2848">
        <f t="shared" ref="F206:L206" si="147">+F207</f>
        <v>0</v>
      </c>
      <c r="G206" s="2848">
        <f t="shared" si="147"/>
        <v>0</v>
      </c>
      <c r="H206" s="2848">
        <f t="shared" si="147"/>
        <v>0</v>
      </c>
      <c r="I206" s="2848">
        <f t="shared" si="147"/>
        <v>0</v>
      </c>
      <c r="J206" s="2848">
        <f t="shared" si="147"/>
        <v>0</v>
      </c>
      <c r="K206" s="2848">
        <f t="shared" si="147"/>
        <v>0</v>
      </c>
      <c r="L206" s="2848">
        <f t="shared" si="147"/>
        <v>0</v>
      </c>
      <c r="M206" s="3521"/>
      <c r="N206" s="3521"/>
      <c r="O206" s="2834"/>
      <c r="P206" s="2560"/>
    </row>
    <row r="207" spans="1:16" s="2480" customFormat="1" ht="16.5" hidden="1" customHeight="1">
      <c r="A207" s="3614"/>
      <c r="B207" s="2849" t="s">
        <v>16</v>
      </c>
      <c r="C207" s="3600"/>
      <c r="D207" s="2850">
        <f>SUM(E207:L207)</f>
        <v>0</v>
      </c>
      <c r="E207" s="359"/>
      <c r="F207" s="2850">
        <v>0</v>
      </c>
      <c r="G207" s="2850">
        <f>277300-277300</f>
        <v>0</v>
      </c>
      <c r="H207" s="2850">
        <f>3328200-3328200</f>
        <v>0</v>
      </c>
      <c r="I207" s="2850">
        <f>1394500+277300-1671800</f>
        <v>0</v>
      </c>
      <c r="J207" s="2850"/>
      <c r="K207" s="2850"/>
      <c r="L207" s="2850"/>
      <c r="M207" s="3521"/>
      <c r="N207" s="3521"/>
      <c r="O207" s="2834"/>
      <c r="P207" s="2560"/>
    </row>
    <row r="208" spans="1:16" s="2480" customFormat="1" ht="16.5" hidden="1" customHeight="1">
      <c r="A208" s="3614"/>
      <c r="B208" s="464" t="s">
        <v>18</v>
      </c>
      <c r="C208" s="3600"/>
      <c r="D208" s="2848">
        <f>SUM(E208:L208)</f>
        <v>41000000</v>
      </c>
      <c r="E208" s="2848">
        <v>0</v>
      </c>
      <c r="F208" s="2848">
        <f t="shared" ref="F208:L208" si="148">+F209</f>
        <v>0</v>
      </c>
      <c r="G208" s="2848">
        <f t="shared" si="148"/>
        <v>0</v>
      </c>
      <c r="H208" s="2848">
        <f t="shared" si="148"/>
        <v>22451020</v>
      </c>
      <c r="I208" s="2848">
        <f t="shared" si="148"/>
        <v>18548980</v>
      </c>
      <c r="J208" s="2848">
        <f t="shared" si="148"/>
        <v>0</v>
      </c>
      <c r="K208" s="2848">
        <f t="shared" si="148"/>
        <v>0</v>
      </c>
      <c r="L208" s="2848">
        <f t="shared" si="148"/>
        <v>0</v>
      </c>
      <c r="M208" s="3521"/>
      <c r="N208" s="3521"/>
      <c r="O208" s="2834"/>
      <c r="P208" s="2560"/>
    </row>
    <row r="209" spans="1:16" s="2480" customFormat="1" ht="15" hidden="1" customHeight="1">
      <c r="A209" s="2889"/>
      <c r="B209" s="435" t="s">
        <v>21</v>
      </c>
      <c r="C209" s="3601"/>
      <c r="D209" s="2850">
        <f>SUM(E209:L209)</f>
        <v>41000000</v>
      </c>
      <c r="E209" s="2850">
        <v>0</v>
      </c>
      <c r="F209" s="2850">
        <f t="shared" ref="F209:L209" si="149">+F210+F211</f>
        <v>0</v>
      </c>
      <c r="G209" s="2850">
        <f>+G210+G211</f>
        <v>0</v>
      </c>
      <c r="H209" s="2850">
        <f t="shared" si="149"/>
        <v>22451020</v>
      </c>
      <c r="I209" s="2850">
        <f t="shared" si="149"/>
        <v>18548980</v>
      </c>
      <c r="J209" s="2850">
        <f t="shared" si="149"/>
        <v>0</v>
      </c>
      <c r="K209" s="2850">
        <f t="shared" si="149"/>
        <v>0</v>
      </c>
      <c r="L209" s="2850">
        <f t="shared" si="149"/>
        <v>0</v>
      </c>
      <c r="M209" s="3521"/>
      <c r="N209" s="3521"/>
      <c r="O209" s="2834"/>
      <c r="P209" s="2560"/>
    </row>
    <row r="210" spans="1:16" s="2480" customFormat="1" ht="27.75" hidden="1" customHeight="1">
      <c r="A210" s="2889"/>
      <c r="B210" s="2830" t="s">
        <v>272</v>
      </c>
      <c r="C210" s="2922" t="s">
        <v>244</v>
      </c>
      <c r="D210" s="2923">
        <f>SUM(E210:L210)</f>
        <v>0</v>
      </c>
      <c r="E210" s="2924">
        <v>0</v>
      </c>
      <c r="F210" s="2923">
        <v>0</v>
      </c>
      <c r="G210" s="2923">
        <v>0</v>
      </c>
      <c r="H210" s="2923">
        <f>915000+624800-1539800</f>
        <v>0</v>
      </c>
      <c r="I210" s="2923">
        <f>511000+625000-1136000</f>
        <v>0</v>
      </c>
      <c r="J210" s="2923">
        <v>0</v>
      </c>
      <c r="K210" s="2923">
        <v>0</v>
      </c>
      <c r="L210" s="2923">
        <v>0</v>
      </c>
      <c r="M210" s="3521"/>
      <c r="N210" s="3521"/>
      <c r="O210" s="2925"/>
      <c r="P210" s="2560"/>
    </row>
    <row r="211" spans="1:16" s="2480" customFormat="1" ht="21.75" hidden="1" customHeight="1" thickBot="1">
      <c r="A211" s="2889"/>
      <c r="B211" s="2836" t="s">
        <v>283</v>
      </c>
      <c r="C211" s="2922" t="s">
        <v>218</v>
      </c>
      <c r="D211" s="2926">
        <f>SUM(E211:L211)</f>
        <v>41000000</v>
      </c>
      <c r="E211" s="2927">
        <v>0</v>
      </c>
      <c r="F211" s="2926">
        <v>0</v>
      </c>
      <c r="G211" s="2926">
        <f>2328000-2328000</f>
        <v>0</v>
      </c>
      <c r="H211" s="2926">
        <f>27936000-5731740+345740-2337736+2238756</f>
        <v>22451020</v>
      </c>
      <c r="I211" s="2926">
        <f>11600000+8059740-1209740+2337736-2238756</f>
        <v>18548980</v>
      </c>
      <c r="J211" s="2926">
        <v>0</v>
      </c>
      <c r="K211" s="2926">
        <v>0</v>
      </c>
      <c r="L211" s="2926">
        <v>0</v>
      </c>
      <c r="M211" s="3522"/>
      <c r="N211" s="3522"/>
      <c r="O211" s="2925"/>
      <c r="P211" s="2560"/>
    </row>
    <row r="212" spans="1:16" s="1834" customFormat="1" ht="27" customHeight="1">
      <c r="A212" s="3613" t="s">
        <v>89</v>
      </c>
      <c r="B212" s="169" t="s">
        <v>294</v>
      </c>
      <c r="C212" s="170" t="s">
        <v>109</v>
      </c>
      <c r="D212" s="398"/>
      <c r="E212" s="398"/>
      <c r="F212" s="398"/>
      <c r="G212" s="398"/>
      <c r="H212" s="185"/>
      <c r="I212" s="185"/>
      <c r="J212" s="185"/>
      <c r="K212" s="185"/>
      <c r="L212" s="259"/>
      <c r="M212" s="354"/>
      <c r="N212" s="354"/>
      <c r="O212" s="3590" t="s">
        <v>320</v>
      </c>
      <c r="P212" s="329"/>
    </row>
    <row r="213" spans="1:16" s="1834" customFormat="1">
      <c r="A213" s="3614"/>
      <c r="B213" s="21" t="s">
        <v>10</v>
      </c>
      <c r="C213" s="431"/>
      <c r="D213" s="368">
        <f>+D214+D218</f>
        <v>5491442</v>
      </c>
      <c r="E213" s="368">
        <f t="shared" ref="E213" si="150">+E214+E218</f>
        <v>131150</v>
      </c>
      <c r="F213" s="368">
        <f t="shared" ref="F213" si="151">+F214+F218</f>
        <v>1052265</v>
      </c>
      <c r="G213" s="368">
        <f>+G214+G218</f>
        <v>4308027</v>
      </c>
      <c r="H213" s="355"/>
      <c r="I213" s="355"/>
      <c r="J213" s="355"/>
      <c r="K213" s="355"/>
      <c r="L213" s="355"/>
      <c r="M213" s="432">
        <f>M214+M218</f>
        <v>4905086</v>
      </c>
      <c r="N213" s="432">
        <f>N214+N218</f>
        <v>3939204</v>
      </c>
      <c r="O213" s="3591"/>
      <c r="P213" s="329"/>
    </row>
    <row r="214" spans="1:16" s="1834" customFormat="1">
      <c r="A214" s="3614"/>
      <c r="B214" s="171" t="s">
        <v>24</v>
      </c>
      <c r="C214" s="3593" t="s">
        <v>205</v>
      </c>
      <c r="D214" s="356">
        <f>SUM(D215:D217)</f>
        <v>1295641</v>
      </c>
      <c r="E214" s="356">
        <f>SUM(E215:E217)</f>
        <v>28691</v>
      </c>
      <c r="F214" s="356">
        <f t="shared" ref="F214:G214" si="152">SUM(F215:F217)</f>
        <v>252967</v>
      </c>
      <c r="G214" s="356">
        <f t="shared" si="152"/>
        <v>1013983</v>
      </c>
      <c r="H214" s="356"/>
      <c r="I214" s="356"/>
      <c r="J214" s="356"/>
      <c r="K214" s="356"/>
      <c r="L214" s="356"/>
      <c r="M214" s="357">
        <f>SUM(M215:M216)</f>
        <v>811744</v>
      </c>
      <c r="N214" s="357">
        <f>SUM(N215:N216)</f>
        <v>645160</v>
      </c>
      <c r="O214" s="3591"/>
      <c r="P214" s="329"/>
    </row>
    <row r="215" spans="1:16" s="1834" customFormat="1">
      <c r="A215" s="3614"/>
      <c r="B215" s="172" t="s">
        <v>12</v>
      </c>
      <c r="C215" s="3594"/>
      <c r="D215" s="247">
        <f>E215+F215+G215+H215+I215+J215+K215+L215</f>
        <v>100000</v>
      </c>
      <c r="E215" s="1455">
        <v>10611</v>
      </c>
      <c r="F215" s="2785">
        <f>50000+1902-22258-4113</f>
        <v>25531</v>
      </c>
      <c r="G215" s="2785">
        <f>12500+24987+22258+4113</f>
        <v>63858</v>
      </c>
      <c r="H215" s="433"/>
      <c r="I215" s="433"/>
      <c r="J215" s="433"/>
      <c r="K215" s="433"/>
      <c r="L215" s="433"/>
      <c r="M215" s="695">
        <f>SUM(F215:L215)</f>
        <v>89389</v>
      </c>
      <c r="N215" s="695">
        <f>SUM(G215:L215)</f>
        <v>63858</v>
      </c>
      <c r="O215" s="3591"/>
      <c r="P215" s="329"/>
    </row>
    <row r="216" spans="1:16" s="1834" customFormat="1">
      <c r="A216" s="3614"/>
      <c r="B216" s="172" t="s">
        <v>13</v>
      </c>
      <c r="C216" s="3595"/>
      <c r="D216" s="247">
        <f>E216+F216+G216+H216+I216+J216+K216+L216</f>
        <v>740435</v>
      </c>
      <c r="E216" s="1455">
        <v>18080</v>
      </c>
      <c r="F216" s="2928">
        <f>412301+81979+118367-457832-13762</f>
        <v>141053</v>
      </c>
      <c r="G216" s="2928">
        <f>163259+60000-113551+457832+13762</f>
        <v>581302</v>
      </c>
      <c r="H216" s="173"/>
      <c r="I216" s="173"/>
      <c r="J216" s="173"/>
      <c r="K216" s="173"/>
      <c r="L216" s="173"/>
      <c r="M216" s="695">
        <f>SUM(F216:L216)</f>
        <v>722355</v>
      </c>
      <c r="N216" s="695">
        <f>SUM(G216:L216)</f>
        <v>581302</v>
      </c>
      <c r="O216" s="3591"/>
      <c r="P216" s="329"/>
    </row>
    <row r="217" spans="1:16" s="1834" customFormat="1">
      <c r="A217" s="3614"/>
      <c r="B217" s="2929" t="s">
        <v>32</v>
      </c>
      <c r="C217" s="3595"/>
      <c r="D217" s="247">
        <f>E217+F217+G217+H217+I217+J217+K217+L217</f>
        <v>455206</v>
      </c>
      <c r="E217" s="1455">
        <v>0</v>
      </c>
      <c r="F217" s="173">
        <f>255556+48066-239676+22437</f>
        <v>86383</v>
      </c>
      <c r="G217" s="173">
        <f>110761+40823+239676-22437</f>
        <v>368823</v>
      </c>
      <c r="H217" s="173"/>
      <c r="I217" s="173"/>
      <c r="J217" s="173"/>
      <c r="K217" s="173"/>
      <c r="L217" s="173"/>
      <c r="M217" s="434" t="s">
        <v>61</v>
      </c>
      <c r="N217" s="434" t="s">
        <v>61</v>
      </c>
      <c r="O217" s="3591"/>
      <c r="P217" s="329"/>
    </row>
    <row r="218" spans="1:16" s="1834" customFormat="1">
      <c r="A218" s="3614"/>
      <c r="B218" s="83" t="s">
        <v>18</v>
      </c>
      <c r="C218" s="3595"/>
      <c r="D218" s="358">
        <f>+D219</f>
        <v>4195801</v>
      </c>
      <c r="E218" s="358">
        <f t="shared" ref="E218:G218" si="153">E219</f>
        <v>102459</v>
      </c>
      <c r="F218" s="2930">
        <f t="shared" si="153"/>
        <v>799298</v>
      </c>
      <c r="G218" s="2930">
        <f t="shared" si="153"/>
        <v>3294044</v>
      </c>
      <c r="H218" s="358"/>
      <c r="I218" s="358"/>
      <c r="J218" s="358"/>
      <c r="K218" s="358"/>
      <c r="L218" s="358"/>
      <c r="M218" s="357">
        <f>+M219</f>
        <v>4093342</v>
      </c>
      <c r="N218" s="357">
        <f>+N219</f>
        <v>3294044</v>
      </c>
      <c r="O218" s="3591"/>
      <c r="P218" s="329"/>
    </row>
    <row r="219" spans="1:16" s="1834" customFormat="1">
      <c r="A219" s="3614"/>
      <c r="B219" s="2931" t="s">
        <v>21</v>
      </c>
      <c r="C219" s="3596"/>
      <c r="D219" s="247">
        <f>E219+F219+G219+H219+I219+J219+K219+L219</f>
        <v>4195801</v>
      </c>
      <c r="E219" s="1455">
        <v>102459</v>
      </c>
      <c r="F219" s="2932">
        <f>2336375+464546+670747-2594379-77991</f>
        <v>799298</v>
      </c>
      <c r="G219" s="2932">
        <f>925133+340000-643459+2594379+77991</f>
        <v>3294044</v>
      </c>
      <c r="H219" s="135"/>
      <c r="I219" s="135"/>
      <c r="J219" s="135"/>
      <c r="K219" s="135"/>
      <c r="L219" s="135"/>
      <c r="M219" s="695">
        <f>SUM(F219:L219)</f>
        <v>4093342</v>
      </c>
      <c r="N219" s="695">
        <f>SUM(G219:L219)</f>
        <v>3294044</v>
      </c>
      <c r="O219" s="3591"/>
      <c r="P219" s="329"/>
    </row>
    <row r="220" spans="1:16" s="1834" customFormat="1">
      <c r="A220" s="3227"/>
      <c r="B220" s="21" t="s">
        <v>22</v>
      </c>
      <c r="C220" s="174"/>
      <c r="D220" s="355">
        <f>+D221+D223</f>
        <v>4936236</v>
      </c>
      <c r="E220" s="355">
        <f t="shared" ref="E220" si="154">E221+E223</f>
        <v>120539</v>
      </c>
      <c r="F220" s="355">
        <f t="shared" ref="F220:G220" si="155">F221+F223</f>
        <v>940351</v>
      </c>
      <c r="G220" s="355">
        <f t="shared" si="155"/>
        <v>3875346</v>
      </c>
      <c r="H220" s="361"/>
      <c r="I220" s="355"/>
      <c r="J220" s="355"/>
      <c r="K220" s="355"/>
      <c r="L220" s="355"/>
      <c r="M220" s="3597" t="s">
        <v>61</v>
      </c>
      <c r="N220" s="3597" t="s">
        <v>61</v>
      </c>
      <c r="O220" s="3591"/>
      <c r="P220" s="329">
        <f>G220-'[1]Tab. 6E - Administracja'!$G$220</f>
        <v>91753</v>
      </c>
    </row>
    <row r="221" spans="1:16" s="1834" customFormat="1">
      <c r="A221" s="3227"/>
      <c r="B221" s="175" t="s">
        <v>24</v>
      </c>
      <c r="C221" s="3593" t="s">
        <v>205</v>
      </c>
      <c r="D221" s="356">
        <f>+D222</f>
        <v>740435</v>
      </c>
      <c r="E221" s="356">
        <f t="shared" ref="E221:G221" si="156">E222</f>
        <v>18080</v>
      </c>
      <c r="F221" s="356">
        <f t="shared" si="156"/>
        <v>141053</v>
      </c>
      <c r="G221" s="356">
        <f t="shared" si="156"/>
        <v>581302</v>
      </c>
      <c r="H221" s="362"/>
      <c r="I221" s="356"/>
      <c r="J221" s="356"/>
      <c r="K221" s="356"/>
      <c r="L221" s="356"/>
      <c r="M221" s="3521"/>
      <c r="N221" s="3521"/>
      <c r="O221" s="3591"/>
      <c r="P221" s="329"/>
    </row>
    <row r="222" spans="1:16" s="1834" customFormat="1">
      <c r="A222" s="3227"/>
      <c r="B222" s="176" t="s">
        <v>13</v>
      </c>
      <c r="C222" s="3595"/>
      <c r="D222" s="247">
        <f>E222+F222+G222+H222+I222+J222+K222+L222</f>
        <v>740435</v>
      </c>
      <c r="E222" s="1455">
        <v>18080</v>
      </c>
      <c r="F222" s="669">
        <f>412301+81979+118367-457832-13762</f>
        <v>141053</v>
      </c>
      <c r="G222" s="669">
        <f>163259+60000-113551+457832+13762</f>
        <v>581302</v>
      </c>
      <c r="H222" s="359"/>
      <c r="I222" s="359"/>
      <c r="J222" s="359"/>
      <c r="K222" s="359"/>
      <c r="L222" s="359"/>
      <c r="M222" s="3521"/>
      <c r="N222" s="3521"/>
      <c r="O222" s="3591"/>
      <c r="P222" s="329"/>
    </row>
    <row r="223" spans="1:16" s="1834" customFormat="1">
      <c r="A223" s="3227"/>
      <c r="B223" s="2780" t="s">
        <v>18</v>
      </c>
      <c r="C223" s="3595"/>
      <c r="D223" s="358">
        <f>+D224</f>
        <v>4195801</v>
      </c>
      <c r="E223" s="358">
        <f t="shared" ref="E223:G223" si="157">E224</f>
        <v>102459</v>
      </c>
      <c r="F223" s="2930">
        <f t="shared" si="157"/>
        <v>799298</v>
      </c>
      <c r="G223" s="2930">
        <f t="shared" si="157"/>
        <v>3294044</v>
      </c>
      <c r="H223" s="363"/>
      <c r="I223" s="358"/>
      <c r="J223" s="358"/>
      <c r="K223" s="358"/>
      <c r="L223" s="358"/>
      <c r="M223" s="3521"/>
      <c r="N223" s="3521"/>
      <c r="O223" s="3591"/>
      <c r="P223" s="329"/>
    </row>
    <row r="224" spans="1:16" s="1834" customFormat="1" ht="13.5" thickBot="1">
      <c r="A224" s="3228"/>
      <c r="B224" s="360" t="s">
        <v>21</v>
      </c>
      <c r="C224" s="3598"/>
      <c r="D224" s="247">
        <f>E224+F224+G224+H224+I224+J224+K224+L224</f>
        <v>4195801</v>
      </c>
      <c r="E224" s="1455">
        <v>102459</v>
      </c>
      <c r="F224" s="2933">
        <f>2336375+464546+670747-2594379-77991</f>
        <v>799298</v>
      </c>
      <c r="G224" s="2933">
        <f>925133+340000-643459+2594379+77991</f>
        <v>3294044</v>
      </c>
      <c r="H224" s="177"/>
      <c r="I224" s="177"/>
      <c r="J224" s="177"/>
      <c r="K224" s="177"/>
      <c r="L224" s="177"/>
      <c r="M224" s="3522"/>
      <c r="N224" s="3522"/>
      <c r="O224" s="3592"/>
      <c r="P224" s="329"/>
    </row>
    <row r="225" spans="1:16" s="1834" customFormat="1" ht="36" customHeight="1">
      <c r="A225" s="3613" t="s">
        <v>90</v>
      </c>
      <c r="B225" s="169" t="s">
        <v>343</v>
      </c>
      <c r="C225" s="170" t="s">
        <v>81</v>
      </c>
      <c r="D225" s="186"/>
      <c r="E225" s="185"/>
      <c r="F225" s="185"/>
      <c r="G225" s="185"/>
      <c r="H225" s="185"/>
      <c r="I225" s="185"/>
      <c r="J225" s="185"/>
      <c r="K225" s="185"/>
      <c r="L225" s="259"/>
      <c r="M225" s="354"/>
      <c r="N225" s="354"/>
      <c r="O225" s="3590" t="s">
        <v>320</v>
      </c>
      <c r="P225" s="329"/>
    </row>
    <row r="226" spans="1:16" s="1834" customFormat="1">
      <c r="A226" s="3614"/>
      <c r="B226" s="662" t="s">
        <v>10</v>
      </c>
      <c r="C226" s="1794"/>
      <c r="D226" s="1766">
        <f t="shared" ref="D226:G226" si="158">+D227+D229</f>
        <v>5764</v>
      </c>
      <c r="E226" s="1766">
        <f t="shared" ref="E226" si="159">+E227+E229</f>
        <v>5764</v>
      </c>
      <c r="F226" s="1766">
        <f t="shared" si="158"/>
        <v>0</v>
      </c>
      <c r="G226" s="1766">
        <f t="shared" si="158"/>
        <v>0</v>
      </c>
      <c r="H226" s="1760"/>
      <c r="I226" s="1760"/>
      <c r="J226" s="1760"/>
      <c r="K226" s="1760"/>
      <c r="L226" s="1760"/>
      <c r="M226" s="1795">
        <f>M227+M229</f>
        <v>0</v>
      </c>
      <c r="N226" s="1795">
        <f>N227+N229</f>
        <v>0</v>
      </c>
      <c r="O226" s="3591"/>
      <c r="P226" s="329"/>
    </row>
    <row r="227" spans="1:16" s="1834" customFormat="1">
      <c r="A227" s="3614"/>
      <c r="B227" s="633" t="s">
        <v>24</v>
      </c>
      <c r="C227" s="3644" t="s">
        <v>205</v>
      </c>
      <c r="D227" s="1750">
        <f t="shared" ref="D227:G227" si="160">SUM(D228:D228)</f>
        <v>865</v>
      </c>
      <c r="E227" s="1750">
        <f t="shared" si="160"/>
        <v>865</v>
      </c>
      <c r="F227" s="1750">
        <f t="shared" si="160"/>
        <v>0</v>
      </c>
      <c r="G227" s="1750">
        <f t="shared" si="160"/>
        <v>0</v>
      </c>
      <c r="H227" s="1750"/>
      <c r="I227" s="1750"/>
      <c r="J227" s="1750"/>
      <c r="K227" s="1750"/>
      <c r="L227" s="1750"/>
      <c r="M227" s="695">
        <f>SUM(F227:K227)</f>
        <v>0</v>
      </c>
      <c r="N227" s="695">
        <f>SUM(G227:L227)</f>
        <v>0</v>
      </c>
      <c r="O227" s="3591"/>
      <c r="P227" s="329"/>
    </row>
    <row r="228" spans="1:16" s="1834" customFormat="1">
      <c r="A228" s="3614"/>
      <c r="B228" s="172" t="s">
        <v>13</v>
      </c>
      <c r="C228" s="3595"/>
      <c r="D228" s="1715">
        <f>E228+F228+G228+H228+I228+J228+K228+L228</f>
        <v>865</v>
      </c>
      <c r="E228" s="1752">
        <v>865</v>
      </c>
      <c r="F228" s="173">
        <v>0</v>
      </c>
      <c r="G228" s="173">
        <v>0</v>
      </c>
      <c r="H228" s="173"/>
      <c r="I228" s="173"/>
      <c r="J228" s="173"/>
      <c r="K228" s="173"/>
      <c r="L228" s="173"/>
      <c r="M228" s="695">
        <f>SUM(F228:K228)</f>
        <v>0</v>
      </c>
      <c r="N228" s="695">
        <f>SUM(G228:L228)</f>
        <v>0</v>
      </c>
      <c r="O228" s="3591"/>
      <c r="P228" s="329"/>
    </row>
    <row r="229" spans="1:16" s="1834" customFormat="1">
      <c r="A229" s="3614"/>
      <c r="B229" s="685" t="s">
        <v>18</v>
      </c>
      <c r="C229" s="3595"/>
      <c r="D229" s="1755">
        <f>+D230</f>
        <v>4899</v>
      </c>
      <c r="E229" s="1755">
        <f t="shared" ref="E229:G229" si="161">E230</f>
        <v>4899</v>
      </c>
      <c r="F229" s="1755">
        <f t="shared" si="161"/>
        <v>0</v>
      </c>
      <c r="G229" s="1755">
        <f t="shared" si="161"/>
        <v>0</v>
      </c>
      <c r="H229" s="1755"/>
      <c r="I229" s="1755"/>
      <c r="J229" s="1755"/>
      <c r="K229" s="1755"/>
      <c r="L229" s="1755"/>
      <c r="M229" s="1751">
        <f>+M230</f>
        <v>0</v>
      </c>
      <c r="N229" s="1751">
        <f>+N230</f>
        <v>0</v>
      </c>
      <c r="O229" s="3591"/>
      <c r="P229" s="329"/>
    </row>
    <row r="230" spans="1:16" s="1834" customFormat="1">
      <c r="A230" s="3614"/>
      <c r="B230" s="1796" t="s">
        <v>21</v>
      </c>
      <c r="C230" s="3596"/>
      <c r="D230" s="1715">
        <f>E230+F230+G230+H230+I230+J230+K230+L230</f>
        <v>4899</v>
      </c>
      <c r="E230" s="1752">
        <v>4899</v>
      </c>
      <c r="F230" s="135">
        <v>0</v>
      </c>
      <c r="G230" s="135">
        <v>0</v>
      </c>
      <c r="H230" s="135"/>
      <c r="I230" s="135"/>
      <c r="J230" s="135"/>
      <c r="K230" s="135"/>
      <c r="L230" s="135"/>
      <c r="M230" s="695">
        <f>SUM(F230:K230)</f>
        <v>0</v>
      </c>
      <c r="N230" s="695">
        <f>SUM(G230:L230)</f>
        <v>0</v>
      </c>
      <c r="O230" s="3591"/>
      <c r="P230" s="329"/>
    </row>
    <row r="231" spans="1:16" s="1834" customFormat="1">
      <c r="A231" s="3227"/>
      <c r="B231" s="662" t="s">
        <v>22</v>
      </c>
      <c r="C231" s="1759"/>
      <c r="D231" s="1760">
        <f>+D232+D234</f>
        <v>5764</v>
      </c>
      <c r="E231" s="1760">
        <f t="shared" ref="E231" si="162">E232+E234</f>
        <v>5764</v>
      </c>
      <c r="F231" s="1760">
        <f t="shared" ref="F231:G231" si="163">F232+F234</f>
        <v>0</v>
      </c>
      <c r="G231" s="1760">
        <f t="shared" si="163"/>
        <v>0</v>
      </c>
      <c r="H231" s="1797"/>
      <c r="I231" s="1760"/>
      <c r="J231" s="1760"/>
      <c r="K231" s="1760"/>
      <c r="L231" s="1760"/>
      <c r="M231" s="3520" t="s">
        <v>61</v>
      </c>
      <c r="N231" s="3520" t="s">
        <v>61</v>
      </c>
      <c r="O231" s="3591"/>
      <c r="P231" s="329"/>
    </row>
    <row r="232" spans="1:16" s="1834" customFormat="1">
      <c r="A232" s="3227"/>
      <c r="B232" s="1761" t="s">
        <v>24</v>
      </c>
      <c r="C232" s="3644" t="s">
        <v>205</v>
      </c>
      <c r="D232" s="1750">
        <f>+D233</f>
        <v>865</v>
      </c>
      <c r="E232" s="1750">
        <f t="shared" ref="E232:G232" si="164">E233</f>
        <v>865</v>
      </c>
      <c r="F232" s="1750">
        <f t="shared" si="164"/>
        <v>0</v>
      </c>
      <c r="G232" s="1750">
        <f t="shared" si="164"/>
        <v>0</v>
      </c>
      <c r="H232" s="1798"/>
      <c r="I232" s="1750"/>
      <c r="J232" s="1750"/>
      <c r="K232" s="1750"/>
      <c r="L232" s="1750"/>
      <c r="M232" s="3521"/>
      <c r="N232" s="3521"/>
      <c r="O232" s="3591"/>
      <c r="P232" s="329"/>
    </row>
    <row r="233" spans="1:16" s="1834" customFormat="1">
      <c r="A233" s="3227"/>
      <c r="B233" s="176" t="s">
        <v>13</v>
      </c>
      <c r="C233" s="3595"/>
      <c r="D233" s="1715">
        <f>E233+F233+G233+H233+I233+J233+K233+L233</f>
        <v>865</v>
      </c>
      <c r="E233" s="1752">
        <v>865</v>
      </c>
      <c r="F233" s="1762">
        <v>0</v>
      </c>
      <c r="G233" s="1762">
        <v>0</v>
      </c>
      <c r="H233" s="1762"/>
      <c r="I233" s="1762"/>
      <c r="J233" s="1762"/>
      <c r="K233" s="1762"/>
      <c r="L233" s="1762"/>
      <c r="M233" s="3521"/>
      <c r="N233" s="3521"/>
      <c r="O233" s="3591"/>
      <c r="P233" s="329"/>
    </row>
    <row r="234" spans="1:16" s="1834" customFormat="1">
      <c r="A234" s="3227"/>
      <c r="B234" s="1763" t="s">
        <v>18</v>
      </c>
      <c r="C234" s="3595"/>
      <c r="D234" s="1755">
        <f>+D235</f>
        <v>4899</v>
      </c>
      <c r="E234" s="1755">
        <f t="shared" ref="E234:G234" si="165">E235</f>
        <v>4899</v>
      </c>
      <c r="F234" s="1755">
        <f t="shared" si="165"/>
        <v>0</v>
      </c>
      <c r="G234" s="1755">
        <f t="shared" si="165"/>
        <v>0</v>
      </c>
      <c r="H234" s="1781"/>
      <c r="I234" s="1755"/>
      <c r="J234" s="1755"/>
      <c r="K234" s="1755"/>
      <c r="L234" s="1755"/>
      <c r="M234" s="3521"/>
      <c r="N234" s="3521"/>
      <c r="O234" s="3591"/>
      <c r="P234" s="329"/>
    </row>
    <row r="235" spans="1:16" s="1834" customFormat="1" ht="11.25" customHeight="1" thickBot="1">
      <c r="A235" s="3228"/>
      <c r="B235" s="360" t="s">
        <v>21</v>
      </c>
      <c r="C235" s="3598"/>
      <c r="D235" s="942">
        <f>E235+F235+G235+H235+I235+J235+K235+L235</f>
        <v>4899</v>
      </c>
      <c r="E235" s="1764">
        <v>4899</v>
      </c>
      <c r="F235" s="657">
        <v>0</v>
      </c>
      <c r="G235" s="657">
        <v>0</v>
      </c>
      <c r="H235" s="657"/>
      <c r="I235" s="657"/>
      <c r="J235" s="657"/>
      <c r="K235" s="657"/>
      <c r="L235" s="657"/>
      <c r="M235" s="3522"/>
      <c r="N235" s="3522"/>
      <c r="O235" s="3592"/>
      <c r="P235" s="329"/>
    </row>
    <row r="236" spans="1:16" s="1834" customFormat="1" ht="13.5" hidden="1" thickBot="1">
      <c r="A236" s="524"/>
      <c r="B236" s="525"/>
      <c r="C236" s="526"/>
      <c r="D236" s="527"/>
      <c r="E236" s="527"/>
      <c r="F236" s="528"/>
      <c r="G236" s="528"/>
      <c r="H236" s="528"/>
      <c r="I236" s="528"/>
      <c r="J236" s="528"/>
      <c r="K236" s="528"/>
      <c r="L236" s="528"/>
      <c r="M236" s="529"/>
      <c r="N236" s="529"/>
      <c r="O236" s="530"/>
      <c r="P236" s="329"/>
    </row>
    <row r="237" spans="1:16" s="325" customFormat="1" ht="30" customHeight="1" thickBot="1">
      <c r="A237" s="191" t="s">
        <v>154</v>
      </c>
      <c r="B237" s="192"/>
      <c r="C237" s="192"/>
      <c r="D237" s="192"/>
      <c r="E237" s="1705"/>
      <c r="F237" s="192"/>
      <c r="G237" s="192"/>
      <c r="H237" s="192"/>
      <c r="I237" s="192"/>
      <c r="J237" s="192"/>
      <c r="K237" s="192"/>
      <c r="L237" s="192"/>
      <c r="M237" s="1077"/>
      <c r="N237" s="1077"/>
      <c r="O237" s="193"/>
    </row>
    <row r="238" spans="1:16" s="1834" customFormat="1">
      <c r="A238" s="1619"/>
      <c r="B238" s="209" t="s">
        <v>76</v>
      </c>
      <c r="C238" s="210"/>
      <c r="D238" s="211">
        <f>+D239+D240</f>
        <v>53247111</v>
      </c>
      <c r="E238" s="211">
        <f>+E239+E240</f>
        <v>28119865</v>
      </c>
      <c r="F238" s="211">
        <f t="shared" ref="F238" si="166">+F239+F240</f>
        <v>6344982</v>
      </c>
      <c r="G238" s="211">
        <f>+G239+G240</f>
        <v>8361775</v>
      </c>
      <c r="H238" s="211">
        <f>+H239+H240</f>
        <v>8245489</v>
      </c>
      <c r="I238" s="211">
        <f>+I239+I240</f>
        <v>2175000</v>
      </c>
      <c r="J238" s="211"/>
      <c r="K238" s="211"/>
      <c r="L238" s="211"/>
      <c r="M238" s="16">
        <f>+M239+M240</f>
        <v>25127246</v>
      </c>
      <c r="N238" s="16">
        <f>+N239+N240</f>
        <v>18782264</v>
      </c>
      <c r="O238" s="3618" t="s">
        <v>61</v>
      </c>
      <c r="P238" s="329"/>
    </row>
    <row r="239" spans="1:16" s="1834" customFormat="1" ht="13.5" customHeight="1">
      <c r="A239" s="189"/>
      <c r="B239" s="212" t="s">
        <v>77</v>
      </c>
      <c r="C239" s="213"/>
      <c r="D239" s="214">
        <f>+D253+D257</f>
        <v>51130387</v>
      </c>
      <c r="E239" s="214">
        <f>+E253+E257</f>
        <v>26008965</v>
      </c>
      <c r="F239" s="214">
        <f t="shared" ref="F239" si="167">+F253+F257</f>
        <v>6344982</v>
      </c>
      <c r="G239" s="214">
        <f>+G253</f>
        <v>8355951</v>
      </c>
      <c r="H239" s="214">
        <f>+H253</f>
        <v>8245489</v>
      </c>
      <c r="I239" s="214">
        <f>+I253</f>
        <v>2175000</v>
      </c>
      <c r="J239" s="214"/>
      <c r="K239" s="214"/>
      <c r="L239" s="214"/>
      <c r="M239" s="18">
        <f>SUM(F239:K239)</f>
        <v>25121422</v>
      </c>
      <c r="N239" s="18">
        <f>SUM(G239:L239)</f>
        <v>18776440</v>
      </c>
      <c r="O239" s="3619"/>
    </row>
    <row r="240" spans="1:16" s="1834" customFormat="1" ht="13.5" customHeight="1" thickBot="1">
      <c r="A240" s="189"/>
      <c r="B240" s="223" t="s">
        <v>9</v>
      </c>
      <c r="C240" s="213"/>
      <c r="D240" s="214">
        <f>+D249</f>
        <v>2116724</v>
      </c>
      <c r="E240" s="214">
        <f>+E249</f>
        <v>2110900</v>
      </c>
      <c r="F240" s="214">
        <f t="shared" ref="F240" si="168">+F249</f>
        <v>0</v>
      </c>
      <c r="G240" s="372">
        <f>+G249</f>
        <v>5824</v>
      </c>
      <c r="H240" s="372">
        <f>+H249</f>
        <v>0</v>
      </c>
      <c r="I240" s="372">
        <f>+I249</f>
        <v>0</v>
      </c>
      <c r="J240" s="372"/>
      <c r="K240" s="372"/>
      <c r="L240" s="372"/>
      <c r="M240" s="152">
        <f>SUM(F240:K240)</f>
        <v>5824</v>
      </c>
      <c r="N240" s="152">
        <f>SUM(G240:L240)</f>
        <v>5824</v>
      </c>
      <c r="O240" s="3619"/>
    </row>
    <row r="241" spans="1:27" s="376" customFormat="1" ht="13.5" customHeight="1">
      <c r="A241" s="373"/>
      <c r="B241" s="181" t="s">
        <v>10</v>
      </c>
      <c r="C241" s="182"/>
      <c r="D241" s="156">
        <f>+D242</f>
        <v>53247111</v>
      </c>
      <c r="E241" s="156">
        <f t="shared" ref="E241:I242" si="169">+E242</f>
        <v>28119865</v>
      </c>
      <c r="F241" s="156">
        <f t="shared" si="169"/>
        <v>6344982</v>
      </c>
      <c r="G241" s="156">
        <f t="shared" si="169"/>
        <v>8361775</v>
      </c>
      <c r="H241" s="156">
        <f t="shared" si="169"/>
        <v>8245489</v>
      </c>
      <c r="I241" s="156">
        <f t="shared" si="169"/>
        <v>2175000</v>
      </c>
      <c r="J241" s="156"/>
      <c r="K241" s="156"/>
      <c r="L241" s="156"/>
      <c r="M241" s="374">
        <f>+M242</f>
        <v>25127246</v>
      </c>
      <c r="N241" s="374">
        <f>+N242</f>
        <v>18782264</v>
      </c>
      <c r="O241" s="3619"/>
      <c r="P241" s="375"/>
      <c r="Q241" s="375"/>
    </row>
    <row r="242" spans="1:27" s="379" customFormat="1" ht="13.5" customHeight="1">
      <c r="A242" s="195"/>
      <c r="B242" s="157" t="s">
        <v>11</v>
      </c>
      <c r="C242" s="3621" t="s">
        <v>61</v>
      </c>
      <c r="D242" s="1891">
        <f>+D243+D244</f>
        <v>53247111</v>
      </c>
      <c r="E242" s="1891">
        <f t="shared" si="169"/>
        <v>28119865</v>
      </c>
      <c r="F242" s="1891">
        <f t="shared" si="169"/>
        <v>6344982</v>
      </c>
      <c r="G242" s="1891">
        <f t="shared" si="169"/>
        <v>8361775</v>
      </c>
      <c r="H242" s="1891">
        <f t="shared" si="169"/>
        <v>8245489</v>
      </c>
      <c r="I242" s="1891">
        <f t="shared" si="169"/>
        <v>2175000</v>
      </c>
      <c r="J242" s="1891"/>
      <c r="K242" s="1891"/>
      <c r="L242" s="1891"/>
      <c r="M242" s="1892">
        <f>+M243+M244</f>
        <v>25127246</v>
      </c>
      <c r="N242" s="1892">
        <f>+N243+N244</f>
        <v>18782264</v>
      </c>
      <c r="O242" s="3619"/>
      <c r="P242" s="377"/>
      <c r="Q242" s="378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</row>
    <row r="243" spans="1:27" s="340" customFormat="1" ht="13.5" thickBot="1">
      <c r="A243" s="159"/>
      <c r="B243" s="160" t="s">
        <v>12</v>
      </c>
      <c r="C243" s="3622"/>
      <c r="D243" s="1893">
        <f>+D251+D255+D259</f>
        <v>53247111</v>
      </c>
      <c r="E243" s="1893">
        <f>+E251+E255+E259</f>
        <v>28119865</v>
      </c>
      <c r="F243" s="1893">
        <f>+F251+F255+F259</f>
        <v>6344982</v>
      </c>
      <c r="G243" s="1893">
        <f t="shared" ref="G243:H243" si="170">+G251+G255+G259</f>
        <v>8361775</v>
      </c>
      <c r="H243" s="1893">
        <f t="shared" si="170"/>
        <v>8245489</v>
      </c>
      <c r="I243" s="1893">
        <f>+I251+I255</f>
        <v>2175000</v>
      </c>
      <c r="J243" s="1893"/>
      <c r="K243" s="1893"/>
      <c r="L243" s="1893"/>
      <c r="M243" s="1894">
        <f>SUM(F243:L243)</f>
        <v>25127246</v>
      </c>
      <c r="N243" s="1894">
        <f>SUM(G243:L243)</f>
        <v>18782264</v>
      </c>
      <c r="O243" s="3619"/>
      <c r="P243" s="329"/>
    </row>
    <row r="244" spans="1:27" s="340" customFormat="1" ht="13.5" hidden="1" customHeight="1">
      <c r="A244" s="159"/>
      <c r="B244" s="160" t="s">
        <v>14</v>
      </c>
      <c r="C244" s="3622"/>
      <c r="D244" s="1893">
        <f t="shared" ref="D244" si="171">+D260</f>
        <v>0</v>
      </c>
      <c r="E244" s="1893">
        <f t="shared" ref="E244" si="172">+E260</f>
        <v>0</v>
      </c>
      <c r="F244" s="1893">
        <f>+F260</f>
        <v>0</v>
      </c>
      <c r="G244" s="1893">
        <f>+G260</f>
        <v>0</v>
      </c>
      <c r="H244" s="1893">
        <f>+H260</f>
        <v>0</v>
      </c>
      <c r="I244" s="1893">
        <f>+I260</f>
        <v>0</v>
      </c>
      <c r="J244" s="1893"/>
      <c r="K244" s="1893"/>
      <c r="L244" s="1893"/>
      <c r="M244" s="1894">
        <f>SUM(E244:K244)</f>
        <v>0</v>
      </c>
      <c r="N244" s="1894">
        <f>SUM(F244:L244)</f>
        <v>0</v>
      </c>
      <c r="O244" s="3619"/>
      <c r="P244" s="329"/>
    </row>
    <row r="245" spans="1:27" s="332" customFormat="1" ht="15" hidden="1" customHeight="1">
      <c r="A245" s="153"/>
      <c r="B245" s="82" t="s">
        <v>22</v>
      </c>
      <c r="C245" s="90"/>
      <c r="D245" s="194">
        <f>+D246</f>
        <v>0</v>
      </c>
      <c r="E245" s="194">
        <f t="shared" ref="E245" si="173">+E246</f>
        <v>0</v>
      </c>
      <c r="F245" s="194">
        <f t="shared" ref="F245:I246" si="174">+F246</f>
        <v>0</v>
      </c>
      <c r="G245" s="194">
        <f t="shared" si="174"/>
        <v>0</v>
      </c>
      <c r="H245" s="194">
        <f t="shared" si="174"/>
        <v>0</v>
      </c>
      <c r="I245" s="194">
        <f t="shared" si="174"/>
        <v>0</v>
      </c>
      <c r="J245" s="194"/>
      <c r="K245" s="194"/>
      <c r="L245" s="194"/>
      <c r="M245" s="3625" t="s">
        <v>61</v>
      </c>
      <c r="N245" s="3625" t="s">
        <v>61</v>
      </c>
      <c r="O245" s="3619"/>
      <c r="P245" s="331"/>
      <c r="Q245" s="331"/>
    </row>
    <row r="246" spans="1:27" s="332" customFormat="1" ht="14.25" hidden="1" customHeight="1">
      <c r="A246" s="153"/>
      <c r="B246" s="157" t="s">
        <v>11</v>
      </c>
      <c r="C246" s="3621" t="s">
        <v>61</v>
      </c>
      <c r="D246" s="1891">
        <f>+D247</f>
        <v>0</v>
      </c>
      <c r="E246" s="1891">
        <f>+E247</f>
        <v>0</v>
      </c>
      <c r="F246" s="1891">
        <f t="shared" si="174"/>
        <v>0</v>
      </c>
      <c r="G246" s="1891">
        <f t="shared" si="174"/>
        <v>0</v>
      </c>
      <c r="H246" s="1891">
        <f t="shared" si="174"/>
        <v>0</v>
      </c>
      <c r="I246" s="1891">
        <f t="shared" si="174"/>
        <v>0</v>
      </c>
      <c r="J246" s="1891"/>
      <c r="K246" s="1891"/>
      <c r="L246" s="1891"/>
      <c r="M246" s="3521"/>
      <c r="N246" s="3521"/>
      <c r="O246" s="3619"/>
      <c r="P246" s="331"/>
      <c r="Q246" s="331"/>
    </row>
    <row r="247" spans="1:27" s="340" customFormat="1" ht="16.5" hidden="1" customHeight="1" thickBot="1">
      <c r="A247" s="159"/>
      <c r="B247" s="160" t="s">
        <v>14</v>
      </c>
      <c r="C247" s="3622"/>
      <c r="D247" s="1893">
        <f>+D263</f>
        <v>0</v>
      </c>
      <c r="E247" s="1893">
        <f>+E263</f>
        <v>0</v>
      </c>
      <c r="F247" s="1893">
        <f t="shared" ref="F247:I247" si="175">+F263</f>
        <v>0</v>
      </c>
      <c r="G247" s="1893">
        <f t="shared" si="175"/>
        <v>0</v>
      </c>
      <c r="H247" s="1893">
        <f t="shared" si="175"/>
        <v>0</v>
      </c>
      <c r="I247" s="1893">
        <f t="shared" si="175"/>
        <v>0</v>
      </c>
      <c r="J247" s="380"/>
      <c r="K247" s="380"/>
      <c r="L247" s="380"/>
      <c r="M247" s="3522"/>
      <c r="N247" s="3522"/>
      <c r="O247" s="3620"/>
      <c r="P247" s="330"/>
    </row>
    <row r="248" spans="1:27" s="348" customFormat="1" ht="25.5" customHeight="1">
      <c r="A248" s="3613" t="s">
        <v>63</v>
      </c>
      <c r="B248" s="381" t="s">
        <v>580</v>
      </c>
      <c r="C248" s="382" t="s">
        <v>81</v>
      </c>
      <c r="D248" s="397"/>
      <c r="E248" s="396"/>
      <c r="F248" s="396"/>
      <c r="G248" s="396"/>
      <c r="H248" s="396"/>
      <c r="I248" s="396"/>
      <c r="J248" s="396"/>
      <c r="K248" s="396"/>
      <c r="L248" s="1688"/>
      <c r="M248" s="364"/>
      <c r="N248" s="364"/>
      <c r="O248" s="3590" t="s">
        <v>322</v>
      </c>
    </row>
    <row r="249" spans="1:27" s="348" customFormat="1">
      <c r="A249" s="3614"/>
      <c r="B249" s="82" t="s">
        <v>10</v>
      </c>
      <c r="C249" s="1749"/>
      <c r="D249" s="1760">
        <f>+D250</f>
        <v>2116724</v>
      </c>
      <c r="E249" s="1760">
        <f t="shared" ref="E249:N250" si="176">+E250</f>
        <v>2110900</v>
      </c>
      <c r="F249" s="1760">
        <f>+F250</f>
        <v>0</v>
      </c>
      <c r="G249" s="1760">
        <f>+G250</f>
        <v>5824</v>
      </c>
      <c r="H249" s="1878">
        <v>0</v>
      </c>
      <c r="I249" s="1878">
        <v>0</v>
      </c>
      <c r="J249" s="1878">
        <v>0</v>
      </c>
      <c r="K249" s="1878">
        <v>0</v>
      </c>
      <c r="L249" s="1878">
        <v>0</v>
      </c>
      <c r="M249" s="1879">
        <f t="shared" si="176"/>
        <v>5824</v>
      </c>
      <c r="N249" s="1879">
        <f t="shared" si="176"/>
        <v>5824</v>
      </c>
      <c r="O249" s="3616"/>
      <c r="P249" s="329"/>
    </row>
    <row r="250" spans="1:27" s="348" customFormat="1" ht="12" customHeight="1">
      <c r="A250" s="3614"/>
      <c r="B250" s="633" t="s">
        <v>24</v>
      </c>
      <c r="C250" s="3630" t="s">
        <v>155</v>
      </c>
      <c r="D250" s="1755">
        <f>+D251</f>
        <v>2116724</v>
      </c>
      <c r="E250" s="1755">
        <f t="shared" si="176"/>
        <v>2110900</v>
      </c>
      <c r="F250" s="1755">
        <f>+F251</f>
        <v>0</v>
      </c>
      <c r="G250" s="1755">
        <f>+G251</f>
        <v>5824</v>
      </c>
      <c r="H250" s="1756">
        <v>0</v>
      </c>
      <c r="I250" s="1756">
        <v>0</v>
      </c>
      <c r="J250" s="1756">
        <v>0</v>
      </c>
      <c r="K250" s="1756">
        <v>0</v>
      </c>
      <c r="L250" s="1756">
        <v>0</v>
      </c>
      <c r="M250" s="1895">
        <f t="shared" si="176"/>
        <v>5824</v>
      </c>
      <c r="N250" s="1895">
        <f t="shared" si="176"/>
        <v>5824</v>
      </c>
      <c r="O250" s="3616"/>
    </row>
    <row r="251" spans="1:27" s="348" customFormat="1" thickBot="1">
      <c r="A251" s="3615"/>
      <c r="B251" s="1459" t="s">
        <v>12</v>
      </c>
      <c r="C251" s="3598"/>
      <c r="D251" s="949">
        <f>E251+F251+G251+H251+I251+J251+K251+L251</f>
        <v>2116724</v>
      </c>
      <c r="E251" s="1752">
        <f>2110900</f>
        <v>2110900</v>
      </c>
      <c r="F251" s="546">
        <f>5824-5824</f>
        <v>0</v>
      </c>
      <c r="G251" s="546">
        <v>5824</v>
      </c>
      <c r="H251" s="679">
        <v>0</v>
      </c>
      <c r="I251" s="679">
        <v>0</v>
      </c>
      <c r="J251" s="679">
        <v>0</v>
      </c>
      <c r="K251" s="679">
        <v>0</v>
      </c>
      <c r="L251" s="679">
        <v>0</v>
      </c>
      <c r="M251" s="1754">
        <f>SUM(F251:L251)</f>
        <v>5824</v>
      </c>
      <c r="N251" s="1754">
        <f>SUM(G251:L251)</f>
        <v>5824</v>
      </c>
      <c r="O251" s="3617"/>
    </row>
    <row r="252" spans="1:27" s="2561" customFormat="1" ht="28.5" customHeight="1">
      <c r="A252" s="3627" t="s">
        <v>64</v>
      </c>
      <c r="B252" s="169" t="s">
        <v>407</v>
      </c>
      <c r="C252" s="382" t="s">
        <v>109</v>
      </c>
      <c r="D252" s="397"/>
      <c r="E252" s="396"/>
      <c r="F252" s="396"/>
      <c r="G252" s="396"/>
      <c r="H252" s="396"/>
      <c r="I252" s="396"/>
      <c r="J252" s="396"/>
      <c r="K252" s="396"/>
      <c r="L252" s="1688"/>
      <c r="M252" s="364"/>
      <c r="N252" s="364"/>
      <c r="O252" s="3590" t="s">
        <v>323</v>
      </c>
      <c r="P252" s="2560"/>
    </row>
    <row r="253" spans="1:27" s="2561" customFormat="1" ht="17.25" customHeight="1">
      <c r="A253" s="3628"/>
      <c r="B253" s="662" t="s">
        <v>10</v>
      </c>
      <c r="C253" s="1749"/>
      <c r="D253" s="1760">
        <f>+D254</f>
        <v>51130387</v>
      </c>
      <c r="E253" s="1760">
        <f t="shared" ref="E253:N254" si="177">+E254</f>
        <v>26008965</v>
      </c>
      <c r="F253" s="1760">
        <f t="shared" si="177"/>
        <v>6344982</v>
      </c>
      <c r="G253" s="1760">
        <f t="shared" si="177"/>
        <v>8355951</v>
      </c>
      <c r="H253" s="1760">
        <f t="shared" si="177"/>
        <v>8245489</v>
      </c>
      <c r="I253" s="1760">
        <f t="shared" si="177"/>
        <v>2175000</v>
      </c>
      <c r="J253" s="1878">
        <f t="shared" si="177"/>
        <v>0</v>
      </c>
      <c r="K253" s="1878">
        <f t="shared" si="177"/>
        <v>0</v>
      </c>
      <c r="L253" s="1878">
        <f t="shared" si="177"/>
        <v>0</v>
      </c>
      <c r="M253" s="2934">
        <f t="shared" si="177"/>
        <v>25121422</v>
      </c>
      <c r="N253" s="2934">
        <f t="shared" si="177"/>
        <v>18776440</v>
      </c>
      <c r="O253" s="3616"/>
    </row>
    <row r="254" spans="1:27" s="2561" customFormat="1" ht="14.25" customHeight="1">
      <c r="A254" s="3628"/>
      <c r="B254" s="633" t="s">
        <v>24</v>
      </c>
      <c r="C254" s="3623" t="s">
        <v>148</v>
      </c>
      <c r="D254" s="1896">
        <f>+D255</f>
        <v>51130387</v>
      </c>
      <c r="E254" s="2935">
        <f t="shared" si="177"/>
        <v>26008965</v>
      </c>
      <c r="F254" s="2936">
        <f t="shared" si="177"/>
        <v>6344982</v>
      </c>
      <c r="G254" s="1768">
        <f t="shared" si="177"/>
        <v>8355951</v>
      </c>
      <c r="H254" s="1768">
        <f t="shared" si="177"/>
        <v>8245489</v>
      </c>
      <c r="I254" s="1768">
        <f t="shared" si="177"/>
        <v>2175000</v>
      </c>
      <c r="J254" s="2937">
        <f t="shared" si="177"/>
        <v>0</v>
      </c>
      <c r="K254" s="2937">
        <f t="shared" si="177"/>
        <v>0</v>
      </c>
      <c r="L254" s="2937">
        <f t="shared" si="177"/>
        <v>0</v>
      </c>
      <c r="M254" s="2938">
        <f t="shared" si="177"/>
        <v>25121422</v>
      </c>
      <c r="N254" s="2938">
        <f t="shared" si="177"/>
        <v>18776440</v>
      </c>
      <c r="O254" s="3616"/>
    </row>
    <row r="255" spans="1:27" s="2561" customFormat="1" ht="15" customHeight="1" thickBot="1">
      <c r="A255" s="3629"/>
      <c r="B255" s="2939" t="s">
        <v>12</v>
      </c>
      <c r="C255" s="3624"/>
      <c r="D255" s="941">
        <f>E255+F255+G255+H255+I255+J255+K255+L255</f>
        <v>51130387</v>
      </c>
      <c r="E255" s="2940">
        <f>20241982+5766983</f>
        <v>26008965</v>
      </c>
      <c r="F255" s="2941">
        <f>0+8835105-2490123</f>
        <v>6344982</v>
      </c>
      <c r="G255" s="2942">
        <f>0+7382305+973646</f>
        <v>8355951</v>
      </c>
      <c r="H255" s="2942">
        <f>5029421+1926068+1290000</f>
        <v>8245489</v>
      </c>
      <c r="I255" s="2942">
        <f>1000000+1175000</f>
        <v>2175000</v>
      </c>
      <c r="J255" s="2943">
        <v>0</v>
      </c>
      <c r="K255" s="2943">
        <v>0</v>
      </c>
      <c r="L255" s="2943">
        <v>0</v>
      </c>
      <c r="M255" s="1852">
        <f>SUM(F255:L255)</f>
        <v>25121422</v>
      </c>
      <c r="N255" s="1852">
        <f>SUM(G255:L255)</f>
        <v>18776440</v>
      </c>
      <c r="O255" s="3626"/>
    </row>
    <row r="256" spans="1:27" s="348" customFormat="1" ht="45" hidden="1" customHeight="1">
      <c r="A256" s="3613" t="s">
        <v>65</v>
      </c>
      <c r="B256" s="169"/>
      <c r="C256" s="382" t="s">
        <v>109</v>
      </c>
      <c r="D256" s="186"/>
      <c r="E256" s="398"/>
      <c r="F256" s="398"/>
      <c r="G256" s="398"/>
      <c r="H256" s="398"/>
      <c r="I256" s="398"/>
      <c r="J256" s="398"/>
      <c r="K256" s="398"/>
      <c r="L256" s="2159"/>
      <c r="M256" s="2160"/>
      <c r="N256" s="2160"/>
      <c r="O256" s="3632"/>
      <c r="P256" s="329"/>
    </row>
    <row r="257" spans="1:15" s="348" customFormat="1" ht="12" hidden="1">
      <c r="A257" s="3614"/>
      <c r="B257" s="662" t="s">
        <v>10</v>
      </c>
      <c r="C257" s="1003"/>
      <c r="D257" s="683">
        <f>+D258</f>
        <v>0</v>
      </c>
      <c r="E257" s="683">
        <f t="shared" ref="E257:L257" si="178">+E258</f>
        <v>0</v>
      </c>
      <c r="F257" s="683">
        <f t="shared" si="178"/>
        <v>0</v>
      </c>
      <c r="G257" s="692">
        <f t="shared" si="178"/>
        <v>0</v>
      </c>
      <c r="H257" s="692">
        <f t="shared" si="178"/>
        <v>0</v>
      </c>
      <c r="I257" s="692">
        <f t="shared" si="178"/>
        <v>0</v>
      </c>
      <c r="J257" s="692">
        <f t="shared" si="178"/>
        <v>0</v>
      </c>
      <c r="K257" s="692">
        <f t="shared" si="178"/>
        <v>0</v>
      </c>
      <c r="L257" s="692">
        <f t="shared" si="178"/>
        <v>0</v>
      </c>
      <c r="M257" s="2161">
        <f>+M258</f>
        <v>0</v>
      </c>
      <c r="N257" s="2161">
        <f>+N258</f>
        <v>0</v>
      </c>
      <c r="O257" s="3633"/>
    </row>
    <row r="258" spans="1:15" s="348" customFormat="1" ht="12" hidden="1">
      <c r="A258" s="3614"/>
      <c r="B258" s="633" t="s">
        <v>24</v>
      </c>
      <c r="C258" s="3623"/>
      <c r="D258" s="1004">
        <f>+D259+D260</f>
        <v>0</v>
      </c>
      <c r="E258" s="1004">
        <f t="shared" ref="E258" si="179">+E259+E260</f>
        <v>0</v>
      </c>
      <c r="F258" s="1004">
        <f t="shared" ref="F258:N258" si="180">+F259+F260</f>
        <v>0</v>
      </c>
      <c r="G258" s="680">
        <f t="shared" si="180"/>
        <v>0</v>
      </c>
      <c r="H258" s="680">
        <f t="shared" si="180"/>
        <v>0</v>
      </c>
      <c r="I258" s="680">
        <f t="shared" si="180"/>
        <v>0</v>
      </c>
      <c r="J258" s="680">
        <f t="shared" si="180"/>
        <v>0</v>
      </c>
      <c r="K258" s="680">
        <f t="shared" si="180"/>
        <v>0</v>
      </c>
      <c r="L258" s="680">
        <f t="shared" si="180"/>
        <v>0</v>
      </c>
      <c r="M258" s="2162">
        <f t="shared" ref="M258" si="181">+M259+M260</f>
        <v>0</v>
      </c>
      <c r="N258" s="2162">
        <f t="shared" si="180"/>
        <v>0</v>
      </c>
      <c r="O258" s="3633"/>
    </row>
    <row r="259" spans="1:15" s="348" customFormat="1" ht="13.5" hidden="1" thickBot="1">
      <c r="A259" s="3615"/>
      <c r="B259" s="2163" t="s">
        <v>12</v>
      </c>
      <c r="C259" s="3631"/>
      <c r="D259" s="941">
        <f>E259+F259+G259+H259+I259+J259+K259+L259</f>
        <v>0</v>
      </c>
      <c r="E259" s="2164">
        <v>0</v>
      </c>
      <c r="F259" s="2165"/>
      <c r="G259" s="2166">
        <v>0</v>
      </c>
      <c r="H259" s="2166">
        <v>0</v>
      </c>
      <c r="I259" s="2166">
        <v>0</v>
      </c>
      <c r="J259" s="2166">
        <v>0</v>
      </c>
      <c r="K259" s="2166">
        <v>0</v>
      </c>
      <c r="L259" s="2166">
        <v>0</v>
      </c>
      <c r="M259" s="1852">
        <f>SUM(F259:K259)</f>
        <v>0</v>
      </c>
      <c r="N259" s="1852">
        <f>SUM(G259:L259)</f>
        <v>0</v>
      </c>
      <c r="O259" s="3634"/>
    </row>
    <row r="260" spans="1:15" s="348" customFormat="1" ht="13.5" hidden="1" customHeight="1" thickBot="1">
      <c r="A260" s="1005"/>
      <c r="B260" s="1834" t="s">
        <v>14</v>
      </c>
      <c r="C260" s="1006"/>
      <c r="D260" s="941">
        <f>E260+F260+G260+H260+I260+J260+K260+L260</f>
        <v>0</v>
      </c>
      <c r="E260" s="1008"/>
      <c r="F260" s="1009">
        <v>0</v>
      </c>
      <c r="G260" s="1009">
        <v>0</v>
      </c>
      <c r="H260" s="1009">
        <v>0</v>
      </c>
      <c r="I260" s="1009">
        <v>0</v>
      </c>
      <c r="J260" s="1009">
        <v>0</v>
      </c>
      <c r="K260" s="1009">
        <v>0</v>
      </c>
      <c r="L260" s="1009">
        <v>0</v>
      </c>
      <c r="M260" s="780">
        <f>SUM(E260:K260)</f>
        <v>0</v>
      </c>
      <c r="N260" s="780">
        <f>SUM(F260:L260)</f>
        <v>0</v>
      </c>
      <c r="O260" s="1378"/>
    </row>
    <row r="261" spans="1:15" s="1834" customFormat="1" ht="13.5" hidden="1" customHeight="1">
      <c r="A261" s="1005"/>
      <c r="B261" s="662" t="s">
        <v>22</v>
      </c>
      <c r="C261" s="1003"/>
      <c r="D261" s="683">
        <f>+D262</f>
        <v>0</v>
      </c>
      <c r="E261" s="683">
        <f t="shared" ref="E261:L261" si="182">+E262</f>
        <v>0</v>
      </c>
      <c r="F261" s="692">
        <f t="shared" si="182"/>
        <v>0</v>
      </c>
      <c r="G261" s="692">
        <f t="shared" si="182"/>
        <v>0</v>
      </c>
      <c r="H261" s="664">
        <f t="shared" si="182"/>
        <v>0</v>
      </c>
      <c r="I261" s="692">
        <f t="shared" si="182"/>
        <v>0</v>
      </c>
      <c r="J261" s="692">
        <f t="shared" si="182"/>
        <v>0</v>
      </c>
      <c r="K261" s="664">
        <f t="shared" si="182"/>
        <v>0</v>
      </c>
      <c r="L261" s="692">
        <f t="shared" si="182"/>
        <v>0</v>
      </c>
      <c r="M261" s="3625" t="s">
        <v>23</v>
      </c>
      <c r="N261" s="3625" t="s">
        <v>23</v>
      </c>
      <c r="O261" s="1378"/>
    </row>
    <row r="262" spans="1:15" s="1834" customFormat="1" ht="13.5" hidden="1" customHeight="1">
      <c r="A262" s="455"/>
      <c r="B262" s="633" t="s">
        <v>24</v>
      </c>
      <c r="C262" s="3623" t="s">
        <v>341</v>
      </c>
      <c r="D262" s="1004">
        <f t="shared" ref="D262:L262" si="183">+D263</f>
        <v>0</v>
      </c>
      <c r="E262" s="1004">
        <f t="shared" si="183"/>
        <v>0</v>
      </c>
      <c r="F262" s="680">
        <f t="shared" si="183"/>
        <v>0</v>
      </c>
      <c r="G262" s="680">
        <f t="shared" si="183"/>
        <v>0</v>
      </c>
      <c r="H262" s="696">
        <f t="shared" si="183"/>
        <v>0</v>
      </c>
      <c r="I262" s="697">
        <f t="shared" si="183"/>
        <v>0</v>
      </c>
      <c r="J262" s="680">
        <f t="shared" si="183"/>
        <v>0</v>
      </c>
      <c r="K262" s="696">
        <f t="shared" si="183"/>
        <v>0</v>
      </c>
      <c r="L262" s="697">
        <f t="shared" si="183"/>
        <v>0</v>
      </c>
      <c r="M262" s="3521"/>
      <c r="N262" s="3521"/>
      <c r="O262" s="1378"/>
    </row>
    <row r="263" spans="1:15" s="1834" customFormat="1" ht="22.5" hidden="1" customHeight="1" thickBot="1">
      <c r="A263" s="2386"/>
      <c r="B263" s="639" t="s">
        <v>14</v>
      </c>
      <c r="C263" s="3624"/>
      <c r="D263" s="941">
        <f>E263+F263+G263+H263+I263+J263+K263+L263</f>
        <v>0</v>
      </c>
      <c r="E263" s="693">
        <v>0</v>
      </c>
      <c r="F263" s="698">
        <v>0</v>
      </c>
      <c r="G263" s="698">
        <v>0</v>
      </c>
      <c r="H263" s="699">
        <v>0</v>
      </c>
      <c r="I263" s="699">
        <v>0</v>
      </c>
      <c r="J263" s="698">
        <v>0</v>
      </c>
      <c r="K263" s="699">
        <v>0</v>
      </c>
      <c r="L263" s="699">
        <v>0</v>
      </c>
      <c r="M263" s="3522"/>
      <c r="N263" s="3522"/>
      <c r="O263" s="1379"/>
    </row>
    <row r="264" spans="1:15" ht="14.25" customHeight="1">
      <c r="A264" s="3612" t="s">
        <v>378</v>
      </c>
      <c r="B264" s="3612"/>
      <c r="C264" s="3612"/>
      <c r="D264" s="3612"/>
      <c r="E264" s="3612"/>
      <c r="F264" s="3612"/>
      <c r="G264" s="3612"/>
      <c r="H264" s="3612"/>
      <c r="I264" s="3612"/>
      <c r="J264" s="3612"/>
      <c r="K264" s="3612"/>
      <c r="L264" s="3612"/>
      <c r="M264" s="3612"/>
      <c r="N264" s="3612"/>
      <c r="O264" s="3612"/>
    </row>
    <row r="265" spans="1:15" ht="14.25" customHeight="1">
      <c r="A265" s="3612" t="s">
        <v>578</v>
      </c>
      <c r="B265" s="3612"/>
      <c r="C265" s="3612"/>
      <c r="D265" s="3612"/>
      <c r="E265" s="3612"/>
      <c r="F265" s="3612"/>
      <c r="G265" s="3612"/>
      <c r="H265" s="3612"/>
      <c r="I265" s="3612"/>
      <c r="J265" s="3612"/>
      <c r="K265" s="3612"/>
      <c r="L265" s="3612"/>
      <c r="M265" s="3612"/>
      <c r="N265" s="3612"/>
      <c r="O265" s="3612"/>
    </row>
    <row r="266" spans="1:15" ht="12.75" customHeight="1">
      <c r="A266" s="3612" t="s">
        <v>579</v>
      </c>
      <c r="B266" s="3612"/>
      <c r="C266" s="3612"/>
      <c r="D266" s="3612"/>
      <c r="E266" s="3612"/>
      <c r="F266" s="3612"/>
      <c r="G266" s="3612"/>
      <c r="H266" s="3612"/>
      <c r="I266" s="3612"/>
      <c r="J266" s="3612"/>
      <c r="K266" s="3612"/>
      <c r="L266" s="3612"/>
      <c r="M266" s="3612"/>
      <c r="N266" s="3612"/>
      <c r="O266" s="3612"/>
    </row>
    <row r="267" spans="1:15" ht="13.5" hidden="1" customHeight="1">
      <c r="A267" s="2388"/>
      <c r="B267" s="1442" t="s">
        <v>401</v>
      </c>
      <c r="C267" s="1433"/>
      <c r="D267" s="1433"/>
      <c r="E267" s="1433"/>
      <c r="F267" s="1433"/>
      <c r="G267" s="1433"/>
      <c r="H267" s="1433"/>
      <c r="I267" s="1433"/>
      <c r="J267" s="1433"/>
      <c r="K267" s="1433"/>
      <c r="L267" s="1433"/>
      <c r="M267" s="2388"/>
      <c r="N267" s="2388"/>
      <c r="O267" s="2388"/>
    </row>
    <row r="268" spans="1:15" ht="13.5" hidden="1" customHeight="1">
      <c r="A268" s="2388"/>
      <c r="B268" s="1398" t="s">
        <v>402</v>
      </c>
      <c r="C268" s="1433"/>
      <c r="D268" s="1439">
        <f t="shared" ref="D268:L268" si="184">+D220+D115+D77+D54+D35</f>
        <v>200825383</v>
      </c>
      <c r="E268" s="1439">
        <f t="shared" si="184"/>
        <v>17285840</v>
      </c>
      <c r="F268" s="1439">
        <f t="shared" si="184"/>
        <v>25341152</v>
      </c>
      <c r="G268" s="1439">
        <f t="shared" si="184"/>
        <v>33567120</v>
      </c>
      <c r="H268" s="1439">
        <f t="shared" si="184"/>
        <v>24936936</v>
      </c>
      <c r="I268" s="1439">
        <f t="shared" si="184"/>
        <v>24623201</v>
      </c>
      <c r="J268" s="1439">
        <f t="shared" si="184"/>
        <v>22576931</v>
      </c>
      <c r="K268" s="1439">
        <f t="shared" si="184"/>
        <v>22791129</v>
      </c>
      <c r="L268" s="1439">
        <f t="shared" si="184"/>
        <v>22619514</v>
      </c>
      <c r="M268" s="2388"/>
      <c r="N268" s="2388"/>
      <c r="O268" s="2388"/>
    </row>
    <row r="269" spans="1:15" ht="13.5" hidden="1" customHeight="1">
      <c r="A269" s="2388"/>
      <c r="B269" s="1398" t="s">
        <v>403</v>
      </c>
      <c r="C269" s="1433"/>
      <c r="D269" s="1439">
        <f t="shared" ref="D269:L269" si="185">+D66+D88+D134+D147+D231</f>
        <v>71254016</v>
      </c>
      <c r="E269" s="1439">
        <f t="shared" si="185"/>
        <v>506550</v>
      </c>
      <c r="F269" s="1439">
        <f t="shared" si="185"/>
        <v>1258342</v>
      </c>
      <c r="G269" s="1439">
        <f t="shared" si="185"/>
        <v>7839473</v>
      </c>
      <c r="H269" s="1439">
        <f t="shared" si="185"/>
        <v>42098265</v>
      </c>
      <c r="I269" s="1439">
        <f t="shared" si="185"/>
        <v>18806815</v>
      </c>
      <c r="J269" s="1439">
        <f t="shared" si="185"/>
        <v>144500</v>
      </c>
      <c r="K269" s="1439">
        <f t="shared" si="185"/>
        <v>144500</v>
      </c>
      <c r="L269" s="1439">
        <f t="shared" si="185"/>
        <v>144500</v>
      </c>
      <c r="M269" s="2388"/>
      <c r="N269" s="2388"/>
      <c r="O269" s="2388"/>
    </row>
    <row r="270" spans="1:15" ht="13.5" hidden="1" customHeight="1">
      <c r="A270" s="2388"/>
      <c r="B270" s="1398" t="s">
        <v>404</v>
      </c>
      <c r="C270" s="1433"/>
      <c r="D270" s="1440">
        <f>D268+D269</f>
        <v>272079399</v>
      </c>
      <c r="E270" s="1440">
        <f t="shared" ref="E270:L270" si="186">E268+E269</f>
        <v>17792390</v>
      </c>
      <c r="F270" s="1440">
        <f>F268+F269</f>
        <v>26599494</v>
      </c>
      <c r="G270" s="1440">
        <f t="shared" si="186"/>
        <v>41406593</v>
      </c>
      <c r="H270" s="1440">
        <f t="shared" si="186"/>
        <v>67035201</v>
      </c>
      <c r="I270" s="1440">
        <f t="shared" si="186"/>
        <v>43430016</v>
      </c>
      <c r="J270" s="1440">
        <f t="shared" si="186"/>
        <v>22721431</v>
      </c>
      <c r="K270" s="1440">
        <f t="shared" si="186"/>
        <v>22935629</v>
      </c>
      <c r="L270" s="1440">
        <f t="shared" si="186"/>
        <v>22764014</v>
      </c>
      <c r="M270" s="2388"/>
      <c r="N270" s="2388"/>
      <c r="O270" s="2388"/>
    </row>
    <row r="271" spans="1:15" ht="13.5" hidden="1" customHeight="1">
      <c r="A271" s="2388"/>
      <c r="B271" s="1436" t="s">
        <v>42</v>
      </c>
      <c r="C271" s="1438"/>
      <c r="D271" s="1441">
        <f t="shared" ref="D271:L271" si="187">D20-D270</f>
        <v>0</v>
      </c>
      <c r="E271" s="1441">
        <f t="shared" si="187"/>
        <v>0</v>
      </c>
      <c r="F271" s="1441">
        <f t="shared" si="187"/>
        <v>0</v>
      </c>
      <c r="G271" s="1441">
        <f t="shared" si="187"/>
        <v>0</v>
      </c>
      <c r="H271" s="1441">
        <f t="shared" si="187"/>
        <v>0</v>
      </c>
      <c r="I271" s="1441">
        <f t="shared" si="187"/>
        <v>0</v>
      </c>
      <c r="J271" s="1441">
        <f t="shared" si="187"/>
        <v>0</v>
      </c>
      <c r="K271" s="1441">
        <f t="shared" si="187"/>
        <v>0</v>
      </c>
      <c r="L271" s="1441">
        <f t="shared" si="187"/>
        <v>0</v>
      </c>
      <c r="M271" s="2388"/>
      <c r="N271" s="2388"/>
      <c r="O271" s="2388"/>
    </row>
    <row r="272" spans="1:15" ht="31.5" hidden="1" customHeight="1">
      <c r="A272" s="2388"/>
      <c r="B272" s="2388"/>
      <c r="C272" s="2388"/>
      <c r="D272" s="2388"/>
      <c r="E272" s="2388"/>
      <c r="F272" s="2388"/>
      <c r="G272" s="2388"/>
      <c r="H272" s="2388"/>
      <c r="I272" s="2388"/>
      <c r="J272" s="2388"/>
      <c r="K272" s="2388"/>
      <c r="L272" s="2388"/>
      <c r="M272" s="2388"/>
      <c r="N272" s="2388"/>
      <c r="O272" s="2388"/>
    </row>
    <row r="273" spans="1:15" ht="31.5" hidden="1" customHeight="1">
      <c r="A273" s="2388"/>
      <c r="B273" s="2388"/>
      <c r="C273" s="2388"/>
      <c r="D273" s="2388"/>
      <c r="E273" s="2388"/>
      <c r="F273" s="2388"/>
      <c r="G273" s="2388"/>
      <c r="H273" s="2388"/>
      <c r="I273" s="2388"/>
      <c r="J273" s="2388"/>
      <c r="K273" s="2388"/>
      <c r="L273" s="2388"/>
      <c r="M273" s="2388"/>
      <c r="N273" s="2388"/>
      <c r="O273" s="2388"/>
    </row>
    <row r="274" spans="1:15" hidden="1">
      <c r="B274" s="2387" t="s">
        <v>42</v>
      </c>
    </row>
    <row r="275" spans="1:15" hidden="1">
      <c r="B275" s="3611" t="s">
        <v>248</v>
      </c>
      <c r="C275" s="318" t="s">
        <v>109</v>
      </c>
      <c r="D275" s="321" t="e">
        <f>D115-#REF!-#REF!-F115-G115-H115-I115-J115-K115-L115</f>
        <v>#REF!</v>
      </c>
      <c r="E275" s="318" t="s">
        <v>109</v>
      </c>
    </row>
    <row r="276" spans="1:15" hidden="1">
      <c r="B276" s="3611"/>
      <c r="C276" s="318" t="s">
        <v>81</v>
      </c>
      <c r="D276" s="321" t="e">
        <f>D134-#REF!-#REF!-F134-G134-H134-I134-J134-K134-L134</f>
        <v>#REF!</v>
      </c>
      <c r="E276" s="318" t="s">
        <v>81</v>
      </c>
    </row>
    <row r="277" spans="1:15" hidden="1">
      <c r="B277" s="3611"/>
      <c r="D277" s="385" t="e">
        <f>D275+D276</f>
        <v>#REF!</v>
      </c>
    </row>
    <row r="278" spans="1:15" hidden="1"/>
    <row r="279" spans="1:15" hidden="1">
      <c r="B279" s="386" t="s">
        <v>515</v>
      </c>
      <c r="C279" s="318" t="s">
        <v>109</v>
      </c>
      <c r="D279" s="321" t="e">
        <f>+D105-#REF!-#REF!-F105-G105-H105-I105-J105-K105-L105</f>
        <v>#REF!</v>
      </c>
    </row>
    <row r="280" spans="1:15" hidden="1">
      <c r="C280" s="318" t="s">
        <v>81</v>
      </c>
      <c r="D280" s="321" t="e">
        <f>D124-#REF!-#REF!-F124-G124-H124-I124-J124-K124-L124</f>
        <v>#REF!</v>
      </c>
    </row>
    <row r="281" spans="1:15" hidden="1">
      <c r="D281" s="385" t="e">
        <f>D279+D280</f>
        <v>#REF!</v>
      </c>
    </row>
    <row r="283" spans="1:15" hidden="1">
      <c r="B283" s="386" t="s">
        <v>250</v>
      </c>
      <c r="D283" s="385" t="e">
        <f>+D96-#REF!-#REF!-F96-G96-H96-I96-J96-K96-L96</f>
        <v>#REF!</v>
      </c>
    </row>
    <row r="284" spans="1:15" hidden="1"/>
    <row r="285" spans="1:15" hidden="1">
      <c r="B285" s="318" t="s">
        <v>249</v>
      </c>
      <c r="D285" s="385" t="e">
        <f>D281+D283</f>
        <v>#REF!</v>
      </c>
    </row>
    <row r="286" spans="1:15" hidden="1">
      <c r="E286" s="321"/>
    </row>
    <row r="287" spans="1:15" hidden="1">
      <c r="B287" s="318" t="s">
        <v>331</v>
      </c>
      <c r="D287" s="321">
        <f t="shared" ref="D287:L287" si="188">+D96+D106</f>
        <v>218192786</v>
      </c>
      <c r="E287" s="321">
        <f t="shared" si="188"/>
        <v>23977776</v>
      </c>
      <c r="F287" s="321">
        <f t="shared" si="188"/>
        <v>26233577</v>
      </c>
      <c r="G287" s="321">
        <f t="shared" si="188"/>
        <v>31641093</v>
      </c>
      <c r="H287" s="321">
        <f t="shared" si="188"/>
        <v>31341732</v>
      </c>
      <c r="I287" s="321">
        <f t="shared" si="188"/>
        <v>27598261</v>
      </c>
      <c r="J287" s="321">
        <f t="shared" si="188"/>
        <v>26593043</v>
      </c>
      <c r="K287" s="321">
        <f t="shared" si="188"/>
        <v>25498869</v>
      </c>
      <c r="L287" s="321">
        <f t="shared" si="188"/>
        <v>25308435</v>
      </c>
      <c r="M287" s="321">
        <f>SUM(D287:K287)-C287</f>
        <v>411077137</v>
      </c>
      <c r="N287" s="321">
        <f>SUM(E287:L287)-D287</f>
        <v>0</v>
      </c>
    </row>
    <row r="288" spans="1:15" hidden="1">
      <c r="B288" s="318" t="s">
        <v>332</v>
      </c>
      <c r="D288" s="321">
        <f t="shared" ref="D288:L288" si="189">+D125</f>
        <v>1944569</v>
      </c>
      <c r="E288" s="321">
        <f t="shared" si="189"/>
        <v>357504</v>
      </c>
      <c r="F288" s="321">
        <f t="shared" si="189"/>
        <v>421938</v>
      </c>
      <c r="G288" s="321">
        <f t="shared" si="189"/>
        <v>350000</v>
      </c>
      <c r="H288" s="321">
        <f t="shared" si="189"/>
        <v>237127</v>
      </c>
      <c r="I288" s="321">
        <f t="shared" si="189"/>
        <v>144500</v>
      </c>
      <c r="J288" s="321">
        <f t="shared" si="189"/>
        <v>144500</v>
      </c>
      <c r="K288" s="321">
        <f t="shared" si="189"/>
        <v>144500</v>
      </c>
      <c r="L288" s="321">
        <f t="shared" si="189"/>
        <v>144500</v>
      </c>
      <c r="M288" s="321">
        <f>SUM(D288:K288)-C288</f>
        <v>3744638</v>
      </c>
      <c r="N288" s="321">
        <f>SUM(E288:L288)-D288</f>
        <v>0</v>
      </c>
    </row>
    <row r="289" spans="2:14" hidden="1"/>
    <row r="290" spans="2:14" hidden="1">
      <c r="B290" s="318" t="s">
        <v>330</v>
      </c>
      <c r="D290" s="321">
        <f>+D115+'Tab. 6B Polit społ i rozwój prz'!D91+D134+'Tab. 6B Polit społ i rozwój prz'!D103</f>
        <v>249298062</v>
      </c>
      <c r="F290" s="321">
        <f>+F115+'Tab. 6B Polit społ i rozwój prz'!F91+F134+'Tab. 6B Polit społ i rozwój prz'!F103</f>
        <v>31211686</v>
      </c>
      <c r="G290" s="321">
        <f>+G115+'Tab. 6B Polit społ i rozwój prz'!G91+G134+'Tab. 6B Polit społ i rozwój prz'!G103</f>
        <v>35746592</v>
      </c>
      <c r="H290" s="321">
        <f>+H115+'Tab. 6B Polit społ i rozwój prz'!H91+H134+'Tab. 6B Polit społ i rozwój prz'!H103</f>
        <v>31657084</v>
      </c>
      <c r="I290" s="321">
        <f>+I115+'Tab. 6B Polit społ i rozwój prz'!I91+I134+'Tab. 6B Polit społ i rozwój prz'!I103</f>
        <v>31080049</v>
      </c>
      <c r="J290" s="321">
        <f>+J115+'Tab. 6B Polit społ i rozwój prz'!J91+J134+'Tab. 6B Polit społ i rozwój prz'!J103</f>
        <v>30471862</v>
      </c>
      <c r="K290" s="321">
        <f>+K115+'Tab. 6B Polit społ i rozwój prz'!K91+K134+'Tab. 6B Polit społ i rozwój prz'!K103</f>
        <v>30200542</v>
      </c>
      <c r="L290" s="321">
        <f>+L115+'Tab. 6B Polit społ i rozwój prz'!L91+L134+'Tab. 6B Polit społ i rozwój prz'!L103</f>
        <v>29343698</v>
      </c>
      <c r="M290" s="321">
        <f>SUM(D290:K290)-C290</f>
        <v>439665877</v>
      </c>
      <c r="N290" s="321">
        <f>SUM(E290:L290)-D290</f>
        <v>-29586549</v>
      </c>
    </row>
    <row r="291" spans="2:14" hidden="1">
      <c r="B291" s="318" t="s">
        <v>329</v>
      </c>
      <c r="D291" s="321">
        <f>+D94+D119+'Tab. 6B Polit społ i rozwój prz'!D85+'Tab. 6B Polit społ i rozwój prz'!D97</f>
        <v>296468308</v>
      </c>
      <c r="E291" s="321">
        <f>+E94+E119+'Tab. 6B Polit społ i rozwój prz'!E85+'Tab. 6B Polit społ i rozwój prz'!E97</f>
        <v>33407663</v>
      </c>
      <c r="F291" s="321">
        <f>+F94+F119+'Tab. 6B Polit społ i rozwój prz'!F85+'Tab. 6B Polit społ i rozwój prz'!F97</f>
        <v>36486945</v>
      </c>
      <c r="G291" s="321">
        <f>+G94+G119+'Tab. 6B Polit społ i rozwój prz'!G85+'Tab. 6B Polit społ i rozwój prz'!G97</f>
        <v>42571792</v>
      </c>
      <c r="H291" s="321">
        <f>+H94+H119+'Tab. 6B Polit społ i rozwój prz'!H85+'Tab. 6B Polit społ i rozwój prz'!H97</f>
        <v>41814402</v>
      </c>
      <c r="I291" s="321">
        <f>+I94+I119+'Tab. 6B Polit społ i rozwój prz'!I85+'Tab. 6B Polit społ i rozwój prz'!I97</f>
        <v>37521501</v>
      </c>
      <c r="J291" s="321">
        <f>+J94+J119+'Tab. 6B Polit społ i rozwój prz'!J85+'Tab. 6B Polit społ i rozwój prz'!J97</f>
        <v>36398837</v>
      </c>
      <c r="K291" s="321">
        <f>+K94+K119+'Tab. 6B Polit społ i rozwój prz'!K85+'Tab. 6B Polit społ i rozwój prz'!K97</f>
        <v>34584662</v>
      </c>
      <c r="L291" s="321">
        <f>+L94+L119+'Tab. 6B Polit społ i rozwój prz'!L85+'Tab. 6B Polit społ i rozwój prz'!L97</f>
        <v>33682506</v>
      </c>
      <c r="M291" s="321">
        <f>SUM(D291:K291)-C291</f>
        <v>559254110</v>
      </c>
      <c r="N291" s="321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18" t="s">
        <v>289</v>
      </c>
      <c r="C296" s="318" t="s">
        <v>287</v>
      </c>
      <c r="D296" s="321">
        <f>+D210+D176</f>
        <v>18000000</v>
      </c>
      <c r="F296" s="321">
        <f t="shared" ref="F296:K296" si="190">+F210+F176</f>
        <v>1001858</v>
      </c>
      <c r="G296" s="321">
        <f t="shared" si="190"/>
        <v>5294849</v>
      </c>
      <c r="H296" s="321">
        <f t="shared" si="190"/>
        <v>11342916</v>
      </c>
      <c r="I296" s="321">
        <f t="shared" si="190"/>
        <v>0</v>
      </c>
      <c r="J296" s="321">
        <f t="shared" si="190"/>
        <v>0</v>
      </c>
      <c r="K296" s="321">
        <f t="shared" si="190"/>
        <v>0</v>
      </c>
      <c r="M296" s="321" t="e">
        <f t="shared" ref="M296:N299" si="191">SUM(D296:K296)-C296</f>
        <v>#VALUE!</v>
      </c>
      <c r="N296" s="321">
        <f t="shared" si="191"/>
        <v>-360377</v>
      </c>
    </row>
    <row r="297" spans="2:14" hidden="1">
      <c r="C297" s="318" t="s">
        <v>288</v>
      </c>
      <c r="D297" s="321">
        <f>+D168+D195</f>
        <v>0</v>
      </c>
      <c r="F297" s="321">
        <f t="shared" ref="F297:K297" si="192">+F168+F195</f>
        <v>0</v>
      </c>
      <c r="G297" s="321">
        <f t="shared" si="192"/>
        <v>0</v>
      </c>
      <c r="H297" s="321">
        <f t="shared" si="192"/>
        <v>0</v>
      </c>
      <c r="I297" s="321">
        <f t="shared" si="192"/>
        <v>0</v>
      </c>
      <c r="J297" s="321">
        <f t="shared" si="192"/>
        <v>0</v>
      </c>
      <c r="K297" s="321">
        <f t="shared" si="192"/>
        <v>0</v>
      </c>
      <c r="M297" s="321" t="e">
        <f t="shared" si="191"/>
        <v>#VALUE!</v>
      </c>
      <c r="N297" s="321">
        <f t="shared" si="191"/>
        <v>0</v>
      </c>
    </row>
    <row r="298" spans="2:14" hidden="1">
      <c r="D298" s="321">
        <f>SUM(D296:D297)</f>
        <v>18000000</v>
      </c>
      <c r="E298" s="321">
        <f t="shared" ref="E298:K298" si="193">SUM(E296:E297)</f>
        <v>0</v>
      </c>
      <c r="F298" s="321">
        <f t="shared" si="193"/>
        <v>1001858</v>
      </c>
      <c r="G298" s="321">
        <f t="shared" si="193"/>
        <v>5294849</v>
      </c>
      <c r="H298" s="321">
        <f t="shared" si="193"/>
        <v>11342916</v>
      </c>
      <c r="I298" s="321">
        <f t="shared" si="193"/>
        <v>0</v>
      </c>
      <c r="J298" s="321">
        <f t="shared" si="193"/>
        <v>0</v>
      </c>
      <c r="K298" s="321">
        <f t="shared" si="193"/>
        <v>0</v>
      </c>
      <c r="M298" s="321">
        <f t="shared" si="191"/>
        <v>35639623</v>
      </c>
      <c r="N298" s="321">
        <f t="shared" si="191"/>
        <v>-360377</v>
      </c>
    </row>
    <row r="299" spans="2:14" hidden="1">
      <c r="B299" s="318" t="s">
        <v>333</v>
      </c>
      <c r="D299" s="321">
        <f t="shared" ref="D299:K299" si="194">D144</f>
        <v>18000000</v>
      </c>
      <c r="E299" s="321">
        <f t="shared" si="194"/>
        <v>360377</v>
      </c>
      <c r="F299" s="321">
        <f t="shared" si="194"/>
        <v>1001858</v>
      </c>
      <c r="G299" s="321">
        <f t="shared" si="194"/>
        <v>5294849</v>
      </c>
      <c r="H299" s="321">
        <f t="shared" si="194"/>
        <v>11342916</v>
      </c>
      <c r="I299" s="321">
        <f t="shared" si="194"/>
        <v>0</v>
      </c>
      <c r="J299" s="321">
        <f t="shared" si="194"/>
        <v>0</v>
      </c>
      <c r="K299" s="321">
        <f t="shared" si="194"/>
        <v>0</v>
      </c>
      <c r="M299" s="321">
        <f t="shared" si="191"/>
        <v>36000000</v>
      </c>
      <c r="N299" s="321">
        <f t="shared" si="191"/>
        <v>0</v>
      </c>
    </row>
    <row r="300" spans="2:14" hidden="1"/>
    <row r="301" spans="2:14" hidden="1">
      <c r="B301" s="318" t="s">
        <v>334</v>
      </c>
      <c r="D301" s="321">
        <f>+D290+D298</f>
        <v>267298062</v>
      </c>
      <c r="E301" s="321">
        <f t="shared" ref="E301:L301" si="195">+E290+E298</f>
        <v>0</v>
      </c>
      <c r="F301" s="321">
        <f t="shared" si="195"/>
        <v>32213544</v>
      </c>
      <c r="G301" s="321">
        <f t="shared" si="195"/>
        <v>41041441</v>
      </c>
      <c r="H301" s="321">
        <f t="shared" si="195"/>
        <v>43000000</v>
      </c>
      <c r="I301" s="321">
        <f t="shared" si="195"/>
        <v>31080049</v>
      </c>
      <c r="J301" s="321">
        <f t="shared" si="195"/>
        <v>30471862</v>
      </c>
      <c r="K301" s="321">
        <f t="shared" si="195"/>
        <v>30200542</v>
      </c>
      <c r="L301" s="321">
        <f t="shared" si="195"/>
        <v>29343698</v>
      </c>
      <c r="M301" s="321">
        <f>SUM(D301:K301)-C301</f>
        <v>475305500</v>
      </c>
      <c r="N301" s="321">
        <f>SUM(E301:L301)-D301</f>
        <v>-29946926</v>
      </c>
    </row>
    <row r="302" spans="2:14" hidden="1">
      <c r="B302" s="318" t="s">
        <v>335</v>
      </c>
      <c r="D302" s="321">
        <f>+D291+D299</f>
        <v>314468308</v>
      </c>
      <c r="E302" s="321">
        <f t="shared" ref="E302:L302" si="196">+E291+E299</f>
        <v>33768040</v>
      </c>
      <c r="F302" s="321">
        <f t="shared" si="196"/>
        <v>37488803</v>
      </c>
      <c r="G302" s="321">
        <f t="shared" si="196"/>
        <v>47866641</v>
      </c>
      <c r="H302" s="321">
        <f t="shared" si="196"/>
        <v>53157318</v>
      </c>
      <c r="I302" s="321">
        <f t="shared" si="196"/>
        <v>37521501</v>
      </c>
      <c r="J302" s="321">
        <f t="shared" si="196"/>
        <v>36398837</v>
      </c>
      <c r="K302" s="321">
        <f t="shared" si="196"/>
        <v>34584662</v>
      </c>
      <c r="L302" s="321">
        <f t="shared" si="196"/>
        <v>33682506</v>
      </c>
      <c r="M302" s="321">
        <f>SUM(D302:K302)-C302</f>
        <v>595254110</v>
      </c>
      <c r="N302" s="321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540" spans="1:15" ht="13.5" thickBot="1"/>
    <row r="541" spans="1:15" ht="33.75">
      <c r="A541" s="387"/>
      <c r="B541" s="388" t="s">
        <v>69</v>
      </c>
      <c r="C541" s="388"/>
      <c r="D541" s="389"/>
      <c r="E541" s="389"/>
      <c r="F541" s="389"/>
      <c r="G541" s="389"/>
      <c r="H541" s="389"/>
      <c r="I541" s="389"/>
      <c r="J541" s="389"/>
      <c r="K541" s="389"/>
      <c r="L541" s="389"/>
      <c r="M541" s="389"/>
      <c r="N541" s="389"/>
      <c r="O541" s="390"/>
    </row>
    <row r="542" spans="1:15">
      <c r="A542" s="391"/>
      <c r="O542" s="392"/>
    </row>
    <row r="543" spans="1:15">
      <c r="A543" s="391"/>
      <c r="O543" s="392"/>
    </row>
    <row r="544" spans="1:15">
      <c r="A544" s="391"/>
      <c r="O544" s="392"/>
    </row>
    <row r="545" spans="1:15">
      <c r="A545" s="391"/>
      <c r="O545" s="392"/>
    </row>
    <row r="546" spans="1:15">
      <c r="A546" s="391"/>
      <c r="O546" s="392"/>
    </row>
    <row r="547" spans="1:15">
      <c r="A547" s="391"/>
      <c r="O547" s="392"/>
    </row>
    <row r="548" spans="1:15">
      <c r="A548" s="391"/>
      <c r="O548" s="392"/>
    </row>
    <row r="549" spans="1:15">
      <c r="A549" s="391"/>
      <c r="O549" s="392"/>
    </row>
    <row r="550" spans="1:15">
      <c r="A550" s="391"/>
      <c r="O550" s="392"/>
    </row>
    <row r="551" spans="1:15">
      <c r="A551" s="391"/>
      <c r="O551" s="392"/>
    </row>
    <row r="552" spans="1:15" ht="13.5" thickBot="1">
      <c r="A552" s="393"/>
      <c r="B552" s="394"/>
      <c r="C552" s="394"/>
      <c r="D552" s="394"/>
      <c r="E552" s="394"/>
      <c r="F552" s="394"/>
      <c r="G552" s="394"/>
      <c r="H552" s="394"/>
      <c r="I552" s="394"/>
      <c r="J552" s="394"/>
      <c r="K552" s="394"/>
      <c r="L552" s="394"/>
      <c r="M552" s="394"/>
      <c r="N552" s="394"/>
      <c r="O552" s="395"/>
    </row>
  </sheetData>
  <mergeCells count="117"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50" firstPageNumber="49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21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05"/>
  <sheetViews>
    <sheetView showGridLines="0" view="pageBreakPreview" zoomScaleSheetLayoutView="100" workbookViewId="0">
      <pane xSplit="3" ySplit="6" topLeftCell="D58" activePane="bottomRight" state="frozen"/>
      <selection activeCell="A103" sqref="A103"/>
      <selection pane="topRight" activeCell="A103" sqref="A103"/>
      <selection pane="bottomLeft" activeCell="A103" sqref="A103"/>
      <selection pane="bottomRight" activeCell="P1" sqref="P1:U1"/>
    </sheetView>
  </sheetViews>
  <sheetFormatPr defaultColWidth="9.140625" defaultRowHeight="11.25"/>
  <cols>
    <col min="1" max="1" width="4.140625" style="410" customWidth="1"/>
    <col min="2" max="2" width="59.28515625" style="327" customWidth="1"/>
    <col min="3" max="3" width="10.5703125" style="327" customWidth="1"/>
    <col min="4" max="4" width="13.140625" style="327" customWidth="1"/>
    <col min="5" max="5" width="12.42578125" style="327" customWidth="1"/>
    <col min="6" max="6" width="10.42578125" style="327" customWidth="1"/>
    <col min="7" max="7" width="10" style="327" customWidth="1"/>
    <col min="8" max="8" width="10.28515625" style="327" customWidth="1"/>
    <col min="9" max="10" width="9.85546875" style="327" customWidth="1"/>
    <col min="11" max="11" width="10" style="327" customWidth="1"/>
    <col min="12" max="12" width="8.28515625" style="327" customWidth="1"/>
    <col min="13" max="13" width="12.42578125" style="327" hidden="1" customWidth="1"/>
    <col min="14" max="14" width="12.42578125" style="327" customWidth="1"/>
    <col min="15" max="15" width="15.28515625" style="518" customWidth="1"/>
    <col min="16" max="16" width="3.28515625" style="327" hidden="1" customWidth="1"/>
    <col min="17" max="17" width="13.42578125" style="327" hidden="1" customWidth="1"/>
    <col min="18" max="21" width="18.28515625" style="327" hidden="1" customWidth="1"/>
    <col min="22" max="34" width="18.28515625" style="327" customWidth="1"/>
    <col min="35" max="76" width="3.28515625" style="327" customWidth="1"/>
    <col min="77" max="16384" width="9.140625" style="327"/>
  </cols>
  <sheetData>
    <row r="1" spans="1:77" s="517" customFormat="1" ht="18" customHeight="1">
      <c r="A1" s="531"/>
      <c r="B1" s="532"/>
      <c r="C1" s="531"/>
      <c r="D1" s="531"/>
      <c r="E1" s="531"/>
      <c r="F1" s="531"/>
      <c r="G1" s="323" t="s">
        <v>464</v>
      </c>
      <c r="H1" s="323"/>
      <c r="I1" s="323"/>
      <c r="J1" s="323"/>
      <c r="K1" s="323"/>
      <c r="L1" s="323"/>
      <c r="M1" s="6"/>
      <c r="N1" s="6"/>
      <c r="O1" s="7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326"/>
    </row>
    <row r="2" spans="1:77" s="517" customFormat="1" ht="16.5" customHeight="1">
      <c r="A2" s="533"/>
      <c r="B2" s="532"/>
      <c r="C2" s="531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7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6"/>
      <c r="BN2" s="516"/>
      <c r="BO2" s="516"/>
      <c r="BP2" s="516"/>
      <c r="BQ2" s="516"/>
      <c r="BR2" s="516"/>
      <c r="BS2" s="516"/>
      <c r="BT2" s="516"/>
      <c r="BU2" s="516"/>
      <c r="BV2" s="516"/>
      <c r="BW2" s="516"/>
      <c r="BX2" s="516"/>
      <c r="BY2" s="326"/>
    </row>
    <row r="3" spans="1:77" s="517" customFormat="1" ht="18" customHeight="1" thickBot="1">
      <c r="A3" s="943" t="s">
        <v>156</v>
      </c>
      <c r="B3" s="944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6"/>
      <c r="N3" s="6"/>
      <c r="O3" s="7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  <c r="AS3" s="516"/>
      <c r="AT3" s="516"/>
      <c r="AU3" s="516"/>
      <c r="AV3" s="516"/>
      <c r="AW3" s="516"/>
      <c r="AX3" s="516"/>
      <c r="AY3" s="516"/>
      <c r="AZ3" s="516"/>
      <c r="BA3" s="516"/>
      <c r="BB3" s="516"/>
      <c r="BC3" s="516"/>
      <c r="BD3" s="516"/>
      <c r="BE3" s="516"/>
      <c r="BF3" s="516"/>
      <c r="BG3" s="516"/>
      <c r="BH3" s="516"/>
      <c r="BI3" s="516"/>
      <c r="BJ3" s="516"/>
      <c r="BK3" s="516"/>
      <c r="BL3" s="516"/>
      <c r="BM3" s="516"/>
      <c r="BN3" s="516"/>
      <c r="BO3" s="516"/>
      <c r="BP3" s="516"/>
      <c r="BQ3" s="516"/>
      <c r="BR3" s="516"/>
      <c r="BS3" s="516"/>
      <c r="BT3" s="516"/>
      <c r="BU3" s="516"/>
      <c r="BV3" s="516"/>
      <c r="BW3" s="516"/>
      <c r="BX3" s="516"/>
      <c r="BY3" s="326"/>
    </row>
    <row r="4" spans="1:77" ht="82.5" customHeight="1" thickBot="1">
      <c r="A4" s="535"/>
      <c r="B4" s="3696" t="s">
        <v>75</v>
      </c>
      <c r="C4" s="3697" t="s">
        <v>71</v>
      </c>
      <c r="D4" s="3466" t="s">
        <v>72</v>
      </c>
      <c r="E4" s="3469" t="s">
        <v>461</v>
      </c>
      <c r="F4" s="3184" t="s">
        <v>525</v>
      </c>
      <c r="G4" s="3327" t="s">
        <v>457</v>
      </c>
      <c r="H4" s="3328"/>
      <c r="I4" s="3328"/>
      <c r="J4" s="3328"/>
      <c r="K4" s="3328"/>
      <c r="L4" s="3329"/>
      <c r="M4" s="3706" t="s">
        <v>478</v>
      </c>
      <c r="N4" s="3706" t="s">
        <v>458</v>
      </c>
      <c r="O4" s="3480" t="s">
        <v>73</v>
      </c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</row>
    <row r="5" spans="1:77" ht="18" customHeight="1" thickBot="1">
      <c r="A5" s="536"/>
      <c r="B5" s="3696"/>
      <c r="C5" s="3698"/>
      <c r="D5" s="3468"/>
      <c r="E5" s="3471"/>
      <c r="F5" s="3186"/>
      <c r="G5" s="2607" t="s">
        <v>6</v>
      </c>
      <c r="H5" s="328" t="s">
        <v>206</v>
      </c>
      <c r="I5" s="328" t="s">
        <v>207</v>
      </c>
      <c r="J5" s="328" t="s">
        <v>255</v>
      </c>
      <c r="K5" s="328" t="s">
        <v>256</v>
      </c>
      <c r="L5" s="328" t="s">
        <v>257</v>
      </c>
      <c r="M5" s="3707"/>
      <c r="N5" s="3707"/>
      <c r="O5" s="3482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</row>
    <row r="6" spans="1:77" ht="14.25" customHeight="1">
      <c r="A6" s="1042">
        <v>1</v>
      </c>
      <c r="B6" s="1043">
        <v>2</v>
      </c>
      <c r="C6" s="1044" t="s">
        <v>118</v>
      </c>
      <c r="D6" s="1044" t="s">
        <v>119</v>
      </c>
      <c r="E6" s="1710">
        <v>5</v>
      </c>
      <c r="F6" s="1044">
        <v>6</v>
      </c>
      <c r="G6" s="1044">
        <v>7</v>
      </c>
      <c r="H6" s="1044">
        <v>8</v>
      </c>
      <c r="I6" s="1044">
        <v>9</v>
      </c>
      <c r="J6" s="1044">
        <v>10</v>
      </c>
      <c r="K6" s="1044">
        <v>11</v>
      </c>
      <c r="L6" s="1044">
        <v>12</v>
      </c>
      <c r="M6" s="1045">
        <v>13</v>
      </c>
      <c r="N6" s="1045">
        <v>13</v>
      </c>
      <c r="O6" s="1046">
        <v>14</v>
      </c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</row>
    <row r="7" spans="1:77" ht="14.25" customHeight="1">
      <c r="A7" s="700"/>
      <c r="B7" s="2259" t="s">
        <v>76</v>
      </c>
      <c r="C7" s="2260"/>
      <c r="D7" s="2261">
        <f>+D9+D8</f>
        <v>128740817</v>
      </c>
      <c r="E7" s="2261">
        <f t="shared" ref="E7:L7" si="0">+E9+E8</f>
        <v>474568</v>
      </c>
      <c r="F7" s="2261">
        <f t="shared" si="0"/>
        <v>5274823</v>
      </c>
      <c r="G7" s="2261">
        <f t="shared" si="0"/>
        <v>15079692</v>
      </c>
      <c r="H7" s="2261">
        <f t="shared" si="0"/>
        <v>61100701</v>
      </c>
      <c r="I7" s="2261">
        <f t="shared" si="0"/>
        <v>28482568</v>
      </c>
      <c r="J7" s="2261">
        <f t="shared" si="0"/>
        <v>16856220</v>
      </c>
      <c r="K7" s="2261">
        <f t="shared" si="0"/>
        <v>1472245</v>
      </c>
      <c r="L7" s="2261">
        <f t="shared" si="0"/>
        <v>0</v>
      </c>
      <c r="M7" s="150">
        <f>+M9+M8</f>
        <v>92596829</v>
      </c>
      <c r="N7" s="150">
        <f t="shared" ref="N7" si="1">+N9</f>
        <v>114573022</v>
      </c>
      <c r="O7" s="537"/>
      <c r="P7" s="326"/>
      <c r="Q7" s="179">
        <f>+F7+G7</f>
        <v>20354515</v>
      </c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</row>
    <row r="8" spans="1:77" ht="14.25" customHeight="1">
      <c r="A8" s="700"/>
      <c r="B8" s="2262" t="s">
        <v>77</v>
      </c>
      <c r="C8" s="2263"/>
      <c r="D8" s="214">
        <f>D35+D143</f>
        <v>9738150</v>
      </c>
      <c r="E8" s="214">
        <f t="shared" ref="E8:L8" si="2">E35+E143</f>
        <v>0</v>
      </c>
      <c r="F8" s="214">
        <f t="shared" si="2"/>
        <v>4099273</v>
      </c>
      <c r="G8" s="214">
        <f t="shared" si="2"/>
        <v>4536349</v>
      </c>
      <c r="H8" s="214">
        <f t="shared" si="2"/>
        <v>778267</v>
      </c>
      <c r="I8" s="214">
        <f t="shared" si="2"/>
        <v>324261</v>
      </c>
      <c r="J8" s="214">
        <f t="shared" si="2"/>
        <v>0</v>
      </c>
      <c r="K8" s="214">
        <f t="shared" si="2"/>
        <v>0</v>
      </c>
      <c r="L8" s="214">
        <f t="shared" si="2"/>
        <v>0</v>
      </c>
      <c r="M8" s="2154">
        <f>M35+M143</f>
        <v>9738150</v>
      </c>
      <c r="N8" s="18">
        <v>0</v>
      </c>
      <c r="O8" s="537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</row>
    <row r="9" spans="1:77" ht="14.25" customHeight="1" thickBot="1">
      <c r="A9" s="700"/>
      <c r="B9" s="2264" t="s">
        <v>9</v>
      </c>
      <c r="C9" s="2265"/>
      <c r="D9" s="224">
        <f>+D26+D45+D56+D68+D81+D93+D105+D117+D129+D155</f>
        <v>119002667</v>
      </c>
      <c r="E9" s="224">
        <f t="shared" ref="E9:M9" si="3">+E26+E45+E56+E68+E81+E93+E105+E117+E129+E155</f>
        <v>474568</v>
      </c>
      <c r="F9" s="224">
        <f t="shared" si="3"/>
        <v>1175550</v>
      </c>
      <c r="G9" s="224">
        <f t="shared" si="3"/>
        <v>10543343</v>
      </c>
      <c r="H9" s="224">
        <f t="shared" si="3"/>
        <v>60322434</v>
      </c>
      <c r="I9" s="224">
        <f t="shared" si="3"/>
        <v>28158307</v>
      </c>
      <c r="J9" s="224">
        <f t="shared" si="3"/>
        <v>16856220</v>
      </c>
      <c r="K9" s="224">
        <f t="shared" si="3"/>
        <v>1472245</v>
      </c>
      <c r="L9" s="224">
        <f t="shared" si="3"/>
        <v>0</v>
      </c>
      <c r="M9" s="152">
        <f t="shared" si="3"/>
        <v>82858679</v>
      </c>
      <c r="N9" s="152">
        <f>+N26+N45+N56+N68+N81+N93</f>
        <v>114573022</v>
      </c>
      <c r="O9" s="537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</row>
    <row r="10" spans="1:77" s="577" customFormat="1" ht="12">
      <c r="A10" s="700"/>
      <c r="B10" s="1577" t="s">
        <v>10</v>
      </c>
      <c r="C10" s="1577"/>
      <c r="D10" s="1576">
        <f>+D11+D15</f>
        <v>242111386</v>
      </c>
      <c r="E10" s="1576">
        <f t="shared" ref="E10" si="4">+E11+E15</f>
        <v>1016201</v>
      </c>
      <c r="F10" s="1576">
        <f t="shared" ref="F10:L10" si="5">+F11+F15</f>
        <v>5367086</v>
      </c>
      <c r="G10" s="1576">
        <f t="shared" si="5"/>
        <v>22135703</v>
      </c>
      <c r="H10" s="1576">
        <f t="shared" si="5"/>
        <v>93694136</v>
      </c>
      <c r="I10" s="1576">
        <f t="shared" si="5"/>
        <v>75136888</v>
      </c>
      <c r="J10" s="1576">
        <f t="shared" si="5"/>
        <v>33196627</v>
      </c>
      <c r="K10" s="1576">
        <f t="shared" si="5"/>
        <v>11564745</v>
      </c>
      <c r="L10" s="1576">
        <f t="shared" si="5"/>
        <v>0</v>
      </c>
      <c r="M10" s="374">
        <f>+M11</f>
        <v>128266249</v>
      </c>
      <c r="N10" s="374">
        <f>+N11</f>
        <v>122991426</v>
      </c>
      <c r="O10" s="3699"/>
      <c r="P10" s="326"/>
      <c r="Q10" s="179"/>
      <c r="R10" s="179">
        <f>+D24+D42+D54+D66+D78+D90</f>
        <v>218625940</v>
      </c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</row>
    <row r="11" spans="1:77" s="577" customFormat="1" ht="14.1" customHeight="1">
      <c r="A11" s="700"/>
      <c r="B11" s="2266" t="s">
        <v>11</v>
      </c>
      <c r="C11" s="3701" t="s">
        <v>61</v>
      </c>
      <c r="D11" s="2267">
        <f>+D12+D13+D14</f>
        <v>129293198</v>
      </c>
      <c r="E11" s="2267">
        <f t="shared" ref="E11:L11" si="6">+E12+E13+E14</f>
        <v>491301</v>
      </c>
      <c r="F11" s="2267">
        <f>+F12+F13+F14</f>
        <v>5320081</v>
      </c>
      <c r="G11" s="2267">
        <f>+G12+G13+G14</f>
        <v>15299605</v>
      </c>
      <c r="H11" s="2267">
        <f t="shared" si="6"/>
        <v>61371178</v>
      </c>
      <c r="I11" s="2267">
        <f t="shared" si="6"/>
        <v>28482568</v>
      </c>
      <c r="J11" s="2267">
        <f t="shared" si="6"/>
        <v>16856220</v>
      </c>
      <c r="K11" s="2267">
        <f t="shared" si="6"/>
        <v>1472245</v>
      </c>
      <c r="L11" s="2267">
        <f t="shared" si="6"/>
        <v>0</v>
      </c>
      <c r="M11" s="1578">
        <f>+M13</f>
        <v>128266249</v>
      </c>
      <c r="N11" s="1578">
        <f>+N13</f>
        <v>122991426</v>
      </c>
      <c r="O11" s="3699"/>
      <c r="P11" s="326"/>
      <c r="Q11" s="179"/>
      <c r="R11" s="179">
        <f>+R10-D10</f>
        <v>-23485446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</row>
    <row r="12" spans="1:77" s="577" customFormat="1" ht="12">
      <c r="A12" s="700"/>
      <c r="B12" s="2268" t="s">
        <v>32</v>
      </c>
      <c r="C12" s="3701"/>
      <c r="D12" s="2269">
        <f>D128+D142+D154+D104+D92</f>
        <v>119798</v>
      </c>
      <c r="E12" s="2269">
        <f t="shared" ref="E12:L12" si="7">E128+E142+E154+E104+E92</f>
        <v>16733</v>
      </c>
      <c r="F12" s="2269">
        <f t="shared" si="7"/>
        <v>40908</v>
      </c>
      <c r="G12" s="2269">
        <f t="shared" si="7"/>
        <v>62157</v>
      </c>
      <c r="H12" s="2269">
        <f t="shared" si="7"/>
        <v>0</v>
      </c>
      <c r="I12" s="2269">
        <f t="shared" si="7"/>
        <v>0</v>
      </c>
      <c r="J12" s="2269">
        <f t="shared" si="7"/>
        <v>0</v>
      </c>
      <c r="K12" s="2269">
        <f t="shared" si="7"/>
        <v>0</v>
      </c>
      <c r="L12" s="2269">
        <f t="shared" si="7"/>
        <v>0</v>
      </c>
      <c r="M12" s="1579" t="s">
        <v>61</v>
      </c>
      <c r="N12" s="1579" t="s">
        <v>61</v>
      </c>
      <c r="O12" s="3699"/>
      <c r="P12" s="326"/>
      <c r="Q12" s="179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</row>
    <row r="13" spans="1:77" s="577" customFormat="1" ht="12">
      <c r="A13" s="700"/>
      <c r="B13" s="2268" t="s">
        <v>157</v>
      </c>
      <c r="C13" s="3701"/>
      <c r="D13" s="2269">
        <f>+D26+D45+D56+D68+D93+D81+D105+D117+D35+D129+D143+D155</f>
        <v>128740817</v>
      </c>
      <c r="E13" s="2269">
        <f t="shared" ref="E13:L13" si="8">+E26+E45+E56+E68+E93+E81+E105+E117+E35+E129+E143+E155</f>
        <v>474568</v>
      </c>
      <c r="F13" s="2269">
        <f t="shared" si="8"/>
        <v>5274823</v>
      </c>
      <c r="G13" s="2269">
        <f>+G26+G45+G56+G68+G93+G81+G105+G117+G35+G129+G143+G155</f>
        <v>15079692</v>
      </c>
      <c r="H13" s="2269">
        <f t="shared" si="8"/>
        <v>61100701</v>
      </c>
      <c r="I13" s="2269">
        <f t="shared" si="8"/>
        <v>28482568</v>
      </c>
      <c r="J13" s="2269">
        <f t="shared" si="8"/>
        <v>16856220</v>
      </c>
      <c r="K13" s="2269">
        <f t="shared" si="8"/>
        <v>1472245</v>
      </c>
      <c r="L13" s="2269">
        <f t="shared" si="8"/>
        <v>0</v>
      </c>
      <c r="M13" s="538">
        <f>SUM(F13:L13)</f>
        <v>128266249</v>
      </c>
      <c r="N13" s="538">
        <f>SUM(G13:L13)</f>
        <v>122991426</v>
      </c>
      <c r="O13" s="3699"/>
      <c r="P13" s="326"/>
      <c r="Q13" s="179"/>
      <c r="R13" s="179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</row>
    <row r="14" spans="1:77" s="577" customFormat="1" ht="12">
      <c r="A14" s="700"/>
      <c r="B14" s="2270" t="s">
        <v>486</v>
      </c>
      <c r="C14" s="3702"/>
      <c r="D14" s="2271">
        <f>D130</f>
        <v>432583</v>
      </c>
      <c r="E14" s="2271">
        <f t="shared" ref="E14:L14" si="9">E130</f>
        <v>0</v>
      </c>
      <c r="F14" s="2271">
        <f t="shared" si="9"/>
        <v>4350</v>
      </c>
      <c r="G14" s="2271">
        <f t="shared" si="9"/>
        <v>157756</v>
      </c>
      <c r="H14" s="2271">
        <f t="shared" si="9"/>
        <v>270477</v>
      </c>
      <c r="I14" s="2271">
        <f t="shared" si="9"/>
        <v>0</v>
      </c>
      <c r="J14" s="2271">
        <f t="shared" si="9"/>
        <v>0</v>
      </c>
      <c r="K14" s="2271">
        <f t="shared" si="9"/>
        <v>0</v>
      </c>
      <c r="L14" s="2271">
        <f t="shared" si="9"/>
        <v>0</v>
      </c>
      <c r="M14" s="1925"/>
      <c r="N14" s="1925"/>
      <c r="O14" s="3699"/>
      <c r="P14" s="326"/>
      <c r="Q14" s="179"/>
      <c r="R14" s="179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6"/>
      <c r="BW14" s="326"/>
      <c r="BX14" s="326"/>
      <c r="BY14" s="326"/>
    </row>
    <row r="15" spans="1:77" s="577" customFormat="1" ht="12">
      <c r="A15" s="700"/>
      <c r="B15" s="2266" t="s">
        <v>18</v>
      </c>
      <c r="C15" s="3701"/>
      <c r="D15" s="2267">
        <f>+D16</f>
        <v>112818188</v>
      </c>
      <c r="E15" s="2267">
        <f t="shared" ref="E15:L15" si="10">+E16</f>
        <v>524900</v>
      </c>
      <c r="F15" s="2267">
        <f t="shared" si="10"/>
        <v>47005</v>
      </c>
      <c r="G15" s="2267">
        <f t="shared" si="10"/>
        <v>6836098</v>
      </c>
      <c r="H15" s="2267">
        <f t="shared" si="10"/>
        <v>32322958</v>
      </c>
      <c r="I15" s="2267">
        <f t="shared" si="10"/>
        <v>46654320</v>
      </c>
      <c r="J15" s="2267">
        <f t="shared" si="10"/>
        <v>16340407</v>
      </c>
      <c r="K15" s="2267">
        <f t="shared" si="10"/>
        <v>10092500</v>
      </c>
      <c r="L15" s="2267">
        <f t="shared" si="10"/>
        <v>0</v>
      </c>
      <c r="M15" s="1580" t="str">
        <f>+M16</f>
        <v>x</v>
      </c>
      <c r="N15" s="1580" t="str">
        <f>+N16</f>
        <v>x</v>
      </c>
      <c r="O15" s="3699"/>
      <c r="P15" s="326"/>
      <c r="Q15" s="179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</row>
    <row r="16" spans="1:77" s="577" customFormat="1" ht="12">
      <c r="A16" s="700"/>
      <c r="B16" s="2272" t="s">
        <v>35</v>
      </c>
      <c r="C16" s="3701"/>
      <c r="D16" s="2269">
        <f>D28+D47+D59+D83+D95+D71+D107+D132+D145+D157</f>
        <v>112818188</v>
      </c>
      <c r="E16" s="2269">
        <f t="shared" ref="E16:L16" si="11">E28+E47+E59+E83+E95+E71+E107+E132+E145+E157</f>
        <v>524900</v>
      </c>
      <c r="F16" s="2269">
        <f t="shared" si="11"/>
        <v>47005</v>
      </c>
      <c r="G16" s="2269">
        <f t="shared" si="11"/>
        <v>6836098</v>
      </c>
      <c r="H16" s="2269">
        <f t="shared" si="11"/>
        <v>32322958</v>
      </c>
      <c r="I16" s="2269">
        <f t="shared" si="11"/>
        <v>46654320</v>
      </c>
      <c r="J16" s="2269">
        <f t="shared" si="11"/>
        <v>16340407</v>
      </c>
      <c r="K16" s="2269">
        <f t="shared" si="11"/>
        <v>10092500</v>
      </c>
      <c r="L16" s="2269">
        <f t="shared" si="11"/>
        <v>0</v>
      </c>
      <c r="M16" s="539" t="s">
        <v>61</v>
      </c>
      <c r="N16" s="539" t="s">
        <v>61</v>
      </c>
      <c r="O16" s="3699"/>
      <c r="P16" s="326"/>
      <c r="Q16" s="179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</row>
    <row r="17" spans="1:77" s="577" customFormat="1" ht="12">
      <c r="A17" s="700"/>
      <c r="B17" s="503" t="s">
        <v>22</v>
      </c>
      <c r="C17" s="503"/>
      <c r="D17" s="540">
        <f>+D18+D21</f>
        <v>149990079</v>
      </c>
      <c r="E17" s="540">
        <f t="shared" ref="E17" si="12">+E18+E21</f>
        <v>644420</v>
      </c>
      <c r="F17" s="540">
        <f t="shared" ref="F17:L17" si="13">+F18+F21</f>
        <v>392761</v>
      </c>
      <c r="G17" s="540">
        <f t="shared" si="13"/>
        <v>7825588</v>
      </c>
      <c r="H17" s="540">
        <f t="shared" si="13"/>
        <v>48366473</v>
      </c>
      <c r="I17" s="540">
        <f t="shared" si="13"/>
        <v>59002128</v>
      </c>
      <c r="J17" s="540">
        <f t="shared" si="13"/>
        <v>22015480</v>
      </c>
      <c r="K17" s="540">
        <f t="shared" si="13"/>
        <v>11743229</v>
      </c>
      <c r="L17" s="540">
        <f t="shared" si="13"/>
        <v>0</v>
      </c>
      <c r="M17" s="3708" t="s">
        <v>61</v>
      </c>
      <c r="N17" s="3708" t="s">
        <v>61</v>
      </c>
      <c r="O17" s="3699"/>
      <c r="P17" s="326"/>
      <c r="Q17" s="179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</row>
    <row r="18" spans="1:77" s="577" customFormat="1" ht="12">
      <c r="A18" s="700"/>
      <c r="B18" s="2266" t="s">
        <v>24</v>
      </c>
      <c r="C18" s="3703" t="s">
        <v>61</v>
      </c>
      <c r="D18" s="2267">
        <f>+D19+D20</f>
        <v>37171891</v>
      </c>
      <c r="E18" s="2267">
        <f t="shared" ref="E18:L18" si="14">+E19+E20</f>
        <v>119520</v>
      </c>
      <c r="F18" s="2267">
        <f t="shared" si="14"/>
        <v>370406</v>
      </c>
      <c r="G18" s="2267">
        <f t="shared" si="14"/>
        <v>1215191</v>
      </c>
      <c r="H18" s="2267">
        <f t="shared" si="14"/>
        <v>16413164</v>
      </c>
      <c r="I18" s="2267">
        <f t="shared" si="14"/>
        <v>11727808</v>
      </c>
      <c r="J18" s="2267">
        <f t="shared" si="14"/>
        <v>5675073</v>
      </c>
      <c r="K18" s="2267">
        <f t="shared" si="14"/>
        <v>1650729</v>
      </c>
      <c r="L18" s="2267">
        <f t="shared" si="14"/>
        <v>0</v>
      </c>
      <c r="M18" s="3709"/>
      <c r="N18" s="3709"/>
      <c r="O18" s="3699"/>
      <c r="P18" s="326"/>
      <c r="Q18" s="179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6"/>
      <c r="BQ18" s="326"/>
      <c r="BR18" s="326"/>
      <c r="BS18" s="326"/>
      <c r="BT18" s="326"/>
      <c r="BU18" s="326"/>
      <c r="BV18" s="326"/>
      <c r="BW18" s="326"/>
      <c r="BX18" s="326"/>
      <c r="BY18" s="326"/>
    </row>
    <row r="19" spans="1:77" s="577" customFormat="1" ht="12">
      <c r="A19" s="700"/>
      <c r="B19" s="2272" t="s">
        <v>146</v>
      </c>
      <c r="C19" s="3704"/>
      <c r="D19" s="2269">
        <f>+D62+D98+D50+D74+D86+D31+D40+D135+D148+D160</f>
        <v>36739308</v>
      </c>
      <c r="E19" s="2269">
        <f t="shared" ref="E19:L19" si="15">+E62+E98+E50+E74+E86+E31+E40+E135+E148+E160</f>
        <v>119520</v>
      </c>
      <c r="F19" s="2269">
        <f>+F62+F98+F50+F74+F86+F31+F40+F135+F148+F160</f>
        <v>370406</v>
      </c>
      <c r="G19" s="2269">
        <f t="shared" si="15"/>
        <v>1058441</v>
      </c>
      <c r="H19" s="2269">
        <f t="shared" si="15"/>
        <v>16137331</v>
      </c>
      <c r="I19" s="2269">
        <f>+I62+I98+I50+I74+I86+I31+I40+I135+I148+I160</f>
        <v>11727808</v>
      </c>
      <c r="J19" s="2269">
        <f t="shared" si="15"/>
        <v>5675073</v>
      </c>
      <c r="K19" s="2269">
        <f t="shared" si="15"/>
        <v>1650729</v>
      </c>
      <c r="L19" s="2269">
        <f t="shared" si="15"/>
        <v>0</v>
      </c>
      <c r="M19" s="3709"/>
      <c r="N19" s="3709"/>
      <c r="O19" s="3699"/>
      <c r="P19" s="326"/>
      <c r="Q19" s="179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</row>
    <row r="20" spans="1:77" s="577" customFormat="1" ht="12">
      <c r="A20" s="700"/>
      <c r="B20" s="2273" t="s">
        <v>486</v>
      </c>
      <c r="C20" s="3704"/>
      <c r="D20" s="541">
        <f>D136</f>
        <v>432583</v>
      </c>
      <c r="E20" s="541">
        <f t="shared" ref="E20:L20" si="16">E136</f>
        <v>0</v>
      </c>
      <c r="F20" s="541">
        <f t="shared" si="16"/>
        <v>0</v>
      </c>
      <c r="G20" s="541">
        <f t="shared" si="16"/>
        <v>156750</v>
      </c>
      <c r="H20" s="541">
        <f t="shared" si="16"/>
        <v>275833</v>
      </c>
      <c r="I20" s="541">
        <f t="shared" si="16"/>
        <v>0</v>
      </c>
      <c r="J20" s="541">
        <f t="shared" si="16"/>
        <v>0</v>
      </c>
      <c r="K20" s="541">
        <f t="shared" si="16"/>
        <v>0</v>
      </c>
      <c r="L20" s="541">
        <f t="shared" si="16"/>
        <v>0</v>
      </c>
      <c r="M20" s="3709"/>
      <c r="N20" s="3709"/>
      <c r="O20" s="3699"/>
      <c r="P20" s="326"/>
      <c r="Q20" s="179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  <c r="BS20" s="326"/>
      <c r="BT20" s="326"/>
      <c r="BU20" s="326"/>
      <c r="BV20" s="326"/>
      <c r="BW20" s="326"/>
      <c r="BX20" s="326"/>
      <c r="BY20" s="326"/>
    </row>
    <row r="21" spans="1:77" s="577" customFormat="1" ht="12">
      <c r="A21" s="700"/>
      <c r="B21" s="2274" t="s">
        <v>18</v>
      </c>
      <c r="C21" s="3704"/>
      <c r="D21" s="2275">
        <f>+D22</f>
        <v>112818188</v>
      </c>
      <c r="E21" s="2275">
        <f t="shared" ref="E21:L21" si="17">+E22</f>
        <v>524900</v>
      </c>
      <c r="F21" s="2275">
        <f t="shared" si="17"/>
        <v>22355</v>
      </c>
      <c r="G21" s="2275">
        <f t="shared" si="17"/>
        <v>6610397</v>
      </c>
      <c r="H21" s="2275">
        <f t="shared" si="17"/>
        <v>31953309</v>
      </c>
      <c r="I21" s="2275">
        <f t="shared" si="17"/>
        <v>47274320</v>
      </c>
      <c r="J21" s="2275">
        <f t="shared" si="17"/>
        <v>16340407</v>
      </c>
      <c r="K21" s="2275">
        <f t="shared" si="17"/>
        <v>10092500</v>
      </c>
      <c r="L21" s="2275">
        <f t="shared" si="17"/>
        <v>0</v>
      </c>
      <c r="M21" s="3709"/>
      <c r="N21" s="3709"/>
      <c r="O21" s="3699"/>
      <c r="P21" s="326"/>
      <c r="Q21" s="179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</row>
    <row r="22" spans="1:77" s="577" customFormat="1" ht="14.1" customHeight="1" thickBot="1">
      <c r="A22" s="701"/>
      <c r="B22" s="2276" t="s">
        <v>35</v>
      </c>
      <c r="C22" s="3705"/>
      <c r="D22" s="1581">
        <f>+D52+D64+D100+D88+D76+D112+D138+D150+D162</f>
        <v>112818188</v>
      </c>
      <c r="E22" s="1581">
        <f t="shared" ref="E22:L22" si="18">+E52+E64+E100+E88+E76+E112+E138+E150+E162</f>
        <v>524900</v>
      </c>
      <c r="F22" s="1581">
        <f t="shared" si="18"/>
        <v>22355</v>
      </c>
      <c r="G22" s="1581">
        <f t="shared" si="18"/>
        <v>6610397</v>
      </c>
      <c r="H22" s="1581">
        <f t="shared" si="18"/>
        <v>31953309</v>
      </c>
      <c r="I22" s="1581">
        <f t="shared" si="18"/>
        <v>47274320</v>
      </c>
      <c r="J22" s="1581">
        <f t="shared" si="18"/>
        <v>16340407</v>
      </c>
      <c r="K22" s="1581">
        <f t="shared" si="18"/>
        <v>10092500</v>
      </c>
      <c r="L22" s="1581">
        <f t="shared" si="18"/>
        <v>0</v>
      </c>
      <c r="M22" s="3710"/>
      <c r="N22" s="3710"/>
      <c r="O22" s="3700"/>
      <c r="P22" s="326"/>
      <c r="Q22" s="179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</row>
    <row r="23" spans="1:77" s="326" customFormat="1" ht="23.25" customHeight="1">
      <c r="A23" s="3669" t="s">
        <v>63</v>
      </c>
      <c r="B23" s="1582" t="s">
        <v>345</v>
      </c>
      <c r="C23" s="1583" t="s">
        <v>81</v>
      </c>
      <c r="D23" s="1584"/>
      <c r="E23" s="541"/>
      <c r="F23" s="541"/>
      <c r="G23" s="541"/>
      <c r="H23" s="1585"/>
      <c r="I23" s="1585"/>
      <c r="J23" s="1585"/>
      <c r="K23" s="1585"/>
      <c r="L23" s="1585"/>
      <c r="M23" s="542"/>
      <c r="N23" s="542"/>
      <c r="O23" s="3672" t="s">
        <v>340</v>
      </c>
    </row>
    <row r="24" spans="1:77" s="326" customFormat="1" ht="12">
      <c r="A24" s="3670"/>
      <c r="B24" s="503" t="s">
        <v>10</v>
      </c>
      <c r="C24" s="503"/>
      <c r="D24" s="540">
        <f t="shared" ref="D24" si="19">+D25+D27</f>
        <v>1805000</v>
      </c>
      <c r="E24" s="540">
        <f t="shared" ref="E24" si="20">+E25+E27</f>
        <v>0</v>
      </c>
      <c r="F24" s="540">
        <f t="shared" ref="F24:N24" si="21">+F25</f>
        <v>242386</v>
      </c>
      <c r="G24" s="540">
        <f t="shared" si="21"/>
        <v>1562614</v>
      </c>
      <c r="H24" s="540">
        <f t="shared" si="21"/>
        <v>0</v>
      </c>
      <c r="I24" s="540">
        <f t="shared" si="21"/>
        <v>0</v>
      </c>
      <c r="J24" s="540"/>
      <c r="K24" s="540"/>
      <c r="L24" s="540"/>
      <c r="M24" s="543">
        <f t="shared" si="21"/>
        <v>1805000</v>
      </c>
      <c r="N24" s="543">
        <f t="shared" si="21"/>
        <v>1562614</v>
      </c>
      <c r="O24" s="3673"/>
    </row>
    <row r="25" spans="1:77" s="326" customFormat="1" ht="12">
      <c r="A25" s="3670"/>
      <c r="B25" s="2156" t="s">
        <v>24</v>
      </c>
      <c r="C25" s="3684" t="s">
        <v>339</v>
      </c>
      <c r="D25" s="1781">
        <f>D26</f>
        <v>1805000</v>
      </c>
      <c r="E25" s="494">
        <f t="shared" ref="E25:I25" si="22">E26</f>
        <v>0</v>
      </c>
      <c r="F25" s="494">
        <f t="shared" si="22"/>
        <v>242386</v>
      </c>
      <c r="G25" s="494">
        <f t="shared" si="22"/>
        <v>1562614</v>
      </c>
      <c r="H25" s="494">
        <f t="shared" si="22"/>
        <v>0</v>
      </c>
      <c r="I25" s="494">
        <f t="shared" si="22"/>
        <v>0</v>
      </c>
      <c r="J25" s="494"/>
      <c r="K25" s="494"/>
      <c r="L25" s="494"/>
      <c r="M25" s="545">
        <f>+M26</f>
        <v>1805000</v>
      </c>
      <c r="N25" s="545">
        <f>+N26</f>
        <v>1562614</v>
      </c>
      <c r="O25" s="3673"/>
    </row>
    <row r="26" spans="1:77" s="326" customFormat="1" ht="12.75" customHeight="1">
      <c r="A26" s="3670"/>
      <c r="B26" s="2157" t="s">
        <v>121</v>
      </c>
      <c r="C26" s="3676"/>
      <c r="D26" s="1782">
        <f>E26+F26+G26+H26+I26+J26+K26+L26</f>
        <v>1805000</v>
      </c>
      <c r="E26" s="490">
        <v>0</v>
      </c>
      <c r="F26" s="490">
        <f>355000-112614</f>
        <v>242386</v>
      </c>
      <c r="G26" s="490">
        <f>1450000+112614</f>
        <v>1562614</v>
      </c>
      <c r="H26" s="490">
        <v>0</v>
      </c>
      <c r="I26" s="490">
        <v>0</v>
      </c>
      <c r="J26" s="490"/>
      <c r="K26" s="490"/>
      <c r="L26" s="490"/>
      <c r="M26" s="538">
        <f>SUM(F26:K26)</f>
        <v>1805000</v>
      </c>
      <c r="N26" s="538">
        <f>SUM(G26:L26)</f>
        <v>1562614</v>
      </c>
      <c r="O26" s="3673"/>
    </row>
    <row r="27" spans="1:77" s="326" customFormat="1" ht="12.75" hidden="1" customHeight="1">
      <c r="A27" s="3670"/>
      <c r="B27" s="547" t="s">
        <v>18</v>
      </c>
      <c r="C27" s="3676"/>
      <c r="D27" s="548">
        <f>+D28</f>
        <v>0</v>
      </c>
      <c r="E27" s="548"/>
      <c r="F27" s="548"/>
      <c r="G27" s="548"/>
      <c r="H27" s="548"/>
      <c r="I27" s="548"/>
      <c r="J27" s="548"/>
      <c r="K27" s="548"/>
      <c r="L27" s="548"/>
      <c r="M27" s="1586" t="s">
        <v>61</v>
      </c>
      <c r="N27" s="1586" t="s">
        <v>61</v>
      </c>
      <c r="O27" s="3673"/>
    </row>
    <row r="28" spans="1:77" s="326" customFormat="1" ht="13.5" hidden="1" customHeight="1">
      <c r="A28" s="3670"/>
      <c r="B28" s="2158" t="s">
        <v>35</v>
      </c>
      <c r="C28" s="3676"/>
      <c r="D28" s="1782">
        <f>E28+F28+G28+H28+I28+J28+K28+L28</f>
        <v>0</v>
      </c>
      <c r="E28" s="490"/>
      <c r="F28" s="490"/>
      <c r="G28" s="490"/>
      <c r="H28" s="490"/>
      <c r="I28" s="490"/>
      <c r="J28" s="490"/>
      <c r="K28" s="490"/>
      <c r="L28" s="490"/>
      <c r="M28" s="562" t="s">
        <v>61</v>
      </c>
      <c r="N28" s="562" t="s">
        <v>61</v>
      </c>
      <c r="O28" s="3673"/>
    </row>
    <row r="29" spans="1:77" s="550" customFormat="1" ht="12">
      <c r="A29" s="3670"/>
      <c r="B29" s="1577" t="s">
        <v>22</v>
      </c>
      <c r="C29" s="3676"/>
      <c r="D29" s="1587">
        <f>D30</f>
        <v>55657</v>
      </c>
      <c r="E29" s="1587">
        <f>E30</f>
        <v>0</v>
      </c>
      <c r="F29" s="1588"/>
      <c r="G29" s="1588">
        <f>G30</f>
        <v>55657</v>
      </c>
      <c r="H29" s="1588"/>
      <c r="I29" s="1588"/>
      <c r="J29" s="1588"/>
      <c r="K29" s="1588"/>
      <c r="L29" s="1588"/>
      <c r="M29" s="3711"/>
      <c r="N29" s="3711"/>
      <c r="O29" s="3673"/>
    </row>
    <row r="30" spans="1:77" s="326" customFormat="1" ht="12.75">
      <c r="A30" s="3670"/>
      <c r="B30" s="1927" t="s">
        <v>24</v>
      </c>
      <c r="C30" s="3676"/>
      <c r="D30" s="1781">
        <f>+D31</f>
        <v>55657</v>
      </c>
      <c r="E30" s="1781">
        <f>+E31</f>
        <v>0</v>
      </c>
      <c r="F30" s="1589"/>
      <c r="G30" s="494">
        <f>G31</f>
        <v>55657</v>
      </c>
      <c r="H30" s="1589"/>
      <c r="I30" s="1589"/>
      <c r="J30" s="1589"/>
      <c r="K30" s="1589"/>
      <c r="L30" s="1589"/>
      <c r="M30" s="3712"/>
      <c r="N30" s="3712"/>
      <c r="O30" s="3673"/>
    </row>
    <row r="31" spans="1:77" s="326" customFormat="1" ht="13.5" thickBot="1">
      <c r="A31" s="3671"/>
      <c r="B31" s="1928" t="s">
        <v>146</v>
      </c>
      <c r="C31" s="3719"/>
      <c r="D31" s="1929">
        <f>E31+F31+G31+H31+I31+J31+K31+L31</f>
        <v>55657</v>
      </c>
      <c r="E31" s="546">
        <v>0</v>
      </c>
      <c r="F31" s="1590"/>
      <c r="G31" s="546">
        <v>55657</v>
      </c>
      <c r="H31" s="1590"/>
      <c r="I31" s="1590"/>
      <c r="J31" s="1590"/>
      <c r="K31" s="1590"/>
      <c r="L31" s="1590"/>
      <c r="M31" s="3713"/>
      <c r="N31" s="3713"/>
      <c r="O31" s="3718"/>
    </row>
    <row r="32" spans="1:77" s="326" customFormat="1" ht="27" customHeight="1">
      <c r="A32" s="3669" t="s">
        <v>64</v>
      </c>
      <c r="B32" s="1582" t="s">
        <v>540</v>
      </c>
      <c r="C32" s="1583" t="s">
        <v>109</v>
      </c>
      <c r="D32" s="1584"/>
      <c r="E32" s="541"/>
      <c r="F32" s="541"/>
      <c r="G32" s="541"/>
      <c r="H32" s="1585"/>
      <c r="I32" s="1585"/>
      <c r="J32" s="1585"/>
      <c r="K32" s="1585"/>
      <c r="L32" s="1585"/>
      <c r="M32" s="542"/>
      <c r="N32" s="542"/>
      <c r="O32" s="3672" t="s">
        <v>340</v>
      </c>
    </row>
    <row r="33" spans="1:15" s="326" customFormat="1" ht="12">
      <c r="A33" s="3670"/>
      <c r="B33" s="503" t="s">
        <v>10</v>
      </c>
      <c r="C33" s="503"/>
      <c r="D33" s="540">
        <f t="shared" ref="D33:E33" si="23">+D34+D36</f>
        <v>8265000</v>
      </c>
      <c r="E33" s="540">
        <f t="shared" si="23"/>
        <v>0</v>
      </c>
      <c r="F33" s="540">
        <f t="shared" ref="F33:N33" si="24">+F34</f>
        <v>4099273</v>
      </c>
      <c r="G33" s="540">
        <f t="shared" si="24"/>
        <v>4165727</v>
      </c>
      <c r="H33" s="540">
        <f t="shared" si="24"/>
        <v>0</v>
      </c>
      <c r="I33" s="540">
        <f t="shared" si="24"/>
        <v>0</v>
      </c>
      <c r="J33" s="540"/>
      <c r="K33" s="540"/>
      <c r="L33" s="540"/>
      <c r="M33" s="543">
        <f t="shared" si="24"/>
        <v>8265000</v>
      </c>
      <c r="N33" s="543">
        <f t="shared" si="24"/>
        <v>4165727</v>
      </c>
      <c r="O33" s="3673"/>
    </row>
    <row r="34" spans="1:15" s="326" customFormat="1" ht="12">
      <c r="A34" s="3670"/>
      <c r="B34" s="544" t="s">
        <v>24</v>
      </c>
      <c r="C34" s="3675" t="s">
        <v>339</v>
      </c>
      <c r="D34" s="494">
        <f>D35</f>
        <v>8265000</v>
      </c>
      <c r="E34" s="494">
        <f t="shared" ref="E34:I34" si="25">E35</f>
        <v>0</v>
      </c>
      <c r="F34" s="494">
        <f t="shared" si="25"/>
        <v>4099273</v>
      </c>
      <c r="G34" s="494">
        <f t="shared" si="25"/>
        <v>4165727</v>
      </c>
      <c r="H34" s="494">
        <f t="shared" si="25"/>
        <v>0</v>
      </c>
      <c r="I34" s="494">
        <f t="shared" si="25"/>
        <v>0</v>
      </c>
      <c r="J34" s="494"/>
      <c r="K34" s="494"/>
      <c r="L34" s="494"/>
      <c r="M34" s="545">
        <f>+M35</f>
        <v>8265000</v>
      </c>
      <c r="N34" s="545">
        <f>+N35</f>
        <v>4165727</v>
      </c>
      <c r="O34" s="3673"/>
    </row>
    <row r="35" spans="1:15" s="326" customFormat="1" ht="12">
      <c r="A35" s="3670"/>
      <c r="B35" s="573" t="s">
        <v>121</v>
      </c>
      <c r="C35" s="3676"/>
      <c r="D35" s="1555">
        <f>E35+F35+G35+H35+I35+J35+K35+L35</f>
        <v>8265000</v>
      </c>
      <c r="E35" s="490">
        <v>0</v>
      </c>
      <c r="F35" s="490">
        <f>4813876-714603</f>
        <v>4099273</v>
      </c>
      <c r="G35" s="490">
        <f>3451124+714603</f>
        <v>4165727</v>
      </c>
      <c r="H35" s="490">
        <v>0</v>
      </c>
      <c r="I35" s="490">
        <v>0</v>
      </c>
      <c r="J35" s="490"/>
      <c r="K35" s="490"/>
      <c r="L35" s="490"/>
      <c r="M35" s="538">
        <f>SUM(F35:K35)</f>
        <v>8265000</v>
      </c>
      <c r="N35" s="538">
        <f>SUM(G35:L35)</f>
        <v>4165727</v>
      </c>
      <c r="O35" s="3673"/>
    </row>
    <row r="36" spans="1:15" s="326" customFormat="1" ht="12" hidden="1">
      <c r="A36" s="3670"/>
      <c r="B36" s="547" t="s">
        <v>18</v>
      </c>
      <c r="C36" s="3676"/>
      <c r="D36" s="548">
        <f>+D37</f>
        <v>0</v>
      </c>
      <c r="E36" s="548"/>
      <c r="F36" s="548"/>
      <c r="G36" s="548"/>
      <c r="H36" s="548"/>
      <c r="I36" s="548"/>
      <c r="J36" s="548"/>
      <c r="K36" s="548"/>
      <c r="L36" s="548"/>
      <c r="M36" s="1586" t="s">
        <v>61</v>
      </c>
      <c r="N36" s="1586" t="s">
        <v>61</v>
      </c>
      <c r="O36" s="3673"/>
    </row>
    <row r="37" spans="1:15" s="326" customFormat="1" ht="12" hidden="1">
      <c r="A37" s="3670"/>
      <c r="B37" s="2944" t="s">
        <v>35</v>
      </c>
      <c r="C37" s="3676"/>
      <c r="D37" s="1555">
        <f>E37+F37+G37+H37+I37+J37+K37+L37</f>
        <v>0</v>
      </c>
      <c r="E37" s="490"/>
      <c r="F37" s="490"/>
      <c r="G37" s="490"/>
      <c r="H37" s="490"/>
      <c r="I37" s="490"/>
      <c r="J37" s="490"/>
      <c r="K37" s="490"/>
      <c r="L37" s="490"/>
      <c r="M37" s="562" t="s">
        <v>61</v>
      </c>
      <c r="N37" s="562" t="s">
        <v>61</v>
      </c>
      <c r="O37" s="3673"/>
    </row>
    <row r="38" spans="1:15" s="326" customFormat="1" ht="12">
      <c r="A38" s="3670"/>
      <c r="B38" s="1577" t="s">
        <v>22</v>
      </c>
      <c r="C38" s="3676"/>
      <c r="D38" s="1587">
        <f>D39</f>
        <v>334682</v>
      </c>
      <c r="E38" s="1587"/>
      <c r="F38" s="1588">
        <f>F39</f>
        <v>272966</v>
      </c>
      <c r="G38" s="1588">
        <f>G39</f>
        <v>61716</v>
      </c>
      <c r="H38" s="1588"/>
      <c r="I38" s="1588"/>
      <c r="J38" s="1588"/>
      <c r="K38" s="1588"/>
      <c r="L38" s="1588"/>
      <c r="M38" s="3711"/>
      <c r="N38" s="3711"/>
      <c r="O38" s="3673"/>
    </row>
    <row r="39" spans="1:15" s="326" customFormat="1" ht="12.75">
      <c r="A39" s="3670"/>
      <c r="B39" s="2945" t="s">
        <v>24</v>
      </c>
      <c r="C39" s="3676"/>
      <c r="D39" s="494">
        <f>+D40</f>
        <v>334682</v>
      </c>
      <c r="E39" s="494"/>
      <c r="F39" s="2946">
        <f>F40</f>
        <v>272966</v>
      </c>
      <c r="G39" s="494">
        <f>G40</f>
        <v>61716</v>
      </c>
      <c r="H39" s="1589"/>
      <c r="I39" s="1589"/>
      <c r="J39" s="1589"/>
      <c r="K39" s="1589"/>
      <c r="L39" s="1589"/>
      <c r="M39" s="3712"/>
      <c r="N39" s="3712"/>
      <c r="O39" s="3673"/>
    </row>
    <row r="40" spans="1:15" s="326" customFormat="1" ht="13.5" thickBot="1">
      <c r="A40" s="3671"/>
      <c r="B40" s="2947" t="s">
        <v>146</v>
      </c>
      <c r="C40" s="3719"/>
      <c r="D40" s="247">
        <f>E40+F40+G40+H40+I40+J40+K40+L40</f>
        <v>334682</v>
      </c>
      <c r="E40" s="546">
        <v>0</v>
      </c>
      <c r="F40" s="2948">
        <f>291487-185285+166764</f>
        <v>272966</v>
      </c>
      <c r="G40" s="546">
        <f>89482-27766</f>
        <v>61716</v>
      </c>
      <c r="H40" s="1590"/>
      <c r="I40" s="1590"/>
      <c r="J40" s="1590"/>
      <c r="K40" s="1590"/>
      <c r="L40" s="1590"/>
      <c r="M40" s="3713"/>
      <c r="N40" s="3713"/>
      <c r="O40" s="3718"/>
    </row>
    <row r="41" spans="1:15" s="326" customFormat="1" ht="26.25" customHeight="1">
      <c r="A41" s="3669" t="s">
        <v>65</v>
      </c>
      <c r="B41" s="551" t="s">
        <v>484</v>
      </c>
      <c r="C41" s="552" t="s">
        <v>81</v>
      </c>
      <c r="D41" s="489"/>
      <c r="E41" s="560"/>
      <c r="F41" s="560"/>
      <c r="G41" s="560"/>
      <c r="H41" s="560"/>
      <c r="I41" s="560"/>
      <c r="J41" s="560"/>
      <c r="K41" s="560"/>
      <c r="L41" s="560"/>
      <c r="M41" s="565"/>
      <c r="N41" s="565"/>
      <c r="O41" s="3672" t="s">
        <v>485</v>
      </c>
    </row>
    <row r="42" spans="1:15" s="326" customFormat="1" ht="11.25" customHeight="1">
      <c r="A42" s="3670"/>
      <c r="B42" s="2949" t="s">
        <v>10</v>
      </c>
      <c r="C42" s="2950"/>
      <c r="D42" s="2951">
        <f>+D43+D46</f>
        <v>86880466</v>
      </c>
      <c r="E42" s="2951">
        <f t="shared" ref="E42" si="26">+E43+E46</f>
        <v>353841</v>
      </c>
      <c r="F42" s="2951">
        <f t="shared" ref="F42:G42" si="27">+F43+F46</f>
        <v>917164</v>
      </c>
      <c r="G42" s="2951">
        <f t="shared" si="27"/>
        <v>7106931</v>
      </c>
      <c r="H42" s="2951">
        <f>+H43+H46</f>
        <v>37270905</v>
      </c>
      <c r="I42" s="2951">
        <f>+I43+I46</f>
        <v>17600000</v>
      </c>
      <c r="J42" s="2951">
        <f t="shared" ref="J42:K42" si="28">+J43+J46</f>
        <v>12066880</v>
      </c>
      <c r="K42" s="2951">
        <f t="shared" si="28"/>
        <v>11564745</v>
      </c>
      <c r="L42" s="2951"/>
      <c r="M42" s="2952">
        <f>+M43</f>
        <v>26326625</v>
      </c>
      <c r="N42" s="2952">
        <f>+N43</f>
        <v>25409461</v>
      </c>
      <c r="O42" s="3673"/>
    </row>
    <row r="43" spans="1:15" s="326" customFormat="1" ht="12" customHeight="1">
      <c r="A43" s="3670"/>
      <c r="B43" s="2953" t="s">
        <v>24</v>
      </c>
      <c r="C43" s="3714" t="s">
        <v>567</v>
      </c>
      <c r="D43" s="2954">
        <f>D45+D44</f>
        <v>26680466</v>
      </c>
      <c r="E43" s="2954">
        <f t="shared" ref="E43" si="29">E45+E44</f>
        <v>353841</v>
      </c>
      <c r="F43" s="2954">
        <f t="shared" ref="F43:K43" si="30">F45+F44</f>
        <v>917164</v>
      </c>
      <c r="G43" s="2954">
        <f t="shared" si="30"/>
        <v>5106931</v>
      </c>
      <c r="H43" s="2954">
        <f t="shared" si="30"/>
        <v>9605905</v>
      </c>
      <c r="I43" s="2954">
        <f t="shared" si="30"/>
        <v>5657500</v>
      </c>
      <c r="J43" s="2954">
        <f t="shared" si="30"/>
        <v>3566880</v>
      </c>
      <c r="K43" s="2954">
        <f t="shared" si="30"/>
        <v>1472245</v>
      </c>
      <c r="L43" s="2954"/>
      <c r="M43" s="2955">
        <f>+M45</f>
        <v>26326625</v>
      </c>
      <c r="N43" s="2955">
        <f>+N45</f>
        <v>25409461</v>
      </c>
      <c r="O43" s="3673"/>
    </row>
    <row r="44" spans="1:15" s="326" customFormat="1" ht="12" hidden="1" customHeight="1">
      <c r="A44" s="3670"/>
      <c r="B44" s="2956" t="s">
        <v>32</v>
      </c>
      <c r="C44" s="3715"/>
      <c r="D44" s="949">
        <f>E44+F44+G44+H44+I44+J44+K44+L44</f>
        <v>0</v>
      </c>
      <c r="E44" s="2957"/>
      <c r="F44" s="2958">
        <v>0</v>
      </c>
      <c r="G44" s="2958">
        <v>0</v>
      </c>
      <c r="H44" s="2958">
        <v>0</v>
      </c>
      <c r="I44" s="2958">
        <v>0</v>
      </c>
      <c r="J44" s="2959"/>
      <c r="K44" s="2959"/>
      <c r="L44" s="2959"/>
      <c r="M44" s="555" t="s">
        <v>61</v>
      </c>
      <c r="N44" s="555" t="s">
        <v>61</v>
      </c>
      <c r="O44" s="3673"/>
    </row>
    <row r="45" spans="1:15" s="326" customFormat="1" ht="12">
      <c r="A45" s="3670"/>
      <c r="B45" s="2960" t="s">
        <v>121</v>
      </c>
      <c r="C45" s="3715"/>
      <c r="D45" s="949">
        <f>E45+F45+G45+H45+I45+J45+K45+L45</f>
        <v>26680466</v>
      </c>
      <c r="E45" s="2957">
        <v>353841</v>
      </c>
      <c r="F45" s="2961">
        <f>3000000-2076931-5905</f>
        <v>917164</v>
      </c>
      <c r="G45" s="2961">
        <f>3030000+2076931</f>
        <v>5106931</v>
      </c>
      <c r="H45" s="2961">
        <f>9600000+5905</f>
        <v>9605905</v>
      </c>
      <c r="I45" s="2961">
        <v>5657500</v>
      </c>
      <c r="J45" s="2961">
        <v>3566880</v>
      </c>
      <c r="K45" s="2961">
        <f>1467579+4666</f>
        <v>1472245</v>
      </c>
      <c r="L45" s="2961"/>
      <c r="M45" s="2962">
        <f>SUM(F45:L45)</f>
        <v>26326625</v>
      </c>
      <c r="N45" s="2962">
        <f>SUM(G45:L45)</f>
        <v>25409461</v>
      </c>
      <c r="O45" s="3673"/>
    </row>
    <row r="46" spans="1:15" s="377" customFormat="1" ht="12">
      <c r="A46" s="3670"/>
      <c r="B46" s="2963" t="s">
        <v>18</v>
      </c>
      <c r="C46" s="3715"/>
      <c r="D46" s="2964">
        <f>+D47</f>
        <v>60200000</v>
      </c>
      <c r="E46" s="2964">
        <f t="shared" ref="E46:N46" si="31">+E47</f>
        <v>0</v>
      </c>
      <c r="F46" s="2964">
        <f t="shared" si="31"/>
        <v>0</v>
      </c>
      <c r="G46" s="2964">
        <f t="shared" si="31"/>
        <v>2000000</v>
      </c>
      <c r="H46" s="2964">
        <f t="shared" si="31"/>
        <v>27665000</v>
      </c>
      <c r="I46" s="2964">
        <f t="shared" si="31"/>
        <v>11942500</v>
      </c>
      <c r="J46" s="2964">
        <f t="shared" si="31"/>
        <v>8500000</v>
      </c>
      <c r="K46" s="2964">
        <f t="shared" si="31"/>
        <v>10092500</v>
      </c>
      <c r="L46" s="2965"/>
      <c r="M46" s="2966" t="str">
        <f t="shared" si="31"/>
        <v>x</v>
      </c>
      <c r="N46" s="2966" t="str">
        <f t="shared" si="31"/>
        <v>x</v>
      </c>
      <c r="O46" s="3673"/>
    </row>
    <row r="47" spans="1:15" s="377" customFormat="1" ht="12">
      <c r="A47" s="3670"/>
      <c r="B47" s="2960" t="s">
        <v>35</v>
      </c>
      <c r="C47" s="3716"/>
      <c r="D47" s="949">
        <f>E47+F47+G47+H47+I47+J47+K47+L47</f>
        <v>60200000</v>
      </c>
      <c r="E47" s="2957">
        <v>0</v>
      </c>
      <c r="F47" s="1671">
        <v>0</v>
      </c>
      <c r="G47" s="1671">
        <f>9265000-7265000</f>
        <v>2000000</v>
      </c>
      <c r="H47" s="1671">
        <f>20400000+7265000</f>
        <v>27665000</v>
      </c>
      <c r="I47" s="1671">
        <v>11942500</v>
      </c>
      <c r="J47" s="2967">
        <v>8500000</v>
      </c>
      <c r="K47" s="2967">
        <v>10092500</v>
      </c>
      <c r="L47" s="2967"/>
      <c r="M47" s="2968" t="s">
        <v>61</v>
      </c>
      <c r="N47" s="2968" t="s">
        <v>61</v>
      </c>
      <c r="O47" s="3673"/>
    </row>
    <row r="48" spans="1:15" s="556" customFormat="1" ht="12">
      <c r="A48" s="3670"/>
      <c r="B48" s="2949" t="s">
        <v>22</v>
      </c>
      <c r="C48" s="2969"/>
      <c r="D48" s="2970">
        <f>D51+D49</f>
        <v>76000729</v>
      </c>
      <c r="E48" s="2970">
        <f t="shared" ref="E48" si="32">E51+E49</f>
        <v>0</v>
      </c>
      <c r="F48" s="2970">
        <f t="shared" ref="F48:G48" si="33">F51+F49</f>
        <v>97440</v>
      </c>
      <c r="G48" s="2970">
        <f t="shared" si="33"/>
        <v>2481236</v>
      </c>
      <c r="H48" s="2970">
        <f>H51+H49</f>
        <v>35236324</v>
      </c>
      <c r="I48" s="2970">
        <f>I51+I49</f>
        <v>15942500</v>
      </c>
      <c r="J48" s="2970">
        <f t="shared" ref="J48:K48" si="34">J51+J49</f>
        <v>10500000</v>
      </c>
      <c r="K48" s="2970">
        <f t="shared" si="34"/>
        <v>11743229</v>
      </c>
      <c r="L48" s="2970"/>
      <c r="M48" s="3680" t="s">
        <v>61</v>
      </c>
      <c r="N48" s="3680" t="s">
        <v>61</v>
      </c>
      <c r="O48" s="3673"/>
    </row>
    <row r="49" spans="1:77" s="556" customFormat="1" ht="12">
      <c r="A49" s="3670"/>
      <c r="B49" s="2971" t="s">
        <v>24</v>
      </c>
      <c r="C49" s="3714" t="s">
        <v>568</v>
      </c>
      <c r="D49" s="1670">
        <f>+D50</f>
        <v>15800729</v>
      </c>
      <c r="E49" s="1670">
        <f t="shared" ref="E49:K49" si="35">+E50</f>
        <v>0</v>
      </c>
      <c r="F49" s="1670">
        <f t="shared" si="35"/>
        <v>97440</v>
      </c>
      <c r="G49" s="1670">
        <f t="shared" si="35"/>
        <v>481236</v>
      </c>
      <c r="H49" s="1670">
        <f t="shared" si="35"/>
        <v>7571324</v>
      </c>
      <c r="I49" s="1670">
        <f t="shared" si="35"/>
        <v>4000000</v>
      </c>
      <c r="J49" s="1670">
        <f t="shared" si="35"/>
        <v>2000000</v>
      </c>
      <c r="K49" s="1670">
        <f t="shared" si="35"/>
        <v>1650729</v>
      </c>
      <c r="L49" s="1670"/>
      <c r="M49" s="3681"/>
      <c r="N49" s="3681"/>
      <c r="O49" s="3673"/>
    </row>
    <row r="50" spans="1:77" s="556" customFormat="1" ht="12.75" customHeight="1">
      <c r="A50" s="3670"/>
      <c r="B50" s="2960" t="s">
        <v>146</v>
      </c>
      <c r="C50" s="3715"/>
      <c r="D50" s="949">
        <f>E50+F50+G50+H50+I50+J50+K50+L50</f>
        <v>15800729</v>
      </c>
      <c r="E50" s="2957">
        <v>0</v>
      </c>
      <c r="F50" s="2961">
        <f>350000-252560</f>
        <v>97440</v>
      </c>
      <c r="G50" s="2961">
        <f>1800000+252560-1571324</f>
        <v>481236</v>
      </c>
      <c r="H50" s="2961">
        <f>6000000+1571324</f>
        <v>7571324</v>
      </c>
      <c r="I50" s="2961">
        <v>4000000</v>
      </c>
      <c r="J50" s="2961">
        <v>2000000</v>
      </c>
      <c r="K50" s="2961">
        <v>1650729</v>
      </c>
      <c r="L50" s="2961"/>
      <c r="M50" s="3681"/>
      <c r="N50" s="3681"/>
      <c r="O50" s="3673"/>
      <c r="Q50" s="557">
        <v>10989251</v>
      </c>
    </row>
    <row r="51" spans="1:77" s="377" customFormat="1" ht="13.5" customHeight="1">
      <c r="A51" s="3670"/>
      <c r="B51" s="2963" t="s">
        <v>18</v>
      </c>
      <c r="C51" s="3715"/>
      <c r="D51" s="2964">
        <f>+D52</f>
        <v>60200000</v>
      </c>
      <c r="E51" s="2964">
        <f t="shared" ref="E51:K51" si="36">+E52</f>
        <v>0</v>
      </c>
      <c r="F51" s="2964">
        <f t="shared" si="36"/>
        <v>0</v>
      </c>
      <c r="G51" s="2964">
        <f t="shared" si="36"/>
        <v>2000000</v>
      </c>
      <c r="H51" s="2964">
        <f t="shared" si="36"/>
        <v>27665000</v>
      </c>
      <c r="I51" s="2964">
        <f t="shared" si="36"/>
        <v>11942500</v>
      </c>
      <c r="J51" s="2964">
        <f t="shared" si="36"/>
        <v>8500000</v>
      </c>
      <c r="K51" s="2964">
        <f t="shared" si="36"/>
        <v>10092500</v>
      </c>
      <c r="L51" s="2964"/>
      <c r="M51" s="3681"/>
      <c r="N51" s="3681"/>
      <c r="O51" s="3673"/>
    </row>
    <row r="52" spans="1:77" s="377" customFormat="1" ht="13.5" customHeight="1" thickBot="1">
      <c r="A52" s="3671"/>
      <c r="B52" s="2742" t="s">
        <v>35</v>
      </c>
      <c r="C52" s="3717"/>
      <c r="D52" s="2391">
        <f>E52+F52+G52+H52+I52+J52+K52+L52</f>
        <v>60200000</v>
      </c>
      <c r="E52" s="546">
        <v>0</v>
      </c>
      <c r="F52" s="558">
        <v>0</v>
      </c>
      <c r="G52" s="558">
        <f>9265000-7265000</f>
        <v>2000000</v>
      </c>
      <c r="H52" s="558">
        <f>20400000+7265000</f>
        <v>27665000</v>
      </c>
      <c r="I52" s="558">
        <v>11942500</v>
      </c>
      <c r="J52" s="558">
        <v>8500000</v>
      </c>
      <c r="K52" s="558">
        <v>10092500</v>
      </c>
      <c r="L52" s="558"/>
      <c r="M52" s="3682"/>
      <c r="N52" s="3682"/>
      <c r="O52" s="3674"/>
    </row>
    <row r="53" spans="1:77" s="326" customFormat="1" ht="27" customHeight="1">
      <c r="A53" s="3669" t="s">
        <v>66</v>
      </c>
      <c r="B53" s="551" t="s">
        <v>537</v>
      </c>
      <c r="C53" s="552" t="s">
        <v>81</v>
      </c>
      <c r="D53" s="559"/>
      <c r="E53" s="560"/>
      <c r="F53" s="560"/>
      <c r="G53" s="560"/>
      <c r="H53" s="561"/>
      <c r="I53" s="561"/>
      <c r="J53" s="561"/>
      <c r="K53" s="561"/>
      <c r="L53" s="561"/>
      <c r="M53" s="2972"/>
      <c r="N53" s="2972"/>
      <c r="O53" s="3672" t="s">
        <v>160</v>
      </c>
      <c r="BY53" s="550"/>
    </row>
    <row r="54" spans="1:77" s="326" customFormat="1" ht="14.25" customHeight="1">
      <c r="A54" s="3670"/>
      <c r="B54" s="503" t="s">
        <v>10</v>
      </c>
      <c r="C54" s="553"/>
      <c r="D54" s="540">
        <f>D55+D58</f>
        <v>105070947</v>
      </c>
      <c r="E54" s="540">
        <v>0</v>
      </c>
      <c r="F54" s="540">
        <f t="shared" ref="F54:J54" si="37">+F55+F58</f>
        <v>0</v>
      </c>
      <c r="G54" s="540">
        <f t="shared" si="37"/>
        <v>720400</v>
      </c>
      <c r="H54" s="540">
        <f t="shared" si="37"/>
        <v>41610400</v>
      </c>
      <c r="I54" s="540">
        <f t="shared" si="37"/>
        <v>41610400</v>
      </c>
      <c r="J54" s="540">
        <f t="shared" si="37"/>
        <v>21129747</v>
      </c>
      <c r="K54" s="540"/>
      <c r="L54" s="540"/>
      <c r="M54" s="543">
        <f>+M55</f>
        <v>42330800</v>
      </c>
      <c r="N54" s="543">
        <f>+N55</f>
        <v>63400947</v>
      </c>
      <c r="O54" s="3673"/>
    </row>
    <row r="55" spans="1:77" s="326" customFormat="1" ht="14.25" customHeight="1">
      <c r="A55" s="3670"/>
      <c r="B55" s="2945" t="s">
        <v>24</v>
      </c>
      <c r="C55" s="3690" t="s">
        <v>161</v>
      </c>
      <c r="D55" s="494">
        <f>D56+D57</f>
        <v>63400947</v>
      </c>
      <c r="E55" s="494">
        <v>0</v>
      </c>
      <c r="F55" s="494">
        <f t="shared" ref="F55:G55" si="38">F56+F57</f>
        <v>0</v>
      </c>
      <c r="G55" s="494">
        <f t="shared" si="38"/>
        <v>720400</v>
      </c>
      <c r="H55" s="494">
        <f>H56+H57</f>
        <v>41610400</v>
      </c>
      <c r="I55" s="494">
        <f>I56+I57</f>
        <v>7780807</v>
      </c>
      <c r="J55" s="494">
        <f>J56+J57</f>
        <v>13289340</v>
      </c>
      <c r="K55" s="494"/>
      <c r="L55" s="494"/>
      <c r="M55" s="545">
        <f>+M56</f>
        <v>42330800</v>
      </c>
      <c r="N55" s="545">
        <f>+N56</f>
        <v>63400947</v>
      </c>
      <c r="O55" s="3673"/>
    </row>
    <row r="56" spans="1:77" s="326" customFormat="1" ht="14.25" customHeight="1">
      <c r="A56" s="3670"/>
      <c r="B56" s="2947" t="s">
        <v>121</v>
      </c>
      <c r="C56" s="3691"/>
      <c r="D56" s="492">
        <f>E56+F56+G56+H56+I56+J56+K56+L56</f>
        <v>63400947</v>
      </c>
      <c r="E56" s="490"/>
      <c r="F56" s="490">
        <v>0</v>
      </c>
      <c r="G56" s="490">
        <v>720400</v>
      </c>
      <c r="H56" s="490">
        <v>41610400</v>
      </c>
      <c r="I56" s="490">
        <v>7780807</v>
      </c>
      <c r="J56" s="490">
        <v>13289340</v>
      </c>
      <c r="K56" s="490"/>
      <c r="L56" s="490"/>
      <c r="M56" s="538">
        <f>SUM(E56:H56)</f>
        <v>42330800</v>
      </c>
      <c r="N56" s="2962">
        <f>SUM(G56:L56)</f>
        <v>63400947</v>
      </c>
      <c r="O56" s="3673"/>
    </row>
    <row r="57" spans="1:77" s="326" customFormat="1" ht="14.25" hidden="1" customHeight="1">
      <c r="A57" s="3670"/>
      <c r="B57" s="2973" t="s">
        <v>32</v>
      </c>
      <c r="C57" s="3678" t="s">
        <v>23</v>
      </c>
      <c r="D57" s="492">
        <f>E57+F57+G57+H57+I57+J57+K57+L57</f>
        <v>0</v>
      </c>
      <c r="E57" s="490"/>
      <c r="F57" s="2974"/>
      <c r="G57" s="2974">
        <v>0</v>
      </c>
      <c r="H57" s="2974">
        <v>0</v>
      </c>
      <c r="I57" s="2974">
        <v>0</v>
      </c>
      <c r="J57" s="2974"/>
      <c r="K57" s="2974"/>
      <c r="L57" s="2974"/>
      <c r="M57" s="2975" t="s">
        <v>61</v>
      </c>
      <c r="N57" s="2975" t="s">
        <v>61</v>
      </c>
      <c r="O57" s="3673"/>
    </row>
    <row r="58" spans="1:77" s="326" customFormat="1" ht="14.25" customHeight="1">
      <c r="A58" s="3670"/>
      <c r="B58" s="2976" t="s">
        <v>18</v>
      </c>
      <c r="C58" s="3692"/>
      <c r="D58" s="548">
        <f>D59</f>
        <v>41670000</v>
      </c>
      <c r="E58" s="548">
        <v>0</v>
      </c>
      <c r="F58" s="548">
        <f t="shared" ref="F58:N58" si="39">+F59</f>
        <v>0</v>
      </c>
      <c r="G58" s="548">
        <f t="shared" si="39"/>
        <v>0</v>
      </c>
      <c r="H58" s="548">
        <f t="shared" si="39"/>
        <v>0</v>
      </c>
      <c r="I58" s="548">
        <f t="shared" si="39"/>
        <v>33829593</v>
      </c>
      <c r="J58" s="548">
        <f t="shared" si="39"/>
        <v>7840407</v>
      </c>
      <c r="K58" s="548"/>
      <c r="L58" s="548"/>
      <c r="M58" s="555" t="str">
        <f t="shared" si="39"/>
        <v>x</v>
      </c>
      <c r="N58" s="555" t="str">
        <f t="shared" si="39"/>
        <v>x</v>
      </c>
      <c r="O58" s="3673"/>
    </row>
    <row r="59" spans="1:77" s="326" customFormat="1" ht="14.25" customHeight="1">
      <c r="A59" s="3670"/>
      <c r="B59" s="2973" t="s">
        <v>35</v>
      </c>
      <c r="C59" s="3679"/>
      <c r="D59" s="492">
        <f>E59+F59+G59+H59+I59+J59+K59+L59</f>
        <v>41670000</v>
      </c>
      <c r="E59" s="490"/>
      <c r="F59" s="490">
        <v>0</v>
      </c>
      <c r="G59" s="490">
        <v>0</v>
      </c>
      <c r="H59" s="490">
        <v>0</v>
      </c>
      <c r="I59" s="490">
        <v>33829593</v>
      </c>
      <c r="J59" s="490">
        <v>7840407</v>
      </c>
      <c r="K59" s="490"/>
      <c r="L59" s="490"/>
      <c r="M59" s="562" t="s">
        <v>61</v>
      </c>
      <c r="N59" s="562" t="s">
        <v>61</v>
      </c>
      <c r="O59" s="3673"/>
    </row>
    <row r="60" spans="1:77" s="550" customFormat="1" ht="14.25" customHeight="1">
      <c r="A60" s="3670"/>
      <c r="B60" s="503" t="s">
        <v>22</v>
      </c>
      <c r="C60" s="553"/>
      <c r="D60" s="540">
        <f>D61+D63</f>
        <v>59942652</v>
      </c>
      <c r="E60" s="540">
        <v>0</v>
      </c>
      <c r="F60" s="540">
        <f>F63+F61</f>
        <v>0</v>
      </c>
      <c r="G60" s="540">
        <f>G63+G61</f>
        <v>125279</v>
      </c>
      <c r="H60" s="540">
        <f>H63+H61</f>
        <v>7236150</v>
      </c>
      <c r="I60" s="540">
        <f>I63+I61</f>
        <v>41065743</v>
      </c>
      <c r="J60" s="540">
        <f>J63+J61</f>
        <v>11515480</v>
      </c>
      <c r="K60" s="540"/>
      <c r="L60" s="540"/>
      <c r="M60" s="3693" t="s">
        <v>61</v>
      </c>
      <c r="N60" s="3693" t="s">
        <v>61</v>
      </c>
      <c r="O60" s="3673"/>
    </row>
    <row r="61" spans="1:77" s="550" customFormat="1" ht="14.25" customHeight="1">
      <c r="A61" s="3670"/>
      <c r="B61" s="2945" t="s">
        <v>24</v>
      </c>
      <c r="C61" s="3690" t="s">
        <v>161</v>
      </c>
      <c r="D61" s="563">
        <f>D62</f>
        <v>18272652</v>
      </c>
      <c r="E61" s="563">
        <v>0</v>
      </c>
      <c r="F61" s="563">
        <f t="shared" ref="F61:J61" si="40">+F62</f>
        <v>0</v>
      </c>
      <c r="G61" s="563">
        <f t="shared" si="40"/>
        <v>125279</v>
      </c>
      <c r="H61" s="563">
        <f t="shared" si="40"/>
        <v>7236150</v>
      </c>
      <c r="I61" s="563">
        <f t="shared" si="40"/>
        <v>7236150</v>
      </c>
      <c r="J61" s="563">
        <f t="shared" si="40"/>
        <v>3675073</v>
      </c>
      <c r="K61" s="563"/>
      <c r="L61" s="563"/>
      <c r="M61" s="3694"/>
      <c r="N61" s="3694"/>
      <c r="O61" s="3673"/>
    </row>
    <row r="62" spans="1:77" s="550" customFormat="1" ht="14.25" customHeight="1">
      <c r="A62" s="3670"/>
      <c r="B62" s="2973" t="s">
        <v>146</v>
      </c>
      <c r="C62" s="3691"/>
      <c r="D62" s="492">
        <f>E62+F62+G62+H62+I62+J62+K62+L62</f>
        <v>18272652</v>
      </c>
      <c r="E62" s="490"/>
      <c r="F62" s="490">
        <v>0</v>
      </c>
      <c r="G62" s="490">
        <v>125279</v>
      </c>
      <c r="H62" s="490">
        <v>7236150</v>
      </c>
      <c r="I62" s="490">
        <v>7236150</v>
      </c>
      <c r="J62" s="490">
        <v>3675073</v>
      </c>
      <c r="K62" s="490"/>
      <c r="L62" s="490"/>
      <c r="M62" s="3694"/>
      <c r="N62" s="3694"/>
      <c r="O62" s="3673"/>
      <c r="Q62" s="564">
        <v>-13525758</v>
      </c>
    </row>
    <row r="63" spans="1:77" s="326" customFormat="1" ht="14.25" customHeight="1">
      <c r="A63" s="3670"/>
      <c r="B63" s="2976" t="s">
        <v>18</v>
      </c>
      <c r="C63" s="3678" t="s">
        <v>23</v>
      </c>
      <c r="D63" s="494">
        <f>D64</f>
        <v>41670000</v>
      </c>
      <c r="E63" s="494">
        <v>0</v>
      </c>
      <c r="F63" s="494">
        <f t="shared" ref="F63:J63" si="41">+F64</f>
        <v>0</v>
      </c>
      <c r="G63" s="494">
        <f t="shared" si="41"/>
        <v>0</v>
      </c>
      <c r="H63" s="494">
        <f t="shared" si="41"/>
        <v>0</v>
      </c>
      <c r="I63" s="494">
        <f t="shared" si="41"/>
        <v>33829593</v>
      </c>
      <c r="J63" s="494">
        <f t="shared" si="41"/>
        <v>7840407</v>
      </c>
      <c r="K63" s="494"/>
      <c r="L63" s="494"/>
      <c r="M63" s="3694"/>
      <c r="N63" s="3694"/>
      <c r="O63" s="3673"/>
    </row>
    <row r="64" spans="1:77" s="326" customFormat="1" ht="14.25" customHeight="1" thickBot="1">
      <c r="A64" s="3671"/>
      <c r="B64" s="2742" t="s">
        <v>35</v>
      </c>
      <c r="C64" s="3683"/>
      <c r="D64" s="558">
        <f>E64+F64+G64+H64+I64+J64+K64+L64</f>
        <v>41670000</v>
      </c>
      <c r="E64" s="546"/>
      <c r="F64" s="546">
        <v>0</v>
      </c>
      <c r="G64" s="546">
        <v>0</v>
      </c>
      <c r="H64" s="546">
        <v>0</v>
      </c>
      <c r="I64" s="546">
        <v>33829593</v>
      </c>
      <c r="J64" s="546">
        <v>7840407</v>
      </c>
      <c r="K64" s="546"/>
      <c r="L64" s="546"/>
      <c r="M64" s="3695"/>
      <c r="N64" s="3695"/>
      <c r="O64" s="3674"/>
    </row>
    <row r="65" spans="1:77" s="326" customFormat="1" ht="39" hidden="1" customHeight="1">
      <c r="A65" s="3669" t="s">
        <v>66</v>
      </c>
      <c r="B65" s="551"/>
      <c r="C65" s="552" t="s">
        <v>81</v>
      </c>
      <c r="D65" s="559"/>
      <c r="E65" s="560"/>
      <c r="F65" s="560"/>
      <c r="G65" s="560"/>
      <c r="H65" s="561"/>
      <c r="I65" s="561"/>
      <c r="J65" s="561"/>
      <c r="K65" s="561"/>
      <c r="L65" s="561"/>
      <c r="M65" s="565"/>
      <c r="N65" s="565"/>
      <c r="O65" s="3672" t="s">
        <v>162</v>
      </c>
      <c r="BY65" s="550"/>
    </row>
    <row r="66" spans="1:77" s="326" customFormat="1" ht="13.5" hidden="1" customHeight="1">
      <c r="A66" s="3670"/>
      <c r="B66" s="503" t="s">
        <v>10</v>
      </c>
      <c r="C66" s="553"/>
      <c r="D66" s="540"/>
      <c r="E66" s="540">
        <v>0</v>
      </c>
      <c r="F66" s="540">
        <f t="shared" ref="F66:I66" si="42">+F67+F70</f>
        <v>0</v>
      </c>
      <c r="G66" s="540">
        <f t="shared" si="42"/>
        <v>0</v>
      </c>
      <c r="H66" s="540">
        <f t="shared" si="42"/>
        <v>0</v>
      </c>
      <c r="I66" s="540">
        <f t="shared" si="42"/>
        <v>0</v>
      </c>
      <c r="J66" s="540"/>
      <c r="K66" s="540"/>
      <c r="L66" s="540"/>
      <c r="M66" s="543">
        <f>+M67</f>
        <v>0</v>
      </c>
      <c r="N66" s="543">
        <f>+N67</f>
        <v>0</v>
      </c>
      <c r="O66" s="3673"/>
    </row>
    <row r="67" spans="1:77" s="326" customFormat="1" ht="13.5" hidden="1" customHeight="1">
      <c r="A67" s="3670"/>
      <c r="B67" s="544" t="s">
        <v>24</v>
      </c>
      <c r="C67" s="3690" t="s">
        <v>299</v>
      </c>
      <c r="D67" s="494"/>
      <c r="E67" s="494">
        <v>0</v>
      </c>
      <c r="F67" s="494">
        <f t="shared" ref="F67:G67" si="43">+F68+F69</f>
        <v>0</v>
      </c>
      <c r="G67" s="494">
        <f t="shared" si="43"/>
        <v>0</v>
      </c>
      <c r="H67" s="494">
        <f>+H68+H69</f>
        <v>0</v>
      </c>
      <c r="I67" s="494">
        <f>+I68+I69</f>
        <v>0</v>
      </c>
      <c r="J67" s="494"/>
      <c r="K67" s="494"/>
      <c r="L67" s="494"/>
      <c r="M67" s="566">
        <f>+M68</f>
        <v>0</v>
      </c>
      <c r="N67" s="566">
        <f>+N68</f>
        <v>0</v>
      </c>
      <c r="O67" s="3673"/>
    </row>
    <row r="68" spans="1:77" s="326" customFormat="1" ht="13.5" hidden="1" customHeight="1">
      <c r="A68" s="3670"/>
      <c r="B68" s="567" t="s">
        <v>121</v>
      </c>
      <c r="C68" s="3691"/>
      <c r="D68" s="492"/>
      <c r="E68" s="490"/>
      <c r="F68" s="490">
        <v>0</v>
      </c>
      <c r="G68" s="490">
        <v>0</v>
      </c>
      <c r="H68" s="490">
        <v>0</v>
      </c>
      <c r="I68" s="490">
        <v>0</v>
      </c>
      <c r="J68" s="490"/>
      <c r="K68" s="490"/>
      <c r="L68" s="490"/>
      <c r="M68" s="538">
        <f>SUM(E68:H68)</f>
        <v>0</v>
      </c>
      <c r="N68" s="538">
        <f>SUM(F68:I68)</f>
        <v>0</v>
      </c>
      <c r="O68" s="3673"/>
    </row>
    <row r="69" spans="1:77" s="326" customFormat="1" ht="13.5" hidden="1" customHeight="1">
      <c r="A69" s="3670"/>
      <c r="B69" s="511" t="s">
        <v>32</v>
      </c>
      <c r="C69" s="2629"/>
      <c r="D69" s="492"/>
      <c r="E69" s="490"/>
      <c r="F69" s="490"/>
      <c r="G69" s="490"/>
      <c r="H69" s="490"/>
      <c r="I69" s="490"/>
      <c r="J69" s="490"/>
      <c r="K69" s="490"/>
      <c r="L69" s="490"/>
      <c r="M69" s="539" t="s">
        <v>61</v>
      </c>
      <c r="N69" s="539" t="s">
        <v>61</v>
      </c>
      <c r="O69" s="3673"/>
    </row>
    <row r="70" spans="1:77" s="326" customFormat="1" ht="13.5" hidden="1" customHeight="1">
      <c r="A70" s="3670"/>
      <c r="B70" s="547" t="s">
        <v>18</v>
      </c>
      <c r="C70" s="3678" t="s">
        <v>23</v>
      </c>
      <c r="D70" s="563"/>
      <c r="E70" s="563">
        <v>0</v>
      </c>
      <c r="F70" s="563">
        <f t="shared" ref="F70:N70" si="44">+F71</f>
        <v>0</v>
      </c>
      <c r="G70" s="563">
        <f t="shared" si="44"/>
        <v>0</v>
      </c>
      <c r="H70" s="563">
        <f t="shared" si="44"/>
        <v>0</v>
      </c>
      <c r="I70" s="563">
        <f t="shared" si="44"/>
        <v>0</v>
      </c>
      <c r="J70" s="568"/>
      <c r="K70" s="568"/>
      <c r="L70" s="568"/>
      <c r="M70" s="555" t="str">
        <f t="shared" si="44"/>
        <v>x</v>
      </c>
      <c r="N70" s="555" t="str">
        <f t="shared" si="44"/>
        <v>x</v>
      </c>
      <c r="O70" s="3673"/>
    </row>
    <row r="71" spans="1:77" s="326" customFormat="1" ht="13.5" hidden="1" customHeight="1">
      <c r="A71" s="3670"/>
      <c r="B71" s="569" t="s">
        <v>35</v>
      </c>
      <c r="C71" s="3679"/>
      <c r="D71" s="492"/>
      <c r="E71" s="490"/>
      <c r="F71" s="490">
        <v>0</v>
      </c>
      <c r="G71" s="490">
        <v>0</v>
      </c>
      <c r="H71" s="490">
        <v>0</v>
      </c>
      <c r="I71" s="490">
        <v>0</v>
      </c>
      <c r="J71" s="490"/>
      <c r="K71" s="490"/>
      <c r="L71" s="490"/>
      <c r="M71" s="562" t="s">
        <v>61</v>
      </c>
      <c r="N71" s="562" t="s">
        <v>61</v>
      </c>
      <c r="O71" s="3673"/>
    </row>
    <row r="72" spans="1:77" s="326" customFormat="1" ht="13.5" hidden="1" customHeight="1">
      <c r="A72" s="3670"/>
      <c r="B72" s="503" t="s">
        <v>22</v>
      </c>
      <c r="C72" s="570"/>
      <c r="D72" s="540"/>
      <c r="E72" s="540">
        <v>0</v>
      </c>
      <c r="F72" s="540">
        <f t="shared" ref="F72:G72" si="45">+F73+F75</f>
        <v>0</v>
      </c>
      <c r="G72" s="540">
        <f t="shared" si="45"/>
        <v>0</v>
      </c>
      <c r="H72" s="540">
        <f>+H73+H75</f>
        <v>0</v>
      </c>
      <c r="I72" s="540">
        <f>+I73+I75</f>
        <v>0</v>
      </c>
      <c r="J72" s="540"/>
      <c r="K72" s="540"/>
      <c r="L72" s="540"/>
      <c r="M72" s="3668" t="s">
        <v>61</v>
      </c>
      <c r="N72" s="3668" t="s">
        <v>61</v>
      </c>
      <c r="O72" s="3673"/>
    </row>
    <row r="73" spans="1:77" s="326" customFormat="1" ht="13.5" hidden="1" customHeight="1">
      <c r="A73" s="3670"/>
      <c r="B73" s="544" t="s">
        <v>24</v>
      </c>
      <c r="C73" s="3690" t="s">
        <v>299</v>
      </c>
      <c r="D73" s="563"/>
      <c r="E73" s="494">
        <v>0</v>
      </c>
      <c r="F73" s="494">
        <f t="shared" ref="F73:I73" si="46">+F74</f>
        <v>0</v>
      </c>
      <c r="G73" s="494">
        <f t="shared" si="46"/>
        <v>0</v>
      </c>
      <c r="H73" s="494">
        <f t="shared" si="46"/>
        <v>0</v>
      </c>
      <c r="I73" s="494">
        <f t="shared" si="46"/>
        <v>0</v>
      </c>
      <c r="J73" s="494"/>
      <c r="K73" s="494"/>
      <c r="L73" s="494"/>
      <c r="M73" s="3521"/>
      <c r="N73" s="3521"/>
      <c r="O73" s="3673"/>
    </row>
    <row r="74" spans="1:77" s="326" customFormat="1" ht="13.5" hidden="1" customHeight="1">
      <c r="A74" s="3670"/>
      <c r="B74" s="569" t="s">
        <v>138</v>
      </c>
      <c r="C74" s="3691"/>
      <c r="D74" s="492"/>
      <c r="E74" s="490"/>
      <c r="F74" s="490">
        <v>0</v>
      </c>
      <c r="G74" s="490">
        <v>0</v>
      </c>
      <c r="H74" s="490">
        <v>0</v>
      </c>
      <c r="I74" s="490">
        <v>0</v>
      </c>
      <c r="J74" s="490"/>
      <c r="K74" s="490"/>
      <c r="L74" s="490"/>
      <c r="M74" s="3521"/>
      <c r="N74" s="3521"/>
      <c r="O74" s="3673"/>
    </row>
    <row r="75" spans="1:77" s="326" customFormat="1" ht="13.5" hidden="1" customHeight="1">
      <c r="A75" s="3670"/>
      <c r="B75" s="571" t="s">
        <v>18</v>
      </c>
      <c r="C75" s="3678" t="s">
        <v>23</v>
      </c>
      <c r="D75" s="563"/>
      <c r="E75" s="563">
        <v>0</v>
      </c>
      <c r="F75" s="563">
        <f t="shared" ref="F75:I75" si="47">+F76</f>
        <v>0</v>
      </c>
      <c r="G75" s="563">
        <f t="shared" si="47"/>
        <v>0</v>
      </c>
      <c r="H75" s="563">
        <f t="shared" si="47"/>
        <v>0</v>
      </c>
      <c r="I75" s="563">
        <f t="shared" si="47"/>
        <v>0</v>
      </c>
      <c r="J75" s="563"/>
      <c r="K75" s="563"/>
      <c r="L75" s="563"/>
      <c r="M75" s="3521"/>
      <c r="N75" s="3521"/>
      <c r="O75" s="3673"/>
    </row>
    <row r="76" spans="1:77" s="326" customFormat="1" ht="13.5" hidden="1" customHeight="1" thickBot="1">
      <c r="A76" s="3671"/>
      <c r="B76" s="572" t="s">
        <v>35</v>
      </c>
      <c r="C76" s="3679"/>
      <c r="D76" s="492"/>
      <c r="E76" s="490"/>
      <c r="F76" s="408">
        <v>0</v>
      </c>
      <c r="G76" s="408">
        <v>0</v>
      </c>
      <c r="H76" s="408">
        <v>0</v>
      </c>
      <c r="I76" s="408">
        <v>0</v>
      </c>
      <c r="J76" s="408"/>
      <c r="K76" s="408"/>
      <c r="L76" s="408"/>
      <c r="M76" s="3522"/>
      <c r="N76" s="3522"/>
      <c r="O76" s="3674"/>
    </row>
    <row r="77" spans="1:77" s="326" customFormat="1" ht="27.75" hidden="1" customHeight="1">
      <c r="A77" s="3669" t="s">
        <v>66</v>
      </c>
      <c r="B77" s="551"/>
      <c r="C77" s="552" t="s">
        <v>81</v>
      </c>
      <c r="D77" s="559"/>
      <c r="E77" s="560"/>
      <c r="F77" s="560"/>
      <c r="G77" s="560"/>
      <c r="H77" s="561"/>
      <c r="I77" s="561"/>
      <c r="J77" s="561"/>
      <c r="K77" s="561"/>
      <c r="L77" s="561"/>
      <c r="M77" s="565"/>
      <c r="N77" s="565"/>
      <c r="O77" s="3672" t="s">
        <v>158</v>
      </c>
    </row>
    <row r="78" spans="1:77" s="326" customFormat="1" ht="13.5" hidden="1" customHeight="1">
      <c r="A78" s="3670"/>
      <c r="B78" s="503" t="s">
        <v>10</v>
      </c>
      <c r="C78" s="570"/>
      <c r="D78" s="540"/>
      <c r="E78" s="540">
        <v>0</v>
      </c>
      <c r="F78" s="540">
        <f>+F79+F82</f>
        <v>0</v>
      </c>
      <c r="G78" s="540">
        <f>+G79+G82</f>
        <v>0</v>
      </c>
      <c r="H78" s="540">
        <f>+H79+H82</f>
        <v>0</v>
      </c>
      <c r="I78" s="540">
        <f>+I79+I82</f>
        <v>0</v>
      </c>
      <c r="J78" s="540"/>
      <c r="K78" s="540"/>
      <c r="L78" s="540"/>
      <c r="M78" s="543">
        <f>+M79</f>
        <v>0</v>
      </c>
      <c r="N78" s="543">
        <f>+N79</f>
        <v>0</v>
      </c>
      <c r="O78" s="3673"/>
      <c r="Q78" s="179"/>
    </row>
    <row r="79" spans="1:77" s="326" customFormat="1" ht="13.5" hidden="1" customHeight="1">
      <c r="A79" s="3670"/>
      <c r="B79" s="544" t="s">
        <v>24</v>
      </c>
      <c r="C79" s="3678" t="s">
        <v>23</v>
      </c>
      <c r="D79" s="494"/>
      <c r="E79" s="494">
        <v>0</v>
      </c>
      <c r="F79" s="494">
        <f>F81+F80</f>
        <v>0</v>
      </c>
      <c r="G79" s="494">
        <f>G81+G80</f>
        <v>0</v>
      </c>
      <c r="H79" s="494">
        <f>H81+H80</f>
        <v>0</v>
      </c>
      <c r="I79" s="494">
        <f>I81+I80</f>
        <v>0</v>
      </c>
      <c r="J79" s="494"/>
      <c r="K79" s="494"/>
      <c r="L79" s="494"/>
      <c r="M79" s="545">
        <f>+M81</f>
        <v>0</v>
      </c>
      <c r="N79" s="545">
        <f>+N81</f>
        <v>0</v>
      </c>
      <c r="O79" s="3673"/>
    </row>
    <row r="80" spans="1:77" s="326" customFormat="1" ht="13.5" hidden="1" customHeight="1">
      <c r="A80" s="3670"/>
      <c r="B80" s="567" t="s">
        <v>32</v>
      </c>
      <c r="C80" s="3679"/>
      <c r="D80" s="492"/>
      <c r="E80" s="490"/>
      <c r="F80" s="554">
        <v>0</v>
      </c>
      <c r="G80" s="554">
        <v>0</v>
      </c>
      <c r="H80" s="554">
        <v>0</v>
      </c>
      <c r="I80" s="554">
        <v>0</v>
      </c>
      <c r="J80" s="554"/>
      <c r="K80" s="554"/>
      <c r="L80" s="554"/>
      <c r="M80" s="562" t="s">
        <v>61</v>
      </c>
      <c r="N80" s="562" t="s">
        <v>61</v>
      </c>
      <c r="O80" s="3673"/>
    </row>
    <row r="81" spans="1:17" s="326" customFormat="1" ht="22.5" hidden="1" customHeight="1">
      <c r="A81" s="3670"/>
      <c r="B81" s="573" t="s">
        <v>121</v>
      </c>
      <c r="C81" s="574" t="s">
        <v>159</v>
      </c>
      <c r="D81" s="492"/>
      <c r="E81" s="492">
        <v>0</v>
      </c>
      <c r="F81" s="493">
        <v>0</v>
      </c>
      <c r="G81" s="493">
        <v>0</v>
      </c>
      <c r="H81" s="493">
        <v>0</v>
      </c>
      <c r="I81" s="493">
        <v>0</v>
      </c>
      <c r="J81" s="493"/>
      <c r="K81" s="493"/>
      <c r="L81" s="493"/>
      <c r="M81" s="512">
        <f>SUM(E81:H81)</f>
        <v>0</v>
      </c>
      <c r="N81" s="512">
        <f>SUM(F81:I81)</f>
        <v>0</v>
      </c>
      <c r="O81" s="3673"/>
    </row>
    <row r="82" spans="1:17" s="326" customFormat="1" ht="13.5" hidden="1" customHeight="1">
      <c r="A82" s="3670"/>
      <c r="B82" s="575" t="s">
        <v>18</v>
      </c>
      <c r="C82" s="3678" t="s">
        <v>23</v>
      </c>
      <c r="D82" s="494"/>
      <c r="E82" s="494">
        <v>0</v>
      </c>
      <c r="F82" s="494">
        <f t="shared" ref="F82:N82" si="48">+F83</f>
        <v>0</v>
      </c>
      <c r="G82" s="494">
        <f t="shared" si="48"/>
        <v>0</v>
      </c>
      <c r="H82" s="494">
        <f t="shared" si="48"/>
        <v>0</v>
      </c>
      <c r="I82" s="494">
        <f t="shared" si="48"/>
        <v>0</v>
      </c>
      <c r="J82" s="548"/>
      <c r="K82" s="548"/>
      <c r="L82" s="548"/>
      <c r="M82" s="555" t="str">
        <f t="shared" si="48"/>
        <v>x</v>
      </c>
      <c r="N82" s="555" t="str">
        <f t="shared" si="48"/>
        <v>x</v>
      </c>
      <c r="O82" s="3673"/>
    </row>
    <row r="83" spans="1:17" s="326" customFormat="1" ht="12" hidden="1">
      <c r="A83" s="3670"/>
      <c r="B83" s="567" t="s">
        <v>35</v>
      </c>
      <c r="C83" s="3679"/>
      <c r="D83" s="492"/>
      <c r="E83" s="490"/>
      <c r="F83" s="554">
        <v>0</v>
      </c>
      <c r="G83" s="554">
        <v>0</v>
      </c>
      <c r="H83" s="554">
        <v>0</v>
      </c>
      <c r="I83" s="554">
        <v>0</v>
      </c>
      <c r="J83" s="554"/>
      <c r="K83" s="554"/>
      <c r="L83" s="554"/>
      <c r="M83" s="562" t="s">
        <v>61</v>
      </c>
      <c r="N83" s="562" t="s">
        <v>61</v>
      </c>
      <c r="O83" s="3673"/>
    </row>
    <row r="84" spans="1:17" s="326" customFormat="1" ht="13.5" hidden="1" customHeight="1">
      <c r="A84" s="3670"/>
      <c r="B84" s="503" t="s">
        <v>22</v>
      </c>
      <c r="C84" s="570"/>
      <c r="D84" s="540"/>
      <c r="E84" s="540">
        <v>0</v>
      </c>
      <c r="F84" s="540">
        <f>+F85+F87</f>
        <v>0</v>
      </c>
      <c r="G84" s="540">
        <f>+G85+G87</f>
        <v>0</v>
      </c>
      <c r="H84" s="540">
        <f>+H85+H87</f>
        <v>0</v>
      </c>
      <c r="I84" s="540">
        <f>+I85+I87</f>
        <v>0</v>
      </c>
      <c r="J84" s="540"/>
      <c r="K84" s="540"/>
      <c r="L84" s="540"/>
      <c r="M84" s="3668" t="s">
        <v>61</v>
      </c>
      <c r="N84" s="3668" t="s">
        <v>61</v>
      </c>
      <c r="O84" s="3673"/>
    </row>
    <row r="85" spans="1:17" s="326" customFormat="1" ht="13.5" hidden="1" customHeight="1">
      <c r="A85" s="3670"/>
      <c r="B85" s="544" t="s">
        <v>24</v>
      </c>
      <c r="C85" s="3690" t="s">
        <v>159</v>
      </c>
      <c r="D85" s="576"/>
      <c r="E85" s="576">
        <v>0</v>
      </c>
      <c r="F85" s="576">
        <f t="shared" ref="F85:I85" si="49">+F86</f>
        <v>0</v>
      </c>
      <c r="G85" s="576">
        <f t="shared" si="49"/>
        <v>0</v>
      </c>
      <c r="H85" s="576">
        <f t="shared" si="49"/>
        <v>0</v>
      </c>
      <c r="I85" s="576">
        <f t="shared" si="49"/>
        <v>0</v>
      </c>
      <c r="J85" s="576"/>
      <c r="K85" s="576"/>
      <c r="L85" s="576"/>
      <c r="M85" s="3521"/>
      <c r="N85" s="3521"/>
      <c r="O85" s="3688"/>
    </row>
    <row r="86" spans="1:17" s="326" customFormat="1" ht="13.5" hidden="1" customHeight="1">
      <c r="A86" s="3670"/>
      <c r="B86" s="567" t="s">
        <v>138</v>
      </c>
      <c r="C86" s="3691"/>
      <c r="D86" s="492"/>
      <c r="E86" s="490"/>
      <c r="F86" s="554">
        <v>0</v>
      </c>
      <c r="G86" s="554">
        <v>0</v>
      </c>
      <c r="H86" s="554">
        <v>0</v>
      </c>
      <c r="I86" s="554">
        <v>0</v>
      </c>
      <c r="J86" s="554"/>
      <c r="K86" s="554"/>
      <c r="L86" s="554"/>
      <c r="M86" s="3521"/>
      <c r="N86" s="3521"/>
      <c r="O86" s="3688"/>
      <c r="Q86" s="179">
        <v>-1488145</v>
      </c>
    </row>
    <row r="87" spans="1:17" s="326" customFormat="1" ht="13.5" hidden="1" customHeight="1">
      <c r="A87" s="3670"/>
      <c r="B87" s="567" t="s">
        <v>18</v>
      </c>
      <c r="C87" s="3678" t="s">
        <v>23</v>
      </c>
      <c r="D87" s="494"/>
      <c r="E87" s="494">
        <v>0</v>
      </c>
      <c r="F87" s="494">
        <f t="shared" ref="F87:I87" si="50">+F88</f>
        <v>0</v>
      </c>
      <c r="G87" s="494">
        <f t="shared" si="50"/>
        <v>0</v>
      </c>
      <c r="H87" s="494">
        <f t="shared" si="50"/>
        <v>0</v>
      </c>
      <c r="I87" s="494">
        <f t="shared" si="50"/>
        <v>0</v>
      </c>
      <c r="J87" s="494"/>
      <c r="K87" s="494"/>
      <c r="L87" s="494"/>
      <c r="M87" s="3521"/>
      <c r="N87" s="3521"/>
      <c r="O87" s="3688"/>
    </row>
    <row r="88" spans="1:17" s="326" customFormat="1" ht="13.5" hidden="1" customHeight="1" thickBot="1">
      <c r="A88" s="3687"/>
      <c r="B88" s="549" t="s">
        <v>35</v>
      </c>
      <c r="C88" s="3679"/>
      <c r="D88" s="492"/>
      <c r="E88" s="490">
        <v>0</v>
      </c>
      <c r="F88" s="546">
        <v>0</v>
      </c>
      <c r="G88" s="546">
        <v>0</v>
      </c>
      <c r="H88" s="546">
        <v>0</v>
      </c>
      <c r="I88" s="546">
        <v>0</v>
      </c>
      <c r="J88" s="546"/>
      <c r="K88" s="546"/>
      <c r="L88" s="546"/>
      <c r="M88" s="3522"/>
      <c r="N88" s="3522"/>
      <c r="O88" s="3689"/>
    </row>
    <row r="89" spans="1:17" s="326" customFormat="1" ht="29.25" customHeight="1">
      <c r="A89" s="3720" t="s">
        <v>67</v>
      </c>
      <c r="B89" s="551" t="s">
        <v>541</v>
      </c>
      <c r="C89" s="552" t="s">
        <v>81</v>
      </c>
      <c r="D89" s="559"/>
      <c r="E89" s="560"/>
      <c r="F89" s="560"/>
      <c r="G89" s="560"/>
      <c r="H89" s="561"/>
      <c r="I89" s="561"/>
      <c r="J89" s="561"/>
      <c r="K89" s="561"/>
      <c r="L89" s="561"/>
      <c r="M89" s="565"/>
      <c r="N89" s="565"/>
      <c r="O89" s="3672" t="s">
        <v>163</v>
      </c>
    </row>
    <row r="90" spans="1:17" s="377" customFormat="1" ht="16.5" customHeight="1">
      <c r="A90" s="3721"/>
      <c r="B90" s="503" t="s">
        <v>10</v>
      </c>
      <c r="C90" s="570"/>
      <c r="D90" s="2977">
        <f>D91+D94</f>
        <v>24869527</v>
      </c>
      <c r="E90" s="2977">
        <v>0</v>
      </c>
      <c r="F90" s="2977">
        <f t="shared" ref="F90:G90" si="51">+F91+F94</f>
        <v>0</v>
      </c>
      <c r="G90" s="2977">
        <f t="shared" si="51"/>
        <v>1315000</v>
      </c>
      <c r="H90" s="2977">
        <f>+H91+H94</f>
        <v>8165000</v>
      </c>
      <c r="I90" s="2977">
        <f>+I91+I94</f>
        <v>14720000</v>
      </c>
      <c r="J90" s="2977"/>
      <c r="K90" s="2977"/>
      <c r="L90" s="2977"/>
      <c r="M90" s="2978">
        <f>+M91</f>
        <v>9600727</v>
      </c>
      <c r="N90" s="2978">
        <f>+N91</f>
        <v>24200000</v>
      </c>
      <c r="O90" s="3673"/>
    </row>
    <row r="91" spans="1:17" s="326" customFormat="1" ht="13.5" customHeight="1">
      <c r="A91" s="3721"/>
      <c r="B91" s="544" t="s">
        <v>24</v>
      </c>
      <c r="C91" s="3675" t="s">
        <v>164</v>
      </c>
      <c r="D91" s="494">
        <f>D92+D93</f>
        <v>24344627</v>
      </c>
      <c r="E91" s="494">
        <v>0</v>
      </c>
      <c r="F91" s="494">
        <f t="shared" ref="F91:I91" si="52">F93</f>
        <v>0</v>
      </c>
      <c r="G91" s="494">
        <f t="shared" si="52"/>
        <v>1315000</v>
      </c>
      <c r="H91" s="494">
        <f t="shared" si="52"/>
        <v>8165000</v>
      </c>
      <c r="I91" s="494">
        <f t="shared" si="52"/>
        <v>14720000</v>
      </c>
      <c r="J91" s="494"/>
      <c r="K91" s="494"/>
      <c r="L91" s="494"/>
      <c r="M91" s="545">
        <f>+M93</f>
        <v>9600727</v>
      </c>
      <c r="N91" s="545">
        <f>+N93</f>
        <v>24200000</v>
      </c>
      <c r="O91" s="3673"/>
    </row>
    <row r="92" spans="1:17" s="326" customFormat="1" ht="13.5" customHeight="1">
      <c r="A92" s="3721"/>
      <c r="B92" s="2973" t="s">
        <v>32</v>
      </c>
      <c r="C92" s="3676"/>
      <c r="D92" s="492">
        <f>E92+F92+G92+H92+I92+J92+K92+L92</f>
        <v>23900</v>
      </c>
      <c r="E92" s="490"/>
      <c r="F92" s="494">
        <v>23900</v>
      </c>
      <c r="G92" s="494"/>
      <c r="H92" s="494"/>
      <c r="I92" s="494"/>
      <c r="J92" s="494"/>
      <c r="K92" s="494"/>
      <c r="L92" s="494"/>
      <c r="M92" s="545">
        <v>0</v>
      </c>
      <c r="N92" s="545">
        <v>0</v>
      </c>
      <c r="O92" s="3673"/>
    </row>
    <row r="93" spans="1:17" s="326" customFormat="1" ht="13.5" customHeight="1">
      <c r="A93" s="3721"/>
      <c r="B93" s="567" t="s">
        <v>121</v>
      </c>
      <c r="C93" s="3677"/>
      <c r="D93" s="492">
        <f>E93+F93+G93+H93+I93+J93+K93+L93</f>
        <v>24320727</v>
      </c>
      <c r="E93" s="490">
        <v>120727</v>
      </c>
      <c r="F93" s="490">
        <v>0</v>
      </c>
      <c r="G93" s="490">
        <v>1315000</v>
      </c>
      <c r="H93" s="490">
        <v>8165000</v>
      </c>
      <c r="I93" s="490">
        <v>14720000</v>
      </c>
      <c r="J93" s="490"/>
      <c r="K93" s="490"/>
      <c r="L93" s="490"/>
      <c r="M93" s="538">
        <f>SUM(E93:H93)</f>
        <v>9600727</v>
      </c>
      <c r="N93" s="538">
        <f>SUM(G93:I93)</f>
        <v>24200000</v>
      </c>
      <c r="O93" s="3673"/>
    </row>
    <row r="94" spans="1:17" s="326" customFormat="1" ht="13.5" customHeight="1">
      <c r="A94" s="3721"/>
      <c r="B94" s="575" t="s">
        <v>18</v>
      </c>
      <c r="C94" s="3678" t="s">
        <v>23</v>
      </c>
      <c r="D94" s="494">
        <f>D95</f>
        <v>524900</v>
      </c>
      <c r="E94" s="494">
        <f>E95</f>
        <v>524900</v>
      </c>
      <c r="F94" s="494">
        <f t="shared" ref="F94:N94" si="53">+F95</f>
        <v>0</v>
      </c>
      <c r="G94" s="494">
        <f t="shared" si="53"/>
        <v>0</v>
      </c>
      <c r="H94" s="494">
        <f t="shared" si="53"/>
        <v>0</v>
      </c>
      <c r="I94" s="494">
        <f t="shared" si="53"/>
        <v>0</v>
      </c>
      <c r="J94" s="548"/>
      <c r="K94" s="548"/>
      <c r="L94" s="548"/>
      <c r="M94" s="555" t="str">
        <f t="shared" si="53"/>
        <v>x</v>
      </c>
      <c r="N94" s="555" t="str">
        <f t="shared" si="53"/>
        <v>x</v>
      </c>
      <c r="O94" s="3673"/>
    </row>
    <row r="95" spans="1:17" s="326" customFormat="1" ht="13.5" customHeight="1">
      <c r="A95" s="3721"/>
      <c r="B95" s="567" t="s">
        <v>35</v>
      </c>
      <c r="C95" s="3679"/>
      <c r="D95" s="492">
        <f>E95+F95+G95+H95+J95+K95+L95</f>
        <v>524900</v>
      </c>
      <c r="E95" s="490">
        <v>524900</v>
      </c>
      <c r="F95" s="490">
        <v>0</v>
      </c>
      <c r="G95" s="490">
        <v>0</v>
      </c>
      <c r="H95" s="490">
        <v>0</v>
      </c>
      <c r="I95" s="490">
        <v>0</v>
      </c>
      <c r="J95" s="2974"/>
      <c r="K95" s="2974"/>
      <c r="L95" s="2974"/>
      <c r="M95" s="555" t="s">
        <v>61</v>
      </c>
      <c r="N95" s="555" t="s">
        <v>61</v>
      </c>
      <c r="O95" s="3673"/>
    </row>
    <row r="96" spans="1:17" s="377" customFormat="1" ht="16.5" customHeight="1">
      <c r="A96" s="3721"/>
      <c r="B96" s="503" t="s">
        <v>22</v>
      </c>
      <c r="C96" s="570"/>
      <c r="D96" s="2977">
        <f>D97+D99</f>
        <v>1002816</v>
      </c>
      <c r="E96" s="2977">
        <f>E97+E99</f>
        <v>644420</v>
      </c>
      <c r="F96" s="2977">
        <f t="shared" ref="F96:G96" si="54">F99+F97</f>
        <v>0</v>
      </c>
      <c r="G96" s="2977">
        <f t="shared" si="54"/>
        <v>19475</v>
      </c>
      <c r="H96" s="2977">
        <f>H99+H97</f>
        <v>120921</v>
      </c>
      <c r="I96" s="2977">
        <f>I99+I97</f>
        <v>218000</v>
      </c>
      <c r="J96" s="2977"/>
      <c r="K96" s="2977"/>
      <c r="L96" s="2977"/>
      <c r="M96" s="3668" t="s">
        <v>61</v>
      </c>
      <c r="N96" s="3668" t="s">
        <v>61</v>
      </c>
      <c r="O96" s="3673"/>
    </row>
    <row r="97" spans="1:17" s="326" customFormat="1" ht="13.5" customHeight="1">
      <c r="A97" s="3721"/>
      <c r="B97" s="544" t="s">
        <v>24</v>
      </c>
      <c r="C97" s="3675" t="s">
        <v>164</v>
      </c>
      <c r="D97" s="576">
        <f>D98</f>
        <v>477916</v>
      </c>
      <c r="E97" s="576">
        <f>E98</f>
        <v>119520</v>
      </c>
      <c r="F97" s="576">
        <f t="shared" ref="F97:I97" si="55">+F98</f>
        <v>0</v>
      </c>
      <c r="G97" s="576">
        <f t="shared" si="55"/>
        <v>19475</v>
      </c>
      <c r="H97" s="576">
        <f t="shared" si="55"/>
        <v>120921</v>
      </c>
      <c r="I97" s="576">
        <f t="shared" si="55"/>
        <v>218000</v>
      </c>
      <c r="J97" s="576"/>
      <c r="K97" s="576"/>
      <c r="L97" s="576"/>
      <c r="M97" s="3521"/>
      <c r="N97" s="3521"/>
      <c r="O97" s="3688"/>
      <c r="Q97" s="179">
        <v>-4922063</v>
      </c>
    </row>
    <row r="98" spans="1:17" s="326" customFormat="1" ht="13.5" customHeight="1">
      <c r="A98" s="3721"/>
      <c r="B98" s="567" t="s">
        <v>146</v>
      </c>
      <c r="C98" s="3677"/>
      <c r="D98" s="492">
        <f>E98+F98+G98+H98+I98+J98+K98+L98</f>
        <v>477916</v>
      </c>
      <c r="E98" s="490">
        <v>119520</v>
      </c>
      <c r="F98" s="554">
        <v>0</v>
      </c>
      <c r="G98" s="554">
        <v>19475</v>
      </c>
      <c r="H98" s="554">
        <v>120921</v>
      </c>
      <c r="I98" s="554">
        <v>218000</v>
      </c>
      <c r="J98" s="554"/>
      <c r="K98" s="554"/>
      <c r="L98" s="554"/>
      <c r="M98" s="3521"/>
      <c r="N98" s="3521"/>
      <c r="O98" s="3688"/>
    </row>
    <row r="99" spans="1:17" s="326" customFormat="1" ht="13.5" customHeight="1">
      <c r="A99" s="3721"/>
      <c r="B99" s="575" t="s">
        <v>18</v>
      </c>
      <c r="C99" s="3678" t="s">
        <v>23</v>
      </c>
      <c r="D99" s="494">
        <f>D100</f>
        <v>524900</v>
      </c>
      <c r="E99" s="494">
        <f>E100</f>
        <v>524900</v>
      </c>
      <c r="F99" s="494">
        <f t="shared" ref="F99:I99" si="56">+F100</f>
        <v>0</v>
      </c>
      <c r="G99" s="494">
        <f t="shared" si="56"/>
        <v>0</v>
      </c>
      <c r="H99" s="494">
        <f t="shared" si="56"/>
        <v>0</v>
      </c>
      <c r="I99" s="494">
        <f t="shared" si="56"/>
        <v>0</v>
      </c>
      <c r="J99" s="494"/>
      <c r="K99" s="494"/>
      <c r="L99" s="494"/>
      <c r="M99" s="3521"/>
      <c r="N99" s="3521"/>
      <c r="O99" s="3688"/>
    </row>
    <row r="100" spans="1:17" s="326" customFormat="1" ht="13.5" customHeight="1" thickBot="1">
      <c r="A100" s="3722"/>
      <c r="B100" s="549" t="s">
        <v>35</v>
      </c>
      <c r="C100" s="3683"/>
      <c r="D100" s="558">
        <f>E100+F100+G100+H100+I100+J100+K100+L100</f>
        <v>524900</v>
      </c>
      <c r="E100" s="546">
        <v>524900</v>
      </c>
      <c r="F100" s="546">
        <v>0</v>
      </c>
      <c r="G100" s="546">
        <v>0</v>
      </c>
      <c r="H100" s="546">
        <v>0</v>
      </c>
      <c r="I100" s="546">
        <v>0</v>
      </c>
      <c r="J100" s="546"/>
      <c r="K100" s="546"/>
      <c r="L100" s="546"/>
      <c r="M100" s="3522"/>
      <c r="N100" s="3522"/>
      <c r="O100" s="3689"/>
    </row>
    <row r="101" spans="1:17" s="326" customFormat="1" ht="29.25" customHeight="1">
      <c r="A101" s="3669" t="s">
        <v>115</v>
      </c>
      <c r="B101" s="551" t="s">
        <v>473</v>
      </c>
      <c r="C101" s="552" t="s">
        <v>81</v>
      </c>
      <c r="D101" s="489"/>
      <c r="E101" s="560"/>
      <c r="F101" s="560"/>
      <c r="G101" s="560"/>
      <c r="H101" s="560"/>
      <c r="I101" s="560"/>
      <c r="J101" s="560"/>
      <c r="K101" s="560"/>
      <c r="L101" s="560"/>
      <c r="M101" s="565"/>
      <c r="N101" s="565"/>
      <c r="O101" s="3672" t="s">
        <v>362</v>
      </c>
    </row>
    <row r="102" spans="1:17" s="326" customFormat="1" ht="13.5" customHeight="1">
      <c r="A102" s="3670"/>
      <c r="B102" s="1923" t="s">
        <v>10</v>
      </c>
      <c r="C102" s="2979"/>
      <c r="D102" s="1797">
        <f>+D103+D106</f>
        <v>4071975</v>
      </c>
      <c r="E102" s="1797">
        <f t="shared" ref="E102" si="57">+E103+E106</f>
        <v>4560</v>
      </c>
      <c r="F102" s="1797">
        <f t="shared" ref="F102:G102" si="58">+F103+F106</f>
        <v>25343</v>
      </c>
      <c r="G102" s="1797">
        <f t="shared" si="58"/>
        <v>4042072</v>
      </c>
      <c r="H102" s="1797">
        <f>+H103+H106</f>
        <v>0</v>
      </c>
      <c r="I102" s="1797">
        <f>+I103+I106</f>
        <v>0</v>
      </c>
      <c r="J102" s="1797">
        <f t="shared" ref="J102:K102" si="59">+J103+J106</f>
        <v>0</v>
      </c>
      <c r="K102" s="1797">
        <f t="shared" si="59"/>
        <v>0</v>
      </c>
      <c r="L102" s="1797"/>
      <c r="M102" s="1924">
        <f>+M103</f>
        <v>1261265</v>
      </c>
      <c r="N102" s="1924">
        <f>+N103</f>
        <v>1261265</v>
      </c>
      <c r="O102" s="3673"/>
    </row>
    <row r="103" spans="1:17" s="326" customFormat="1" ht="12">
      <c r="A103" s="3670"/>
      <c r="B103" s="2980" t="s">
        <v>24</v>
      </c>
      <c r="C103" s="3684" t="s">
        <v>361</v>
      </c>
      <c r="D103" s="1781">
        <f>D105+D104</f>
        <v>1330970</v>
      </c>
      <c r="E103" s="1781">
        <f t="shared" ref="E103" si="60">E105+E104</f>
        <v>4560</v>
      </c>
      <c r="F103" s="1781">
        <f t="shared" ref="F103:K103" si="61">F105+F104</f>
        <v>2988</v>
      </c>
      <c r="G103" s="1781">
        <f>G105+G104</f>
        <v>1323422</v>
      </c>
      <c r="H103" s="1781">
        <f t="shared" si="61"/>
        <v>0</v>
      </c>
      <c r="I103" s="1781">
        <f t="shared" si="61"/>
        <v>0</v>
      </c>
      <c r="J103" s="1781">
        <f t="shared" si="61"/>
        <v>0</v>
      </c>
      <c r="K103" s="1781">
        <f t="shared" si="61"/>
        <v>0</v>
      </c>
      <c r="L103" s="1781"/>
      <c r="M103" s="1751">
        <f>+M105</f>
        <v>1261265</v>
      </c>
      <c r="N103" s="1751">
        <f>+N105</f>
        <v>1261265</v>
      </c>
      <c r="O103" s="3673"/>
    </row>
    <row r="104" spans="1:17" s="326" customFormat="1" ht="12">
      <c r="A104" s="3670"/>
      <c r="B104" s="2981" t="s">
        <v>32</v>
      </c>
      <c r="C104" s="3676"/>
      <c r="D104" s="949">
        <f>E104+F104+G104+H104+I104+J104+K104+L104</f>
        <v>69705</v>
      </c>
      <c r="E104" s="1762">
        <v>4560</v>
      </c>
      <c r="F104" s="2982">
        <f>12454-9466</f>
        <v>2988</v>
      </c>
      <c r="G104" s="2982">
        <f>17251+44906</f>
        <v>62157</v>
      </c>
      <c r="H104" s="2982">
        <v>0</v>
      </c>
      <c r="I104" s="2982">
        <v>0</v>
      </c>
      <c r="J104" s="2959"/>
      <c r="K104" s="2959"/>
      <c r="L104" s="2959"/>
      <c r="M104" s="555" t="s">
        <v>61</v>
      </c>
      <c r="N104" s="555" t="s">
        <v>61</v>
      </c>
      <c r="O104" s="3673"/>
    </row>
    <row r="105" spans="1:17" s="326" customFormat="1" ht="12">
      <c r="A105" s="3670"/>
      <c r="B105" s="2983" t="s">
        <v>121</v>
      </c>
      <c r="C105" s="3677"/>
      <c r="D105" s="949">
        <f>E105+F105+G105+H105+I105+J105+K105+L105</f>
        <v>1261265</v>
      </c>
      <c r="E105" s="1762">
        <v>0</v>
      </c>
      <c r="F105" s="2984">
        <f>62454-62454</f>
        <v>0</v>
      </c>
      <c r="G105" s="2984">
        <f>1469763-267251+58753</f>
        <v>1261265</v>
      </c>
      <c r="H105" s="2984"/>
      <c r="I105" s="2984"/>
      <c r="J105" s="2984"/>
      <c r="K105" s="2984"/>
      <c r="L105" s="2984"/>
      <c r="M105" s="1925">
        <f>SUM(F105:K105)</f>
        <v>1261265</v>
      </c>
      <c r="N105" s="1925">
        <f>SUM(G105:L105)</f>
        <v>1261265</v>
      </c>
      <c r="O105" s="3673"/>
    </row>
    <row r="106" spans="1:17" s="326" customFormat="1" ht="13.5" customHeight="1">
      <c r="A106" s="3670"/>
      <c r="B106" s="2985" t="s">
        <v>18</v>
      </c>
      <c r="C106" s="3685" t="s">
        <v>23</v>
      </c>
      <c r="D106" s="1890">
        <f>+D107</f>
        <v>2741005</v>
      </c>
      <c r="E106" s="1890">
        <f t="shared" ref="E106:N106" si="62">+E107</f>
        <v>0</v>
      </c>
      <c r="F106" s="1890">
        <f t="shared" si="62"/>
        <v>22355</v>
      </c>
      <c r="G106" s="1890">
        <f t="shared" si="62"/>
        <v>2718650</v>
      </c>
      <c r="H106" s="1890">
        <f t="shared" si="62"/>
        <v>0</v>
      </c>
      <c r="I106" s="1890">
        <f t="shared" si="62"/>
        <v>0</v>
      </c>
      <c r="J106" s="1890">
        <f t="shared" si="62"/>
        <v>0</v>
      </c>
      <c r="K106" s="1890">
        <f t="shared" si="62"/>
        <v>0</v>
      </c>
      <c r="L106" s="2965"/>
      <c r="M106" s="2966" t="str">
        <f t="shared" si="62"/>
        <v>x</v>
      </c>
      <c r="N106" s="2966" t="str">
        <f t="shared" si="62"/>
        <v>x</v>
      </c>
      <c r="O106" s="3673"/>
    </row>
    <row r="107" spans="1:17" s="326" customFormat="1" ht="12">
      <c r="A107" s="3670"/>
      <c r="B107" s="2983" t="s">
        <v>35</v>
      </c>
      <c r="C107" s="3679"/>
      <c r="D107" s="949">
        <f>E107+F107+G107+H107+I107+J107+K107+L107</f>
        <v>2741005</v>
      </c>
      <c r="E107" s="1762">
        <v>0</v>
      </c>
      <c r="F107" s="1926">
        <v>22355</v>
      </c>
      <c r="G107" s="1926">
        <v>2718650</v>
      </c>
      <c r="H107" s="1926"/>
      <c r="I107" s="1926"/>
      <c r="J107" s="2967"/>
      <c r="K107" s="2967"/>
      <c r="L107" s="2967"/>
      <c r="M107" s="2968" t="s">
        <v>61</v>
      </c>
      <c r="N107" s="2968" t="s">
        <v>61</v>
      </c>
      <c r="O107" s="3673"/>
    </row>
    <row r="108" spans="1:17" s="326" customFormat="1" ht="13.5" customHeight="1">
      <c r="A108" s="3670"/>
      <c r="B108" s="1923" t="s">
        <v>22</v>
      </c>
      <c r="C108" s="2986"/>
      <c r="D108" s="1792">
        <f>D111+D109</f>
        <v>2741005</v>
      </c>
      <c r="E108" s="1792">
        <f t="shared" ref="E108" si="63">E111+E109</f>
        <v>0</v>
      </c>
      <c r="F108" s="1792">
        <f t="shared" ref="F108:G108" si="64">F111+F109</f>
        <v>22355</v>
      </c>
      <c r="G108" s="1792">
        <f t="shared" si="64"/>
        <v>2718650</v>
      </c>
      <c r="H108" s="1792">
        <f>H111+H109</f>
        <v>0</v>
      </c>
      <c r="I108" s="1792">
        <f>I111+I109</f>
        <v>0</v>
      </c>
      <c r="J108" s="1792">
        <f t="shared" ref="J108:K108" si="65">J111+J109</f>
        <v>0</v>
      </c>
      <c r="K108" s="1792">
        <f t="shared" si="65"/>
        <v>0</v>
      </c>
      <c r="L108" s="1792"/>
      <c r="M108" s="3686" t="s">
        <v>61</v>
      </c>
      <c r="N108" s="3686" t="s">
        <v>61</v>
      </c>
      <c r="O108" s="3673"/>
    </row>
    <row r="109" spans="1:17" s="326" customFormat="1" ht="13.5" hidden="1" customHeight="1">
      <c r="A109" s="3670"/>
      <c r="B109" s="1927" t="s">
        <v>24</v>
      </c>
      <c r="C109" s="3684" t="s">
        <v>361</v>
      </c>
      <c r="D109" s="1896">
        <f>+D110</f>
        <v>0</v>
      </c>
      <c r="E109" s="1896">
        <f t="shared" ref="E109:K109" si="66">+E110</f>
        <v>0</v>
      </c>
      <c r="F109" s="1896">
        <f t="shared" si="66"/>
        <v>0</v>
      </c>
      <c r="G109" s="1896">
        <f t="shared" si="66"/>
        <v>0</v>
      </c>
      <c r="H109" s="1896">
        <f t="shared" si="66"/>
        <v>0</v>
      </c>
      <c r="I109" s="1896">
        <f t="shared" si="66"/>
        <v>0</v>
      </c>
      <c r="J109" s="1896">
        <f t="shared" si="66"/>
        <v>0</v>
      </c>
      <c r="K109" s="1896">
        <f t="shared" si="66"/>
        <v>0</v>
      </c>
      <c r="L109" s="1896"/>
      <c r="M109" s="3681"/>
      <c r="N109" s="3681"/>
      <c r="O109" s="3673"/>
    </row>
    <row r="110" spans="1:17" s="326" customFormat="1" ht="12" hidden="1">
      <c r="A110" s="3670"/>
      <c r="B110" s="2983" t="s">
        <v>138</v>
      </c>
      <c r="C110" s="3676"/>
      <c r="D110" s="949">
        <f>E110+F110+G110+H110+I110+J110+K110+L110</f>
        <v>0</v>
      </c>
      <c r="E110" s="2984"/>
      <c r="F110" s="2984"/>
      <c r="G110" s="2984"/>
      <c r="H110" s="2984"/>
      <c r="I110" s="2984"/>
      <c r="J110" s="2984"/>
      <c r="K110" s="2984"/>
      <c r="L110" s="2984"/>
      <c r="M110" s="3681"/>
      <c r="N110" s="3681"/>
      <c r="O110" s="3673"/>
    </row>
    <row r="111" spans="1:17" s="326" customFormat="1" ht="13.5" customHeight="1">
      <c r="A111" s="3670"/>
      <c r="B111" s="2985" t="s">
        <v>18</v>
      </c>
      <c r="C111" s="3685" t="s">
        <v>23</v>
      </c>
      <c r="D111" s="1890">
        <f>+D112</f>
        <v>2741005</v>
      </c>
      <c r="E111" s="1890">
        <f t="shared" ref="E111:K111" si="67">+E112</f>
        <v>0</v>
      </c>
      <c r="F111" s="1890">
        <f t="shared" si="67"/>
        <v>22355</v>
      </c>
      <c r="G111" s="1890">
        <f t="shared" si="67"/>
        <v>2718650</v>
      </c>
      <c r="H111" s="1890">
        <f t="shared" si="67"/>
        <v>0</v>
      </c>
      <c r="I111" s="1890">
        <f t="shared" si="67"/>
        <v>0</v>
      </c>
      <c r="J111" s="1890">
        <f t="shared" si="67"/>
        <v>0</v>
      </c>
      <c r="K111" s="1890">
        <f t="shared" si="67"/>
        <v>0</v>
      </c>
      <c r="L111" s="1890"/>
      <c r="M111" s="3681"/>
      <c r="N111" s="3681"/>
      <c r="O111" s="3673"/>
    </row>
    <row r="112" spans="1:17" s="326" customFormat="1" ht="12.75" thickBot="1">
      <c r="A112" s="3671"/>
      <c r="B112" s="1928" t="s">
        <v>35</v>
      </c>
      <c r="C112" s="3683"/>
      <c r="D112" s="949">
        <f>E112+F112+G112+H112+I112+J112+K112+L112</f>
        <v>2741005</v>
      </c>
      <c r="E112" s="1762">
        <v>0</v>
      </c>
      <c r="F112" s="1930">
        <v>22355</v>
      </c>
      <c r="G112" s="1930">
        <v>2718650</v>
      </c>
      <c r="H112" s="1930"/>
      <c r="I112" s="1930"/>
      <c r="J112" s="1930"/>
      <c r="K112" s="1930"/>
      <c r="L112" s="1930"/>
      <c r="M112" s="3682"/>
      <c r="N112" s="3682"/>
      <c r="O112" s="3674"/>
    </row>
    <row r="113" spans="1:15" s="326" customFormat="1" ht="30" customHeight="1">
      <c r="A113" s="3669" t="s">
        <v>87</v>
      </c>
      <c r="B113" s="551" t="s">
        <v>426</v>
      </c>
      <c r="C113" s="552" t="s">
        <v>81</v>
      </c>
      <c r="D113" s="489"/>
      <c r="E113" s="560"/>
      <c r="F113" s="560"/>
      <c r="G113" s="560"/>
      <c r="H113" s="560"/>
      <c r="I113" s="560"/>
      <c r="J113" s="560"/>
      <c r="K113" s="560"/>
      <c r="L113" s="560"/>
      <c r="M113" s="565"/>
      <c r="N113" s="565"/>
      <c r="O113" s="3672" t="s">
        <v>362</v>
      </c>
    </row>
    <row r="114" spans="1:15" s="326" customFormat="1" ht="12">
      <c r="A114" s="3670"/>
      <c r="B114" s="1923" t="s">
        <v>10</v>
      </c>
      <c r="C114" s="2979"/>
      <c r="D114" s="1797">
        <f>+D115+D118</f>
        <v>300000</v>
      </c>
      <c r="E114" s="1797">
        <f t="shared" ref="E114" si="68">+E115+E118</f>
        <v>0</v>
      </c>
      <c r="F114" s="1797">
        <f t="shared" ref="F114:G114" si="69">+F115+F118</f>
        <v>16000</v>
      </c>
      <c r="G114" s="1797">
        <f t="shared" si="69"/>
        <v>284000</v>
      </c>
      <c r="H114" s="1797">
        <f>+H115+H118</f>
        <v>0</v>
      </c>
      <c r="I114" s="1797">
        <f>+I115+I118</f>
        <v>0</v>
      </c>
      <c r="J114" s="1797">
        <f t="shared" ref="J114:K114" si="70">+J115+J118</f>
        <v>0</v>
      </c>
      <c r="K114" s="1797">
        <f t="shared" si="70"/>
        <v>0</v>
      </c>
      <c r="L114" s="1797"/>
      <c r="M114" s="1924">
        <f>+M115</f>
        <v>300000</v>
      </c>
      <c r="N114" s="1924">
        <f>+N115</f>
        <v>284000</v>
      </c>
      <c r="O114" s="3673"/>
    </row>
    <row r="115" spans="1:15" s="326" customFormat="1" ht="12">
      <c r="A115" s="3670"/>
      <c r="B115" s="2980" t="s">
        <v>24</v>
      </c>
      <c r="C115" s="3684" t="s">
        <v>361</v>
      </c>
      <c r="D115" s="1781">
        <f>D117+D116</f>
        <v>300000</v>
      </c>
      <c r="E115" s="1781">
        <f t="shared" ref="E115" si="71">E117+E116</f>
        <v>0</v>
      </c>
      <c r="F115" s="1781">
        <f t="shared" ref="F115:K115" si="72">F117+F116</f>
        <v>16000</v>
      </c>
      <c r="G115" s="1781">
        <f t="shared" si="72"/>
        <v>284000</v>
      </c>
      <c r="H115" s="1781">
        <f t="shared" si="72"/>
        <v>0</v>
      </c>
      <c r="I115" s="1781">
        <f t="shared" si="72"/>
        <v>0</v>
      </c>
      <c r="J115" s="1781">
        <f t="shared" si="72"/>
        <v>0</v>
      </c>
      <c r="K115" s="1781">
        <f t="shared" si="72"/>
        <v>0</v>
      </c>
      <c r="L115" s="1781"/>
      <c r="M115" s="1751">
        <f>+M117</f>
        <v>300000</v>
      </c>
      <c r="N115" s="1751">
        <f>+N117</f>
        <v>284000</v>
      </c>
      <c r="O115" s="3673"/>
    </row>
    <row r="116" spans="1:15" s="326" customFormat="1" ht="13.5" hidden="1" customHeight="1">
      <c r="A116" s="3670"/>
      <c r="B116" s="2981" t="s">
        <v>32</v>
      </c>
      <c r="C116" s="3676"/>
      <c r="D116" s="949">
        <f>E116+F116+G116+H116+I116+J116+K116+L116</f>
        <v>0</v>
      </c>
      <c r="E116" s="2803"/>
      <c r="F116" s="2982">
        <v>0</v>
      </c>
      <c r="G116" s="2982">
        <v>0</v>
      </c>
      <c r="H116" s="2982">
        <v>0</v>
      </c>
      <c r="I116" s="2982">
        <v>0</v>
      </c>
      <c r="J116" s="2959"/>
      <c r="K116" s="2959"/>
      <c r="L116" s="2959"/>
      <c r="M116" s="555" t="s">
        <v>61</v>
      </c>
      <c r="N116" s="555" t="s">
        <v>61</v>
      </c>
      <c r="O116" s="3673"/>
    </row>
    <row r="117" spans="1:15" s="326" customFormat="1" ht="13.5" customHeight="1" thickBot="1">
      <c r="A117" s="3670"/>
      <c r="B117" s="2983" t="s">
        <v>121</v>
      </c>
      <c r="C117" s="3677"/>
      <c r="D117" s="949">
        <f>E117+F117+G117+H117+I117+J117+K117+L117</f>
        <v>300000</v>
      </c>
      <c r="E117" s="2105">
        <v>0</v>
      </c>
      <c r="F117" s="3079">
        <f>50000-34000</f>
        <v>16000</v>
      </c>
      <c r="G117" s="3079">
        <f>250000+34000</f>
        <v>284000</v>
      </c>
      <c r="H117" s="3079"/>
      <c r="I117" s="3079"/>
      <c r="J117" s="3079"/>
      <c r="K117" s="3079"/>
      <c r="L117" s="3079"/>
      <c r="M117" s="3080">
        <f>SUM(F117:K117)</f>
        <v>300000</v>
      </c>
      <c r="N117" s="1925">
        <f>SUM(G117:L117)</f>
        <v>284000</v>
      </c>
      <c r="O117" s="3673"/>
    </row>
    <row r="118" spans="1:15" s="326" customFormat="1" ht="13.5" hidden="1" customHeight="1">
      <c r="A118" s="3670"/>
      <c r="B118" s="2985" t="s">
        <v>18</v>
      </c>
      <c r="C118" s="3685" t="s">
        <v>23</v>
      </c>
      <c r="D118" s="1890">
        <f>+D119</f>
        <v>0</v>
      </c>
      <c r="E118" s="2987">
        <f t="shared" ref="E118:N118" si="73">+E119</f>
        <v>0</v>
      </c>
      <c r="F118" s="2965">
        <f t="shared" si="73"/>
        <v>0</v>
      </c>
      <c r="G118" s="2965">
        <f t="shared" si="73"/>
        <v>0</v>
      </c>
      <c r="H118" s="2965">
        <f t="shared" si="73"/>
        <v>0</v>
      </c>
      <c r="I118" s="2965">
        <f t="shared" si="73"/>
        <v>0</v>
      </c>
      <c r="J118" s="2965">
        <f t="shared" si="73"/>
        <v>0</v>
      </c>
      <c r="K118" s="2965">
        <f t="shared" si="73"/>
        <v>0</v>
      </c>
      <c r="L118" s="2965"/>
      <c r="M118" s="2966" t="str">
        <f t="shared" si="73"/>
        <v>x</v>
      </c>
      <c r="N118" s="2966" t="str">
        <f t="shared" si="73"/>
        <v>x</v>
      </c>
      <c r="O118" s="3673"/>
    </row>
    <row r="119" spans="1:15" s="326" customFormat="1" ht="13.5" hidden="1" customHeight="1">
      <c r="A119" s="3670"/>
      <c r="B119" s="2983" t="s">
        <v>35</v>
      </c>
      <c r="C119" s="3679"/>
      <c r="D119" s="949">
        <f>E119+F119+G119+H119+I119+J119+K119+L119</f>
        <v>0</v>
      </c>
      <c r="E119" s="3059"/>
      <c r="F119" s="1926">
        <v>0</v>
      </c>
      <c r="G119" s="1926">
        <v>0</v>
      </c>
      <c r="H119" s="1926"/>
      <c r="I119" s="1926"/>
      <c r="J119" s="2967"/>
      <c r="K119" s="2967"/>
      <c r="L119" s="2967"/>
      <c r="M119" s="2968" t="s">
        <v>61</v>
      </c>
      <c r="N119" s="2968" t="s">
        <v>61</v>
      </c>
      <c r="O119" s="3673"/>
    </row>
    <row r="120" spans="1:15" s="326" customFormat="1" ht="13.5" hidden="1" customHeight="1">
      <c r="A120" s="3670"/>
      <c r="B120" s="1923" t="s">
        <v>22</v>
      </c>
      <c r="C120" s="2986"/>
      <c r="D120" s="1792">
        <f>D123+D121</f>
        <v>0</v>
      </c>
      <c r="E120" s="2988">
        <f>E123+E121</f>
        <v>0</v>
      </c>
      <c r="F120" s="1792">
        <f t="shared" ref="F120:G120" si="74">F123+F121</f>
        <v>0</v>
      </c>
      <c r="G120" s="1792">
        <f t="shared" si="74"/>
        <v>0</v>
      </c>
      <c r="H120" s="1792">
        <f>H123+H121</f>
        <v>0</v>
      </c>
      <c r="I120" s="1792">
        <f>I123+I121</f>
        <v>0</v>
      </c>
      <c r="J120" s="1792">
        <f t="shared" ref="J120:K120" si="75">J123+J121</f>
        <v>0</v>
      </c>
      <c r="K120" s="1792">
        <f t="shared" si="75"/>
        <v>0</v>
      </c>
      <c r="L120" s="1792"/>
      <c r="M120" s="3686" t="s">
        <v>61</v>
      </c>
      <c r="N120" s="3686" t="s">
        <v>61</v>
      </c>
      <c r="O120" s="3673"/>
    </row>
    <row r="121" spans="1:15" s="326" customFormat="1" ht="13.5" hidden="1" customHeight="1">
      <c r="A121" s="3670"/>
      <c r="B121" s="1927" t="s">
        <v>24</v>
      </c>
      <c r="C121" s="3684" t="s">
        <v>361</v>
      </c>
      <c r="D121" s="1896">
        <f>+D122</f>
        <v>0</v>
      </c>
      <c r="E121" s="3081">
        <f t="shared" ref="E121:K121" si="76">+E122</f>
        <v>0</v>
      </c>
      <c r="F121" s="1896">
        <f t="shared" si="76"/>
        <v>0</v>
      </c>
      <c r="G121" s="1896">
        <f t="shared" si="76"/>
        <v>0</v>
      </c>
      <c r="H121" s="1896">
        <f t="shared" si="76"/>
        <v>0</v>
      </c>
      <c r="I121" s="1896">
        <f t="shared" si="76"/>
        <v>0</v>
      </c>
      <c r="J121" s="1896">
        <f t="shared" si="76"/>
        <v>0</v>
      </c>
      <c r="K121" s="1896">
        <f t="shared" si="76"/>
        <v>0</v>
      </c>
      <c r="L121" s="1896"/>
      <c r="M121" s="3681"/>
      <c r="N121" s="3681"/>
      <c r="O121" s="3673"/>
    </row>
    <row r="122" spans="1:15" s="326" customFormat="1" ht="13.5" hidden="1" customHeight="1">
      <c r="A122" s="3670"/>
      <c r="B122" s="2983" t="s">
        <v>138</v>
      </c>
      <c r="C122" s="3676"/>
      <c r="D122" s="949">
        <f>E122+F122+G122+H122+I122+J122+K122+L122</f>
        <v>0</v>
      </c>
      <c r="E122" s="3059"/>
      <c r="F122" s="2984"/>
      <c r="G122" s="2984"/>
      <c r="H122" s="2984"/>
      <c r="I122" s="2984"/>
      <c r="J122" s="2984"/>
      <c r="K122" s="2984"/>
      <c r="L122" s="2984"/>
      <c r="M122" s="3681"/>
      <c r="N122" s="3681"/>
      <c r="O122" s="3673"/>
    </row>
    <row r="123" spans="1:15" s="326" customFormat="1" ht="13.5" hidden="1" customHeight="1">
      <c r="A123" s="3670"/>
      <c r="B123" s="2985" t="s">
        <v>18</v>
      </c>
      <c r="C123" s="3685" t="s">
        <v>23</v>
      </c>
      <c r="D123" s="1890">
        <f>+D124</f>
        <v>0</v>
      </c>
      <c r="E123" s="2987">
        <f t="shared" ref="E123:K123" si="77">+E124</f>
        <v>0</v>
      </c>
      <c r="F123" s="1890">
        <f t="shared" si="77"/>
        <v>0</v>
      </c>
      <c r="G123" s="1890">
        <f t="shared" si="77"/>
        <v>0</v>
      </c>
      <c r="H123" s="1890">
        <f t="shared" si="77"/>
        <v>0</v>
      </c>
      <c r="I123" s="1890">
        <f t="shared" si="77"/>
        <v>0</v>
      </c>
      <c r="J123" s="1890">
        <f t="shared" si="77"/>
        <v>0</v>
      </c>
      <c r="K123" s="1890">
        <f t="shared" si="77"/>
        <v>0</v>
      </c>
      <c r="L123" s="1890"/>
      <c r="M123" s="3681"/>
      <c r="N123" s="3681"/>
      <c r="O123" s="3673"/>
    </row>
    <row r="124" spans="1:15" s="326" customFormat="1" ht="13.5" hidden="1" customHeight="1" thickBot="1">
      <c r="A124" s="3671"/>
      <c r="B124" s="1928" t="s">
        <v>35</v>
      </c>
      <c r="C124" s="3683"/>
      <c r="D124" s="2989">
        <f>E124+F124+G124+H124+I124+J124+K124+L124</f>
        <v>0</v>
      </c>
      <c r="E124" s="2990"/>
      <c r="F124" s="1930">
        <v>0</v>
      </c>
      <c r="G124" s="1930">
        <v>0</v>
      </c>
      <c r="H124" s="1930"/>
      <c r="I124" s="1930"/>
      <c r="J124" s="1930"/>
      <c r="K124" s="1930"/>
      <c r="L124" s="1930"/>
      <c r="M124" s="3682"/>
      <c r="N124" s="3682"/>
      <c r="O124" s="3674"/>
    </row>
    <row r="125" spans="1:15" s="326" customFormat="1" ht="39.75" customHeight="1">
      <c r="A125" s="3670" t="s">
        <v>88</v>
      </c>
      <c r="B125" s="3090" t="s">
        <v>581</v>
      </c>
      <c r="C125" s="1583" t="s">
        <v>81</v>
      </c>
      <c r="D125" s="3091"/>
      <c r="E125" s="541"/>
      <c r="F125" s="541"/>
      <c r="G125" s="541"/>
      <c r="H125" s="541"/>
      <c r="I125" s="541"/>
      <c r="J125" s="541"/>
      <c r="K125" s="541"/>
      <c r="L125" s="541"/>
      <c r="M125" s="542"/>
      <c r="N125" s="542"/>
      <c r="O125" s="3673" t="s">
        <v>490</v>
      </c>
    </row>
    <row r="126" spans="1:15" s="326" customFormat="1" ht="13.5" customHeight="1">
      <c r="A126" s="3670"/>
      <c r="B126" s="1923" t="s">
        <v>10</v>
      </c>
      <c r="C126" s="2979"/>
      <c r="D126" s="1797">
        <f>+D127+D131</f>
        <v>3503619</v>
      </c>
      <c r="E126" s="1797">
        <f t="shared" ref="E126:G126" si="78">+E127+E131</f>
        <v>0</v>
      </c>
      <c r="F126" s="1797">
        <f t="shared" si="78"/>
        <v>41820</v>
      </c>
      <c r="G126" s="1797">
        <f t="shared" si="78"/>
        <v>1268301</v>
      </c>
      <c r="H126" s="1797">
        <f>+H127+H131</f>
        <v>2193498</v>
      </c>
      <c r="I126" s="1797">
        <f>+I127+I131</f>
        <v>0</v>
      </c>
      <c r="J126" s="1797">
        <f t="shared" ref="J126:K126" si="79">+J127+J131</f>
        <v>0</v>
      </c>
      <c r="K126" s="1797">
        <f t="shared" si="79"/>
        <v>0</v>
      </c>
      <c r="L126" s="1797"/>
      <c r="M126" s="1924">
        <f>+M127</f>
        <v>606910</v>
      </c>
      <c r="N126" s="1924">
        <f>+N127</f>
        <v>606910</v>
      </c>
      <c r="O126" s="3673"/>
    </row>
    <row r="127" spans="1:15" s="326" customFormat="1" ht="13.5" customHeight="1">
      <c r="A127" s="3670"/>
      <c r="B127" s="2980" t="s">
        <v>24</v>
      </c>
      <c r="C127" s="3684" t="s">
        <v>159</v>
      </c>
      <c r="D127" s="1781">
        <f>D129+D128+D130</f>
        <v>1052313</v>
      </c>
      <c r="E127" s="1781">
        <f t="shared" ref="E127:L127" si="80">E129+E128+E130</f>
        <v>0</v>
      </c>
      <c r="F127" s="1781">
        <f t="shared" si="80"/>
        <v>17170</v>
      </c>
      <c r="G127" s="1781">
        <f t="shared" si="80"/>
        <v>374349</v>
      </c>
      <c r="H127" s="1781">
        <f t="shared" si="80"/>
        <v>660794</v>
      </c>
      <c r="I127" s="1781">
        <f t="shared" si="80"/>
        <v>0</v>
      </c>
      <c r="J127" s="1781">
        <f t="shared" si="80"/>
        <v>0</v>
      </c>
      <c r="K127" s="1781">
        <f t="shared" si="80"/>
        <v>0</v>
      </c>
      <c r="L127" s="1781">
        <f t="shared" si="80"/>
        <v>0</v>
      </c>
      <c r="M127" s="1751">
        <f>+M129</f>
        <v>606910</v>
      </c>
      <c r="N127" s="1751">
        <f>+N129</f>
        <v>606910</v>
      </c>
      <c r="O127" s="3673"/>
    </row>
    <row r="128" spans="1:15" s="326" customFormat="1" ht="12">
      <c r="A128" s="3670"/>
      <c r="B128" s="2981" t="s">
        <v>32</v>
      </c>
      <c r="C128" s="3676"/>
      <c r="D128" s="1715">
        <f>E128+F128+G128+H128+I128+J128+K128+L128</f>
        <v>12820</v>
      </c>
      <c r="E128" s="1762"/>
      <c r="F128" s="2982">
        <v>12820</v>
      </c>
      <c r="G128" s="2982">
        <v>0</v>
      </c>
      <c r="H128" s="2982">
        <v>0</v>
      </c>
      <c r="I128" s="2982">
        <v>0</v>
      </c>
      <c r="J128" s="2959"/>
      <c r="K128" s="2959"/>
      <c r="L128" s="2959"/>
      <c r="M128" s="555" t="s">
        <v>61</v>
      </c>
      <c r="N128" s="555" t="s">
        <v>61</v>
      </c>
      <c r="O128" s="3673"/>
    </row>
    <row r="129" spans="1:76" s="326" customFormat="1" ht="12">
      <c r="A129" s="3670"/>
      <c r="B129" s="2983" t="s">
        <v>121</v>
      </c>
      <c r="C129" s="3677"/>
      <c r="D129" s="1715">
        <f>E129+F129+G129+H129+I129+J129+K129+L129</f>
        <v>606910</v>
      </c>
      <c r="E129" s="1762"/>
      <c r="F129" s="2984">
        <v>0</v>
      </c>
      <c r="G129" s="2984">
        <f>308599-92006</f>
        <v>216593</v>
      </c>
      <c r="H129" s="2984">
        <f>298311+92006</f>
        <v>390317</v>
      </c>
      <c r="I129" s="2984"/>
      <c r="J129" s="2984"/>
      <c r="K129" s="2984"/>
      <c r="L129" s="2984"/>
      <c r="M129" s="1925">
        <f>SUM(F129:K129)</f>
        <v>606910</v>
      </c>
      <c r="N129" s="1925">
        <f>SUM(G129:L129)</f>
        <v>606910</v>
      </c>
      <c r="O129" s="3673"/>
    </row>
    <row r="130" spans="1:76" s="326" customFormat="1" ht="12.75" customHeight="1">
      <c r="A130" s="3670"/>
      <c r="B130" s="2983" t="s">
        <v>486</v>
      </c>
      <c r="C130" s="3685" t="s">
        <v>23</v>
      </c>
      <c r="D130" s="1715">
        <f>E130+F130+G130+H130+I130+J130+K130+L130</f>
        <v>432583</v>
      </c>
      <c r="E130" s="1762"/>
      <c r="F130" s="2984">
        <v>4350</v>
      </c>
      <c r="G130" s="2984">
        <f>222704-64948</f>
        <v>157756</v>
      </c>
      <c r="H130" s="2984">
        <f>205529+64948</f>
        <v>270477</v>
      </c>
      <c r="I130" s="2984"/>
      <c r="J130" s="2984"/>
      <c r="K130" s="2984"/>
      <c r="L130" s="2991"/>
      <c r="M130" s="2992"/>
      <c r="N130" s="2992"/>
      <c r="O130" s="3673"/>
    </row>
    <row r="131" spans="1:76" s="326" customFormat="1" ht="13.5" customHeight="1">
      <c r="A131" s="3670"/>
      <c r="B131" s="2985" t="s">
        <v>18</v>
      </c>
      <c r="C131" s="3692"/>
      <c r="D131" s="1890">
        <f>+D132</f>
        <v>2451306</v>
      </c>
      <c r="E131" s="1890">
        <f t="shared" ref="E131:N131" si="81">+E132</f>
        <v>0</v>
      </c>
      <c r="F131" s="1890">
        <f t="shared" si="81"/>
        <v>24650</v>
      </c>
      <c r="G131" s="1890">
        <f t="shared" si="81"/>
        <v>893952</v>
      </c>
      <c r="H131" s="1890">
        <f t="shared" si="81"/>
        <v>1532704</v>
      </c>
      <c r="I131" s="1890">
        <f t="shared" si="81"/>
        <v>0</v>
      </c>
      <c r="J131" s="1890">
        <f t="shared" si="81"/>
        <v>0</v>
      </c>
      <c r="K131" s="1890">
        <f t="shared" si="81"/>
        <v>0</v>
      </c>
      <c r="L131" s="2965"/>
      <c r="M131" s="2966" t="str">
        <f t="shared" si="81"/>
        <v>x</v>
      </c>
      <c r="N131" s="2966" t="str">
        <f t="shared" si="81"/>
        <v>x</v>
      </c>
      <c r="O131" s="3673"/>
    </row>
    <row r="132" spans="1:76" s="326" customFormat="1" ht="13.5" customHeight="1">
      <c r="A132" s="3670"/>
      <c r="B132" s="2983" t="s">
        <v>35</v>
      </c>
      <c r="C132" s="3679"/>
      <c r="D132" s="1715">
        <f>E132+F132+G132+H132+I132+J132+K132+L132</f>
        <v>2451306</v>
      </c>
      <c r="E132" s="1762">
        <v>0</v>
      </c>
      <c r="F132" s="1926">
        <v>24650</v>
      </c>
      <c r="G132" s="1926">
        <f>1261991-368039</f>
        <v>893952</v>
      </c>
      <c r="H132" s="1926">
        <f>1164665+368039</f>
        <v>1532704</v>
      </c>
      <c r="I132" s="1926"/>
      <c r="J132" s="2967"/>
      <c r="K132" s="2967"/>
      <c r="L132" s="2967"/>
      <c r="M132" s="2968" t="s">
        <v>61</v>
      </c>
      <c r="N132" s="2968" t="s">
        <v>61</v>
      </c>
      <c r="O132" s="3673"/>
    </row>
    <row r="133" spans="1:76" s="326" customFormat="1" ht="13.5" customHeight="1">
      <c r="A133" s="3670"/>
      <c r="B133" s="1923" t="s">
        <v>22</v>
      </c>
      <c r="C133" s="2986"/>
      <c r="D133" s="1792">
        <f>D137+D134</f>
        <v>3490799</v>
      </c>
      <c r="E133" s="1792">
        <f t="shared" ref="E133:G133" si="82">E137+E134</f>
        <v>0</v>
      </c>
      <c r="F133" s="1792">
        <f t="shared" si="82"/>
        <v>0</v>
      </c>
      <c r="G133" s="1792">
        <f t="shared" si="82"/>
        <v>1180538</v>
      </c>
      <c r="H133" s="1792">
        <f>H137+H134</f>
        <v>2310261</v>
      </c>
      <c r="I133" s="1792">
        <f>I137+I134</f>
        <v>0</v>
      </c>
      <c r="J133" s="1792">
        <f t="shared" ref="J133:K133" si="83">J137+J134</f>
        <v>0</v>
      </c>
      <c r="K133" s="1792">
        <f t="shared" si="83"/>
        <v>0</v>
      </c>
      <c r="L133" s="1792"/>
      <c r="M133" s="3686" t="s">
        <v>61</v>
      </c>
      <c r="N133" s="3686" t="s">
        <v>61</v>
      </c>
      <c r="O133" s="3673"/>
    </row>
    <row r="134" spans="1:76" s="326" customFormat="1" ht="13.5" customHeight="1">
      <c r="A134" s="3670"/>
      <c r="B134" s="1927" t="s">
        <v>24</v>
      </c>
      <c r="C134" s="3684" t="s">
        <v>159</v>
      </c>
      <c r="D134" s="1896">
        <f>+D135+D136</f>
        <v>1039493</v>
      </c>
      <c r="E134" s="1896">
        <f t="shared" ref="E134:K134" si="84">+E135+E136</f>
        <v>0</v>
      </c>
      <c r="F134" s="1896">
        <f t="shared" si="84"/>
        <v>0</v>
      </c>
      <c r="G134" s="1896">
        <f t="shared" si="84"/>
        <v>292287</v>
      </c>
      <c r="H134" s="1896">
        <f t="shared" si="84"/>
        <v>747206</v>
      </c>
      <c r="I134" s="1896">
        <f t="shared" si="84"/>
        <v>0</v>
      </c>
      <c r="J134" s="1896">
        <f t="shared" si="84"/>
        <v>0</v>
      </c>
      <c r="K134" s="1896">
        <f t="shared" si="84"/>
        <v>0</v>
      </c>
      <c r="L134" s="1896"/>
      <c r="M134" s="3681"/>
      <c r="N134" s="3681"/>
      <c r="O134" s="3673"/>
    </row>
    <row r="135" spans="1:76" s="326" customFormat="1" ht="12">
      <c r="A135" s="3670"/>
      <c r="B135" s="2983" t="s">
        <v>146</v>
      </c>
      <c r="C135" s="3676"/>
      <c r="D135" s="1715">
        <f>E135+F135+G135+H135+I135+J135+K135+L135</f>
        <v>606910</v>
      </c>
      <c r="E135" s="1762">
        <v>0</v>
      </c>
      <c r="F135" s="2984"/>
      <c r="G135" s="2984">
        <f>308599-173062</f>
        <v>135537</v>
      </c>
      <c r="H135" s="2984">
        <f>298311+173062</f>
        <v>471373</v>
      </c>
      <c r="I135" s="2984"/>
      <c r="J135" s="2984"/>
      <c r="K135" s="2984"/>
      <c r="L135" s="2984"/>
      <c r="M135" s="3681"/>
      <c r="N135" s="3681"/>
      <c r="O135" s="3673"/>
    </row>
    <row r="136" spans="1:76" s="326" customFormat="1" ht="12">
      <c r="A136" s="3670"/>
      <c r="B136" s="2983" t="s">
        <v>486</v>
      </c>
      <c r="C136" s="2630"/>
      <c r="D136" s="1715">
        <f>E136+F136+G136+H136+I136+J136+K136+L136</f>
        <v>432583</v>
      </c>
      <c r="E136" s="1762"/>
      <c r="F136" s="2984"/>
      <c r="G136" s="2984">
        <f>227054-70304</f>
        <v>156750</v>
      </c>
      <c r="H136" s="2984">
        <f>205529+70304</f>
        <v>275833</v>
      </c>
      <c r="I136" s="2984"/>
      <c r="J136" s="2984"/>
      <c r="K136" s="2984"/>
      <c r="L136" s="2984"/>
      <c r="M136" s="3681"/>
      <c r="N136" s="3681"/>
      <c r="O136" s="3673"/>
    </row>
    <row r="137" spans="1:76" ht="14.25" customHeight="1">
      <c r="A137" s="3670"/>
      <c r="B137" s="2985" t="s">
        <v>18</v>
      </c>
      <c r="C137" s="3685" t="s">
        <v>23</v>
      </c>
      <c r="D137" s="1890">
        <f>+D138</f>
        <v>2451306</v>
      </c>
      <c r="E137" s="1890">
        <f t="shared" ref="E137:K137" si="85">+E138</f>
        <v>0</v>
      </c>
      <c r="F137" s="1890">
        <f t="shared" si="85"/>
        <v>0</v>
      </c>
      <c r="G137" s="1890">
        <f t="shared" si="85"/>
        <v>888251</v>
      </c>
      <c r="H137" s="1890">
        <f t="shared" si="85"/>
        <v>1563055</v>
      </c>
      <c r="I137" s="1890">
        <f t="shared" si="85"/>
        <v>0</v>
      </c>
      <c r="J137" s="1890">
        <f t="shared" si="85"/>
        <v>0</v>
      </c>
      <c r="K137" s="1890">
        <f t="shared" si="85"/>
        <v>0</v>
      </c>
      <c r="L137" s="1890"/>
      <c r="M137" s="3681"/>
      <c r="N137" s="3681"/>
      <c r="O137" s="3673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6"/>
      <c r="AY137" s="326"/>
      <c r="AZ137" s="326"/>
      <c r="BA137" s="326"/>
      <c r="BB137" s="326"/>
      <c r="BC137" s="326"/>
      <c r="BD137" s="326"/>
      <c r="BE137" s="326"/>
      <c r="BF137" s="326"/>
      <c r="BG137" s="326"/>
      <c r="BH137" s="326"/>
      <c r="BI137" s="326"/>
      <c r="BJ137" s="326"/>
      <c r="BK137" s="326"/>
      <c r="BL137" s="326"/>
      <c r="BM137" s="326"/>
      <c r="BN137" s="326"/>
      <c r="BO137" s="326"/>
      <c r="BP137" s="326"/>
      <c r="BQ137" s="326"/>
      <c r="BR137" s="326"/>
      <c r="BS137" s="326"/>
      <c r="BT137" s="326"/>
      <c r="BU137" s="326"/>
      <c r="BV137" s="326"/>
      <c r="BW137" s="326"/>
      <c r="BX137" s="326"/>
    </row>
    <row r="138" spans="1:76" ht="12.75" thickBot="1">
      <c r="A138" s="3671"/>
      <c r="B138" s="1928" t="s">
        <v>35</v>
      </c>
      <c r="C138" s="3683"/>
      <c r="D138" s="2147">
        <f>E138+F138+G138+H138+I138+J138+K138+L138</f>
        <v>2451306</v>
      </c>
      <c r="E138" s="2105">
        <v>0</v>
      </c>
      <c r="F138" s="1930">
        <v>0</v>
      </c>
      <c r="G138" s="1930">
        <f>1286641-398390</f>
        <v>888251</v>
      </c>
      <c r="H138" s="1930">
        <f>1164665+398390</f>
        <v>1563055</v>
      </c>
      <c r="I138" s="1930"/>
      <c r="J138" s="1930"/>
      <c r="K138" s="1930"/>
      <c r="L138" s="1930"/>
      <c r="M138" s="3682"/>
      <c r="N138" s="3682"/>
      <c r="O138" s="3674"/>
    </row>
    <row r="139" spans="1:76" ht="28.5" customHeight="1">
      <c r="A139" s="3669" t="s">
        <v>89</v>
      </c>
      <c r="B139" s="551" t="s">
        <v>501</v>
      </c>
      <c r="C139" s="552" t="s">
        <v>109</v>
      </c>
      <c r="D139" s="489"/>
      <c r="E139" s="541"/>
      <c r="F139" s="541"/>
      <c r="G139" s="541"/>
      <c r="H139" s="541"/>
      <c r="I139" s="541"/>
      <c r="J139" s="541"/>
      <c r="K139" s="541"/>
      <c r="L139" s="541"/>
      <c r="M139" s="542"/>
      <c r="N139" s="542"/>
      <c r="O139" s="3672" t="s">
        <v>158</v>
      </c>
    </row>
    <row r="140" spans="1:76" ht="14.25" customHeight="1">
      <c r="A140" s="3670"/>
      <c r="B140" s="1923" t="s">
        <v>10</v>
      </c>
      <c r="C140" s="2979"/>
      <c r="D140" s="1797">
        <f>+D141+D144</f>
        <v>5273902</v>
      </c>
      <c r="E140" s="1797">
        <f t="shared" ref="E140:G140" si="86">+E141+E144</f>
        <v>6055</v>
      </c>
      <c r="F140" s="1797">
        <f t="shared" si="86"/>
        <v>1200</v>
      </c>
      <c r="G140" s="1797">
        <f t="shared" si="86"/>
        <v>1388715</v>
      </c>
      <c r="H140" s="1797">
        <f>+H141+H144</f>
        <v>2671444</v>
      </c>
      <c r="I140" s="1797">
        <f>+I141+I144</f>
        <v>1206488</v>
      </c>
      <c r="J140" s="1797">
        <f t="shared" ref="J140:K140" si="87">+J141+J144</f>
        <v>0</v>
      </c>
      <c r="K140" s="1797">
        <f t="shared" si="87"/>
        <v>0</v>
      </c>
      <c r="L140" s="1797"/>
      <c r="M140" s="1924">
        <f>+M141</f>
        <v>1473150</v>
      </c>
      <c r="N140" s="1924">
        <f>+N141</f>
        <v>1473150</v>
      </c>
      <c r="O140" s="3673"/>
    </row>
    <row r="141" spans="1:76" ht="12">
      <c r="A141" s="3670"/>
      <c r="B141" s="2980" t="s">
        <v>24</v>
      </c>
      <c r="C141" s="3684" t="s">
        <v>159</v>
      </c>
      <c r="D141" s="1781">
        <f>D143+D142</f>
        <v>1480405</v>
      </c>
      <c r="E141" s="1781">
        <f t="shared" ref="E141:K141" si="88">E143+E142</f>
        <v>6055</v>
      </c>
      <c r="F141" s="1781">
        <f t="shared" si="88"/>
        <v>1200</v>
      </c>
      <c r="G141" s="1781">
        <f t="shared" si="88"/>
        <v>370622</v>
      </c>
      <c r="H141" s="1781">
        <f t="shared" si="88"/>
        <v>778267</v>
      </c>
      <c r="I141" s="1781">
        <f t="shared" si="88"/>
        <v>324261</v>
      </c>
      <c r="J141" s="1781">
        <f t="shared" si="88"/>
        <v>0</v>
      </c>
      <c r="K141" s="1781">
        <f t="shared" si="88"/>
        <v>0</v>
      </c>
      <c r="L141" s="1781"/>
      <c r="M141" s="1751">
        <f>+M143</f>
        <v>1473150</v>
      </c>
      <c r="N141" s="1751">
        <f>+N143</f>
        <v>1473150</v>
      </c>
      <c r="O141" s="3673"/>
    </row>
    <row r="142" spans="1:76" ht="12">
      <c r="A142" s="3670"/>
      <c r="B142" s="2981" t="s">
        <v>32</v>
      </c>
      <c r="C142" s="3676"/>
      <c r="D142" s="1715">
        <f>E142+F142+G142+H142+I142+J142+K142+L142</f>
        <v>7255</v>
      </c>
      <c r="E142" s="1762">
        <f>2279+3776</f>
        <v>6055</v>
      </c>
      <c r="F142" s="2982">
        <v>1200</v>
      </c>
      <c r="G142" s="2982">
        <v>0</v>
      </c>
      <c r="H142" s="2982">
        <v>0</v>
      </c>
      <c r="I142" s="2982">
        <v>0</v>
      </c>
      <c r="J142" s="2959"/>
      <c r="K142" s="2959"/>
      <c r="L142" s="2959"/>
      <c r="M142" s="555" t="s">
        <v>61</v>
      </c>
      <c r="N142" s="555" t="s">
        <v>61</v>
      </c>
      <c r="O142" s="3673"/>
    </row>
    <row r="143" spans="1:76" ht="12">
      <c r="A143" s="3670"/>
      <c r="B143" s="2983" t="s">
        <v>121</v>
      </c>
      <c r="C143" s="3677"/>
      <c r="D143" s="1715">
        <f>E143+F143+G143+H143+I143+J143+K143+L143</f>
        <v>1473150</v>
      </c>
      <c r="E143" s="1762"/>
      <c r="F143" s="2984">
        <v>0</v>
      </c>
      <c r="G143" s="2984">
        <f>453927-83305</f>
        <v>370622</v>
      </c>
      <c r="H143" s="2984">
        <f>614097+164170</f>
        <v>778267</v>
      </c>
      <c r="I143" s="2984">
        <f>278912+45349</f>
        <v>324261</v>
      </c>
      <c r="J143" s="2984"/>
      <c r="K143" s="2984"/>
      <c r="L143" s="2984"/>
      <c r="M143" s="1925">
        <f>SUM(F143:K143)</f>
        <v>1473150</v>
      </c>
      <c r="N143" s="1925">
        <f>SUM(G143:L143)</f>
        <v>1473150</v>
      </c>
      <c r="O143" s="3673"/>
    </row>
    <row r="144" spans="1:76" ht="12">
      <c r="A144" s="3670"/>
      <c r="B144" s="2985" t="s">
        <v>18</v>
      </c>
      <c r="C144" s="3685" t="s">
        <v>23</v>
      </c>
      <c r="D144" s="1890">
        <f>+D145</f>
        <v>3793497</v>
      </c>
      <c r="E144" s="1890">
        <f t="shared" ref="E144:N144" si="89">+E145</f>
        <v>0</v>
      </c>
      <c r="F144" s="1890">
        <f t="shared" si="89"/>
        <v>0</v>
      </c>
      <c r="G144" s="1890">
        <f t="shared" si="89"/>
        <v>1018093</v>
      </c>
      <c r="H144" s="1890">
        <f t="shared" si="89"/>
        <v>1893177</v>
      </c>
      <c r="I144" s="1890">
        <f t="shared" si="89"/>
        <v>882227</v>
      </c>
      <c r="J144" s="1890">
        <f t="shared" si="89"/>
        <v>0</v>
      </c>
      <c r="K144" s="1890">
        <f t="shared" si="89"/>
        <v>0</v>
      </c>
      <c r="L144" s="2965"/>
      <c r="M144" s="2966" t="str">
        <f t="shared" si="89"/>
        <v>x</v>
      </c>
      <c r="N144" s="2966" t="str">
        <f t="shared" si="89"/>
        <v>x</v>
      </c>
      <c r="O144" s="3673"/>
    </row>
    <row r="145" spans="1:15" ht="12">
      <c r="A145" s="3670"/>
      <c r="B145" s="2983" t="s">
        <v>35</v>
      </c>
      <c r="C145" s="3679"/>
      <c r="D145" s="1715">
        <f>E145+F145+G145+H145+I145+J145+K145+L145</f>
        <v>3793497</v>
      </c>
      <c r="E145" s="1762">
        <v>0</v>
      </c>
      <c r="F145" s="1926">
        <v>0</v>
      </c>
      <c r="G145" s="1926">
        <f>1197070-178977</f>
        <v>1018093</v>
      </c>
      <c r="H145" s="1926">
        <f>1496559+396618</f>
        <v>1893177</v>
      </c>
      <c r="I145" s="1926">
        <f>729656+152571</f>
        <v>882227</v>
      </c>
      <c r="J145" s="2967"/>
      <c r="K145" s="2967"/>
      <c r="L145" s="2967"/>
      <c r="M145" s="2968" t="s">
        <v>61</v>
      </c>
      <c r="N145" s="2968" t="s">
        <v>61</v>
      </c>
      <c r="O145" s="3673"/>
    </row>
    <row r="146" spans="1:15" ht="13.5" customHeight="1">
      <c r="A146" s="3670"/>
      <c r="B146" s="1923" t="s">
        <v>22</v>
      </c>
      <c r="C146" s="2986"/>
      <c r="D146" s="1792">
        <f>D149+D147</f>
        <v>4604546</v>
      </c>
      <c r="E146" s="1792">
        <f t="shared" ref="E146:G146" si="90">E149+E147</f>
        <v>0</v>
      </c>
      <c r="F146" s="1792">
        <f t="shared" si="90"/>
        <v>0</v>
      </c>
      <c r="G146" s="1792">
        <f t="shared" si="90"/>
        <v>1021307</v>
      </c>
      <c r="H146" s="1792">
        <f>H149+H147</f>
        <v>2197354</v>
      </c>
      <c r="I146" s="1792">
        <f>I149+I147</f>
        <v>1385885</v>
      </c>
      <c r="J146" s="1792">
        <f t="shared" ref="J146:K146" si="91">J149+J147</f>
        <v>0</v>
      </c>
      <c r="K146" s="1792">
        <f t="shared" si="91"/>
        <v>0</v>
      </c>
      <c r="L146" s="1792"/>
      <c r="M146" s="3686" t="s">
        <v>61</v>
      </c>
      <c r="N146" s="3686" t="s">
        <v>61</v>
      </c>
      <c r="O146" s="3673"/>
    </row>
    <row r="147" spans="1:15" ht="12">
      <c r="A147" s="3670"/>
      <c r="B147" s="1927" t="s">
        <v>24</v>
      </c>
      <c r="C147" s="3684" t="s">
        <v>159</v>
      </c>
      <c r="D147" s="1896">
        <f>+D148</f>
        <v>811049</v>
      </c>
      <c r="E147" s="1896">
        <f t="shared" ref="E147:K147" si="92">+E148</f>
        <v>0</v>
      </c>
      <c r="F147" s="1896">
        <f t="shared" si="92"/>
        <v>0</v>
      </c>
      <c r="G147" s="1896">
        <f t="shared" si="92"/>
        <v>153214</v>
      </c>
      <c r="H147" s="1896">
        <f t="shared" si="92"/>
        <v>424177</v>
      </c>
      <c r="I147" s="1896">
        <f t="shared" si="92"/>
        <v>233658</v>
      </c>
      <c r="J147" s="1896">
        <f t="shared" si="92"/>
        <v>0</v>
      </c>
      <c r="K147" s="1896">
        <f t="shared" si="92"/>
        <v>0</v>
      </c>
      <c r="L147" s="1896"/>
      <c r="M147" s="3681"/>
      <c r="N147" s="3681"/>
      <c r="O147" s="3673"/>
    </row>
    <row r="148" spans="1:15" ht="12">
      <c r="A148" s="3670"/>
      <c r="B148" s="2983" t="s">
        <v>146</v>
      </c>
      <c r="C148" s="3676"/>
      <c r="D148" s="1715">
        <f>E148+F148+G148+H148+I148+J148+K148+L148</f>
        <v>811049</v>
      </c>
      <c r="E148" s="1762">
        <v>0</v>
      </c>
      <c r="F148" s="2984"/>
      <c r="G148" s="2984">
        <f>253104-99890</f>
        <v>153214</v>
      </c>
      <c r="H148" s="2984">
        <f>349998+74179</f>
        <v>424177</v>
      </c>
      <c r="I148" s="2984">
        <f>147063+86595</f>
        <v>233658</v>
      </c>
      <c r="J148" s="2984"/>
      <c r="K148" s="2984"/>
      <c r="L148" s="2984"/>
      <c r="M148" s="3681"/>
      <c r="N148" s="3681"/>
      <c r="O148" s="3673"/>
    </row>
    <row r="149" spans="1:15" ht="12">
      <c r="A149" s="3670"/>
      <c r="B149" s="2985" t="s">
        <v>18</v>
      </c>
      <c r="C149" s="3685" t="s">
        <v>23</v>
      </c>
      <c r="D149" s="1890">
        <f>+D150</f>
        <v>3793497</v>
      </c>
      <c r="E149" s="1890">
        <f t="shared" ref="E149:K149" si="93">+E150</f>
        <v>0</v>
      </c>
      <c r="F149" s="1890">
        <f t="shared" si="93"/>
        <v>0</v>
      </c>
      <c r="G149" s="1890">
        <f t="shared" si="93"/>
        <v>868093</v>
      </c>
      <c r="H149" s="1890">
        <f t="shared" si="93"/>
        <v>1773177</v>
      </c>
      <c r="I149" s="1890">
        <f t="shared" si="93"/>
        <v>1152227</v>
      </c>
      <c r="J149" s="1890">
        <f t="shared" si="93"/>
        <v>0</v>
      </c>
      <c r="K149" s="1890">
        <f t="shared" si="93"/>
        <v>0</v>
      </c>
      <c r="L149" s="1890"/>
      <c r="M149" s="3681"/>
      <c r="N149" s="3681"/>
      <c r="O149" s="3673"/>
    </row>
    <row r="150" spans="1:15" ht="12.75" thickBot="1">
      <c r="A150" s="3671"/>
      <c r="B150" s="1928" t="s">
        <v>35</v>
      </c>
      <c r="C150" s="3683"/>
      <c r="D150" s="1929">
        <f>E150+F150+G150+H150+I150+J150+K150+L150</f>
        <v>3793497</v>
      </c>
      <c r="E150" s="2105">
        <v>0</v>
      </c>
      <c r="F150" s="1930">
        <v>0</v>
      </c>
      <c r="G150" s="1930">
        <f>1197070-328977</f>
        <v>868093</v>
      </c>
      <c r="H150" s="1930">
        <f>1496559+276618</f>
        <v>1773177</v>
      </c>
      <c r="I150" s="1930">
        <f>729656+422571</f>
        <v>1152227</v>
      </c>
      <c r="J150" s="1930"/>
      <c r="K150" s="1930"/>
      <c r="L150" s="1930"/>
      <c r="M150" s="3682"/>
      <c r="N150" s="3682"/>
      <c r="O150" s="3674"/>
    </row>
    <row r="151" spans="1:15" ht="29.25" customHeight="1">
      <c r="A151" s="3669" t="s">
        <v>90</v>
      </c>
      <c r="B151" s="551" t="s">
        <v>502</v>
      </c>
      <c r="C151" s="552" t="s">
        <v>81</v>
      </c>
      <c r="D151" s="489"/>
      <c r="E151" s="541"/>
      <c r="F151" s="541"/>
      <c r="G151" s="541"/>
      <c r="H151" s="541"/>
      <c r="I151" s="541"/>
      <c r="J151" s="541"/>
      <c r="K151" s="541"/>
      <c r="L151" s="541"/>
      <c r="M151" s="542"/>
      <c r="N151" s="542"/>
      <c r="O151" s="3672" t="s">
        <v>490</v>
      </c>
    </row>
    <row r="152" spans="1:15" ht="14.25" customHeight="1">
      <c r="A152" s="3670"/>
      <c r="B152" s="503" t="s">
        <v>10</v>
      </c>
      <c r="C152" s="553"/>
      <c r="D152" s="540">
        <f>+D153+D156</f>
        <v>2070950</v>
      </c>
      <c r="E152" s="540">
        <f t="shared" ref="E152:F152" si="94">+E153+E156</f>
        <v>6118</v>
      </c>
      <c r="F152" s="540">
        <f t="shared" si="94"/>
        <v>0</v>
      </c>
      <c r="G152" s="540">
        <f>+G153+G156</f>
        <v>281943</v>
      </c>
      <c r="H152" s="540">
        <f>+H153+H156</f>
        <v>1782889</v>
      </c>
      <c r="I152" s="540">
        <f>+I153+I156</f>
        <v>0</v>
      </c>
      <c r="J152" s="540">
        <f t="shared" ref="J152:K152" si="95">+J153+J156</f>
        <v>0</v>
      </c>
      <c r="K152" s="540">
        <f t="shared" si="95"/>
        <v>0</v>
      </c>
      <c r="L152" s="540"/>
      <c r="M152" s="543">
        <f>+M153</f>
        <v>627352</v>
      </c>
      <c r="N152" s="543">
        <f>+N153</f>
        <v>627352</v>
      </c>
      <c r="O152" s="3673"/>
    </row>
    <row r="153" spans="1:15" ht="12" customHeight="1">
      <c r="A153" s="3670"/>
      <c r="B153" s="2993" t="s">
        <v>24</v>
      </c>
      <c r="C153" s="3675" t="s">
        <v>159</v>
      </c>
      <c r="D153" s="494">
        <f>D155+D154</f>
        <v>633470</v>
      </c>
      <c r="E153" s="494">
        <f t="shared" ref="E153:K153" si="96">E155+E154</f>
        <v>6118</v>
      </c>
      <c r="F153" s="494">
        <f t="shared" si="96"/>
        <v>0</v>
      </c>
      <c r="G153" s="494">
        <f t="shared" si="96"/>
        <v>76540</v>
      </c>
      <c r="H153" s="494">
        <f t="shared" si="96"/>
        <v>550812</v>
      </c>
      <c r="I153" s="494">
        <f t="shared" si="96"/>
        <v>0</v>
      </c>
      <c r="J153" s="494">
        <f t="shared" si="96"/>
        <v>0</v>
      </c>
      <c r="K153" s="494">
        <f t="shared" si="96"/>
        <v>0</v>
      </c>
      <c r="L153" s="494"/>
      <c r="M153" s="545">
        <f>+M155</f>
        <v>627352</v>
      </c>
      <c r="N153" s="545">
        <f>+N155</f>
        <v>627352</v>
      </c>
      <c r="O153" s="3673"/>
    </row>
    <row r="154" spans="1:15" ht="12">
      <c r="A154" s="3670"/>
      <c r="B154" s="511" t="s">
        <v>32</v>
      </c>
      <c r="C154" s="3676"/>
      <c r="D154" s="247">
        <f>E154+F154+G154+H154+I154+J154+K154+L154</f>
        <v>6118</v>
      </c>
      <c r="E154" s="490">
        <v>6118</v>
      </c>
      <c r="F154" s="554">
        <v>0</v>
      </c>
      <c r="G154" s="554">
        <v>0</v>
      </c>
      <c r="H154" s="554">
        <v>0</v>
      </c>
      <c r="I154" s="554">
        <v>0</v>
      </c>
      <c r="J154" s="2959"/>
      <c r="K154" s="2959"/>
      <c r="L154" s="2959"/>
      <c r="M154" s="555" t="s">
        <v>61</v>
      </c>
      <c r="N154" s="555" t="s">
        <v>61</v>
      </c>
      <c r="O154" s="3673"/>
    </row>
    <row r="155" spans="1:15" ht="12">
      <c r="A155" s="3670"/>
      <c r="B155" s="2947" t="s">
        <v>121</v>
      </c>
      <c r="C155" s="3677"/>
      <c r="D155" s="247">
        <f>E155+F155+G155+H155+I155+J155+K155+L155</f>
        <v>627352</v>
      </c>
      <c r="E155" s="490"/>
      <c r="F155" s="493"/>
      <c r="G155" s="493">
        <f>198520-121980</f>
        <v>76540</v>
      </c>
      <c r="H155" s="493">
        <f>594337-43525</f>
        <v>550812</v>
      </c>
      <c r="I155" s="493"/>
      <c r="J155" s="493"/>
      <c r="K155" s="493"/>
      <c r="L155" s="493"/>
      <c r="M155" s="538">
        <f>SUM(F155:K155)</f>
        <v>627352</v>
      </c>
      <c r="N155" s="538">
        <f>SUM(G155:L155)</f>
        <v>627352</v>
      </c>
      <c r="O155" s="3673"/>
    </row>
    <row r="156" spans="1:15" ht="12">
      <c r="A156" s="3670"/>
      <c r="B156" s="2994" t="s">
        <v>18</v>
      </c>
      <c r="C156" s="3678" t="s">
        <v>23</v>
      </c>
      <c r="D156" s="2995">
        <f>+D157</f>
        <v>1437480</v>
      </c>
      <c r="E156" s="2995">
        <f t="shared" ref="E156:N156" si="97">+E157</f>
        <v>0</v>
      </c>
      <c r="F156" s="2995">
        <f t="shared" si="97"/>
        <v>0</v>
      </c>
      <c r="G156" s="2995">
        <f t="shared" si="97"/>
        <v>205403</v>
      </c>
      <c r="H156" s="2995">
        <f t="shared" si="97"/>
        <v>1232077</v>
      </c>
      <c r="I156" s="2995">
        <f t="shared" si="97"/>
        <v>0</v>
      </c>
      <c r="J156" s="2995">
        <f t="shared" si="97"/>
        <v>0</v>
      </c>
      <c r="K156" s="2995">
        <f t="shared" si="97"/>
        <v>0</v>
      </c>
      <c r="L156" s="2965"/>
      <c r="M156" s="2966" t="str">
        <f t="shared" si="97"/>
        <v>x</v>
      </c>
      <c r="N156" s="2966" t="str">
        <f t="shared" si="97"/>
        <v>x</v>
      </c>
      <c r="O156" s="3673"/>
    </row>
    <row r="157" spans="1:15" ht="12">
      <c r="A157" s="3670"/>
      <c r="B157" s="2947" t="s">
        <v>35</v>
      </c>
      <c r="C157" s="3679"/>
      <c r="D157" s="247">
        <f>E157+F157+G157+H157+I157+J157+K157+L157</f>
        <v>1437480</v>
      </c>
      <c r="E157" s="490">
        <v>0</v>
      </c>
      <c r="F157" s="492">
        <v>0</v>
      </c>
      <c r="G157" s="492">
        <f>478253-272850</f>
        <v>205403</v>
      </c>
      <c r="H157" s="492">
        <f>1329439-97362</f>
        <v>1232077</v>
      </c>
      <c r="I157" s="492"/>
      <c r="J157" s="2967"/>
      <c r="K157" s="2967"/>
      <c r="L157" s="2967"/>
      <c r="M157" s="2968" t="s">
        <v>61</v>
      </c>
      <c r="N157" s="2968" t="s">
        <v>61</v>
      </c>
      <c r="O157" s="3673"/>
    </row>
    <row r="158" spans="1:15" ht="13.5" customHeight="1">
      <c r="A158" s="3670"/>
      <c r="B158" s="503" t="s">
        <v>22</v>
      </c>
      <c r="C158" s="2996"/>
      <c r="D158" s="2977">
        <f>D161+D159</f>
        <v>1817193</v>
      </c>
      <c r="E158" s="2977">
        <f t="shared" ref="E158:G158" si="98">E161+E159</f>
        <v>0</v>
      </c>
      <c r="F158" s="2977">
        <f t="shared" si="98"/>
        <v>0</v>
      </c>
      <c r="G158" s="2977">
        <f t="shared" si="98"/>
        <v>161730</v>
      </c>
      <c r="H158" s="2977">
        <f>H161+H159</f>
        <v>1265463</v>
      </c>
      <c r="I158" s="2977">
        <f>I161+I159</f>
        <v>390000</v>
      </c>
      <c r="J158" s="2977">
        <f t="shared" ref="J158:K158" si="99">J161+J159</f>
        <v>0</v>
      </c>
      <c r="K158" s="2977">
        <f t="shared" si="99"/>
        <v>0</v>
      </c>
      <c r="L158" s="2977"/>
      <c r="M158" s="3680" t="s">
        <v>61</v>
      </c>
      <c r="N158" s="3680" t="s">
        <v>61</v>
      </c>
      <c r="O158" s="3673"/>
    </row>
    <row r="159" spans="1:15" ht="12" customHeight="1">
      <c r="A159" s="3670"/>
      <c r="B159" s="2945" t="s">
        <v>24</v>
      </c>
      <c r="C159" s="3675" t="s">
        <v>159</v>
      </c>
      <c r="D159" s="2997">
        <f>+D160</f>
        <v>379713</v>
      </c>
      <c r="E159" s="2997">
        <f t="shared" ref="E159:K159" si="100">+E160</f>
        <v>0</v>
      </c>
      <c r="F159" s="2997">
        <f t="shared" si="100"/>
        <v>0</v>
      </c>
      <c r="G159" s="2997">
        <f t="shared" si="100"/>
        <v>26327</v>
      </c>
      <c r="H159" s="2997">
        <f t="shared" si="100"/>
        <v>313386</v>
      </c>
      <c r="I159" s="2997">
        <f t="shared" si="100"/>
        <v>40000</v>
      </c>
      <c r="J159" s="2997">
        <f t="shared" si="100"/>
        <v>0</v>
      </c>
      <c r="K159" s="2997">
        <f t="shared" si="100"/>
        <v>0</v>
      </c>
      <c r="L159" s="2997"/>
      <c r="M159" s="3681"/>
      <c r="N159" s="3681"/>
      <c r="O159" s="3673"/>
    </row>
    <row r="160" spans="1:15" ht="12">
      <c r="A160" s="3670"/>
      <c r="B160" s="2947" t="s">
        <v>146</v>
      </c>
      <c r="C160" s="3676"/>
      <c r="D160" s="247">
        <f>E160+F160+G160+H160+I160+J160+K160+L160</f>
        <v>379713</v>
      </c>
      <c r="E160" s="490">
        <v>0</v>
      </c>
      <c r="F160" s="493"/>
      <c r="G160" s="493">
        <f>120157-93830</f>
        <v>26327</v>
      </c>
      <c r="H160" s="493">
        <f>359731-46345</f>
        <v>313386</v>
      </c>
      <c r="I160" s="493">
        <v>40000</v>
      </c>
      <c r="J160" s="493"/>
      <c r="K160" s="493"/>
      <c r="L160" s="493"/>
      <c r="M160" s="3681"/>
      <c r="N160" s="3681"/>
      <c r="O160" s="3673"/>
    </row>
    <row r="161" spans="1:15" ht="12">
      <c r="A161" s="3670"/>
      <c r="B161" s="2994" t="s">
        <v>18</v>
      </c>
      <c r="C161" s="3678" t="s">
        <v>23</v>
      </c>
      <c r="D161" s="2995">
        <f>+D162</f>
        <v>1437480</v>
      </c>
      <c r="E161" s="2995">
        <f t="shared" ref="E161:K161" si="101">+E162</f>
        <v>0</v>
      </c>
      <c r="F161" s="2995">
        <f t="shared" si="101"/>
        <v>0</v>
      </c>
      <c r="G161" s="2995">
        <f t="shared" si="101"/>
        <v>135403</v>
      </c>
      <c r="H161" s="2995">
        <f t="shared" si="101"/>
        <v>952077</v>
      </c>
      <c r="I161" s="2995">
        <f t="shared" si="101"/>
        <v>350000</v>
      </c>
      <c r="J161" s="2995">
        <f t="shared" si="101"/>
        <v>0</v>
      </c>
      <c r="K161" s="2995">
        <f t="shared" si="101"/>
        <v>0</v>
      </c>
      <c r="L161" s="2995"/>
      <c r="M161" s="3681"/>
      <c r="N161" s="3681"/>
      <c r="O161" s="3673"/>
    </row>
    <row r="162" spans="1:15" ht="12.75" thickBot="1">
      <c r="A162" s="3671"/>
      <c r="B162" s="2742" t="s">
        <v>35</v>
      </c>
      <c r="C162" s="3683"/>
      <c r="D162" s="2147">
        <f>E162+F162+G162+H162+I162+J162+K162+L162</f>
        <v>1437480</v>
      </c>
      <c r="E162" s="546">
        <v>0</v>
      </c>
      <c r="F162" s="558">
        <v>0</v>
      </c>
      <c r="G162" s="558">
        <f>478253-342850</f>
        <v>135403</v>
      </c>
      <c r="H162" s="558">
        <f>1329439-377362</f>
        <v>952077</v>
      </c>
      <c r="I162" s="558">
        <v>350000</v>
      </c>
      <c r="J162" s="558"/>
      <c r="K162" s="558"/>
      <c r="L162" s="558"/>
      <c r="M162" s="3682"/>
      <c r="N162" s="3682"/>
      <c r="O162" s="3674"/>
    </row>
    <row r="163" spans="1:15">
      <c r="O163" s="2198"/>
    </row>
    <row r="164" spans="1:15">
      <c r="O164" s="2198"/>
    </row>
    <row r="165" spans="1:15">
      <c r="O165" s="2198"/>
    </row>
    <row r="166" spans="1:15">
      <c r="A166" s="410" t="s">
        <v>487</v>
      </c>
      <c r="O166" s="2198"/>
    </row>
    <row r="167" spans="1:15">
      <c r="O167" s="2198"/>
    </row>
    <row r="168" spans="1:15">
      <c r="D168" s="515"/>
      <c r="G168" s="515">
        <f>G152+G140+G126+G114+G102+G42+G33+G24</f>
        <v>20100303</v>
      </c>
      <c r="O168" s="2198"/>
    </row>
    <row r="169" spans="1:15">
      <c r="G169" s="515">
        <f>G168-G10</f>
        <v>-2035400</v>
      </c>
      <c r="O169" s="2198"/>
    </row>
    <row r="170" spans="1:15">
      <c r="O170" s="2198"/>
    </row>
    <row r="171" spans="1:15">
      <c r="D171" s="515">
        <f>D155+D143+D129+D117+D105+D45+D35+D26</f>
        <v>41019143</v>
      </c>
      <c r="O171" s="2198"/>
    </row>
    <row r="172" spans="1:15">
      <c r="D172" s="515">
        <f>D7-D171</f>
        <v>87721674</v>
      </c>
      <c r="O172" s="2198"/>
    </row>
    <row r="173" spans="1:15">
      <c r="O173" s="2198"/>
    </row>
    <row r="174" spans="1:15">
      <c r="O174" s="2198"/>
    </row>
    <row r="175" spans="1:15">
      <c r="O175" s="2198"/>
    </row>
    <row r="176" spans="1:15">
      <c r="O176" s="2198"/>
    </row>
    <row r="177" spans="15:15">
      <c r="O177" s="2198"/>
    </row>
    <row r="178" spans="15:15">
      <c r="O178" s="2198"/>
    </row>
    <row r="179" spans="15:15">
      <c r="O179" s="2198"/>
    </row>
    <row r="180" spans="15:15">
      <c r="O180" s="2198"/>
    </row>
    <row r="181" spans="15:15">
      <c r="O181" s="2198"/>
    </row>
    <row r="182" spans="15:15">
      <c r="O182" s="2198"/>
    </row>
    <row r="183" spans="15:15">
      <c r="O183" s="2198"/>
    </row>
    <row r="184" spans="15:15">
      <c r="O184" s="2198"/>
    </row>
    <row r="185" spans="15:15">
      <c r="O185" s="2198"/>
    </row>
    <row r="186" spans="15:15">
      <c r="O186" s="2198"/>
    </row>
    <row r="187" spans="15:15">
      <c r="O187" s="2198"/>
    </row>
    <row r="188" spans="15:15">
      <c r="O188" s="2198"/>
    </row>
    <row r="189" spans="15:15">
      <c r="O189" s="2198"/>
    </row>
    <row r="190" spans="15:15">
      <c r="O190" s="2198"/>
    </row>
    <row r="191" spans="15:15">
      <c r="O191" s="2198"/>
    </row>
    <row r="192" spans="15:15">
      <c r="O192" s="2198"/>
    </row>
    <row r="193" spans="15:15">
      <c r="O193" s="2198"/>
    </row>
    <row r="194" spans="15:15">
      <c r="O194" s="2198"/>
    </row>
    <row r="195" spans="15:15">
      <c r="O195" s="2198"/>
    </row>
    <row r="196" spans="15:15">
      <c r="O196" s="2198"/>
    </row>
    <row r="197" spans="15:15">
      <c r="O197" s="2198"/>
    </row>
    <row r="198" spans="15:15">
      <c r="O198" s="2198"/>
    </row>
    <row r="199" spans="15:15">
      <c r="O199" s="2198"/>
    </row>
    <row r="200" spans="15:15">
      <c r="O200" s="2198"/>
    </row>
    <row r="201" spans="15:15">
      <c r="O201" s="2198"/>
    </row>
    <row r="202" spans="15:15">
      <c r="O202" s="2198"/>
    </row>
    <row r="203" spans="15:15">
      <c r="O203" s="2198"/>
    </row>
    <row r="204" spans="15:15">
      <c r="O204" s="2198"/>
    </row>
    <row r="205" spans="15:15">
      <c r="O205" s="2198"/>
    </row>
    <row r="206" spans="15:15">
      <c r="O206" s="2198"/>
    </row>
    <row r="207" spans="15:15">
      <c r="O207" s="2198"/>
    </row>
    <row r="208" spans="15:15">
      <c r="O208" s="2198"/>
    </row>
    <row r="209" spans="15:15">
      <c r="O209" s="2198"/>
    </row>
    <row r="210" spans="15:15">
      <c r="O210" s="2198"/>
    </row>
    <row r="211" spans="15:15">
      <c r="O211" s="2198"/>
    </row>
    <row r="212" spans="15:15">
      <c r="O212" s="2198"/>
    </row>
    <row r="213" spans="15:15">
      <c r="O213" s="2198"/>
    </row>
    <row r="214" spans="15:15">
      <c r="O214" s="2198"/>
    </row>
    <row r="215" spans="15:15">
      <c r="O215" s="2198"/>
    </row>
    <row r="216" spans="15:15">
      <c r="O216" s="2198"/>
    </row>
    <row r="217" spans="15:15">
      <c r="O217" s="2198"/>
    </row>
    <row r="218" spans="15:15">
      <c r="O218" s="2198"/>
    </row>
    <row r="219" spans="15:15">
      <c r="O219" s="2198"/>
    </row>
    <row r="220" spans="15:15">
      <c r="O220" s="2198"/>
    </row>
    <row r="221" spans="15:15">
      <c r="O221" s="2198"/>
    </row>
    <row r="222" spans="15:15">
      <c r="O222" s="2198"/>
    </row>
    <row r="223" spans="15:15">
      <c r="O223" s="2198"/>
    </row>
    <row r="224" spans="15:15">
      <c r="O224" s="2198"/>
    </row>
    <row r="225" spans="15:15">
      <c r="O225" s="2198"/>
    </row>
    <row r="226" spans="15:15">
      <c r="O226" s="2198"/>
    </row>
    <row r="227" spans="15:15">
      <c r="O227" s="2198"/>
    </row>
    <row r="228" spans="15:15">
      <c r="O228" s="2198"/>
    </row>
    <row r="229" spans="15:15">
      <c r="O229" s="2198"/>
    </row>
    <row r="230" spans="15:15">
      <c r="O230" s="2198"/>
    </row>
    <row r="231" spans="15:15">
      <c r="O231" s="2198"/>
    </row>
    <row r="232" spans="15:15">
      <c r="O232" s="2198"/>
    </row>
    <row r="233" spans="15:15">
      <c r="O233" s="2198"/>
    </row>
    <row r="234" spans="15:15">
      <c r="O234" s="2198"/>
    </row>
    <row r="235" spans="15:15">
      <c r="O235" s="2198"/>
    </row>
    <row r="236" spans="15:15">
      <c r="O236" s="2198"/>
    </row>
    <row r="237" spans="15:15">
      <c r="O237" s="2198"/>
    </row>
    <row r="238" spans="15:15">
      <c r="O238" s="2198"/>
    </row>
    <row r="239" spans="15:15">
      <c r="O239" s="2198"/>
    </row>
    <row r="240" spans="15:15">
      <c r="O240" s="2198"/>
    </row>
    <row r="241" spans="15:15">
      <c r="O241" s="2198"/>
    </row>
    <row r="242" spans="15:15">
      <c r="O242" s="2198"/>
    </row>
    <row r="243" spans="15:15">
      <c r="O243" s="2198"/>
    </row>
    <row r="244" spans="15:15">
      <c r="O244" s="2198"/>
    </row>
    <row r="245" spans="15:15">
      <c r="O245" s="2198"/>
    </row>
    <row r="246" spans="15:15">
      <c r="O246" s="2198"/>
    </row>
    <row r="247" spans="15:15">
      <c r="O247" s="2198"/>
    </row>
    <row r="248" spans="15:15">
      <c r="O248" s="2198"/>
    </row>
    <row r="249" spans="15:15">
      <c r="O249" s="2198"/>
    </row>
    <row r="250" spans="15:15">
      <c r="O250" s="2198"/>
    </row>
    <row r="251" spans="15:15">
      <c r="O251" s="2198"/>
    </row>
    <row r="252" spans="15:15">
      <c r="O252" s="2198"/>
    </row>
    <row r="253" spans="15:15">
      <c r="O253" s="2198"/>
    </row>
    <row r="254" spans="15:15">
      <c r="O254" s="2198"/>
    </row>
    <row r="255" spans="15:15">
      <c r="O255" s="2198"/>
    </row>
    <row r="256" spans="15:15">
      <c r="O256" s="2198"/>
    </row>
    <row r="257" spans="15:15">
      <c r="O257" s="2198"/>
    </row>
    <row r="258" spans="15:15">
      <c r="O258" s="2198"/>
    </row>
    <row r="259" spans="15:15">
      <c r="O259" s="2198"/>
    </row>
    <row r="260" spans="15:15">
      <c r="O260" s="2198"/>
    </row>
    <row r="261" spans="15:15">
      <c r="O261" s="2198"/>
    </row>
    <row r="262" spans="15:15">
      <c r="O262" s="2198"/>
    </row>
    <row r="263" spans="15:15">
      <c r="O263" s="2198"/>
    </row>
    <row r="264" spans="15:15">
      <c r="O264" s="2198"/>
    </row>
    <row r="265" spans="15:15">
      <c r="O265" s="2198"/>
    </row>
    <row r="266" spans="15:15">
      <c r="O266" s="2198"/>
    </row>
    <row r="267" spans="15:15">
      <c r="O267" s="2198"/>
    </row>
    <row r="268" spans="15:15">
      <c r="O268" s="2198"/>
    </row>
    <row r="269" spans="15:15">
      <c r="O269" s="2198"/>
    </row>
    <row r="270" spans="15:15">
      <c r="O270" s="2198"/>
    </row>
    <row r="271" spans="15:15">
      <c r="O271" s="2198"/>
    </row>
    <row r="272" spans="15:15">
      <c r="O272" s="2198"/>
    </row>
    <row r="273" spans="15:15">
      <c r="O273" s="2198"/>
    </row>
    <row r="274" spans="15:15">
      <c r="O274" s="2198"/>
    </row>
    <row r="275" spans="15:15">
      <c r="O275" s="2198"/>
    </row>
    <row r="276" spans="15:15">
      <c r="O276" s="2198"/>
    </row>
    <row r="277" spans="15:15">
      <c r="O277" s="2198"/>
    </row>
    <row r="278" spans="15:15">
      <c r="O278" s="2198"/>
    </row>
    <row r="279" spans="15:15">
      <c r="O279" s="2198"/>
    </row>
    <row r="280" spans="15:15">
      <c r="O280" s="2198"/>
    </row>
    <row r="281" spans="15:15">
      <c r="O281" s="2198"/>
    </row>
    <row r="282" spans="15:15">
      <c r="O282" s="2198"/>
    </row>
    <row r="283" spans="15:15">
      <c r="O283" s="2198"/>
    </row>
    <row r="284" spans="15:15">
      <c r="O284" s="2198"/>
    </row>
    <row r="285" spans="15:15">
      <c r="O285" s="2198"/>
    </row>
    <row r="286" spans="15:15">
      <c r="O286" s="2198"/>
    </row>
    <row r="287" spans="15:15">
      <c r="O287" s="2198"/>
    </row>
    <row r="288" spans="15:15">
      <c r="O288" s="2198"/>
    </row>
    <row r="493" spans="1:15" ht="12" thickBot="1"/>
    <row r="494" spans="1:15" ht="33.75">
      <c r="A494" s="578"/>
      <c r="B494" s="388" t="s">
        <v>69</v>
      </c>
      <c r="C494" s="388"/>
      <c r="D494" s="579"/>
      <c r="E494" s="580"/>
      <c r="F494" s="580"/>
      <c r="G494" s="580"/>
      <c r="H494" s="580"/>
      <c r="I494" s="580"/>
      <c r="J494" s="580"/>
      <c r="K494" s="580"/>
      <c r="L494" s="580"/>
      <c r="M494" s="580"/>
      <c r="N494" s="580"/>
      <c r="O494" s="581"/>
    </row>
    <row r="495" spans="1:15">
      <c r="A495" s="582"/>
      <c r="E495" s="523"/>
      <c r="F495" s="523"/>
      <c r="G495" s="523"/>
      <c r="H495" s="523"/>
      <c r="I495" s="523"/>
      <c r="J495" s="523"/>
      <c r="K495" s="523"/>
      <c r="L495" s="523"/>
      <c r="M495" s="523"/>
      <c r="N495" s="523"/>
      <c r="O495" s="583"/>
    </row>
    <row r="496" spans="1:15">
      <c r="A496" s="582"/>
      <c r="E496" s="523"/>
      <c r="F496" s="523"/>
      <c r="G496" s="523"/>
      <c r="H496" s="523"/>
      <c r="I496" s="523"/>
      <c r="J496" s="523"/>
      <c r="K496" s="523"/>
      <c r="L496" s="523"/>
      <c r="M496" s="523"/>
      <c r="N496" s="523"/>
      <c r="O496" s="583"/>
    </row>
    <row r="497" spans="1:15">
      <c r="A497" s="582"/>
      <c r="E497" s="523"/>
      <c r="F497" s="523"/>
      <c r="G497" s="523"/>
      <c r="H497" s="523"/>
      <c r="I497" s="523"/>
      <c r="J497" s="523"/>
      <c r="K497" s="523"/>
      <c r="L497" s="523"/>
      <c r="M497" s="523"/>
      <c r="N497" s="523"/>
      <c r="O497" s="583"/>
    </row>
    <row r="498" spans="1:15">
      <c r="A498" s="582"/>
      <c r="E498" s="523"/>
      <c r="F498" s="523"/>
      <c r="G498" s="523"/>
      <c r="H498" s="523"/>
      <c r="I498" s="523"/>
      <c r="J498" s="523"/>
      <c r="K498" s="523"/>
      <c r="L498" s="523"/>
      <c r="M498" s="523"/>
      <c r="N498" s="523"/>
      <c r="O498" s="583"/>
    </row>
    <row r="499" spans="1:15">
      <c r="A499" s="582"/>
      <c r="E499" s="523"/>
      <c r="F499" s="523"/>
      <c r="G499" s="523"/>
      <c r="H499" s="523"/>
      <c r="I499" s="523"/>
      <c r="J499" s="523"/>
      <c r="K499" s="523"/>
      <c r="L499" s="523"/>
      <c r="M499" s="523"/>
      <c r="N499" s="523"/>
      <c r="O499" s="583"/>
    </row>
    <row r="500" spans="1:15">
      <c r="A500" s="582"/>
      <c r="E500" s="523"/>
      <c r="F500" s="523"/>
      <c r="G500" s="523"/>
      <c r="H500" s="523"/>
      <c r="I500" s="523"/>
      <c r="J500" s="523"/>
      <c r="K500" s="523"/>
      <c r="L500" s="523"/>
      <c r="M500" s="523"/>
      <c r="N500" s="523"/>
      <c r="O500" s="583"/>
    </row>
    <row r="501" spans="1:15">
      <c r="A501" s="582"/>
      <c r="E501" s="523"/>
      <c r="F501" s="523"/>
      <c r="G501" s="523"/>
      <c r="H501" s="523"/>
      <c r="I501" s="523"/>
      <c r="J501" s="523"/>
      <c r="K501" s="523"/>
      <c r="L501" s="523"/>
      <c r="M501" s="523"/>
      <c r="N501" s="523"/>
      <c r="O501" s="583"/>
    </row>
    <row r="502" spans="1:15">
      <c r="A502" s="582"/>
      <c r="E502" s="523"/>
      <c r="F502" s="523"/>
      <c r="G502" s="523"/>
      <c r="H502" s="523"/>
      <c r="I502" s="523"/>
      <c r="J502" s="523"/>
      <c r="K502" s="523"/>
      <c r="L502" s="523"/>
      <c r="M502" s="523"/>
      <c r="N502" s="523"/>
      <c r="O502" s="583"/>
    </row>
    <row r="503" spans="1:15">
      <c r="A503" s="582"/>
      <c r="E503" s="523"/>
      <c r="F503" s="523"/>
      <c r="G503" s="523"/>
      <c r="H503" s="523"/>
      <c r="I503" s="523"/>
      <c r="J503" s="523"/>
      <c r="K503" s="523"/>
      <c r="L503" s="523"/>
      <c r="M503" s="523"/>
      <c r="N503" s="523"/>
      <c r="O503" s="583"/>
    </row>
    <row r="504" spans="1:15">
      <c r="A504" s="582"/>
      <c r="E504" s="523"/>
      <c r="F504" s="523"/>
      <c r="G504" s="523"/>
      <c r="H504" s="523"/>
      <c r="I504" s="523"/>
      <c r="J504" s="523"/>
      <c r="K504" s="523"/>
      <c r="L504" s="523"/>
      <c r="M504" s="523"/>
      <c r="N504" s="523"/>
      <c r="O504" s="583"/>
    </row>
    <row r="505" spans="1:15" ht="12" thickBot="1">
      <c r="A505" s="584"/>
      <c r="B505" s="585"/>
      <c r="C505" s="585"/>
      <c r="D505" s="585"/>
      <c r="E505" s="586"/>
      <c r="F505" s="586"/>
      <c r="G505" s="586"/>
      <c r="H505" s="586"/>
      <c r="I505" s="586"/>
      <c r="J505" s="586"/>
      <c r="K505" s="586"/>
      <c r="L505" s="586"/>
      <c r="M505" s="586"/>
      <c r="N505" s="586"/>
      <c r="O505" s="587"/>
    </row>
  </sheetData>
  <mergeCells count="102">
    <mergeCell ref="C127:C129"/>
    <mergeCell ref="C130:C132"/>
    <mergeCell ref="A113:A124"/>
    <mergeCell ref="O113:O124"/>
    <mergeCell ref="C115:C117"/>
    <mergeCell ref="C118:C119"/>
    <mergeCell ref="N120:N124"/>
    <mergeCell ref="C121:C122"/>
    <mergeCell ref="C123:C124"/>
    <mergeCell ref="M120:M124"/>
    <mergeCell ref="A125:A138"/>
    <mergeCell ref="O125:O138"/>
    <mergeCell ref="M133:M138"/>
    <mergeCell ref="N133:N138"/>
    <mergeCell ref="C134:C135"/>
    <mergeCell ref="C137:C138"/>
    <mergeCell ref="A89:A100"/>
    <mergeCell ref="O89:O100"/>
    <mergeCell ref="C91:C93"/>
    <mergeCell ref="C94:C95"/>
    <mergeCell ref="C97:C98"/>
    <mergeCell ref="C99:C100"/>
    <mergeCell ref="N96:N100"/>
    <mergeCell ref="M96:M100"/>
    <mergeCell ref="C111:C112"/>
    <mergeCell ref="M108:M112"/>
    <mergeCell ref="A101:A112"/>
    <mergeCell ref="O101:O112"/>
    <mergeCell ref="C103:C105"/>
    <mergeCell ref="C106:C107"/>
    <mergeCell ref="N108:N112"/>
    <mergeCell ref="C109:C110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A77:A88"/>
    <mergeCell ref="O77:O88"/>
    <mergeCell ref="C79:C80"/>
    <mergeCell ref="C82:C83"/>
    <mergeCell ref="A53:A64"/>
    <mergeCell ref="O53:O64"/>
    <mergeCell ref="C55:C56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85:C86"/>
    <mergeCell ref="C87:C88"/>
    <mergeCell ref="N84:N88"/>
    <mergeCell ref="M84:M88"/>
    <mergeCell ref="A151:A162"/>
    <mergeCell ref="O151:O162"/>
    <mergeCell ref="C153:C155"/>
    <mergeCell ref="C156:C157"/>
    <mergeCell ref="M158:M162"/>
    <mergeCell ref="N158:N162"/>
    <mergeCell ref="C159:C160"/>
    <mergeCell ref="C161:C162"/>
    <mergeCell ref="A139:A150"/>
    <mergeCell ref="O139:O150"/>
    <mergeCell ref="C141:C143"/>
    <mergeCell ref="C144:C145"/>
    <mergeCell ref="M146:M150"/>
    <mergeCell ref="N146:N150"/>
    <mergeCell ref="C147:C148"/>
    <mergeCell ref="C149:C150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5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52" max="14" man="1"/>
    <brk id="117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N124"/>
  <sheetViews>
    <sheetView showGridLines="0" view="pageBreakPreview" zoomScaleSheetLayoutView="100" workbookViewId="0">
      <pane xSplit="3" ySplit="7" topLeftCell="D8" activePane="bottomRight" state="frozen"/>
      <selection activeCell="B96" sqref="B96"/>
      <selection pane="topRight" activeCell="B96" sqref="B96"/>
      <selection pane="bottomLeft" activeCell="B96" sqref="B96"/>
      <selection pane="bottomRight" activeCell="F113" sqref="F113:G119"/>
    </sheetView>
  </sheetViews>
  <sheetFormatPr defaultColWidth="9.140625" defaultRowHeight="12" outlineLevelRow="1"/>
  <cols>
    <col min="1" max="1" width="3.7109375" style="514" customWidth="1"/>
    <col min="2" max="2" width="59" style="327" customWidth="1"/>
    <col min="3" max="3" width="9.7109375" style="327" customWidth="1"/>
    <col min="4" max="4" width="14.140625" style="327" customWidth="1"/>
    <col min="5" max="5" width="12.5703125" style="327" customWidth="1"/>
    <col min="6" max="12" width="10.85546875" style="327" customWidth="1"/>
    <col min="13" max="13" width="11.7109375" style="327" hidden="1" customWidth="1"/>
    <col min="14" max="14" width="11.7109375" style="327" customWidth="1"/>
    <col min="15" max="15" width="17.42578125" style="518" customWidth="1"/>
    <col min="16" max="16" width="15.140625" style="327" hidden="1" customWidth="1"/>
    <col min="17" max="17" width="11.7109375" style="327" hidden="1" customWidth="1"/>
    <col min="18" max="16384" width="9.140625" style="327"/>
  </cols>
  <sheetData>
    <row r="1" spans="1:66" ht="16.5" customHeight="1">
      <c r="F1" s="3734"/>
      <c r="G1" s="3734"/>
      <c r="H1" s="323" t="s">
        <v>475</v>
      </c>
      <c r="I1" s="319"/>
      <c r="J1" s="319"/>
      <c r="K1" s="319"/>
      <c r="L1" s="319"/>
      <c r="M1" s="6"/>
      <c r="N1" s="6"/>
      <c r="O1" s="7"/>
    </row>
    <row r="2" spans="1:66" ht="15" hidden="1" customHeight="1">
      <c r="F2" s="322"/>
      <c r="G2" s="322"/>
      <c r="H2" s="322"/>
      <c r="I2" s="322"/>
      <c r="J2" s="322"/>
      <c r="K2" s="322"/>
      <c r="L2" s="322"/>
      <c r="M2" s="6"/>
      <c r="N2" s="6"/>
      <c r="O2" s="7"/>
    </row>
    <row r="3" spans="1:66" ht="9" customHeight="1">
      <c r="D3" s="515"/>
      <c r="F3" s="324"/>
      <c r="G3" s="324"/>
      <c r="H3" s="324"/>
      <c r="I3" s="324"/>
      <c r="J3" s="324"/>
      <c r="K3" s="324"/>
      <c r="L3" s="324"/>
      <c r="M3" s="6"/>
      <c r="N3" s="6"/>
      <c r="O3" s="7"/>
    </row>
    <row r="4" spans="1:66" s="517" customFormat="1" ht="40.5" customHeight="1" thickBot="1">
      <c r="A4" s="3735" t="s">
        <v>229</v>
      </c>
      <c r="B4" s="3735"/>
      <c r="C4" s="3735"/>
      <c r="D4" s="3735"/>
      <c r="E4" s="3735"/>
      <c r="F4" s="3735"/>
      <c r="G4" s="3735"/>
      <c r="H4" s="3735"/>
      <c r="I4" s="3735"/>
      <c r="J4" s="3735"/>
      <c r="K4" s="3735"/>
      <c r="L4" s="3735"/>
      <c r="M4" s="3735"/>
      <c r="N4" s="3735"/>
      <c r="O4" s="3735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</row>
    <row r="5" spans="1:66" ht="72" customHeight="1">
      <c r="A5" s="988"/>
      <c r="B5" s="3736" t="s">
        <v>75</v>
      </c>
      <c r="C5" s="3738" t="s">
        <v>71</v>
      </c>
      <c r="D5" s="3740" t="s">
        <v>72</v>
      </c>
      <c r="E5" s="1685" t="s">
        <v>262</v>
      </c>
      <c r="F5" s="3184" t="s">
        <v>525</v>
      </c>
      <c r="G5" s="3327" t="s">
        <v>457</v>
      </c>
      <c r="H5" s="3328"/>
      <c r="I5" s="3328"/>
      <c r="J5" s="3328"/>
      <c r="K5" s="3328"/>
      <c r="L5" s="3329"/>
      <c r="M5" s="3706" t="s">
        <v>478</v>
      </c>
      <c r="N5" s="3706" t="s">
        <v>458</v>
      </c>
      <c r="O5" s="3742" t="s">
        <v>73</v>
      </c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</row>
    <row r="6" spans="1:66" ht="21" customHeight="1">
      <c r="A6" s="702"/>
      <c r="B6" s="3737"/>
      <c r="C6" s="3739"/>
      <c r="D6" s="3741"/>
      <c r="E6" s="1687" t="s">
        <v>444</v>
      </c>
      <c r="F6" s="3748"/>
      <c r="G6" s="2633" t="s">
        <v>6</v>
      </c>
      <c r="H6" s="1853" t="s">
        <v>206</v>
      </c>
      <c r="I6" s="1853" t="s">
        <v>207</v>
      </c>
      <c r="J6" s="1853" t="s">
        <v>255</v>
      </c>
      <c r="K6" s="1853" t="s">
        <v>256</v>
      </c>
      <c r="L6" s="1853" t="s">
        <v>257</v>
      </c>
      <c r="M6" s="3744"/>
      <c r="N6" s="3744"/>
      <c r="O6" s="3743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</row>
    <row r="7" spans="1:66" ht="11.25">
      <c r="A7" s="1042">
        <v>1</v>
      </c>
      <c r="B7" s="1043">
        <v>2</v>
      </c>
      <c r="C7" s="1044" t="s">
        <v>118</v>
      </c>
      <c r="D7" s="1044" t="s">
        <v>119</v>
      </c>
      <c r="E7" s="1044">
        <v>5</v>
      </c>
      <c r="F7" s="1710">
        <v>6</v>
      </c>
      <c r="G7" s="1710">
        <v>7</v>
      </c>
      <c r="H7" s="1710">
        <v>8</v>
      </c>
      <c r="I7" s="1710">
        <v>9</v>
      </c>
      <c r="J7" s="1710">
        <v>10</v>
      </c>
      <c r="K7" s="1710">
        <v>11</v>
      </c>
      <c r="L7" s="1710">
        <v>12</v>
      </c>
      <c r="M7" s="1045">
        <v>13</v>
      </c>
      <c r="N7" s="1045">
        <v>13</v>
      </c>
      <c r="O7" s="1046">
        <v>14</v>
      </c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</row>
    <row r="8" spans="1:66" s="1834" customFormat="1" ht="16.5" customHeight="1">
      <c r="A8" s="1460"/>
      <c r="B8" s="703" t="s">
        <v>76</v>
      </c>
      <c r="C8" s="221"/>
      <c r="D8" s="222">
        <f>+D9+D10</f>
        <v>53460531</v>
      </c>
      <c r="E8" s="222">
        <f t="shared" ref="E8:L8" si="0">+E9+E10</f>
        <v>14991962</v>
      </c>
      <c r="F8" s="222">
        <f t="shared" si="0"/>
        <v>7127092</v>
      </c>
      <c r="G8" s="222">
        <f t="shared" si="0"/>
        <v>10255984</v>
      </c>
      <c r="H8" s="222">
        <f t="shared" si="0"/>
        <v>9868760</v>
      </c>
      <c r="I8" s="222">
        <f t="shared" si="0"/>
        <v>6178400</v>
      </c>
      <c r="J8" s="222">
        <f t="shared" si="0"/>
        <v>1883242</v>
      </c>
      <c r="K8" s="222">
        <f t="shared" si="0"/>
        <v>1607578</v>
      </c>
      <c r="L8" s="222">
        <f t="shared" si="0"/>
        <v>1547513</v>
      </c>
      <c r="M8" s="150">
        <f t="shared" ref="M8" si="1">+M9+M10</f>
        <v>38468569</v>
      </c>
      <c r="N8" s="150">
        <f t="shared" ref="N8" si="2">+N9+N10</f>
        <v>31341477</v>
      </c>
      <c r="O8" s="1461"/>
      <c r="P8" s="329">
        <f>+F8+G8+H8+I8+J8+K8+L8</f>
        <v>38468569</v>
      </c>
    </row>
    <row r="9" spans="1:66" s="1834" customFormat="1" ht="13.5" customHeight="1">
      <c r="A9" s="1462"/>
      <c r="B9" s="703" t="s">
        <v>77</v>
      </c>
      <c r="C9" s="221"/>
      <c r="D9" s="222">
        <f>+D44+D67</f>
        <v>32721288</v>
      </c>
      <c r="E9" s="222">
        <f t="shared" ref="E9:L9" si="3">+E44+E67</f>
        <v>5960282</v>
      </c>
      <c r="F9" s="222">
        <f t="shared" si="3"/>
        <v>3712693</v>
      </c>
      <c r="G9" s="222">
        <f t="shared" si="3"/>
        <v>5506680</v>
      </c>
      <c r="H9" s="222">
        <f t="shared" si="3"/>
        <v>6503300</v>
      </c>
      <c r="I9" s="222">
        <f t="shared" si="3"/>
        <v>6000000</v>
      </c>
      <c r="J9" s="222">
        <f t="shared" si="3"/>
        <v>1883242</v>
      </c>
      <c r="K9" s="222">
        <f t="shared" si="3"/>
        <v>1607578</v>
      </c>
      <c r="L9" s="222">
        <f t="shared" si="3"/>
        <v>1547513</v>
      </c>
      <c r="M9" s="150">
        <f>SUM(F9:L9)</f>
        <v>26761006</v>
      </c>
      <c r="N9" s="150">
        <f>SUM(G9:L9)</f>
        <v>23048313</v>
      </c>
      <c r="O9" s="1461"/>
      <c r="P9" s="329"/>
    </row>
    <row r="10" spans="1:66" s="1834" customFormat="1" ht="13.5" customHeight="1" thickBot="1">
      <c r="A10" s="1462"/>
      <c r="B10" s="226" t="s">
        <v>9</v>
      </c>
      <c r="C10" s="658"/>
      <c r="D10" s="224">
        <f>+D33+D58</f>
        <v>20739243</v>
      </c>
      <c r="E10" s="224">
        <f t="shared" ref="E10:L10" si="4">+E33+E58</f>
        <v>9031680</v>
      </c>
      <c r="F10" s="224">
        <f t="shared" si="4"/>
        <v>3414399</v>
      </c>
      <c r="G10" s="224">
        <f t="shared" si="4"/>
        <v>4749304</v>
      </c>
      <c r="H10" s="224">
        <f t="shared" si="4"/>
        <v>3365460</v>
      </c>
      <c r="I10" s="224">
        <f t="shared" si="4"/>
        <v>178400</v>
      </c>
      <c r="J10" s="224">
        <f t="shared" si="4"/>
        <v>0</v>
      </c>
      <c r="K10" s="224">
        <f t="shared" si="4"/>
        <v>0</v>
      </c>
      <c r="L10" s="224">
        <f t="shared" si="4"/>
        <v>0</v>
      </c>
      <c r="M10" s="2153">
        <f>SUM(F10:L10)</f>
        <v>11707563</v>
      </c>
      <c r="N10" s="152">
        <f>SUM(G10:L10)</f>
        <v>8293164</v>
      </c>
      <c r="O10" s="1463"/>
    </row>
    <row r="11" spans="1:66" s="1469" customFormat="1" ht="14.25" customHeight="1">
      <c r="A11" s="1464"/>
      <c r="B11" s="82" t="s">
        <v>10</v>
      </c>
      <c r="C11" s="188"/>
      <c r="D11" s="101">
        <f t="shared" ref="D11:L11" si="5">+D12+D16</f>
        <v>53460531</v>
      </c>
      <c r="E11" s="101">
        <f t="shared" si="5"/>
        <v>14991962</v>
      </c>
      <c r="F11" s="101">
        <f t="shared" si="5"/>
        <v>7127092</v>
      </c>
      <c r="G11" s="101">
        <f t="shared" si="5"/>
        <v>10255984</v>
      </c>
      <c r="H11" s="101">
        <f t="shared" si="5"/>
        <v>9868760</v>
      </c>
      <c r="I11" s="101">
        <f t="shared" si="5"/>
        <v>6178400</v>
      </c>
      <c r="J11" s="101">
        <f t="shared" si="5"/>
        <v>1883242</v>
      </c>
      <c r="K11" s="101">
        <f t="shared" si="5"/>
        <v>1607578</v>
      </c>
      <c r="L11" s="101">
        <f t="shared" si="5"/>
        <v>1547513</v>
      </c>
      <c r="M11" s="1465">
        <f>+M12+M16</f>
        <v>38468569</v>
      </c>
      <c r="N11" s="1465">
        <f>+N12+N16</f>
        <v>31341477</v>
      </c>
      <c r="O11" s="1466"/>
      <c r="P11" s="1467"/>
      <c r="Q11" s="369"/>
      <c r="R11" s="1468"/>
      <c r="S11" s="1468"/>
      <c r="T11" s="1468"/>
      <c r="U11" s="1468"/>
      <c r="V11" s="1468"/>
      <c r="W11" s="1468"/>
      <c r="X11" s="1468"/>
      <c r="Y11" s="1468"/>
      <c r="Z11" s="1468"/>
      <c r="AA11" s="1468"/>
      <c r="AB11" s="1468"/>
      <c r="AC11" s="1468"/>
      <c r="AD11" s="1468"/>
      <c r="AE11" s="1468"/>
      <c r="AF11" s="1468"/>
      <c r="AG11" s="1468"/>
      <c r="AH11" s="1468"/>
      <c r="AI11" s="1468"/>
      <c r="AJ11" s="1468"/>
      <c r="AK11" s="1468"/>
      <c r="AL11" s="1468"/>
      <c r="AM11" s="1468"/>
      <c r="AN11" s="1468"/>
      <c r="AO11" s="1468"/>
      <c r="AP11" s="1468"/>
      <c r="AQ11" s="1468"/>
      <c r="AR11" s="1468"/>
      <c r="AS11" s="1468"/>
      <c r="AT11" s="1468"/>
      <c r="AU11" s="1468"/>
      <c r="AV11" s="1468"/>
      <c r="AW11" s="1468"/>
      <c r="AX11" s="1468"/>
      <c r="AY11" s="1468"/>
      <c r="AZ11" s="1468"/>
      <c r="BA11" s="1468"/>
      <c r="BB11" s="1468"/>
      <c r="BC11" s="1468"/>
      <c r="BD11" s="1468"/>
      <c r="BE11" s="1468"/>
      <c r="BF11" s="1468"/>
      <c r="BG11" s="1468"/>
      <c r="BH11" s="1468"/>
      <c r="BI11" s="1468"/>
      <c r="BJ11" s="1468"/>
      <c r="BK11" s="1468"/>
      <c r="BL11" s="1468"/>
      <c r="BM11" s="1468"/>
      <c r="BN11" s="1468"/>
    </row>
    <row r="12" spans="1:66" s="1474" customFormat="1" ht="14.25" customHeight="1">
      <c r="A12" s="1470"/>
      <c r="B12" s="704" t="s">
        <v>11</v>
      </c>
      <c r="C12" s="1471"/>
      <c r="D12" s="1472">
        <f t="shared" ref="D12:N12" si="6">SUM(D13:D15)</f>
        <v>21415446</v>
      </c>
      <c r="E12" s="1472">
        <f t="shared" si="6"/>
        <v>4393251</v>
      </c>
      <c r="F12" s="1472">
        <f t="shared" si="6"/>
        <v>4574431</v>
      </c>
      <c r="G12" s="1472">
        <f t="shared" si="6"/>
        <v>4746263</v>
      </c>
      <c r="H12" s="1472">
        <f t="shared" si="6"/>
        <v>3659930</v>
      </c>
      <c r="I12" s="1472">
        <f t="shared" si="6"/>
        <v>2208760</v>
      </c>
      <c r="J12" s="1472">
        <f t="shared" si="6"/>
        <v>685335</v>
      </c>
      <c r="K12" s="1472">
        <f t="shared" si="6"/>
        <v>585076</v>
      </c>
      <c r="L12" s="1472">
        <f t="shared" si="6"/>
        <v>562400</v>
      </c>
      <c r="M12" s="1473">
        <f t="shared" si="6"/>
        <v>17022195</v>
      </c>
      <c r="N12" s="1473">
        <f t="shared" si="6"/>
        <v>12447764</v>
      </c>
      <c r="O12" s="2631"/>
      <c r="Q12" s="1834"/>
    </row>
    <row r="13" spans="1:66" s="1474" customFormat="1" ht="14.25" customHeight="1">
      <c r="A13" s="1475"/>
      <c r="B13" s="705" t="s">
        <v>12</v>
      </c>
      <c r="C13" s="1476"/>
      <c r="D13" s="1477">
        <f>+D46+D60+D69</f>
        <v>176001</v>
      </c>
      <c r="E13" s="1477">
        <f t="shared" ref="E13:L13" si="7">+E46+E60+E69</f>
        <v>29465</v>
      </c>
      <c r="F13" s="1477">
        <f t="shared" si="7"/>
        <v>0</v>
      </c>
      <c r="G13" s="1477">
        <f t="shared" si="7"/>
        <v>67562</v>
      </c>
      <c r="H13" s="1477">
        <f t="shared" si="7"/>
        <v>52214</v>
      </c>
      <c r="I13" s="1477">
        <f t="shared" si="7"/>
        <v>26760</v>
      </c>
      <c r="J13" s="1477">
        <f t="shared" si="7"/>
        <v>0</v>
      </c>
      <c r="K13" s="1477">
        <f t="shared" si="7"/>
        <v>0</v>
      </c>
      <c r="L13" s="1477">
        <f t="shared" si="7"/>
        <v>0</v>
      </c>
      <c r="M13" s="1478">
        <f>+M46+M60+M69</f>
        <v>146536</v>
      </c>
      <c r="N13" s="1478">
        <f>+N46+N60+N69</f>
        <v>146536</v>
      </c>
      <c r="O13" s="2631"/>
      <c r="P13" s="1479"/>
      <c r="Q13" s="1480"/>
    </row>
    <row r="14" spans="1:66" s="1474" customFormat="1" ht="13.5" customHeight="1" outlineLevel="1">
      <c r="A14" s="1475"/>
      <c r="B14" s="706" t="s">
        <v>13</v>
      </c>
      <c r="C14" s="1476"/>
      <c r="D14" s="1477">
        <f>+D47</f>
        <v>11896874</v>
      </c>
      <c r="E14" s="1477">
        <f t="shared" ref="E14:L14" si="8">+E47</f>
        <v>2167756</v>
      </c>
      <c r="F14" s="1477">
        <f t="shared" si="8"/>
        <v>1350307</v>
      </c>
      <c r="G14" s="1477">
        <f t="shared" si="8"/>
        <v>2000000</v>
      </c>
      <c r="H14" s="1477">
        <f t="shared" si="8"/>
        <v>2364000</v>
      </c>
      <c r="I14" s="1477">
        <f t="shared" si="8"/>
        <v>2182000</v>
      </c>
      <c r="J14" s="1477">
        <f t="shared" si="8"/>
        <v>685335</v>
      </c>
      <c r="K14" s="1477">
        <f t="shared" si="8"/>
        <v>585076</v>
      </c>
      <c r="L14" s="1477">
        <f t="shared" si="8"/>
        <v>562400</v>
      </c>
      <c r="M14" s="1478">
        <f>+M47</f>
        <v>9729118</v>
      </c>
      <c r="N14" s="1478">
        <f>+N47</f>
        <v>8378811</v>
      </c>
      <c r="O14" s="2631"/>
      <c r="P14" s="1479">
        <f>D14-D23</f>
        <v>0</v>
      </c>
      <c r="Q14" s="1480"/>
    </row>
    <row r="15" spans="1:66" s="1474" customFormat="1" ht="14.25" customHeight="1" outlineLevel="1">
      <c r="A15" s="1475"/>
      <c r="B15" s="705" t="s">
        <v>16</v>
      </c>
      <c r="C15" s="707"/>
      <c r="D15" s="1477">
        <f>+D35</f>
        <v>9342571</v>
      </c>
      <c r="E15" s="1477">
        <f t="shared" ref="E15:L15" si="9">+E35</f>
        <v>2196030</v>
      </c>
      <c r="F15" s="1477">
        <f t="shared" si="9"/>
        <v>3224124</v>
      </c>
      <c r="G15" s="1477">
        <f t="shared" si="9"/>
        <v>2678701</v>
      </c>
      <c r="H15" s="1477">
        <f t="shared" si="9"/>
        <v>1243716</v>
      </c>
      <c r="I15" s="1477">
        <f t="shared" si="9"/>
        <v>0</v>
      </c>
      <c r="J15" s="1477">
        <f t="shared" si="9"/>
        <v>0</v>
      </c>
      <c r="K15" s="1477">
        <f t="shared" si="9"/>
        <v>0</v>
      </c>
      <c r="L15" s="1477">
        <f t="shared" si="9"/>
        <v>0</v>
      </c>
      <c r="M15" s="1478">
        <f>+M35</f>
        <v>7146541</v>
      </c>
      <c r="N15" s="1478">
        <f>+N35</f>
        <v>3922417</v>
      </c>
      <c r="O15" s="2631"/>
      <c r="P15" s="1479">
        <f>D15-D25</f>
        <v>0</v>
      </c>
      <c r="Q15" s="1480"/>
    </row>
    <row r="16" spans="1:66" s="1474" customFormat="1" ht="14.25" customHeight="1" outlineLevel="1">
      <c r="A16" s="1470"/>
      <c r="B16" s="1481" t="s">
        <v>18</v>
      </c>
      <c r="C16" s="1482"/>
      <c r="D16" s="1483">
        <f>+D18+D19+D20+D17</f>
        <v>32045085</v>
      </c>
      <c r="E16" s="1483">
        <f t="shared" ref="E16:L16" si="10">+E18+E19+E20+E17</f>
        <v>10598711</v>
      </c>
      <c r="F16" s="1483">
        <f t="shared" si="10"/>
        <v>2552661</v>
      </c>
      <c r="G16" s="1483">
        <f t="shared" si="10"/>
        <v>5509721</v>
      </c>
      <c r="H16" s="1483">
        <f t="shared" si="10"/>
        <v>6208830</v>
      </c>
      <c r="I16" s="1483">
        <f t="shared" si="10"/>
        <v>3969640</v>
      </c>
      <c r="J16" s="1483">
        <f t="shared" si="10"/>
        <v>1197907</v>
      </c>
      <c r="K16" s="1483">
        <f t="shared" si="10"/>
        <v>1022502</v>
      </c>
      <c r="L16" s="1483">
        <f t="shared" si="10"/>
        <v>985113</v>
      </c>
      <c r="M16" s="1484">
        <f>+M18+M19+M20+M17</f>
        <v>21446374</v>
      </c>
      <c r="N16" s="1484">
        <f>+N18+N19+N20+N17</f>
        <v>18893713</v>
      </c>
      <c r="O16" s="2631"/>
      <c r="P16" s="1480">
        <f>D18-D29</f>
        <v>0</v>
      </c>
      <c r="Q16" s="1480"/>
    </row>
    <row r="17" spans="1:17" s="1474" customFormat="1" ht="14.25" hidden="1" customHeight="1" outlineLevel="1">
      <c r="A17" s="1470"/>
      <c r="B17" s="705" t="s">
        <v>12</v>
      </c>
      <c r="C17" s="1471"/>
      <c r="D17" s="1477"/>
      <c r="E17" s="1477"/>
      <c r="F17" s="1477"/>
      <c r="G17" s="1477"/>
      <c r="H17" s="1477"/>
      <c r="I17" s="1477"/>
      <c r="J17" s="1477"/>
      <c r="K17" s="1477"/>
      <c r="L17" s="1477"/>
      <c r="M17" s="1478"/>
      <c r="N17" s="1478"/>
      <c r="O17" s="2631"/>
      <c r="P17" s="1480"/>
      <c r="Q17" s="1480"/>
    </row>
    <row r="18" spans="1:17" s="1474" customFormat="1" ht="14.25" customHeight="1" outlineLevel="1">
      <c r="A18" s="1470"/>
      <c r="B18" s="706" t="s">
        <v>21</v>
      </c>
      <c r="C18" s="1476"/>
      <c r="D18" s="1477">
        <f>+D49+D62+D71</f>
        <v>21664433</v>
      </c>
      <c r="E18" s="1477">
        <f t="shared" ref="E18:N18" si="11">+E49+E62+E71</f>
        <v>3812161</v>
      </c>
      <c r="F18" s="1477">
        <f t="shared" si="11"/>
        <v>2362386</v>
      </c>
      <c r="G18" s="1477">
        <f t="shared" si="11"/>
        <v>3882848</v>
      </c>
      <c r="H18" s="1477">
        <f t="shared" si="11"/>
        <v>4431876</v>
      </c>
      <c r="I18" s="1477">
        <f t="shared" si="11"/>
        <v>3969640</v>
      </c>
      <c r="J18" s="1477">
        <f t="shared" si="11"/>
        <v>1197907</v>
      </c>
      <c r="K18" s="1477">
        <f t="shared" si="11"/>
        <v>1022502</v>
      </c>
      <c r="L18" s="1477">
        <f t="shared" si="11"/>
        <v>985113</v>
      </c>
      <c r="M18" s="1478">
        <f t="shared" si="11"/>
        <v>17852272</v>
      </c>
      <c r="N18" s="1478">
        <f t="shared" si="11"/>
        <v>15489886</v>
      </c>
      <c r="O18" s="2631"/>
      <c r="P18" s="1479"/>
      <c r="Q18" s="1480"/>
    </row>
    <row r="19" spans="1:17" s="1474" customFormat="1" ht="14.25" hidden="1" customHeight="1" outlineLevel="1">
      <c r="A19" s="1470"/>
      <c r="B19" s="705" t="s">
        <v>14</v>
      </c>
      <c r="C19" s="1485"/>
      <c r="D19" s="1477"/>
      <c r="E19" s="1477"/>
      <c r="F19" s="1477"/>
      <c r="G19" s="1477"/>
      <c r="H19" s="1477"/>
      <c r="I19" s="1477"/>
      <c r="J19" s="1477"/>
      <c r="K19" s="1477"/>
      <c r="L19" s="1477"/>
      <c r="M19" s="1478"/>
      <c r="N19" s="1478"/>
      <c r="O19" s="2631"/>
      <c r="P19" s="1479"/>
      <c r="Q19" s="1480"/>
    </row>
    <row r="20" spans="1:17" s="1474" customFormat="1" ht="14.25" customHeight="1" outlineLevel="1">
      <c r="A20" s="1470"/>
      <c r="B20" s="706" t="s">
        <v>20</v>
      </c>
      <c r="C20" s="1485"/>
      <c r="D20" s="1477">
        <f>+D37</f>
        <v>10380652</v>
      </c>
      <c r="E20" s="1477">
        <f t="shared" ref="E20:L20" si="12">+E37</f>
        <v>6786550</v>
      </c>
      <c r="F20" s="1477">
        <f t="shared" si="12"/>
        <v>190275</v>
      </c>
      <c r="G20" s="1477">
        <f t="shared" si="12"/>
        <v>1626873</v>
      </c>
      <c r="H20" s="1477">
        <f t="shared" si="12"/>
        <v>1776954</v>
      </c>
      <c r="I20" s="1477">
        <f t="shared" si="12"/>
        <v>0</v>
      </c>
      <c r="J20" s="1477">
        <f t="shared" si="12"/>
        <v>0</v>
      </c>
      <c r="K20" s="1477">
        <f t="shared" si="12"/>
        <v>0</v>
      </c>
      <c r="L20" s="1477">
        <f t="shared" si="12"/>
        <v>0</v>
      </c>
      <c r="M20" s="1478">
        <f>+M37</f>
        <v>3594102</v>
      </c>
      <c r="N20" s="1478">
        <f>+N37</f>
        <v>3403827</v>
      </c>
      <c r="O20" s="1921"/>
      <c r="P20" s="1479"/>
      <c r="Q20" s="1480"/>
    </row>
    <row r="21" spans="1:17" s="1474" customFormat="1" ht="14.25" customHeight="1" outlineLevel="1">
      <c r="A21" s="1462"/>
      <c r="B21" s="82" t="s">
        <v>22</v>
      </c>
      <c r="C21" s="90"/>
      <c r="D21" s="1486">
        <f>+D22+D28</f>
        <v>53284530</v>
      </c>
      <c r="E21" s="1486">
        <f t="shared" ref="E21:L21" si="13">+E22+E28</f>
        <v>17257433</v>
      </c>
      <c r="F21" s="1486">
        <f t="shared" si="13"/>
        <v>6936817</v>
      </c>
      <c r="G21" s="1486">
        <f t="shared" si="13"/>
        <v>6120899</v>
      </c>
      <c r="H21" s="1486">
        <f t="shared" si="13"/>
        <v>11779408</v>
      </c>
      <c r="I21" s="1486">
        <f t="shared" si="13"/>
        <v>6151640</v>
      </c>
      <c r="J21" s="1486">
        <f t="shared" si="13"/>
        <v>1883242</v>
      </c>
      <c r="K21" s="1486">
        <f t="shared" si="13"/>
        <v>1607578</v>
      </c>
      <c r="L21" s="1486">
        <f t="shared" si="13"/>
        <v>1547513</v>
      </c>
      <c r="M21" s="3745" t="s">
        <v>61</v>
      </c>
      <c r="N21" s="3745" t="s">
        <v>61</v>
      </c>
      <c r="O21" s="1922"/>
      <c r="P21" s="1480">
        <f>D31-D20-D17</f>
        <v>0</v>
      </c>
    </row>
    <row r="22" spans="1:17" s="1474" customFormat="1" ht="14.25" customHeight="1" outlineLevel="1">
      <c r="A22" s="1470"/>
      <c r="B22" s="704" t="s">
        <v>11</v>
      </c>
      <c r="C22" s="1471"/>
      <c r="D22" s="1472">
        <f t="shared" ref="D22:L22" si="14">SUM(D23:D27)</f>
        <v>21239445</v>
      </c>
      <c r="E22" s="1472">
        <f t="shared" si="14"/>
        <v>4363786</v>
      </c>
      <c r="F22" s="1472">
        <f t="shared" si="14"/>
        <v>4574431</v>
      </c>
      <c r="G22" s="1472">
        <f t="shared" si="14"/>
        <v>2218416</v>
      </c>
      <c r="H22" s="1472">
        <f t="shared" si="14"/>
        <v>6068001</v>
      </c>
      <c r="I22" s="1472">
        <f t="shared" si="14"/>
        <v>2182000</v>
      </c>
      <c r="J22" s="1472">
        <f t="shared" si="14"/>
        <v>685335</v>
      </c>
      <c r="K22" s="1472">
        <f t="shared" si="14"/>
        <v>585076</v>
      </c>
      <c r="L22" s="1472">
        <f t="shared" si="14"/>
        <v>562400</v>
      </c>
      <c r="M22" s="3746"/>
      <c r="N22" s="3746"/>
      <c r="O22" s="2631"/>
      <c r="P22" s="1480"/>
    </row>
    <row r="23" spans="1:17" s="1474" customFormat="1" ht="14.25" customHeight="1" outlineLevel="1">
      <c r="A23" s="1475"/>
      <c r="B23" s="706" t="s">
        <v>13</v>
      </c>
      <c r="C23" s="707"/>
      <c r="D23" s="1477">
        <f>+D52</f>
        <v>11896874</v>
      </c>
      <c r="E23" s="1477">
        <f t="shared" ref="E23:L23" si="15">+E52</f>
        <v>2167756</v>
      </c>
      <c r="F23" s="1477">
        <f t="shared" si="15"/>
        <v>1350307</v>
      </c>
      <c r="G23" s="1477">
        <f t="shared" si="15"/>
        <v>2000000</v>
      </c>
      <c r="H23" s="1477">
        <f t="shared" si="15"/>
        <v>2364000</v>
      </c>
      <c r="I23" s="1477">
        <f t="shared" si="15"/>
        <v>2182000</v>
      </c>
      <c r="J23" s="1477">
        <f t="shared" si="15"/>
        <v>685335</v>
      </c>
      <c r="K23" s="1477">
        <f t="shared" si="15"/>
        <v>585076</v>
      </c>
      <c r="L23" s="1477">
        <f t="shared" si="15"/>
        <v>562400</v>
      </c>
      <c r="M23" s="3746"/>
      <c r="N23" s="3746"/>
      <c r="O23" s="2631"/>
      <c r="P23" s="1480">
        <f>D23-D14</f>
        <v>0</v>
      </c>
    </row>
    <row r="24" spans="1:17" s="1474" customFormat="1" ht="14.25" hidden="1" customHeight="1" outlineLevel="1">
      <c r="A24" s="1475"/>
      <c r="B24" s="705" t="s">
        <v>14</v>
      </c>
      <c r="C24" s="1476"/>
      <c r="D24" s="1477"/>
      <c r="E24" s="1477"/>
      <c r="F24" s="1477"/>
      <c r="G24" s="1477"/>
      <c r="H24" s="1477"/>
      <c r="I24" s="1477"/>
      <c r="J24" s="1477"/>
      <c r="K24" s="1477"/>
      <c r="L24" s="1477"/>
      <c r="M24" s="3746"/>
      <c r="N24" s="3746"/>
      <c r="O24" s="2631"/>
      <c r="P24" s="1480" t="e">
        <f>D24-#REF!</f>
        <v>#REF!</v>
      </c>
    </row>
    <row r="25" spans="1:17" s="1474" customFormat="1" ht="14.25" customHeight="1" outlineLevel="1">
      <c r="A25" s="1475"/>
      <c r="B25" s="705" t="s">
        <v>62</v>
      </c>
      <c r="C25" s="1476"/>
      <c r="D25" s="1477">
        <f>+D40</f>
        <v>9342571</v>
      </c>
      <c r="E25" s="1477">
        <f t="shared" ref="E25:L25" si="16">+E40</f>
        <v>2196030</v>
      </c>
      <c r="F25" s="1477">
        <f t="shared" si="16"/>
        <v>3224124</v>
      </c>
      <c r="G25" s="1477">
        <f t="shared" si="16"/>
        <v>218416</v>
      </c>
      <c r="H25" s="1477">
        <f t="shared" si="16"/>
        <v>3704001</v>
      </c>
      <c r="I25" s="1477">
        <f t="shared" si="16"/>
        <v>0</v>
      </c>
      <c r="J25" s="1477">
        <f t="shared" si="16"/>
        <v>0</v>
      </c>
      <c r="K25" s="1477">
        <f t="shared" si="16"/>
        <v>0</v>
      </c>
      <c r="L25" s="1477">
        <f t="shared" si="16"/>
        <v>0</v>
      </c>
      <c r="M25" s="3746"/>
      <c r="N25" s="3746"/>
      <c r="O25" s="2631"/>
      <c r="P25" s="1480">
        <f>D25-D15</f>
        <v>0</v>
      </c>
    </row>
    <row r="26" spans="1:17" s="1474" customFormat="1" ht="14.25" hidden="1" customHeight="1" outlineLevel="1">
      <c r="A26" s="1475"/>
      <c r="B26" s="705" t="s">
        <v>25</v>
      </c>
      <c r="C26" s="1476"/>
      <c r="D26" s="1477"/>
      <c r="E26" s="1477"/>
      <c r="F26" s="1477"/>
      <c r="G26" s="1477"/>
      <c r="H26" s="1477"/>
      <c r="I26" s="1477"/>
      <c r="J26" s="1477"/>
      <c r="K26" s="1477"/>
      <c r="L26" s="1477"/>
      <c r="M26" s="3746"/>
      <c r="N26" s="3746"/>
      <c r="O26" s="2631"/>
    </row>
    <row r="27" spans="1:17" s="1474" customFormat="1" ht="12.75" hidden="1" customHeight="1" outlineLevel="1">
      <c r="A27" s="1475"/>
      <c r="B27" s="708" t="s">
        <v>12</v>
      </c>
      <c r="C27" s="1487"/>
      <c r="D27" s="1488"/>
      <c r="E27" s="1488"/>
      <c r="F27" s="1488"/>
      <c r="G27" s="1488"/>
      <c r="H27" s="1488"/>
      <c r="I27" s="1488"/>
      <c r="J27" s="1488"/>
      <c r="K27" s="1488"/>
      <c r="L27" s="1488"/>
      <c r="M27" s="3746"/>
      <c r="N27" s="3746"/>
      <c r="O27" s="2631"/>
    </row>
    <row r="28" spans="1:17" s="1474" customFormat="1" ht="14.25" customHeight="1" outlineLevel="1">
      <c r="A28" s="1470"/>
      <c r="B28" s="1481" t="s">
        <v>18</v>
      </c>
      <c r="C28" s="1489"/>
      <c r="D28" s="1483">
        <f>+D29+D31+D30</f>
        <v>32045085</v>
      </c>
      <c r="E28" s="1483">
        <f t="shared" ref="E28:L28" si="17">+E29+E31+E30</f>
        <v>12893647</v>
      </c>
      <c r="F28" s="1483">
        <f t="shared" si="17"/>
        <v>2362386</v>
      </c>
      <c r="G28" s="1483">
        <f t="shared" si="17"/>
        <v>3902483</v>
      </c>
      <c r="H28" s="1483">
        <f t="shared" si="17"/>
        <v>5711407</v>
      </c>
      <c r="I28" s="1483">
        <f t="shared" si="17"/>
        <v>3969640</v>
      </c>
      <c r="J28" s="1483">
        <f t="shared" si="17"/>
        <v>1197907</v>
      </c>
      <c r="K28" s="1483">
        <f t="shared" si="17"/>
        <v>1022502</v>
      </c>
      <c r="L28" s="1483">
        <f t="shared" si="17"/>
        <v>985113</v>
      </c>
      <c r="M28" s="3746"/>
      <c r="N28" s="3746"/>
      <c r="O28" s="2631"/>
    </row>
    <row r="29" spans="1:17" s="1474" customFormat="1" ht="14.25" customHeight="1" outlineLevel="1">
      <c r="A29" s="1475"/>
      <c r="B29" s="706" t="s">
        <v>21</v>
      </c>
      <c r="C29" s="1490"/>
      <c r="D29" s="1477">
        <f>+D55+D62+D74</f>
        <v>21664433</v>
      </c>
      <c r="E29" s="1477">
        <f>+E55+E65+E74</f>
        <v>3792526</v>
      </c>
      <c r="F29" s="1477">
        <f t="shared" ref="F29:L29" si="18">+F55+F65+F74</f>
        <v>2362386</v>
      </c>
      <c r="G29" s="1477">
        <f t="shared" si="18"/>
        <v>3902483</v>
      </c>
      <c r="H29" s="1477">
        <f t="shared" si="18"/>
        <v>4431876</v>
      </c>
      <c r="I29" s="1477">
        <f t="shared" si="18"/>
        <v>3969640</v>
      </c>
      <c r="J29" s="1477">
        <f t="shared" si="18"/>
        <v>1197907</v>
      </c>
      <c r="K29" s="1477">
        <f t="shared" si="18"/>
        <v>1022502</v>
      </c>
      <c r="L29" s="1477">
        <f t="shared" si="18"/>
        <v>985113</v>
      </c>
      <c r="M29" s="3746"/>
      <c r="N29" s="3746"/>
      <c r="O29" s="2631"/>
      <c r="P29" s="1480">
        <f>D29-D18</f>
        <v>0</v>
      </c>
    </row>
    <row r="30" spans="1:17" s="1474" customFormat="1" ht="14.25" hidden="1" customHeight="1" outlineLevel="1">
      <c r="A30" s="1475"/>
      <c r="B30" s="705" t="s">
        <v>14</v>
      </c>
      <c r="C30" s="1490"/>
      <c r="D30" s="1477"/>
      <c r="E30" s="1477"/>
      <c r="F30" s="1477"/>
      <c r="G30" s="1477"/>
      <c r="H30" s="1477"/>
      <c r="I30" s="1477"/>
      <c r="J30" s="1477"/>
      <c r="K30" s="1477"/>
      <c r="L30" s="1477"/>
      <c r="M30" s="3746"/>
      <c r="N30" s="3746"/>
      <c r="O30" s="2631"/>
      <c r="P30" s="1480">
        <f>D30-D19</f>
        <v>0</v>
      </c>
      <c r="Q30" s="1480"/>
    </row>
    <row r="31" spans="1:17" s="1474" customFormat="1" ht="14.25" customHeight="1" collapsed="1" thickBot="1">
      <c r="A31" s="1491"/>
      <c r="B31" s="1492" t="s">
        <v>20</v>
      </c>
      <c r="C31" s="1493"/>
      <c r="D31" s="1494">
        <f>+D42</f>
        <v>10380652</v>
      </c>
      <c r="E31" s="1494">
        <f t="shared" ref="E31:L31" si="19">+E42</f>
        <v>9101121</v>
      </c>
      <c r="F31" s="1494">
        <f t="shared" si="19"/>
        <v>0</v>
      </c>
      <c r="G31" s="1494">
        <f t="shared" si="19"/>
        <v>0</v>
      </c>
      <c r="H31" s="1494">
        <f t="shared" si="19"/>
        <v>1279531</v>
      </c>
      <c r="I31" s="1494">
        <f t="shared" si="19"/>
        <v>0</v>
      </c>
      <c r="J31" s="1494">
        <f t="shared" si="19"/>
        <v>0</v>
      </c>
      <c r="K31" s="1494">
        <f t="shared" si="19"/>
        <v>0</v>
      </c>
      <c r="L31" s="1494">
        <f t="shared" si="19"/>
        <v>0</v>
      </c>
      <c r="M31" s="3747"/>
      <c r="N31" s="3747"/>
      <c r="O31" s="2632"/>
      <c r="P31" s="1480">
        <f>D31-D20-D17</f>
        <v>0</v>
      </c>
    </row>
    <row r="32" spans="1:17" s="728" customFormat="1" ht="28.5" customHeight="1">
      <c r="A32" s="3775" t="s">
        <v>63</v>
      </c>
      <c r="B32" s="2998" t="s">
        <v>355</v>
      </c>
      <c r="C32" s="1341" t="s">
        <v>81</v>
      </c>
      <c r="D32" s="1341"/>
      <c r="E32" s="61"/>
      <c r="F32" s="1342"/>
      <c r="G32" s="1342"/>
      <c r="H32" s="1342"/>
      <c r="I32" s="1342"/>
      <c r="J32" s="1342"/>
      <c r="K32" s="1342"/>
      <c r="L32" s="1342"/>
      <c r="M32" s="1343"/>
      <c r="N32" s="1343"/>
      <c r="O32" s="3724" t="s">
        <v>471</v>
      </c>
    </row>
    <row r="33" spans="1:15" s="728" customFormat="1" ht="14.25" customHeight="1">
      <c r="A33" s="3766"/>
      <c r="B33" s="488" t="s">
        <v>10</v>
      </c>
      <c r="C33" s="1711"/>
      <c r="D33" s="1712">
        <f t="shared" ref="D33" si="20">+D34+D36</f>
        <v>19723223</v>
      </c>
      <c r="E33" s="1713">
        <f t="shared" ref="E33" si="21">+E34+E36</f>
        <v>8982580</v>
      </c>
      <c r="F33" s="1407">
        <f>+F34+F36</f>
        <v>3414399</v>
      </c>
      <c r="G33" s="1407">
        <f>+G34+G36</f>
        <v>4305574</v>
      </c>
      <c r="H33" s="1407">
        <f>+H34+H36</f>
        <v>3020670</v>
      </c>
      <c r="I33" s="1443"/>
      <c r="J33" s="1443"/>
      <c r="K33" s="1443"/>
      <c r="L33" s="1443"/>
      <c r="M33" s="1411">
        <f>+M34+M36</f>
        <v>10740643</v>
      </c>
      <c r="N33" s="1411">
        <f>+N34+N36</f>
        <v>7326244</v>
      </c>
      <c r="O33" s="3725"/>
    </row>
    <row r="34" spans="1:15" s="728" customFormat="1" ht="14.25" customHeight="1">
      <c r="A34" s="3766"/>
      <c r="B34" s="712" t="s">
        <v>11</v>
      </c>
      <c r="C34" s="3727" t="s">
        <v>166</v>
      </c>
      <c r="D34" s="1413">
        <f>D35</f>
        <v>9342571</v>
      </c>
      <c r="E34" s="1714">
        <f t="shared" ref="E34" si="22">E35</f>
        <v>2196030</v>
      </c>
      <c r="F34" s="1412">
        <f>F35</f>
        <v>3224124</v>
      </c>
      <c r="G34" s="1412">
        <f>G35</f>
        <v>2678701</v>
      </c>
      <c r="H34" s="1412">
        <f>H35</f>
        <v>1243716</v>
      </c>
      <c r="I34" s="1413"/>
      <c r="J34" s="1413"/>
      <c r="K34" s="1413"/>
      <c r="L34" s="1413"/>
      <c r="M34" s="1414">
        <f>M35</f>
        <v>7146541</v>
      </c>
      <c r="N34" s="1414">
        <f>N35</f>
        <v>3922417</v>
      </c>
      <c r="O34" s="3725"/>
    </row>
    <row r="35" spans="1:15" s="734" customFormat="1">
      <c r="A35" s="3766"/>
      <c r="B35" s="2277" t="s">
        <v>62</v>
      </c>
      <c r="C35" s="3728"/>
      <c r="D35" s="1715">
        <f>E35+F35+G35+H35+I35+J35+K35+L35</f>
        <v>9342571</v>
      </c>
      <c r="E35" s="2278">
        <v>2196030</v>
      </c>
      <c r="F35" s="2999">
        <f>260379+120178+1+1420927+3225430-1802790-1</f>
        <v>3224124</v>
      </c>
      <c r="G35" s="1591">
        <f>1438588+1240113</f>
        <v>2678701</v>
      </c>
      <c r="H35" s="1591">
        <f>681038+562677+1</f>
        <v>1243716</v>
      </c>
      <c r="I35" s="1716"/>
      <c r="J35" s="1716"/>
      <c r="K35" s="1716"/>
      <c r="L35" s="1716"/>
      <c r="M35" s="1706">
        <f>SUM(F35:K35)</f>
        <v>7146541</v>
      </c>
      <c r="N35" s="1706">
        <f>SUM(G35:L35)</f>
        <v>3922417</v>
      </c>
      <c r="O35" s="3725"/>
    </row>
    <row r="36" spans="1:15" s="728" customFormat="1" ht="14.25" customHeight="1">
      <c r="A36" s="3766"/>
      <c r="B36" s="716" t="s">
        <v>18</v>
      </c>
      <c r="C36" s="3729"/>
      <c r="D36" s="1717">
        <f>D37</f>
        <v>10380652</v>
      </c>
      <c r="E36" s="2167">
        <f t="shared" ref="E36:H36" si="23">E37</f>
        <v>6786550</v>
      </c>
      <c r="F36" s="2168">
        <f t="shared" si="23"/>
        <v>190275</v>
      </c>
      <c r="G36" s="1718">
        <f t="shared" si="23"/>
        <v>1626873</v>
      </c>
      <c r="H36" s="1718">
        <f t="shared" si="23"/>
        <v>1776954</v>
      </c>
      <c r="I36" s="1717"/>
      <c r="J36" s="1717"/>
      <c r="K36" s="1717"/>
      <c r="L36" s="1717"/>
      <c r="M36" s="1719">
        <f>M37</f>
        <v>3594102</v>
      </c>
      <c r="N36" s="1719">
        <f>N37</f>
        <v>3403827</v>
      </c>
      <c r="O36" s="3725"/>
    </row>
    <row r="37" spans="1:15" s="728" customFormat="1">
      <c r="A37" s="3766"/>
      <c r="B37" s="715" t="s">
        <v>20</v>
      </c>
      <c r="C37" s="3729"/>
      <c r="D37" s="1715">
        <f>E37+F37+G37+H37+I37+J37+K37+L37</f>
        <v>10380652</v>
      </c>
      <c r="E37" s="2278">
        <v>6786550</v>
      </c>
      <c r="F37" s="2231">
        <f>139157+4982+2237372-1274751-908760-7725</f>
        <v>190275</v>
      </c>
      <c r="G37" s="2279">
        <f>1780473+158867-320192+7725</f>
        <v>1626873</v>
      </c>
      <c r="H37" s="2279">
        <f>548002+1228952</f>
        <v>1776954</v>
      </c>
      <c r="I37" s="1720"/>
      <c r="J37" s="1720"/>
      <c r="K37" s="1720"/>
      <c r="L37" s="1720"/>
      <c r="M37" s="1706">
        <f>SUM(F37:K37)</f>
        <v>3594102</v>
      </c>
      <c r="N37" s="1706">
        <f>SUM(G37:L37)</f>
        <v>3403827</v>
      </c>
      <c r="O37" s="3725"/>
    </row>
    <row r="38" spans="1:15" s="736" customFormat="1" ht="14.25" customHeight="1">
      <c r="A38" s="3766"/>
      <c r="B38" s="488" t="s">
        <v>22</v>
      </c>
      <c r="C38" s="1721"/>
      <c r="D38" s="1722">
        <f t="shared" ref="D38" si="24">+D39+D42</f>
        <v>19723223</v>
      </c>
      <c r="E38" s="1723">
        <f t="shared" ref="E38" si="25">+E39+E42</f>
        <v>11297151</v>
      </c>
      <c r="F38" s="3000">
        <f>+F39+F42</f>
        <v>3224124</v>
      </c>
      <c r="G38" s="3000">
        <f>+G39+G42</f>
        <v>218416</v>
      </c>
      <c r="H38" s="1724">
        <f>+H39+H42</f>
        <v>4983532</v>
      </c>
      <c r="I38" s="1724"/>
      <c r="J38" s="1724"/>
      <c r="K38" s="1724"/>
      <c r="L38" s="1724"/>
      <c r="M38" s="3732" t="s">
        <v>61</v>
      </c>
      <c r="N38" s="3732" t="s">
        <v>61</v>
      </c>
      <c r="O38" s="3725"/>
    </row>
    <row r="39" spans="1:15" s="728" customFormat="1" ht="14.25" customHeight="1">
      <c r="A39" s="3766"/>
      <c r="B39" s="712" t="s">
        <v>11</v>
      </c>
      <c r="C39" s="3730" t="s">
        <v>166</v>
      </c>
      <c r="D39" s="1725">
        <f>D40</f>
        <v>9342571</v>
      </c>
      <c r="E39" s="1726">
        <f t="shared" ref="E39:H39" si="26">E40</f>
        <v>2196030</v>
      </c>
      <c r="F39" s="1737">
        <f t="shared" si="26"/>
        <v>3224124</v>
      </c>
      <c r="G39" s="1737">
        <f t="shared" si="26"/>
        <v>218416</v>
      </c>
      <c r="H39" s="1725">
        <f t="shared" si="26"/>
        <v>3704001</v>
      </c>
      <c r="I39" s="1725"/>
      <c r="J39" s="1725"/>
      <c r="K39" s="1725"/>
      <c r="L39" s="1725"/>
      <c r="M39" s="3732"/>
      <c r="N39" s="3732"/>
      <c r="O39" s="3725"/>
    </row>
    <row r="40" spans="1:15" s="728" customFormat="1" ht="12.75" customHeight="1">
      <c r="A40" s="3766"/>
      <c r="B40" s="715" t="s">
        <v>16</v>
      </c>
      <c r="C40" s="3729"/>
      <c r="D40" s="1715">
        <f>E40+F40+G40+H40+I40+J40+K40+L40</f>
        <v>9342571</v>
      </c>
      <c r="E40" s="1591">
        <v>2196030</v>
      </c>
      <c r="F40" s="3001">
        <f>3442541-218416-1</f>
        <v>3224124</v>
      </c>
      <c r="G40" s="3001">
        <f>3704000-3704000+218416</f>
        <v>218416</v>
      </c>
      <c r="H40" s="1727">
        <f>3704000+1</f>
        <v>3704001</v>
      </c>
      <c r="I40" s="1727"/>
      <c r="J40" s="1727"/>
      <c r="K40" s="1727"/>
      <c r="L40" s="1727"/>
      <c r="M40" s="3732"/>
      <c r="N40" s="3732"/>
      <c r="O40" s="3725"/>
    </row>
    <row r="41" spans="1:15" s="728" customFormat="1" ht="14.25" customHeight="1">
      <c r="A41" s="3766"/>
      <c r="B41" s="716" t="s">
        <v>18</v>
      </c>
      <c r="C41" s="3729"/>
      <c r="D41" s="1725">
        <f>D42</f>
        <v>10380652</v>
      </c>
      <c r="E41" s="1726">
        <f t="shared" ref="E41:H41" si="27">E42</f>
        <v>9101121</v>
      </c>
      <c r="F41" s="1737">
        <f t="shared" si="27"/>
        <v>0</v>
      </c>
      <c r="G41" s="1737">
        <f t="shared" si="27"/>
        <v>0</v>
      </c>
      <c r="H41" s="1725">
        <f t="shared" si="27"/>
        <v>1279531</v>
      </c>
      <c r="I41" s="1725"/>
      <c r="J41" s="1725"/>
      <c r="K41" s="1725"/>
      <c r="L41" s="1725"/>
      <c r="M41" s="3732"/>
      <c r="N41" s="3732"/>
      <c r="O41" s="3725"/>
    </row>
    <row r="42" spans="1:15" s="728" customFormat="1" ht="12.75" thickBot="1">
      <c r="A42" s="3771"/>
      <c r="B42" s="81" t="s">
        <v>20</v>
      </c>
      <c r="C42" s="3731"/>
      <c r="D42" s="941">
        <f>E42+F42+G42+H42+I42+J42+K42+L42</f>
        <v>10380652</v>
      </c>
      <c r="E42" s="945">
        <v>9101121</v>
      </c>
      <c r="F42" s="3002">
        <v>0</v>
      </c>
      <c r="G42" s="3003">
        <f>1569940-1569940</f>
        <v>0</v>
      </c>
      <c r="H42" s="1353">
        <v>1279531</v>
      </c>
      <c r="I42" s="1353"/>
      <c r="J42" s="1353"/>
      <c r="K42" s="1353"/>
      <c r="L42" s="1353"/>
      <c r="M42" s="3733"/>
      <c r="N42" s="3733"/>
      <c r="O42" s="3726"/>
    </row>
    <row r="43" spans="1:15" ht="18.75" customHeight="1">
      <c r="A43" s="3766" t="s">
        <v>64</v>
      </c>
      <c r="B43" s="3004" t="s">
        <v>359</v>
      </c>
      <c r="C43" s="3005" t="s">
        <v>109</v>
      </c>
      <c r="D43" s="3005"/>
      <c r="E43" s="3005"/>
      <c r="F43" s="1897"/>
      <c r="G43" s="1897"/>
      <c r="H43" s="1897"/>
      <c r="I43" s="1897"/>
      <c r="J43" s="1897"/>
      <c r="K43" s="1897"/>
      <c r="L43" s="1897"/>
      <c r="M43" s="3006"/>
      <c r="N43" s="3006"/>
      <c r="O43" s="3749" t="s">
        <v>325</v>
      </c>
    </row>
    <row r="44" spans="1:15" ht="13.5" customHeight="1">
      <c r="A44" s="3766"/>
      <c r="B44" s="488" t="s">
        <v>10</v>
      </c>
      <c r="C44" s="3007"/>
      <c r="D44" s="1801">
        <f t="shared" ref="D44:L44" si="28">+D45+D48</f>
        <v>32711308</v>
      </c>
      <c r="E44" s="1801">
        <f t="shared" ref="E44" si="29">+E45+E48</f>
        <v>5960282</v>
      </c>
      <c r="F44" s="1870">
        <f t="shared" si="28"/>
        <v>3712693</v>
      </c>
      <c r="G44" s="1870">
        <f t="shared" si="28"/>
        <v>5500000</v>
      </c>
      <c r="H44" s="1870">
        <f t="shared" si="28"/>
        <v>6500000</v>
      </c>
      <c r="I44" s="1870">
        <f t="shared" si="28"/>
        <v>6000000</v>
      </c>
      <c r="J44" s="1870">
        <f t="shared" si="28"/>
        <v>1883242</v>
      </c>
      <c r="K44" s="1870">
        <f t="shared" si="28"/>
        <v>1607578</v>
      </c>
      <c r="L44" s="1870">
        <f t="shared" si="28"/>
        <v>1547513</v>
      </c>
      <c r="M44" s="1898">
        <f>+M45+M48</f>
        <v>26751026</v>
      </c>
      <c r="N44" s="1898">
        <f>+N45+N48</f>
        <v>23038333</v>
      </c>
      <c r="O44" s="3749"/>
    </row>
    <row r="45" spans="1:15" ht="13.5" customHeight="1">
      <c r="A45" s="3766"/>
      <c r="B45" s="712" t="s">
        <v>11</v>
      </c>
      <c r="C45" s="3751" t="s">
        <v>167</v>
      </c>
      <c r="D45" s="1844">
        <f>+D46+D47</f>
        <v>11896874</v>
      </c>
      <c r="E45" s="1844">
        <f t="shared" ref="E45" si="30">+E46+E47</f>
        <v>2167756</v>
      </c>
      <c r="F45" s="1899">
        <f t="shared" ref="F45:L45" si="31">+F46+F47</f>
        <v>1350307</v>
      </c>
      <c r="G45" s="1899">
        <f t="shared" si="31"/>
        <v>2000000</v>
      </c>
      <c r="H45" s="1899">
        <f t="shared" si="31"/>
        <v>2364000</v>
      </c>
      <c r="I45" s="1899">
        <f t="shared" si="31"/>
        <v>2182000</v>
      </c>
      <c r="J45" s="1899">
        <f t="shared" si="31"/>
        <v>685335</v>
      </c>
      <c r="K45" s="1899">
        <f t="shared" si="31"/>
        <v>585076</v>
      </c>
      <c r="L45" s="1899">
        <f t="shared" si="31"/>
        <v>562400</v>
      </c>
      <c r="M45" s="3008">
        <f>SUM(M46:M47)</f>
        <v>9729118</v>
      </c>
      <c r="N45" s="3008">
        <f>SUM(N46:N47)</f>
        <v>8378811</v>
      </c>
      <c r="O45" s="3749"/>
    </row>
    <row r="46" spans="1:15" ht="12.6" hidden="1" customHeight="1">
      <c r="A46" s="3766"/>
      <c r="B46" s="715" t="s">
        <v>12</v>
      </c>
      <c r="C46" s="3751"/>
      <c r="D46" s="3009">
        <f>E46+F46+G46+H46+I46+J46+K46+L46</f>
        <v>0</v>
      </c>
      <c r="E46" s="3010">
        <v>0</v>
      </c>
      <c r="F46" s="1900">
        <f>450000-450000</f>
        <v>0</v>
      </c>
      <c r="G46" s="1900">
        <f>500000-500000</f>
        <v>0</v>
      </c>
      <c r="H46" s="1900">
        <v>0</v>
      </c>
      <c r="I46" s="1900"/>
      <c r="J46" s="1900"/>
      <c r="K46" s="1900"/>
      <c r="L46" s="1900"/>
      <c r="M46" s="1901">
        <f>SUM(F46:K46)</f>
        <v>0</v>
      </c>
      <c r="N46" s="1901">
        <f>SUM(G46:L46)</f>
        <v>0</v>
      </c>
      <c r="O46" s="3749"/>
    </row>
    <row r="47" spans="1:15" ht="13.5" customHeight="1">
      <c r="A47" s="3766"/>
      <c r="B47" s="3011" t="s">
        <v>235</v>
      </c>
      <c r="C47" s="3751"/>
      <c r="D47" s="3009">
        <f>E47+F47+G47+H47+I47+J47+K47+L47</f>
        <v>11896874</v>
      </c>
      <c r="E47" s="3010">
        <v>2167756</v>
      </c>
      <c r="F47" s="1900">
        <f>2546000-1636750+205354+303396-67693</f>
        <v>1350307</v>
      </c>
      <c r="G47" s="1900">
        <f>2910000-2000750-303396+585470+808676</f>
        <v>2000000</v>
      </c>
      <c r="H47" s="1900">
        <f>909250+1454750</f>
        <v>2364000</v>
      </c>
      <c r="I47" s="1900">
        <f>989414+1192586</f>
        <v>2182000</v>
      </c>
      <c r="J47" s="1900">
        <f>989414-404338+100259</f>
        <v>685335</v>
      </c>
      <c r="K47" s="1900">
        <f>989414-404338</f>
        <v>585076</v>
      </c>
      <c r="L47" s="1900">
        <f>494707+67693</f>
        <v>562400</v>
      </c>
      <c r="M47" s="1901">
        <f>SUM(F47:L47)</f>
        <v>9729118</v>
      </c>
      <c r="N47" s="1901">
        <f>SUM(G47:L47)</f>
        <v>8378811</v>
      </c>
      <c r="O47" s="3749"/>
    </row>
    <row r="48" spans="1:15" ht="13.5" customHeight="1">
      <c r="A48" s="3766"/>
      <c r="B48" s="716" t="s">
        <v>18</v>
      </c>
      <c r="C48" s="3751"/>
      <c r="D48" s="1844">
        <f>+D49</f>
        <v>20814434</v>
      </c>
      <c r="E48" s="1844">
        <f t="shared" ref="E48:L48" si="32">+E49</f>
        <v>3792526</v>
      </c>
      <c r="F48" s="1844">
        <f t="shared" si="32"/>
        <v>2362386</v>
      </c>
      <c r="G48" s="1844">
        <f t="shared" si="32"/>
        <v>3500000</v>
      </c>
      <c r="H48" s="1844">
        <f t="shared" si="32"/>
        <v>4136000</v>
      </c>
      <c r="I48" s="1844">
        <f t="shared" si="32"/>
        <v>3818000</v>
      </c>
      <c r="J48" s="1844">
        <f t="shared" si="32"/>
        <v>1197907</v>
      </c>
      <c r="K48" s="1844">
        <f t="shared" si="32"/>
        <v>1022502</v>
      </c>
      <c r="L48" s="1844">
        <f t="shared" si="32"/>
        <v>985113</v>
      </c>
      <c r="M48" s="1845">
        <f>+M49</f>
        <v>17021908</v>
      </c>
      <c r="N48" s="1845">
        <f>+N49</f>
        <v>14659522</v>
      </c>
      <c r="O48" s="3749"/>
    </row>
    <row r="49" spans="1:16" ht="13.5" customHeight="1">
      <c r="A49" s="3766"/>
      <c r="B49" s="3011" t="s">
        <v>338</v>
      </c>
      <c r="C49" s="3751"/>
      <c r="D49" s="3009">
        <f>E49+F49+G49+H49+I49+J49+K49+L49</f>
        <v>20814434</v>
      </c>
      <c r="E49" s="3010">
        <v>3792526</v>
      </c>
      <c r="F49" s="1900">
        <f>4454000-2863250+358256+532994-119614</f>
        <v>2362386</v>
      </c>
      <c r="G49" s="1900">
        <f>5090000-3499250-532994+1025255+1416989</f>
        <v>3500000</v>
      </c>
      <c r="H49" s="1900">
        <f>1590750+2545250</f>
        <v>4136000</v>
      </c>
      <c r="I49" s="1900">
        <f>1730997+2087003</f>
        <v>3818000</v>
      </c>
      <c r="J49" s="1900">
        <f>1730997-708494+175404</f>
        <v>1197907</v>
      </c>
      <c r="K49" s="1900">
        <f>1730997-708495</f>
        <v>1022502</v>
      </c>
      <c r="L49" s="1900">
        <f>865499+119614</f>
        <v>985113</v>
      </c>
      <c r="M49" s="1901">
        <f>SUM(F49:L49)</f>
        <v>17021908</v>
      </c>
      <c r="N49" s="1901">
        <f>SUM(G49:L49)</f>
        <v>14659522</v>
      </c>
      <c r="O49" s="3749"/>
      <c r="P49" s="2483">
        <f>D55-D49</f>
        <v>0</v>
      </c>
    </row>
    <row r="50" spans="1:16" s="2481" customFormat="1" ht="14.25" customHeight="1">
      <c r="A50" s="3766"/>
      <c r="B50" s="488" t="s">
        <v>22</v>
      </c>
      <c r="C50" s="3082"/>
      <c r="D50" s="1870">
        <f>+D51+D54</f>
        <v>32711308</v>
      </c>
      <c r="E50" s="1870">
        <f t="shared" ref="E50" si="33">+E51+E54</f>
        <v>5960282</v>
      </c>
      <c r="F50" s="1870">
        <f t="shared" ref="F50:L50" si="34">+F51+F54</f>
        <v>3712693</v>
      </c>
      <c r="G50" s="1870">
        <f t="shared" si="34"/>
        <v>5500000</v>
      </c>
      <c r="H50" s="1870">
        <f t="shared" si="34"/>
        <v>6500000</v>
      </c>
      <c r="I50" s="1870">
        <f t="shared" si="34"/>
        <v>6000000</v>
      </c>
      <c r="J50" s="1870">
        <f t="shared" si="34"/>
        <v>1883242</v>
      </c>
      <c r="K50" s="1870">
        <f t="shared" si="34"/>
        <v>1607578</v>
      </c>
      <c r="L50" s="1870">
        <f t="shared" si="34"/>
        <v>1547513</v>
      </c>
      <c r="M50" s="3754" t="s">
        <v>61</v>
      </c>
      <c r="N50" s="3754" t="s">
        <v>61</v>
      </c>
      <c r="O50" s="3749"/>
    </row>
    <row r="51" spans="1:16" s="2481" customFormat="1" ht="13.5" customHeight="1">
      <c r="A51" s="3766"/>
      <c r="B51" s="712" t="s">
        <v>11</v>
      </c>
      <c r="C51" s="3752" t="s">
        <v>167</v>
      </c>
      <c r="D51" s="1844">
        <f>+D52</f>
        <v>11896874</v>
      </c>
      <c r="E51" s="1844">
        <f t="shared" ref="E51:L51" si="35">+E52</f>
        <v>2167756</v>
      </c>
      <c r="F51" s="1899">
        <f t="shared" si="35"/>
        <v>1350307</v>
      </c>
      <c r="G51" s="1899">
        <f t="shared" si="35"/>
        <v>2000000</v>
      </c>
      <c r="H51" s="1899">
        <f t="shared" si="35"/>
        <v>2364000</v>
      </c>
      <c r="I51" s="1899">
        <f t="shared" si="35"/>
        <v>2182000</v>
      </c>
      <c r="J51" s="1899">
        <f t="shared" si="35"/>
        <v>685335</v>
      </c>
      <c r="K51" s="1899">
        <f t="shared" si="35"/>
        <v>585076</v>
      </c>
      <c r="L51" s="1899">
        <f t="shared" si="35"/>
        <v>562400</v>
      </c>
      <c r="M51" s="3754"/>
      <c r="N51" s="3754"/>
      <c r="O51" s="3749"/>
    </row>
    <row r="52" spans="1:16" s="2481" customFormat="1" ht="12.75" customHeight="1">
      <c r="A52" s="3766"/>
      <c r="B52" s="3011" t="s">
        <v>235</v>
      </c>
      <c r="C52" s="3752"/>
      <c r="D52" s="3009">
        <f>E52+F52+G52+H52+I52+J52+K52+L52</f>
        <v>11896874</v>
      </c>
      <c r="E52" s="3010">
        <v>2167756</v>
      </c>
      <c r="F52" s="1900">
        <f>2546000-1636750+205354+303396-67693</f>
        <v>1350307</v>
      </c>
      <c r="G52" s="1900">
        <f>2910000-2000750-303396+585470+808676</f>
        <v>2000000</v>
      </c>
      <c r="H52" s="1900">
        <f>909250+1454750</f>
        <v>2364000</v>
      </c>
      <c r="I52" s="1900">
        <f>989414+1192586</f>
        <v>2182000</v>
      </c>
      <c r="J52" s="1900">
        <f>989414-404338+100259</f>
        <v>685335</v>
      </c>
      <c r="K52" s="1900">
        <f>989414-404338</f>
        <v>585076</v>
      </c>
      <c r="L52" s="1900">
        <f>494707+67693</f>
        <v>562400</v>
      </c>
      <c r="M52" s="3754"/>
      <c r="N52" s="3754"/>
      <c r="O52" s="3749"/>
    </row>
    <row r="53" spans="1:16" s="2481" customFormat="1" ht="13.5" hidden="1" customHeight="1">
      <c r="A53" s="3766"/>
      <c r="B53" s="715" t="s">
        <v>25</v>
      </c>
      <c r="C53" s="3752"/>
      <c r="D53" s="3009">
        <f>E53+F53+G53+H53+I53+J53+K53+L53</f>
        <v>0</v>
      </c>
      <c r="E53" s="3010">
        <v>0</v>
      </c>
      <c r="F53" s="1900"/>
      <c r="G53" s="1900"/>
      <c r="H53" s="1900"/>
      <c r="I53" s="1900"/>
      <c r="J53" s="1900"/>
      <c r="K53" s="1900"/>
      <c r="L53" s="1900"/>
      <c r="M53" s="3754"/>
      <c r="N53" s="3754"/>
      <c r="O53" s="3749"/>
    </row>
    <row r="54" spans="1:16" s="2481" customFormat="1" ht="12.75" customHeight="1">
      <c r="A54" s="3766"/>
      <c r="B54" s="716" t="s">
        <v>18</v>
      </c>
      <c r="C54" s="3752"/>
      <c r="D54" s="1844">
        <f>+D55</f>
        <v>20814434</v>
      </c>
      <c r="E54" s="1844">
        <f t="shared" ref="E54:L54" si="36">+E55</f>
        <v>3792526</v>
      </c>
      <c r="F54" s="1899">
        <f t="shared" si="36"/>
        <v>2362386</v>
      </c>
      <c r="G54" s="1899">
        <f t="shared" si="36"/>
        <v>3500000</v>
      </c>
      <c r="H54" s="1899">
        <f t="shared" si="36"/>
        <v>4136000</v>
      </c>
      <c r="I54" s="1899">
        <f t="shared" si="36"/>
        <v>3818000</v>
      </c>
      <c r="J54" s="1899">
        <f t="shared" si="36"/>
        <v>1197907</v>
      </c>
      <c r="K54" s="1899">
        <f t="shared" si="36"/>
        <v>1022502</v>
      </c>
      <c r="L54" s="1899">
        <f t="shared" si="36"/>
        <v>985113</v>
      </c>
      <c r="M54" s="3754"/>
      <c r="N54" s="3754"/>
      <c r="O54" s="3749"/>
    </row>
    <row r="55" spans="1:16" s="2481" customFormat="1" ht="12.75" customHeight="1" thickBot="1">
      <c r="A55" s="3771"/>
      <c r="B55" s="3012" t="s">
        <v>338</v>
      </c>
      <c r="C55" s="3753"/>
      <c r="D55" s="3083">
        <f>E55+F55+G55+H55+I55+J55+K55+L55</f>
        <v>20814434</v>
      </c>
      <c r="E55" s="3084">
        <v>3792526</v>
      </c>
      <c r="F55" s="3085">
        <f>4454000-2863250+358256+532994-119614</f>
        <v>2362386</v>
      </c>
      <c r="G55" s="3085">
        <f>5090000-3499250-532994+1025255+1416989</f>
        <v>3500000</v>
      </c>
      <c r="H55" s="3085">
        <f>1590750+2545250</f>
        <v>4136000</v>
      </c>
      <c r="I55" s="3085">
        <f>1730997+2087003</f>
        <v>3818000</v>
      </c>
      <c r="J55" s="3085">
        <f>1730997-708494+175404</f>
        <v>1197907</v>
      </c>
      <c r="K55" s="3085">
        <f>1730997-708495</f>
        <v>1022502</v>
      </c>
      <c r="L55" s="3085">
        <f>865499+119614</f>
        <v>985113</v>
      </c>
      <c r="M55" s="3755"/>
      <c r="N55" s="3755"/>
      <c r="O55" s="3750"/>
    </row>
    <row r="56" spans="1:16" ht="11.25" hidden="1" customHeight="1" thickBot="1">
      <c r="A56" s="741"/>
      <c r="B56" s="742" t="s">
        <v>20</v>
      </c>
      <c r="C56" s="743"/>
      <c r="D56" s="1007">
        <f>E56+F56+G56+H56+I56+J56+K56+L56</f>
        <v>0</v>
      </c>
      <c r="E56" s="744"/>
      <c r="F56" s="744"/>
      <c r="G56" s="744"/>
      <c r="H56" s="744"/>
      <c r="I56" s="744"/>
      <c r="J56" s="744"/>
      <c r="K56" s="744"/>
      <c r="L56" s="744"/>
      <c r="M56" s="745"/>
      <c r="N56" s="745"/>
      <c r="O56" s="746"/>
    </row>
    <row r="57" spans="1:16" s="2565" customFormat="1" ht="51" customHeight="1">
      <c r="A57" s="3291" t="s">
        <v>65</v>
      </c>
      <c r="B57" s="2155" t="s">
        <v>499</v>
      </c>
      <c r="C57" s="1833" t="s">
        <v>81</v>
      </c>
      <c r="D57" s="761"/>
      <c r="E57" s="1709"/>
      <c r="F57" s="763"/>
      <c r="G57" s="763"/>
      <c r="H57" s="763"/>
      <c r="I57" s="762"/>
      <c r="J57" s="762"/>
      <c r="K57" s="762"/>
      <c r="L57" s="762"/>
      <c r="M57" s="764"/>
      <c r="N57" s="764"/>
      <c r="O57" s="3240" t="s">
        <v>356</v>
      </c>
    </row>
    <row r="58" spans="1:16" s="2565" customFormat="1" ht="15.75" customHeight="1">
      <c r="A58" s="3291"/>
      <c r="B58" s="1799" t="s">
        <v>10</v>
      </c>
      <c r="C58" s="1800"/>
      <c r="D58" s="1801">
        <f>+D59+D61</f>
        <v>1016020</v>
      </c>
      <c r="E58" s="1801">
        <f>+E59+E61</f>
        <v>49100</v>
      </c>
      <c r="F58" s="1801">
        <f>+F59+F61</f>
        <v>0</v>
      </c>
      <c r="G58" s="1801">
        <f t="shared" ref="G58:I58" si="37">+G59+G61</f>
        <v>443730</v>
      </c>
      <c r="H58" s="1801">
        <f t="shared" si="37"/>
        <v>344790</v>
      </c>
      <c r="I58" s="1801">
        <f t="shared" si="37"/>
        <v>178400</v>
      </c>
      <c r="J58" s="1801">
        <v>0</v>
      </c>
      <c r="K58" s="1801">
        <v>0</v>
      </c>
      <c r="L58" s="1801">
        <v>0</v>
      </c>
      <c r="M58" s="1802">
        <f>+M59+M61</f>
        <v>966920</v>
      </c>
      <c r="N58" s="1802">
        <f>+N59+N61</f>
        <v>966920</v>
      </c>
      <c r="O58" s="3241"/>
      <c r="P58" s="2565" t="s">
        <v>430</v>
      </c>
    </row>
    <row r="59" spans="1:16" s="2565" customFormat="1" ht="12.75" customHeight="1">
      <c r="A59" s="3291"/>
      <c r="B59" s="1803" t="s">
        <v>24</v>
      </c>
      <c r="C59" s="3214" t="s">
        <v>215</v>
      </c>
      <c r="D59" s="1804">
        <f>+D60</f>
        <v>174504</v>
      </c>
      <c r="E59" s="1356">
        <f>+E60</f>
        <v>29465</v>
      </c>
      <c r="F59" s="1356">
        <f>+F60</f>
        <v>0</v>
      </c>
      <c r="G59" s="1356">
        <f>+G60</f>
        <v>66560</v>
      </c>
      <c r="H59" s="1356">
        <f t="shared" ref="H59:I59" si="38">+H60</f>
        <v>51719</v>
      </c>
      <c r="I59" s="1356">
        <f t="shared" si="38"/>
        <v>26760</v>
      </c>
      <c r="J59" s="1810">
        <v>0</v>
      </c>
      <c r="K59" s="1810">
        <v>0</v>
      </c>
      <c r="L59" s="1810">
        <v>0</v>
      </c>
      <c r="M59" s="1805">
        <f>+M60</f>
        <v>145039</v>
      </c>
      <c r="N59" s="1805">
        <f>+N60</f>
        <v>145039</v>
      </c>
      <c r="O59" s="3241"/>
    </row>
    <row r="60" spans="1:16" s="2565" customFormat="1" ht="12.75" customHeight="1">
      <c r="A60" s="3291"/>
      <c r="B60" s="1806" t="s">
        <v>12</v>
      </c>
      <c r="C60" s="3215"/>
      <c r="D60" s="949">
        <f>E60+F60+G60+H60+I60+J60+K60+L60</f>
        <v>174504</v>
      </c>
      <c r="E60" s="949">
        <v>29465</v>
      </c>
      <c r="F60" s="986">
        <f>16229-16229</f>
        <v>0</v>
      </c>
      <c r="G60" s="986">
        <f>53796+12764</f>
        <v>66560</v>
      </c>
      <c r="H60" s="986">
        <v>51719</v>
      </c>
      <c r="I60" s="986">
        <v>26760</v>
      </c>
      <c r="J60" s="1810">
        <v>0</v>
      </c>
      <c r="K60" s="1810">
        <v>0</v>
      </c>
      <c r="L60" s="1810">
        <v>0</v>
      </c>
      <c r="M60" s="2194">
        <f>SUM(F60:K60)</f>
        <v>145039</v>
      </c>
      <c r="N60" s="2194">
        <f>SUM(G60:L60)</f>
        <v>145039</v>
      </c>
      <c r="O60" s="3241"/>
    </row>
    <row r="61" spans="1:16" s="2565" customFormat="1" ht="14.25" customHeight="1">
      <c r="A61" s="3291"/>
      <c r="B61" s="1808" t="s">
        <v>18</v>
      </c>
      <c r="C61" s="3215"/>
      <c r="D61" s="1804">
        <f>+D62</f>
        <v>841516</v>
      </c>
      <c r="E61" s="1356">
        <f>+E62</f>
        <v>19635</v>
      </c>
      <c r="F61" s="1356">
        <f>+F62</f>
        <v>0</v>
      </c>
      <c r="G61" s="1356">
        <f t="shared" ref="G61:I61" si="39">+G62</f>
        <v>377170</v>
      </c>
      <c r="H61" s="1356">
        <f t="shared" si="39"/>
        <v>293071</v>
      </c>
      <c r="I61" s="1356">
        <f t="shared" si="39"/>
        <v>151640</v>
      </c>
      <c r="J61" s="1810">
        <v>0</v>
      </c>
      <c r="K61" s="1810">
        <v>0</v>
      </c>
      <c r="L61" s="1810">
        <v>0</v>
      </c>
      <c r="M61" s="1805">
        <f>+M62</f>
        <v>821881</v>
      </c>
      <c r="N61" s="1805">
        <f>+N62</f>
        <v>821881</v>
      </c>
      <c r="O61" s="3241"/>
    </row>
    <row r="62" spans="1:16" s="2565" customFormat="1" ht="12.75" customHeight="1">
      <c r="A62" s="3291"/>
      <c r="B62" s="281" t="s">
        <v>21</v>
      </c>
      <c r="C62" s="3262"/>
      <c r="D62" s="949">
        <f>E62+F62+G62+H62+I62+J62+K62+L62</f>
        <v>841516</v>
      </c>
      <c r="E62" s="1782">
        <v>19635</v>
      </c>
      <c r="F62" s="1813">
        <f>91961-91961</f>
        <v>0</v>
      </c>
      <c r="G62" s="1813">
        <f>304844+72326</f>
        <v>377170</v>
      </c>
      <c r="H62" s="1813">
        <v>293071</v>
      </c>
      <c r="I62" s="1813">
        <v>151640</v>
      </c>
      <c r="J62" s="1810">
        <v>0</v>
      </c>
      <c r="K62" s="1810">
        <v>0</v>
      </c>
      <c r="L62" s="1810">
        <v>0</v>
      </c>
      <c r="M62" s="2194">
        <f>SUM(F62:K62)</f>
        <v>821881</v>
      </c>
      <c r="N62" s="2194">
        <f>SUM(G62:L62)</f>
        <v>821881</v>
      </c>
      <c r="O62" s="3723"/>
    </row>
    <row r="63" spans="1:16" s="2565" customFormat="1" ht="12" customHeight="1">
      <c r="A63" s="3291"/>
      <c r="B63" s="1799" t="s">
        <v>22</v>
      </c>
      <c r="C63" s="1800"/>
      <c r="D63" s="1801">
        <f t="shared" ref="D63:I64" si="40">+D64</f>
        <v>841516</v>
      </c>
      <c r="E63" s="101">
        <f t="shared" si="40"/>
        <v>0</v>
      </c>
      <c r="F63" s="101">
        <f t="shared" si="40"/>
        <v>0</v>
      </c>
      <c r="G63" s="101">
        <f t="shared" si="40"/>
        <v>396805</v>
      </c>
      <c r="H63" s="101">
        <f t="shared" si="40"/>
        <v>293071</v>
      </c>
      <c r="I63" s="101">
        <f t="shared" si="40"/>
        <v>151640</v>
      </c>
      <c r="J63" s="1801">
        <v>0</v>
      </c>
      <c r="K63" s="1801">
        <v>0</v>
      </c>
      <c r="L63" s="1801">
        <v>0</v>
      </c>
      <c r="M63" s="3302"/>
      <c r="N63" s="3302"/>
      <c r="O63" s="3241" t="s">
        <v>223</v>
      </c>
    </row>
    <row r="64" spans="1:16" s="2565" customFormat="1" ht="13.5" customHeight="1">
      <c r="A64" s="3291"/>
      <c r="B64" s="1808" t="s">
        <v>18</v>
      </c>
      <c r="C64" s="3332" t="s">
        <v>218</v>
      </c>
      <c r="D64" s="1804">
        <f t="shared" si="40"/>
        <v>841516</v>
      </c>
      <c r="E64" s="1810">
        <f t="shared" si="40"/>
        <v>0</v>
      </c>
      <c r="F64" s="1810">
        <f t="shared" si="40"/>
        <v>0</v>
      </c>
      <c r="G64" s="1810">
        <f t="shared" si="40"/>
        <v>396805</v>
      </c>
      <c r="H64" s="1810">
        <f t="shared" si="40"/>
        <v>293071</v>
      </c>
      <c r="I64" s="1810">
        <f t="shared" si="40"/>
        <v>151640</v>
      </c>
      <c r="J64" s="1810">
        <v>0</v>
      </c>
      <c r="K64" s="1810">
        <v>0</v>
      </c>
      <c r="L64" s="1810">
        <v>0</v>
      </c>
      <c r="M64" s="3273"/>
      <c r="N64" s="3273"/>
      <c r="O64" s="3241"/>
    </row>
    <row r="65" spans="1:16" s="2565" customFormat="1" ht="13.5" customHeight="1" thickBot="1">
      <c r="A65" s="3359"/>
      <c r="B65" s="230" t="s">
        <v>21</v>
      </c>
      <c r="C65" s="3217"/>
      <c r="D65" s="949">
        <f>E65+F65+G65+H65+I65+J65+K65+L65</f>
        <v>841516</v>
      </c>
      <c r="E65" s="949">
        <v>0</v>
      </c>
      <c r="F65" s="2181">
        <f>91961-91961</f>
        <v>0</v>
      </c>
      <c r="G65" s="2181">
        <f>304844+91961</f>
        <v>396805</v>
      </c>
      <c r="H65" s="2181">
        <v>293071</v>
      </c>
      <c r="I65" s="2181">
        <v>151640</v>
      </c>
      <c r="J65" s="2181">
        <v>0</v>
      </c>
      <c r="K65" s="2181">
        <v>0</v>
      </c>
      <c r="L65" s="2181">
        <v>0</v>
      </c>
      <c r="M65" s="3274"/>
      <c r="N65" s="3274"/>
      <c r="O65" s="3242"/>
    </row>
    <row r="66" spans="1:16" s="2565" customFormat="1" ht="50.25" customHeight="1">
      <c r="A66" s="3290" t="s">
        <v>66</v>
      </c>
      <c r="B66" s="2155" t="s">
        <v>380</v>
      </c>
      <c r="C66" s="1833" t="s">
        <v>171</v>
      </c>
      <c r="D66" s="761"/>
      <c r="E66" s="762"/>
      <c r="F66" s="763"/>
      <c r="G66" s="763"/>
      <c r="H66" s="763"/>
      <c r="I66" s="762"/>
      <c r="J66" s="762"/>
      <c r="K66" s="762"/>
      <c r="L66" s="762"/>
      <c r="M66" s="764"/>
      <c r="N66" s="764"/>
      <c r="O66" s="3240" t="s">
        <v>356</v>
      </c>
    </row>
    <row r="67" spans="1:16" s="2565" customFormat="1" ht="13.5" customHeight="1">
      <c r="A67" s="3291"/>
      <c r="B67" s="1799" t="s">
        <v>10</v>
      </c>
      <c r="C67" s="1800"/>
      <c r="D67" s="1801">
        <f>+D68+D70</f>
        <v>9980</v>
      </c>
      <c r="E67" s="1801">
        <f>+E68+E70</f>
        <v>0</v>
      </c>
      <c r="F67" s="1801">
        <f>+F68+F70</f>
        <v>0</v>
      </c>
      <c r="G67" s="1801">
        <f t="shared" ref="G67:H67" si="41">+G68+G70</f>
        <v>6680</v>
      </c>
      <c r="H67" s="1801">
        <f t="shared" si="41"/>
        <v>3300</v>
      </c>
      <c r="I67" s="1801">
        <v>0</v>
      </c>
      <c r="J67" s="1801">
        <v>0</v>
      </c>
      <c r="K67" s="1801">
        <v>0</v>
      </c>
      <c r="L67" s="1801">
        <v>0</v>
      </c>
      <c r="M67" s="1802">
        <f>+M68+M70</f>
        <v>9980</v>
      </c>
      <c r="N67" s="1802">
        <f>+N68+N70</f>
        <v>9980</v>
      </c>
      <c r="O67" s="3241"/>
    </row>
    <row r="68" spans="1:16" s="2565" customFormat="1" ht="13.5" customHeight="1">
      <c r="A68" s="3291"/>
      <c r="B68" s="1803" t="s">
        <v>24</v>
      </c>
      <c r="C68" s="3214" t="s">
        <v>215</v>
      </c>
      <c r="D68" s="1804">
        <f>+D69</f>
        <v>1497</v>
      </c>
      <c r="E68" s="1356">
        <f>+E69</f>
        <v>0</v>
      </c>
      <c r="F68" s="1356">
        <f>+F69</f>
        <v>0</v>
      </c>
      <c r="G68" s="1356">
        <f t="shared" ref="G68:H68" si="42">+G69</f>
        <v>1002</v>
      </c>
      <c r="H68" s="1356">
        <f t="shared" si="42"/>
        <v>495</v>
      </c>
      <c r="I68" s="1810">
        <v>0</v>
      </c>
      <c r="J68" s="1810">
        <v>0</v>
      </c>
      <c r="K68" s="1810">
        <v>0</v>
      </c>
      <c r="L68" s="1810">
        <v>0</v>
      </c>
      <c r="M68" s="1805">
        <f>+M69</f>
        <v>1497</v>
      </c>
      <c r="N68" s="1805">
        <f>+N69</f>
        <v>1497</v>
      </c>
      <c r="O68" s="3241"/>
      <c r="P68" s="2565" t="s">
        <v>430</v>
      </c>
    </row>
    <row r="69" spans="1:16" s="2565" customFormat="1" ht="13.5" customHeight="1">
      <c r="A69" s="3291"/>
      <c r="B69" s="1806" t="s">
        <v>12</v>
      </c>
      <c r="C69" s="3215"/>
      <c r="D69" s="949">
        <f>E69+F69+G69+H69+I69+J69+K69+L69</f>
        <v>1497</v>
      </c>
      <c r="E69" s="949">
        <v>0</v>
      </c>
      <c r="F69" s="986">
        <f>507-507</f>
        <v>0</v>
      </c>
      <c r="G69" s="986">
        <f>495+507</f>
        <v>1002</v>
      </c>
      <c r="H69" s="986">
        <v>495</v>
      </c>
      <c r="I69" s="1810">
        <v>0</v>
      </c>
      <c r="J69" s="1810">
        <v>0</v>
      </c>
      <c r="K69" s="1810">
        <v>0</v>
      </c>
      <c r="L69" s="1810">
        <v>0</v>
      </c>
      <c r="M69" s="2194">
        <f>SUM(F69:K69)</f>
        <v>1497</v>
      </c>
      <c r="N69" s="2194">
        <f>SUM(G69:L69)</f>
        <v>1497</v>
      </c>
      <c r="O69" s="3241"/>
    </row>
    <row r="70" spans="1:16" s="2565" customFormat="1" ht="13.5" customHeight="1">
      <c r="A70" s="3291"/>
      <c r="B70" s="1808" t="s">
        <v>18</v>
      </c>
      <c r="C70" s="3215"/>
      <c r="D70" s="1804">
        <f>+D71</f>
        <v>8483</v>
      </c>
      <c r="E70" s="1356">
        <f>+E71</f>
        <v>0</v>
      </c>
      <c r="F70" s="1356">
        <f>+F71</f>
        <v>0</v>
      </c>
      <c r="G70" s="1356">
        <f t="shared" ref="G70:H70" si="43">+G71</f>
        <v>5678</v>
      </c>
      <c r="H70" s="1356">
        <f t="shared" si="43"/>
        <v>2805</v>
      </c>
      <c r="I70" s="1810">
        <v>0</v>
      </c>
      <c r="J70" s="1810">
        <v>0</v>
      </c>
      <c r="K70" s="1810">
        <v>0</v>
      </c>
      <c r="L70" s="1810">
        <v>0</v>
      </c>
      <c r="M70" s="1805">
        <f>+M71</f>
        <v>8483</v>
      </c>
      <c r="N70" s="1805">
        <f>+N71</f>
        <v>8483</v>
      </c>
      <c r="O70" s="3241"/>
    </row>
    <row r="71" spans="1:16" s="2565" customFormat="1" ht="13.5" customHeight="1">
      <c r="A71" s="3291"/>
      <c r="B71" s="281" t="s">
        <v>21</v>
      </c>
      <c r="C71" s="3262"/>
      <c r="D71" s="949">
        <f>E71+F71+G71+H71+I71+J71+K71+L71</f>
        <v>8483</v>
      </c>
      <c r="E71" s="949">
        <v>0</v>
      </c>
      <c r="F71" s="986">
        <f>2873-2873</f>
        <v>0</v>
      </c>
      <c r="G71" s="986">
        <f>2805+2873</f>
        <v>5678</v>
      </c>
      <c r="H71" s="986">
        <v>2805</v>
      </c>
      <c r="I71" s="1810">
        <v>0</v>
      </c>
      <c r="J71" s="1810">
        <v>0</v>
      </c>
      <c r="K71" s="1810">
        <v>0</v>
      </c>
      <c r="L71" s="1810">
        <v>0</v>
      </c>
      <c r="M71" s="2194">
        <f>SUM(F71:K71)</f>
        <v>8483</v>
      </c>
      <c r="N71" s="2194">
        <f>SUM(G71:L71)</f>
        <v>8483</v>
      </c>
      <c r="O71" s="3723"/>
    </row>
    <row r="72" spans="1:16" s="2565" customFormat="1" ht="13.5" customHeight="1">
      <c r="A72" s="3291"/>
      <c r="B72" s="1799" t="s">
        <v>22</v>
      </c>
      <c r="C72" s="1800"/>
      <c r="D72" s="1801">
        <f t="shared" ref="D72:H73" si="44">+D73</f>
        <v>8483</v>
      </c>
      <c r="E72" s="1801">
        <f t="shared" si="44"/>
        <v>0</v>
      </c>
      <c r="F72" s="1801">
        <f t="shared" si="44"/>
        <v>0</v>
      </c>
      <c r="G72" s="1801">
        <f t="shared" si="44"/>
        <v>5678</v>
      </c>
      <c r="H72" s="1801">
        <f t="shared" si="44"/>
        <v>2805</v>
      </c>
      <c r="I72" s="1801">
        <v>0</v>
      </c>
      <c r="J72" s="1801">
        <v>0</v>
      </c>
      <c r="K72" s="1801">
        <v>0</v>
      </c>
      <c r="L72" s="1801">
        <v>0</v>
      </c>
      <c r="M72" s="3302"/>
      <c r="N72" s="3302"/>
      <c r="O72" s="3241" t="s">
        <v>223</v>
      </c>
    </row>
    <row r="73" spans="1:16" s="2565" customFormat="1" ht="13.5" customHeight="1">
      <c r="A73" s="3291"/>
      <c r="B73" s="1808" t="s">
        <v>18</v>
      </c>
      <c r="C73" s="3332" t="s">
        <v>218</v>
      </c>
      <c r="D73" s="1804">
        <f t="shared" si="44"/>
        <v>8483</v>
      </c>
      <c r="E73" s="1810">
        <f t="shared" si="44"/>
        <v>0</v>
      </c>
      <c r="F73" s="1810">
        <f t="shared" si="44"/>
        <v>0</v>
      </c>
      <c r="G73" s="1810">
        <f t="shared" si="44"/>
        <v>5678</v>
      </c>
      <c r="H73" s="1810">
        <f t="shared" si="44"/>
        <v>2805</v>
      </c>
      <c r="I73" s="1810">
        <v>0</v>
      </c>
      <c r="J73" s="1810">
        <v>0</v>
      </c>
      <c r="K73" s="1810">
        <v>0</v>
      </c>
      <c r="L73" s="1810">
        <v>0</v>
      </c>
      <c r="M73" s="3273"/>
      <c r="N73" s="3273"/>
      <c r="O73" s="3241"/>
    </row>
    <row r="74" spans="1:16" s="2565" customFormat="1" ht="13.5" customHeight="1" thickBot="1">
      <c r="A74" s="3359"/>
      <c r="B74" s="230" t="s">
        <v>21</v>
      </c>
      <c r="C74" s="3217"/>
      <c r="D74" s="1929">
        <f>E74+F74+G74+H74+I74+J74+K74+L74</f>
        <v>8483</v>
      </c>
      <c r="E74" s="1929">
        <v>0</v>
      </c>
      <c r="F74" s="2181">
        <f>2873-2873</f>
        <v>0</v>
      </c>
      <c r="G74" s="2181">
        <f>2805+2873</f>
        <v>5678</v>
      </c>
      <c r="H74" s="2181">
        <v>2805</v>
      </c>
      <c r="I74" s="2181">
        <v>0</v>
      </c>
      <c r="J74" s="2181">
        <v>0</v>
      </c>
      <c r="K74" s="2181">
        <v>0</v>
      </c>
      <c r="L74" s="2181">
        <v>0</v>
      </c>
      <c r="M74" s="3274"/>
      <c r="N74" s="3274"/>
      <c r="O74" s="3242"/>
    </row>
    <row r="75" spans="1:16" s="747" customFormat="1" ht="36" customHeight="1">
      <c r="A75" s="1399" t="s">
        <v>168</v>
      </c>
      <c r="B75" s="1400"/>
      <c r="C75" s="1400"/>
      <c r="D75" s="1400"/>
      <c r="E75" s="1400"/>
      <c r="F75" s="1400"/>
      <c r="G75" s="1400"/>
      <c r="H75" s="1400"/>
      <c r="I75" s="1400"/>
      <c r="J75" s="1400"/>
      <c r="K75" s="1400"/>
      <c r="L75" s="1400"/>
      <c r="M75" s="1401"/>
      <c r="N75" s="1401"/>
      <c r="O75" s="1402"/>
    </row>
    <row r="76" spans="1:16" s="1834" customFormat="1" ht="19.5" customHeight="1">
      <c r="A76" s="1403"/>
      <c r="B76" s="703" t="s">
        <v>76</v>
      </c>
      <c r="C76" s="221"/>
      <c r="D76" s="222">
        <f>+D77+D78</f>
        <v>144060800</v>
      </c>
      <c r="E76" s="1337">
        <f>+E77+E78</f>
        <v>0</v>
      </c>
      <c r="F76" s="222">
        <f t="shared" ref="F76:N76" si="45">+F77+F78</f>
        <v>3328708</v>
      </c>
      <c r="G76" s="222">
        <f t="shared" si="45"/>
        <v>19539975</v>
      </c>
      <c r="H76" s="222">
        <f t="shared" si="45"/>
        <v>60161157</v>
      </c>
      <c r="I76" s="222">
        <f t="shared" si="45"/>
        <v>20384000</v>
      </c>
      <c r="J76" s="222">
        <f t="shared" si="45"/>
        <v>40060800</v>
      </c>
      <c r="K76" s="222">
        <f t="shared" si="45"/>
        <v>586160</v>
      </c>
      <c r="L76" s="222">
        <f t="shared" si="45"/>
        <v>0</v>
      </c>
      <c r="M76" s="150">
        <f t="shared" ref="M76" si="46">+M77+M78</f>
        <v>22868683</v>
      </c>
      <c r="N76" s="150">
        <f t="shared" si="45"/>
        <v>140732092</v>
      </c>
      <c r="O76" s="17"/>
    </row>
    <row r="77" spans="1:16" s="1834" customFormat="1" ht="12.75" customHeight="1">
      <c r="A77" s="708"/>
      <c r="B77" s="1338" t="s">
        <v>77</v>
      </c>
      <c r="C77" s="2201"/>
      <c r="D77" s="2202">
        <f>D102</f>
        <v>0</v>
      </c>
      <c r="E77" s="2203">
        <f t="shared" ref="E77:L77" si="47">E102</f>
        <v>0</v>
      </c>
      <c r="F77" s="2202">
        <f t="shared" si="47"/>
        <v>0</v>
      </c>
      <c r="G77" s="2202">
        <f t="shared" si="47"/>
        <v>0</v>
      </c>
      <c r="H77" s="2202">
        <f t="shared" si="47"/>
        <v>0</v>
      </c>
      <c r="I77" s="2202">
        <f t="shared" si="47"/>
        <v>0</v>
      </c>
      <c r="J77" s="2202">
        <f t="shared" si="47"/>
        <v>0</v>
      </c>
      <c r="K77" s="2202">
        <f t="shared" si="47"/>
        <v>0</v>
      </c>
      <c r="L77" s="2202">
        <f t="shared" si="47"/>
        <v>0</v>
      </c>
      <c r="M77" s="2204">
        <f>SUM(E77:G77)</f>
        <v>0</v>
      </c>
      <c r="N77" s="2204">
        <f>SUM(G77:H77)</f>
        <v>0</v>
      </c>
      <c r="O77" s="17"/>
    </row>
    <row r="78" spans="1:16" s="1834" customFormat="1" ht="15" customHeight="1">
      <c r="A78" s="708"/>
      <c r="B78" s="1339" t="s">
        <v>9</v>
      </c>
      <c r="C78" s="2205"/>
      <c r="D78" s="2206">
        <f>+D106+D93</f>
        <v>144060800</v>
      </c>
      <c r="E78" s="2207">
        <f t="shared" ref="E78:L78" si="48">+E106+E93</f>
        <v>0</v>
      </c>
      <c r="F78" s="2206">
        <f t="shared" si="48"/>
        <v>3328708</v>
      </c>
      <c r="G78" s="2206">
        <f t="shared" si="48"/>
        <v>19539975</v>
      </c>
      <c r="H78" s="2206">
        <f t="shared" si="48"/>
        <v>60161157</v>
      </c>
      <c r="I78" s="2206">
        <f t="shared" si="48"/>
        <v>20384000</v>
      </c>
      <c r="J78" s="2206">
        <f t="shared" si="48"/>
        <v>40060800</v>
      </c>
      <c r="K78" s="2206">
        <f t="shared" si="48"/>
        <v>586160</v>
      </c>
      <c r="L78" s="2206">
        <f t="shared" si="48"/>
        <v>0</v>
      </c>
      <c r="M78" s="2204">
        <f>SUM(E78:G78)</f>
        <v>22868683</v>
      </c>
      <c r="N78" s="2204">
        <f>SUM(G78:K78)</f>
        <v>140732092</v>
      </c>
      <c r="O78" s="17"/>
      <c r="P78" s="329"/>
    </row>
    <row r="79" spans="1:16" ht="14.25" customHeight="1">
      <c r="A79" s="708"/>
      <c r="B79" s="662" t="s">
        <v>10</v>
      </c>
      <c r="C79" s="2208"/>
      <c r="D79" s="2209">
        <f>+D80</f>
        <v>144060800</v>
      </c>
      <c r="E79" s="2210">
        <f t="shared" ref="E79:L79" si="49">+E80</f>
        <v>0</v>
      </c>
      <c r="F79" s="2211">
        <f t="shared" si="49"/>
        <v>3328708</v>
      </c>
      <c r="G79" s="2211">
        <f t="shared" si="49"/>
        <v>19539975</v>
      </c>
      <c r="H79" s="2211">
        <f t="shared" si="49"/>
        <v>60161157</v>
      </c>
      <c r="I79" s="2211">
        <f t="shared" si="49"/>
        <v>20384000</v>
      </c>
      <c r="J79" s="2211">
        <f t="shared" si="49"/>
        <v>40060800</v>
      </c>
      <c r="K79" s="2211">
        <f t="shared" si="49"/>
        <v>586160</v>
      </c>
      <c r="L79" s="2211">
        <f t="shared" si="49"/>
        <v>0</v>
      </c>
      <c r="M79" s="1767">
        <f>+M80</f>
        <v>144060800</v>
      </c>
      <c r="N79" s="1767">
        <f>+N80</f>
        <v>140732092</v>
      </c>
      <c r="O79" s="17"/>
      <c r="P79" s="515"/>
    </row>
    <row r="80" spans="1:16" ht="12.95" customHeight="1">
      <c r="A80" s="1404"/>
      <c r="B80" s="704" t="s">
        <v>11</v>
      </c>
      <c r="C80" s="2212"/>
      <c r="D80" s="2213">
        <f>+D84+D85+D81</f>
        <v>144060800</v>
      </c>
      <c r="E80" s="2214">
        <f t="shared" ref="E80:L80" si="50">+E84+E85+E81</f>
        <v>0</v>
      </c>
      <c r="F80" s="2213">
        <f t="shared" si="50"/>
        <v>3328708</v>
      </c>
      <c r="G80" s="2213">
        <f t="shared" si="50"/>
        <v>19539975</v>
      </c>
      <c r="H80" s="2213">
        <f t="shared" si="50"/>
        <v>60161157</v>
      </c>
      <c r="I80" s="2213">
        <f t="shared" si="50"/>
        <v>20384000</v>
      </c>
      <c r="J80" s="2213">
        <f t="shared" si="50"/>
        <v>40060800</v>
      </c>
      <c r="K80" s="2213">
        <f t="shared" si="50"/>
        <v>586160</v>
      </c>
      <c r="L80" s="2213">
        <f t="shared" si="50"/>
        <v>0</v>
      </c>
      <c r="M80" s="2215">
        <f>+M84+M85</f>
        <v>144060800</v>
      </c>
      <c r="N80" s="2215">
        <f>+N84+N85</f>
        <v>140732092</v>
      </c>
      <c r="O80" s="17"/>
    </row>
    <row r="81" spans="1:15" ht="12.95" hidden="1" customHeight="1">
      <c r="A81" s="1405"/>
      <c r="B81" s="705" t="s">
        <v>12</v>
      </c>
      <c r="C81" s="2216"/>
      <c r="D81" s="2217">
        <f>D103</f>
        <v>0</v>
      </c>
      <c r="E81" s="2218">
        <f t="shared" ref="E81:L81" si="51">E103</f>
        <v>0</v>
      </c>
      <c r="F81" s="2217">
        <f t="shared" si="51"/>
        <v>0</v>
      </c>
      <c r="G81" s="2217">
        <f t="shared" si="51"/>
        <v>0</v>
      </c>
      <c r="H81" s="2217">
        <f t="shared" si="51"/>
        <v>0</v>
      </c>
      <c r="I81" s="2217">
        <f t="shared" si="51"/>
        <v>0</v>
      </c>
      <c r="J81" s="2217">
        <f t="shared" si="51"/>
        <v>0</v>
      </c>
      <c r="K81" s="2217">
        <f t="shared" si="51"/>
        <v>0</v>
      </c>
      <c r="L81" s="2217">
        <f t="shared" si="51"/>
        <v>0</v>
      </c>
      <c r="M81" s="2219"/>
      <c r="N81" s="2219"/>
      <c r="O81" s="17"/>
    </row>
    <row r="82" spans="1:15" ht="13.5" hidden="1" customHeight="1">
      <c r="A82" s="1405"/>
      <c r="B82" s="1023" t="s">
        <v>13</v>
      </c>
      <c r="C82" s="2220"/>
      <c r="D82" s="2221">
        <v>0</v>
      </c>
      <c r="E82" s="2222">
        <v>0</v>
      </c>
      <c r="F82" s="2221"/>
      <c r="G82" s="2221"/>
      <c r="H82" s="2221"/>
      <c r="I82" s="2221"/>
      <c r="J82" s="2221"/>
      <c r="K82" s="2221"/>
      <c r="L82" s="2221"/>
      <c r="M82" s="2219"/>
      <c r="N82" s="2219"/>
      <c r="O82" s="17"/>
    </row>
    <row r="83" spans="1:15" ht="12.75" hidden="1" customHeight="1">
      <c r="A83" s="1405"/>
      <c r="B83" s="706" t="s">
        <v>13</v>
      </c>
      <c r="C83" s="2220"/>
      <c r="D83" s="2221">
        <v>0</v>
      </c>
      <c r="E83" s="2222">
        <v>0</v>
      </c>
      <c r="F83" s="2221"/>
      <c r="G83" s="2221"/>
      <c r="H83" s="2221"/>
      <c r="I83" s="2221"/>
      <c r="J83" s="2221"/>
      <c r="K83" s="2221"/>
      <c r="L83" s="2221"/>
      <c r="M83" s="2219"/>
      <c r="N83" s="2219"/>
      <c r="O83" s="17"/>
    </row>
    <row r="84" spans="1:15" s="747" customFormat="1" ht="12.75" customHeight="1">
      <c r="A84" s="1406"/>
      <c r="B84" s="1340" t="s">
        <v>14</v>
      </c>
      <c r="C84" s="2220"/>
      <c r="D84" s="2221">
        <f>+D95</f>
        <v>144060800</v>
      </c>
      <c r="E84" s="2223">
        <f t="shared" ref="E84:L84" si="52">+E95</f>
        <v>0</v>
      </c>
      <c r="F84" s="2221">
        <f t="shared" si="52"/>
        <v>3328708</v>
      </c>
      <c r="G84" s="2221">
        <f t="shared" si="52"/>
        <v>19539975</v>
      </c>
      <c r="H84" s="2221">
        <f t="shared" si="52"/>
        <v>60161157</v>
      </c>
      <c r="I84" s="2221">
        <f t="shared" si="52"/>
        <v>20384000</v>
      </c>
      <c r="J84" s="2221">
        <f t="shared" si="52"/>
        <v>40060800</v>
      </c>
      <c r="K84" s="2221">
        <f t="shared" si="52"/>
        <v>586160</v>
      </c>
      <c r="L84" s="2221">
        <f t="shared" si="52"/>
        <v>0</v>
      </c>
      <c r="M84" s="2219">
        <f>SUM(E84:L85)</f>
        <v>144060800</v>
      </c>
      <c r="N84" s="2219">
        <f>SUM(G84:L84)</f>
        <v>140732092</v>
      </c>
      <c r="O84" s="753"/>
    </row>
    <row r="85" spans="1:15" ht="12.75" hidden="1" customHeight="1">
      <c r="A85" s="1405"/>
      <c r="B85" s="705" t="s">
        <v>62</v>
      </c>
      <c r="C85" s="2224"/>
      <c r="D85" s="2217">
        <f>+D108+D96</f>
        <v>0</v>
      </c>
      <c r="E85" s="2218">
        <f>+E108+E96</f>
        <v>0</v>
      </c>
      <c r="F85" s="2217"/>
      <c r="G85" s="2217"/>
      <c r="H85" s="2217"/>
      <c r="I85" s="2217"/>
      <c r="J85" s="2217"/>
      <c r="K85" s="2217"/>
      <c r="L85" s="2217"/>
      <c r="M85" s="2219">
        <f>SUM(E85:H85)</f>
        <v>0</v>
      </c>
      <c r="N85" s="2219">
        <f>SUM(F85:I85)</f>
        <v>0</v>
      </c>
      <c r="O85" s="17"/>
    </row>
    <row r="86" spans="1:15" ht="15" customHeight="1">
      <c r="A86" s="708"/>
      <c r="B86" s="662" t="s">
        <v>22</v>
      </c>
      <c r="C86" s="1800"/>
      <c r="D86" s="1866">
        <f>+D87</f>
        <v>144060800</v>
      </c>
      <c r="E86" s="1867">
        <f t="shared" ref="E86:L86" si="53">+E87</f>
        <v>0</v>
      </c>
      <c r="F86" s="1866">
        <f t="shared" si="53"/>
        <v>3328708</v>
      </c>
      <c r="G86" s="1866">
        <f t="shared" si="53"/>
        <v>19539975</v>
      </c>
      <c r="H86" s="1866">
        <f t="shared" si="53"/>
        <v>60161157</v>
      </c>
      <c r="I86" s="1866">
        <f t="shared" si="53"/>
        <v>20384000</v>
      </c>
      <c r="J86" s="1866">
        <f t="shared" si="53"/>
        <v>40060800</v>
      </c>
      <c r="K86" s="1866">
        <f t="shared" si="53"/>
        <v>586160</v>
      </c>
      <c r="L86" s="1866">
        <f t="shared" si="53"/>
        <v>0</v>
      </c>
      <c r="M86" s="3762" t="s">
        <v>23</v>
      </c>
      <c r="N86" s="3762" t="s">
        <v>23</v>
      </c>
      <c r="O86" s="17"/>
    </row>
    <row r="87" spans="1:15" ht="12" customHeight="1">
      <c r="A87" s="1408"/>
      <c r="B87" s="704" t="s">
        <v>11</v>
      </c>
      <c r="C87" s="2212"/>
      <c r="D87" s="2213">
        <f>SUM(D89:D91)</f>
        <v>144060800</v>
      </c>
      <c r="E87" s="2214">
        <f>SUM(E89:E91)</f>
        <v>0</v>
      </c>
      <c r="F87" s="2213">
        <f t="shared" ref="F87:L87" si="54">SUM(F89:F91)</f>
        <v>3328708</v>
      </c>
      <c r="G87" s="2213">
        <f t="shared" si="54"/>
        <v>19539975</v>
      </c>
      <c r="H87" s="2213">
        <f t="shared" si="54"/>
        <v>60161157</v>
      </c>
      <c r="I87" s="2213">
        <f t="shared" si="54"/>
        <v>20384000</v>
      </c>
      <c r="J87" s="2213">
        <f t="shared" si="54"/>
        <v>40060800</v>
      </c>
      <c r="K87" s="2213">
        <f t="shared" si="54"/>
        <v>586160</v>
      </c>
      <c r="L87" s="2213">
        <f t="shared" si="54"/>
        <v>0</v>
      </c>
      <c r="M87" s="3746"/>
      <c r="N87" s="3746"/>
      <c r="O87" s="17"/>
    </row>
    <row r="88" spans="1:15" ht="13.5" hidden="1" customHeight="1">
      <c r="A88" s="1405"/>
      <c r="B88" s="706" t="s">
        <v>13</v>
      </c>
      <c r="C88" s="2224"/>
      <c r="D88" s="2225">
        <v>0</v>
      </c>
      <c r="E88" s="2226">
        <v>0</v>
      </c>
      <c r="F88" s="2217"/>
      <c r="G88" s="2217"/>
      <c r="H88" s="2217"/>
      <c r="I88" s="2217"/>
      <c r="J88" s="2217"/>
      <c r="K88" s="2217"/>
      <c r="L88" s="2217"/>
      <c r="M88" s="3746"/>
      <c r="N88" s="3746"/>
      <c r="O88" s="17"/>
    </row>
    <row r="89" spans="1:15" ht="12.95" hidden="1" customHeight="1">
      <c r="A89" s="1405"/>
      <c r="B89" s="706" t="s">
        <v>13</v>
      </c>
      <c r="C89" s="2216"/>
      <c r="D89" s="2225">
        <v>0</v>
      </c>
      <c r="E89" s="2226">
        <v>0</v>
      </c>
      <c r="F89" s="2225"/>
      <c r="G89" s="2225"/>
      <c r="H89" s="2225"/>
      <c r="I89" s="2225"/>
      <c r="J89" s="2225"/>
      <c r="K89" s="2225"/>
      <c r="L89" s="2225"/>
      <c r="M89" s="3746"/>
      <c r="N89" s="3746"/>
      <c r="O89" s="17"/>
    </row>
    <row r="90" spans="1:15" ht="13.5" customHeight="1" thickBot="1">
      <c r="A90" s="1405"/>
      <c r="B90" s="705" t="s">
        <v>14</v>
      </c>
      <c r="C90" s="2216"/>
      <c r="D90" s="2225">
        <f>+D99</f>
        <v>144060800</v>
      </c>
      <c r="E90" s="2226">
        <f t="shared" ref="E90:L90" si="55">+E99</f>
        <v>0</v>
      </c>
      <c r="F90" s="2225">
        <f t="shared" si="55"/>
        <v>3328708</v>
      </c>
      <c r="G90" s="2225">
        <f t="shared" si="55"/>
        <v>19539975</v>
      </c>
      <c r="H90" s="2225">
        <f t="shared" si="55"/>
        <v>60161157</v>
      </c>
      <c r="I90" s="2225">
        <f t="shared" si="55"/>
        <v>20384000</v>
      </c>
      <c r="J90" s="2225">
        <f t="shared" si="55"/>
        <v>40060800</v>
      </c>
      <c r="K90" s="2225">
        <f t="shared" si="55"/>
        <v>586160</v>
      </c>
      <c r="L90" s="2225">
        <f t="shared" si="55"/>
        <v>0</v>
      </c>
      <c r="M90" s="3746"/>
      <c r="N90" s="3746"/>
      <c r="O90" s="17"/>
    </row>
    <row r="91" spans="1:15" ht="14.25" hidden="1" customHeight="1" thickBot="1">
      <c r="A91" s="1409"/>
      <c r="B91" s="993" t="s">
        <v>62</v>
      </c>
      <c r="C91" s="2227"/>
      <c r="D91" s="2228">
        <f>+D111+D100</f>
        <v>0</v>
      </c>
      <c r="E91" s="2228">
        <f>+E111+E100</f>
        <v>0</v>
      </c>
      <c r="F91" s="2228"/>
      <c r="G91" s="2228"/>
      <c r="H91" s="2228"/>
      <c r="I91" s="2228"/>
      <c r="J91" s="2228"/>
      <c r="K91" s="2228"/>
      <c r="L91" s="2228"/>
      <c r="M91" s="3747"/>
      <c r="N91" s="3747"/>
      <c r="O91" s="1410"/>
    </row>
    <row r="92" spans="1:15" ht="37.5" customHeight="1">
      <c r="A92" s="3290" t="s">
        <v>63</v>
      </c>
      <c r="B92" s="2998" t="s">
        <v>353</v>
      </c>
      <c r="C92" s="1341" t="s">
        <v>81</v>
      </c>
      <c r="D92" s="1341"/>
      <c r="E92" s="61"/>
      <c r="F92" s="1342"/>
      <c r="G92" s="1342"/>
      <c r="H92" s="1342"/>
      <c r="I92" s="1342"/>
      <c r="J92" s="1342"/>
      <c r="K92" s="1342"/>
      <c r="L92" s="1342"/>
      <c r="M92" s="1343"/>
      <c r="N92" s="1343"/>
      <c r="O92" s="3756" t="s">
        <v>471</v>
      </c>
    </row>
    <row r="93" spans="1:15" ht="15.75" customHeight="1">
      <c r="A93" s="3291"/>
      <c r="B93" s="488" t="s">
        <v>10</v>
      </c>
      <c r="C93" s="2229"/>
      <c r="D93" s="1866">
        <f>+D94</f>
        <v>144060800</v>
      </c>
      <c r="E93" s="1866">
        <f t="shared" ref="E93:L93" si="56">+E94</f>
        <v>0</v>
      </c>
      <c r="F93" s="1866">
        <f t="shared" si="56"/>
        <v>3328708</v>
      </c>
      <c r="G93" s="1866">
        <f t="shared" si="56"/>
        <v>19539975</v>
      </c>
      <c r="H93" s="1866">
        <f t="shared" si="56"/>
        <v>60161157</v>
      </c>
      <c r="I93" s="1866">
        <f t="shared" si="56"/>
        <v>20384000</v>
      </c>
      <c r="J93" s="1866">
        <f t="shared" si="56"/>
        <v>40060800</v>
      </c>
      <c r="K93" s="1866">
        <f t="shared" si="56"/>
        <v>586160</v>
      </c>
      <c r="L93" s="1866">
        <f t="shared" si="56"/>
        <v>0</v>
      </c>
      <c r="M93" s="2230">
        <f>+M94</f>
        <v>144060800</v>
      </c>
      <c r="N93" s="2230">
        <f>+N94</f>
        <v>140732092</v>
      </c>
      <c r="O93" s="3757"/>
    </row>
    <row r="94" spans="1:15" s="747" customFormat="1" ht="15.75" customHeight="1">
      <c r="A94" s="3291"/>
      <c r="B94" s="2280" t="s">
        <v>11</v>
      </c>
      <c r="C94" s="3759" t="s">
        <v>350</v>
      </c>
      <c r="D94" s="2603">
        <f>+D96+D95</f>
        <v>144060800</v>
      </c>
      <c r="E94" s="1899">
        <f t="shared" ref="E94" si="57">+E96+E95</f>
        <v>0</v>
      </c>
      <c r="F94" s="2168">
        <f t="shared" ref="F94:L94" si="58">+F96+F95</f>
        <v>3328708</v>
      </c>
      <c r="G94" s="2168">
        <f t="shared" si="58"/>
        <v>19539975</v>
      </c>
      <c r="H94" s="2168">
        <f t="shared" si="58"/>
        <v>60161157</v>
      </c>
      <c r="I94" s="1899">
        <f t="shared" si="58"/>
        <v>20384000</v>
      </c>
      <c r="J94" s="1899">
        <f t="shared" si="58"/>
        <v>40060800</v>
      </c>
      <c r="K94" s="1899">
        <f t="shared" si="58"/>
        <v>586160</v>
      </c>
      <c r="L94" s="1899">
        <f t="shared" si="58"/>
        <v>0</v>
      </c>
      <c r="M94" s="2179">
        <f>M96+M95</f>
        <v>144060800</v>
      </c>
      <c r="N94" s="2179">
        <f>N96+N95</f>
        <v>140732092</v>
      </c>
      <c r="O94" s="3757"/>
    </row>
    <row r="95" spans="1:15" s="747" customFormat="1" ht="15.75" customHeight="1">
      <c r="A95" s="3291"/>
      <c r="B95" s="732" t="s">
        <v>14</v>
      </c>
      <c r="C95" s="3760"/>
      <c r="D95" s="2604">
        <f>E95+F95+G95+H95+I95+J95+K95+L95</f>
        <v>144060800</v>
      </c>
      <c r="E95" s="1782"/>
      <c r="F95" s="2231">
        <f>27618240-23613797-675735</f>
        <v>3328708</v>
      </c>
      <c r="G95" s="2231">
        <f>18864240+675735</f>
        <v>19539975</v>
      </c>
      <c r="H95" s="2231">
        <f>36547360+23613797</f>
        <v>60161157</v>
      </c>
      <c r="I95" s="2231">
        <v>20384000</v>
      </c>
      <c r="J95" s="2231">
        <v>40060800</v>
      </c>
      <c r="K95" s="2231">
        <v>586160</v>
      </c>
      <c r="L95" s="2231">
        <v>0</v>
      </c>
      <c r="M95" s="2281">
        <f>SUM(F95:K95)</f>
        <v>144060800</v>
      </c>
      <c r="N95" s="1901">
        <f>SUM(G95:L95)</f>
        <v>140732092</v>
      </c>
      <c r="O95" s="3757"/>
    </row>
    <row r="96" spans="1:15" ht="13.5" hidden="1" customHeight="1">
      <c r="A96" s="3291"/>
      <c r="B96" s="715" t="s">
        <v>16</v>
      </c>
      <c r="C96" s="3761"/>
      <c r="D96" s="2602"/>
      <c r="E96" s="2232"/>
      <c r="F96" s="2282"/>
      <c r="G96" s="2282"/>
      <c r="H96" s="2282"/>
      <c r="I96" s="1900"/>
      <c r="J96" s="1900"/>
      <c r="K96" s="1900"/>
      <c r="L96" s="1900"/>
      <c r="M96" s="2219">
        <f>SUM(E96:H96)</f>
        <v>0</v>
      </c>
      <c r="N96" s="2219">
        <f>SUM(F96:I96)</f>
        <v>0</v>
      </c>
      <c r="O96" s="3757"/>
    </row>
    <row r="97" spans="1:15" ht="15" customHeight="1">
      <c r="A97" s="3291"/>
      <c r="B97" s="488" t="s">
        <v>22</v>
      </c>
      <c r="C97" s="2229"/>
      <c r="D97" s="1866">
        <f>+D98</f>
        <v>144060800</v>
      </c>
      <c r="E97" s="1866">
        <f t="shared" ref="E97:L97" si="59">+E98</f>
        <v>0</v>
      </c>
      <c r="F97" s="1866">
        <f t="shared" si="59"/>
        <v>3328708</v>
      </c>
      <c r="G97" s="1866">
        <f t="shared" si="59"/>
        <v>19539975</v>
      </c>
      <c r="H97" s="1866">
        <f t="shared" si="59"/>
        <v>60161157</v>
      </c>
      <c r="I97" s="1866">
        <f t="shared" si="59"/>
        <v>20384000</v>
      </c>
      <c r="J97" s="1866">
        <f t="shared" si="59"/>
        <v>40060800</v>
      </c>
      <c r="K97" s="1866">
        <f t="shared" si="59"/>
        <v>586160</v>
      </c>
      <c r="L97" s="1866">
        <f t="shared" si="59"/>
        <v>0</v>
      </c>
      <c r="M97" s="3763" t="s">
        <v>61</v>
      </c>
      <c r="N97" s="3763" t="s">
        <v>61</v>
      </c>
      <c r="O97" s="3757"/>
    </row>
    <row r="98" spans="1:15" s="747" customFormat="1" ht="15" customHeight="1">
      <c r="A98" s="3291"/>
      <c r="B98" s="2280" t="s">
        <v>11</v>
      </c>
      <c r="C98" s="3332" t="s">
        <v>350</v>
      </c>
      <c r="D98" s="2168">
        <f>+D100+D99</f>
        <v>144060800</v>
      </c>
      <c r="E98" s="1899">
        <f>+E100+E99</f>
        <v>0</v>
      </c>
      <c r="F98" s="2168">
        <f t="shared" ref="F98:L98" si="60">+F100+F99</f>
        <v>3328708</v>
      </c>
      <c r="G98" s="2168">
        <f t="shared" si="60"/>
        <v>19539975</v>
      </c>
      <c r="H98" s="2168">
        <f t="shared" si="60"/>
        <v>60161157</v>
      </c>
      <c r="I98" s="1899">
        <f t="shared" si="60"/>
        <v>20384000</v>
      </c>
      <c r="J98" s="1899">
        <f t="shared" si="60"/>
        <v>40060800</v>
      </c>
      <c r="K98" s="1899">
        <f t="shared" si="60"/>
        <v>586160</v>
      </c>
      <c r="L98" s="1899">
        <f t="shared" si="60"/>
        <v>0</v>
      </c>
      <c r="M98" s="3764"/>
      <c r="N98" s="3764"/>
      <c r="O98" s="3757"/>
    </row>
    <row r="99" spans="1:15" ht="15" customHeight="1" thickBot="1">
      <c r="A99" s="3359"/>
      <c r="B99" s="76" t="s">
        <v>14</v>
      </c>
      <c r="C99" s="3774"/>
      <c r="D99" s="2147">
        <f>E99+F99+G99+H99+I99+J99+K99+L99</f>
        <v>144060800</v>
      </c>
      <c r="E99" s="2233"/>
      <c r="F99" s="2234">
        <f>27618240-23613797-675735</f>
        <v>3328708</v>
      </c>
      <c r="G99" s="2234">
        <f>18864240+675735</f>
        <v>19539975</v>
      </c>
      <c r="H99" s="2234">
        <f>36547360+23613797</f>
        <v>60161157</v>
      </c>
      <c r="I99" s="2234">
        <v>20384000</v>
      </c>
      <c r="J99" s="2234">
        <v>40060800</v>
      </c>
      <c r="K99" s="2234">
        <v>586160</v>
      </c>
      <c r="L99" s="2235">
        <v>0</v>
      </c>
      <c r="M99" s="3765"/>
      <c r="N99" s="3765"/>
      <c r="O99" s="3758"/>
    </row>
    <row r="100" spans="1:15" ht="13.5" hidden="1" customHeight="1" thickBot="1">
      <c r="A100" s="1344"/>
      <c r="B100" s="1345" t="s">
        <v>16</v>
      </c>
      <c r="C100" s="1346"/>
      <c r="D100" s="1336"/>
      <c r="E100" s="1347"/>
      <c r="F100" s="1348"/>
      <c r="G100" s="1349"/>
      <c r="H100" s="1349"/>
      <c r="I100" s="1349"/>
      <c r="J100" s="1349"/>
      <c r="K100" s="1349"/>
      <c r="L100" s="1349"/>
      <c r="M100" s="1350"/>
      <c r="N100" s="1350"/>
      <c r="O100" s="1351"/>
    </row>
    <row r="101" spans="1:15" s="728" customFormat="1" ht="29.25" hidden="1" customHeight="1">
      <c r="A101" s="3766" t="s">
        <v>64</v>
      </c>
      <c r="B101" s="720" t="s">
        <v>351</v>
      </c>
      <c r="C101" s="737" t="s">
        <v>109</v>
      </c>
      <c r="D101" s="737"/>
      <c r="E101" s="85"/>
      <c r="F101" s="739"/>
      <c r="G101" s="739"/>
      <c r="H101" s="739"/>
      <c r="I101" s="739"/>
      <c r="J101" s="739"/>
      <c r="K101" s="739"/>
      <c r="L101" s="739"/>
      <c r="M101" s="721"/>
      <c r="N101" s="721"/>
      <c r="O101" s="3767" t="s">
        <v>165</v>
      </c>
    </row>
    <row r="102" spans="1:15" s="728" customFormat="1" ht="16.5" hidden="1" customHeight="1">
      <c r="A102" s="3766"/>
      <c r="B102" s="662" t="s">
        <v>10</v>
      </c>
      <c r="C102" s="2229"/>
      <c r="D102" s="1801"/>
      <c r="E102" s="2173"/>
      <c r="F102" s="2173"/>
      <c r="G102" s="2173"/>
      <c r="H102" s="1801"/>
      <c r="I102" s="1801"/>
      <c r="J102" s="1801"/>
      <c r="K102" s="1801"/>
      <c r="L102" s="1870"/>
      <c r="M102" s="2230">
        <f>M103</f>
        <v>0</v>
      </c>
      <c r="N102" s="2230">
        <f>N103</f>
        <v>0</v>
      </c>
      <c r="O102" s="3767"/>
    </row>
    <row r="103" spans="1:15" s="728" customFormat="1" ht="13.5" hidden="1" customHeight="1">
      <c r="A103" s="3766"/>
      <c r="B103" s="712" t="s">
        <v>11</v>
      </c>
      <c r="C103" s="3768" t="s">
        <v>170</v>
      </c>
      <c r="D103" s="1899"/>
      <c r="E103" s="3111"/>
      <c r="F103" s="3111"/>
      <c r="G103" s="3111"/>
      <c r="H103" s="1899"/>
      <c r="I103" s="1899"/>
      <c r="J103" s="1899"/>
      <c r="K103" s="1899"/>
      <c r="L103" s="1899"/>
      <c r="M103" s="2179">
        <f>M104</f>
        <v>0</v>
      </c>
      <c r="N103" s="2179">
        <f>N104</f>
        <v>0</v>
      </c>
      <c r="O103" s="3767"/>
    </row>
    <row r="104" spans="1:15" s="728" customFormat="1" ht="13.5" hidden="1" customHeight="1" thickBot="1">
      <c r="A104" s="3771"/>
      <c r="B104" s="81" t="s">
        <v>12</v>
      </c>
      <c r="C104" s="3773"/>
      <c r="D104" s="3112"/>
      <c r="E104" s="3113"/>
      <c r="F104" s="1352"/>
      <c r="G104" s="1352"/>
      <c r="H104" s="1353"/>
      <c r="I104" s="1353"/>
      <c r="J104" s="1353"/>
      <c r="K104" s="1353"/>
      <c r="L104" s="1353"/>
      <c r="M104" s="3114">
        <f>SUM(E104:K104)</f>
        <v>0</v>
      </c>
      <c r="N104" s="3114">
        <f>SUM(F104:L104)</f>
        <v>0</v>
      </c>
      <c r="O104" s="3772"/>
    </row>
    <row r="105" spans="1:15" ht="19.5" hidden="1" customHeight="1">
      <c r="A105" s="3766"/>
      <c r="B105" s="720"/>
      <c r="C105" s="737" t="s">
        <v>81</v>
      </c>
      <c r="D105" s="994"/>
      <c r="E105" s="85"/>
      <c r="F105" s="85"/>
      <c r="G105" s="739"/>
      <c r="H105" s="739"/>
      <c r="I105" s="739"/>
      <c r="J105" s="739"/>
      <c r="K105" s="739"/>
      <c r="L105" s="739"/>
      <c r="M105" s="721"/>
      <c r="N105" s="721"/>
      <c r="O105" s="3767"/>
    </row>
    <row r="106" spans="1:15" ht="12.75" hidden="1" customHeight="1">
      <c r="A106" s="3766"/>
      <c r="B106" s="662" t="s">
        <v>10</v>
      </c>
      <c r="C106" s="2229"/>
      <c r="D106" s="2209"/>
      <c r="E106" s="2211"/>
      <c r="F106" s="1870"/>
      <c r="G106" s="1801"/>
      <c r="H106" s="1801"/>
      <c r="I106" s="1801"/>
      <c r="J106" s="1801"/>
      <c r="K106" s="1801"/>
      <c r="L106" s="1870"/>
      <c r="M106" s="2230"/>
      <c r="N106" s="2230"/>
      <c r="O106" s="3767"/>
    </row>
    <row r="107" spans="1:15" ht="13.5" hidden="1" customHeight="1">
      <c r="A107" s="3766"/>
      <c r="B107" s="712" t="s">
        <v>11</v>
      </c>
      <c r="C107" s="3768" t="s">
        <v>166</v>
      </c>
      <c r="D107" s="1899"/>
      <c r="E107" s="1899"/>
      <c r="F107" s="1899"/>
      <c r="G107" s="1899"/>
      <c r="H107" s="1899"/>
      <c r="I107" s="1899"/>
      <c r="J107" s="1899"/>
      <c r="K107" s="1899"/>
      <c r="L107" s="1899"/>
      <c r="M107" s="2179"/>
      <c r="N107" s="2179"/>
      <c r="O107" s="3767"/>
    </row>
    <row r="108" spans="1:15" ht="13.5" hidden="1" customHeight="1">
      <c r="A108" s="3766"/>
      <c r="B108" s="715" t="s">
        <v>16</v>
      </c>
      <c r="C108" s="3769"/>
      <c r="D108" s="3115"/>
      <c r="E108" s="1900"/>
      <c r="F108" s="1900"/>
      <c r="G108" s="1900"/>
      <c r="H108" s="1900"/>
      <c r="I108" s="1900"/>
      <c r="J108" s="1900"/>
      <c r="K108" s="1900"/>
      <c r="L108" s="1900"/>
      <c r="M108" s="2219"/>
      <c r="N108" s="2219"/>
      <c r="O108" s="3767"/>
    </row>
    <row r="109" spans="1:15" ht="13.5" hidden="1" customHeight="1">
      <c r="A109" s="3766"/>
      <c r="B109" s="662" t="s">
        <v>22</v>
      </c>
      <c r="C109" s="2229"/>
      <c r="D109" s="1866"/>
      <c r="E109" s="1866"/>
      <c r="F109" s="1801"/>
      <c r="G109" s="1801"/>
      <c r="H109" s="1801"/>
      <c r="I109" s="1801"/>
      <c r="J109" s="1801"/>
      <c r="K109" s="1801"/>
      <c r="L109" s="1870"/>
      <c r="M109" s="3116"/>
      <c r="N109" s="3116"/>
      <c r="O109" s="3767"/>
    </row>
    <row r="110" spans="1:15" ht="15.75" hidden="1" customHeight="1">
      <c r="A110" s="3766"/>
      <c r="B110" s="712" t="s">
        <v>11</v>
      </c>
      <c r="C110" s="3768" t="s">
        <v>166</v>
      </c>
      <c r="D110" s="1899">
        <f>+D111</f>
        <v>0</v>
      </c>
      <c r="E110" s="1899">
        <f t="shared" ref="E110" si="61">+E111</f>
        <v>0</v>
      </c>
      <c r="F110" s="1899"/>
      <c r="G110" s="1899"/>
      <c r="H110" s="1899"/>
      <c r="I110" s="1899"/>
      <c r="J110" s="1899"/>
      <c r="K110" s="1899"/>
      <c r="L110" s="1899"/>
      <c r="M110" s="3116"/>
      <c r="N110" s="3116"/>
      <c r="O110" s="3767"/>
    </row>
    <row r="111" spans="1:15" ht="10.5" hidden="1" customHeight="1">
      <c r="A111" s="3766"/>
      <c r="B111" s="715" t="s">
        <v>16</v>
      </c>
      <c r="C111" s="3770"/>
      <c r="D111" s="3115"/>
      <c r="E111" s="1900"/>
      <c r="F111" s="3117"/>
      <c r="G111" s="3117"/>
      <c r="H111" s="3117"/>
      <c r="I111" s="3117"/>
      <c r="J111" s="3117"/>
      <c r="K111" s="3117"/>
      <c r="L111" s="3117"/>
      <c r="M111" s="3116"/>
      <c r="N111" s="3116"/>
      <c r="O111" s="3767"/>
    </row>
    <row r="113" spans="1:15" hidden="1"/>
    <row r="114" spans="1:15" ht="12.75" hidden="1">
      <c r="B114" s="3118" t="s">
        <v>401</v>
      </c>
      <c r="C114" s="3119"/>
      <c r="D114" s="3119"/>
      <c r="E114" s="3119"/>
      <c r="F114" s="3119"/>
      <c r="G114" s="3119"/>
      <c r="H114" s="3119"/>
      <c r="I114" s="3119"/>
      <c r="J114" s="3119"/>
      <c r="K114" s="3119"/>
      <c r="L114" s="3119"/>
    </row>
    <row r="115" spans="1:15" ht="15.75" hidden="1" customHeight="1">
      <c r="B115" s="3120" t="s">
        <v>402</v>
      </c>
      <c r="C115" s="3119"/>
      <c r="D115" s="2380">
        <f>D50+D72</f>
        <v>32719791</v>
      </c>
      <c r="E115" s="2380">
        <f t="shared" ref="E115:L115" si="62">E50+E72</f>
        <v>5960282</v>
      </c>
      <c r="F115" s="2380">
        <f t="shared" si="62"/>
        <v>3712693</v>
      </c>
      <c r="G115" s="2380">
        <f t="shared" si="62"/>
        <v>5505678</v>
      </c>
      <c r="H115" s="2380">
        <f t="shared" si="62"/>
        <v>6502805</v>
      </c>
      <c r="I115" s="2380">
        <f t="shared" si="62"/>
        <v>6000000</v>
      </c>
      <c r="J115" s="2380">
        <f t="shared" si="62"/>
        <v>1883242</v>
      </c>
      <c r="K115" s="2380">
        <f t="shared" si="62"/>
        <v>1607578</v>
      </c>
      <c r="L115" s="2380">
        <f t="shared" si="62"/>
        <v>1547513</v>
      </c>
    </row>
    <row r="116" spans="1:15" ht="15" hidden="1" customHeight="1">
      <c r="B116" s="3120" t="s">
        <v>403</v>
      </c>
      <c r="C116" s="3119"/>
      <c r="D116" s="2380">
        <f>D38+D65</f>
        <v>20564739</v>
      </c>
      <c r="E116" s="2380">
        <f>E38</f>
        <v>11297151</v>
      </c>
      <c r="F116" s="2380">
        <f>F38+F63</f>
        <v>3224124</v>
      </c>
      <c r="G116" s="2380">
        <f t="shared" ref="G116:L116" si="63">G38+G63</f>
        <v>615221</v>
      </c>
      <c r="H116" s="2380">
        <f t="shared" si="63"/>
        <v>5276603</v>
      </c>
      <c r="I116" s="2380">
        <f t="shared" si="63"/>
        <v>151640</v>
      </c>
      <c r="J116" s="2380">
        <f t="shared" si="63"/>
        <v>0</v>
      </c>
      <c r="K116" s="2380">
        <f t="shared" si="63"/>
        <v>0</v>
      </c>
      <c r="L116" s="2380">
        <f t="shared" si="63"/>
        <v>0</v>
      </c>
    </row>
    <row r="117" spans="1:15" ht="12.75" hidden="1">
      <c r="B117" s="3120" t="s">
        <v>404</v>
      </c>
      <c r="C117" s="3119"/>
      <c r="D117" s="2570">
        <f>D115+D116</f>
        <v>53284530</v>
      </c>
      <c r="E117" s="2570">
        <f>E115+E116</f>
        <v>17257433</v>
      </c>
      <c r="F117" s="2570">
        <f t="shared" ref="F117:L117" si="64">F115+F116</f>
        <v>6936817</v>
      </c>
      <c r="G117" s="2570">
        <f t="shared" si="64"/>
        <v>6120899</v>
      </c>
      <c r="H117" s="2570">
        <f t="shared" si="64"/>
        <v>11779408</v>
      </c>
      <c r="I117" s="2570">
        <f t="shared" si="64"/>
        <v>6151640</v>
      </c>
      <c r="J117" s="2570">
        <f t="shared" si="64"/>
        <v>1883242</v>
      </c>
      <c r="K117" s="2570">
        <f t="shared" si="64"/>
        <v>1607578</v>
      </c>
      <c r="L117" s="2570">
        <f t="shared" si="64"/>
        <v>1547513</v>
      </c>
    </row>
    <row r="118" spans="1:15" ht="12.75" hidden="1">
      <c r="B118" s="3121" t="s">
        <v>42</v>
      </c>
      <c r="C118" s="3122"/>
      <c r="D118" s="2571">
        <f t="shared" ref="D118:L118" si="65">D117-D21</f>
        <v>0</v>
      </c>
      <c r="E118" s="2571">
        <f t="shared" si="65"/>
        <v>0</v>
      </c>
      <c r="F118" s="2571">
        <f t="shared" si="65"/>
        <v>0</v>
      </c>
      <c r="G118" s="2571">
        <f t="shared" si="65"/>
        <v>0</v>
      </c>
      <c r="H118" s="2571">
        <f t="shared" si="65"/>
        <v>0</v>
      </c>
      <c r="I118" s="2571">
        <f t="shared" si="65"/>
        <v>0</v>
      </c>
      <c r="J118" s="2571">
        <f t="shared" si="65"/>
        <v>0</v>
      </c>
      <c r="K118" s="2571">
        <f t="shared" si="65"/>
        <v>0</v>
      </c>
      <c r="L118" s="2571">
        <f t="shared" si="65"/>
        <v>0</v>
      </c>
    </row>
    <row r="119" spans="1:15" hidden="1"/>
    <row r="124" spans="1:15" ht="12.75" thickBot="1">
      <c r="A124" s="3123"/>
      <c r="B124" s="585"/>
      <c r="C124" s="585"/>
      <c r="D124" s="585"/>
      <c r="E124" s="585"/>
      <c r="F124" s="585"/>
      <c r="G124" s="585"/>
      <c r="H124" s="585"/>
      <c r="I124" s="585"/>
      <c r="J124" s="585"/>
      <c r="K124" s="585"/>
      <c r="L124" s="585"/>
      <c r="M124" s="585"/>
      <c r="N124" s="585"/>
      <c r="O124" s="3124"/>
    </row>
  </sheetData>
  <mergeCells count="53">
    <mergeCell ref="M38:M42"/>
    <mergeCell ref="N86:N91"/>
    <mergeCell ref="A92:A99"/>
    <mergeCell ref="C98:C99"/>
    <mergeCell ref="N97:N99"/>
    <mergeCell ref="A43:A55"/>
    <mergeCell ref="A32:A42"/>
    <mergeCell ref="A57:A65"/>
    <mergeCell ref="A66:A74"/>
    <mergeCell ref="O92:O99"/>
    <mergeCell ref="C94:C96"/>
    <mergeCell ref="M86:M91"/>
    <mergeCell ref="M97:M99"/>
    <mergeCell ref="A105:A111"/>
    <mergeCell ref="O105:O111"/>
    <mergeCell ref="C107:C108"/>
    <mergeCell ref="C110:C111"/>
    <mergeCell ref="A101:A104"/>
    <mergeCell ref="O101:O104"/>
    <mergeCell ref="C103:C104"/>
    <mergeCell ref="O43:O55"/>
    <mergeCell ref="C45:C49"/>
    <mergeCell ref="C51:C55"/>
    <mergeCell ref="N50:N55"/>
    <mergeCell ref="M50:M5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57:O62"/>
    <mergeCell ref="C59:C62"/>
    <mergeCell ref="M63:M65"/>
    <mergeCell ref="N63:N65"/>
    <mergeCell ref="O63:O65"/>
    <mergeCell ref="C64:C65"/>
    <mergeCell ref="O66:O71"/>
    <mergeCell ref="C68:C71"/>
    <mergeCell ref="M72:M74"/>
    <mergeCell ref="N72:N74"/>
    <mergeCell ref="O72:O74"/>
    <mergeCell ref="C73:C74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9" firstPageNumber="55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5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641"/>
  <sheetViews>
    <sheetView showGridLines="0" view="pageBreakPreview" zoomScaleSheetLayoutView="100" workbookViewId="0">
      <pane ySplit="6" topLeftCell="A7" activePane="bottomLeft" state="frozen"/>
      <selection activeCell="B96" sqref="B96"/>
      <selection pane="bottomLeft" activeCell="V15" sqref="V14:V15"/>
    </sheetView>
  </sheetViews>
  <sheetFormatPr defaultColWidth="9.140625" defaultRowHeight="11.25"/>
  <cols>
    <col min="1" max="1" width="3.28515625" style="750" customWidth="1"/>
    <col min="2" max="2" width="66.28515625" style="200" customWidth="1"/>
    <col min="3" max="3" width="12" style="200" customWidth="1"/>
    <col min="4" max="5" width="13.7109375" style="200" customWidth="1"/>
    <col min="6" max="6" width="13.140625" style="681" customWidth="1"/>
    <col min="7" max="7" width="11.5703125" style="681" customWidth="1"/>
    <col min="8" max="8" width="11.28515625" style="681" customWidth="1"/>
    <col min="9" max="9" width="9.140625" style="681" customWidth="1"/>
    <col min="10" max="10" width="11.7109375" style="681" customWidth="1"/>
    <col min="11" max="12" width="8.42578125" style="681" customWidth="1"/>
    <col min="13" max="13" width="12.5703125" style="681" hidden="1" customWidth="1"/>
    <col min="14" max="14" width="12.5703125" style="681" customWidth="1"/>
    <col min="15" max="15" width="16.5703125" style="783" customWidth="1"/>
    <col min="16" max="16" width="16.5703125" style="200" hidden="1" customWidth="1"/>
    <col min="17" max="17" width="0" style="200" hidden="1" customWidth="1"/>
    <col min="18" max="16384" width="9.140625" style="200"/>
  </cols>
  <sheetData>
    <row r="1" spans="1:17" ht="22.5" customHeight="1">
      <c r="G1" s="254" t="s">
        <v>476</v>
      </c>
      <c r="H1" s="200"/>
      <c r="I1" s="6"/>
      <c r="J1" s="6"/>
      <c r="K1" s="6"/>
      <c r="L1" s="6"/>
      <c r="M1" s="6"/>
      <c r="N1" s="6"/>
      <c r="O1" s="7"/>
    </row>
    <row r="2" spans="1:17" s="2572" customFormat="1" ht="18.75">
      <c r="A2" s="750"/>
      <c r="B2" s="200"/>
      <c r="C2" s="200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7"/>
    </row>
    <row r="3" spans="1:17" ht="48.75" customHeight="1" thickBot="1">
      <c r="A3" s="3635" t="s">
        <v>169</v>
      </c>
      <c r="B3" s="3635"/>
      <c r="C3" s="3635"/>
      <c r="D3" s="3635"/>
      <c r="E3" s="3635"/>
      <c r="F3" s="3635"/>
      <c r="G3" s="3635"/>
      <c r="H3" s="3635"/>
      <c r="I3" s="3635"/>
      <c r="J3" s="3635"/>
      <c r="K3" s="3635"/>
      <c r="L3" s="3635"/>
      <c r="M3" s="3635"/>
      <c r="N3" s="3635"/>
      <c r="O3" s="3635"/>
    </row>
    <row r="4" spans="1:17" ht="60.75" customHeight="1">
      <c r="A4" s="751"/>
      <c r="B4" s="3806" t="s">
        <v>75</v>
      </c>
      <c r="C4" s="3310" t="s">
        <v>71</v>
      </c>
      <c r="D4" s="3466" t="s">
        <v>117</v>
      </c>
      <c r="E4" s="2606" t="s">
        <v>263</v>
      </c>
      <c r="F4" s="3184" t="s">
        <v>525</v>
      </c>
      <c r="G4" s="3327" t="s">
        <v>457</v>
      </c>
      <c r="H4" s="3328"/>
      <c r="I4" s="3328"/>
      <c r="J4" s="3328"/>
      <c r="K4" s="3328"/>
      <c r="L4" s="3329"/>
      <c r="M4" s="3706" t="s">
        <v>478</v>
      </c>
      <c r="N4" s="3706" t="s">
        <v>458</v>
      </c>
      <c r="O4" s="3480" t="s">
        <v>73</v>
      </c>
    </row>
    <row r="5" spans="1:17" ht="16.5" customHeight="1" thickBot="1">
      <c r="A5" s="752"/>
      <c r="B5" s="3807"/>
      <c r="C5" s="3808"/>
      <c r="D5" s="3809"/>
      <c r="E5" s="2634" t="s">
        <v>444</v>
      </c>
      <c r="F5" s="3186"/>
      <c r="G5" s="2607" t="s">
        <v>6</v>
      </c>
      <c r="H5" s="328" t="s">
        <v>206</v>
      </c>
      <c r="I5" s="328" t="s">
        <v>207</v>
      </c>
      <c r="J5" s="328" t="s">
        <v>255</v>
      </c>
      <c r="K5" s="328" t="s">
        <v>256</v>
      </c>
      <c r="L5" s="328" t="s">
        <v>257</v>
      </c>
      <c r="M5" s="3707"/>
      <c r="N5" s="3707"/>
      <c r="O5" s="3482"/>
    </row>
    <row r="6" spans="1:17" ht="15" customHeight="1">
      <c r="A6" s="1042">
        <v>1</v>
      </c>
      <c r="B6" s="1043">
        <v>2</v>
      </c>
      <c r="C6" s="1710" t="s">
        <v>118</v>
      </c>
      <c r="D6" s="1044" t="s">
        <v>119</v>
      </c>
      <c r="E6" s="1044">
        <v>5</v>
      </c>
      <c r="F6" s="1710">
        <v>6</v>
      </c>
      <c r="G6" s="1710">
        <v>7</v>
      </c>
      <c r="H6" s="1710">
        <v>8</v>
      </c>
      <c r="I6" s="1710">
        <v>9</v>
      </c>
      <c r="J6" s="1710">
        <v>10</v>
      </c>
      <c r="K6" s="1710">
        <v>11</v>
      </c>
      <c r="L6" s="1710">
        <v>12</v>
      </c>
      <c r="M6" s="1854">
        <v>13</v>
      </c>
      <c r="N6" s="1854">
        <v>13</v>
      </c>
      <c r="O6" s="1855">
        <v>14</v>
      </c>
    </row>
    <row r="7" spans="1:17" s="233" customFormat="1" ht="16.5" customHeight="1">
      <c r="A7" s="601"/>
      <c r="B7" s="1380" t="s">
        <v>76</v>
      </c>
      <c r="C7" s="1381"/>
      <c r="D7" s="222">
        <f>+D8+D9</f>
        <v>118364504</v>
      </c>
      <c r="E7" s="222">
        <f t="shared" ref="E7:L7" si="0">+E8+E9</f>
        <v>926404</v>
      </c>
      <c r="F7" s="222">
        <f t="shared" si="0"/>
        <v>1328596</v>
      </c>
      <c r="G7" s="222">
        <f t="shared" si="0"/>
        <v>98975986</v>
      </c>
      <c r="H7" s="222">
        <f t="shared" si="0"/>
        <v>11895354</v>
      </c>
      <c r="I7" s="222">
        <f t="shared" si="0"/>
        <v>5238164</v>
      </c>
      <c r="J7" s="222">
        <f t="shared" si="0"/>
        <v>0</v>
      </c>
      <c r="K7" s="222">
        <f t="shared" si="0"/>
        <v>0</v>
      </c>
      <c r="L7" s="222">
        <f t="shared" si="0"/>
        <v>0</v>
      </c>
      <c r="M7" s="150">
        <f>+M8+M9</f>
        <v>117438100</v>
      </c>
      <c r="N7" s="150">
        <f>+N8+N9</f>
        <v>116109504</v>
      </c>
      <c r="O7" s="753"/>
      <c r="P7" s="456">
        <f>D26+D38+D50+D62+D71+D80+D89+D101+D114+D123+D136+D154+D167+D176+D189+D198+D210+D219</f>
        <v>118364504</v>
      </c>
    </row>
    <row r="8" spans="1:17" s="233" customFormat="1" ht="13.5" customHeight="1">
      <c r="A8" s="601"/>
      <c r="B8" s="1382" t="s">
        <v>77</v>
      </c>
      <c r="C8" s="1383"/>
      <c r="D8" s="214">
        <f>D80+D101+D123+D154+D176+D189+D210</f>
        <v>3471711</v>
      </c>
      <c r="E8" s="214">
        <f t="shared" ref="E8:L8" si="1">E80+E101+E123+E154+E176+E189+E210</f>
        <v>0</v>
      </c>
      <c r="F8" s="214">
        <f t="shared" si="1"/>
        <v>80037</v>
      </c>
      <c r="G8" s="214">
        <f t="shared" si="1"/>
        <v>1411498</v>
      </c>
      <c r="H8" s="214">
        <f t="shared" si="1"/>
        <v>1498175</v>
      </c>
      <c r="I8" s="214">
        <f t="shared" si="1"/>
        <v>482001</v>
      </c>
      <c r="J8" s="214">
        <f t="shared" si="1"/>
        <v>0</v>
      </c>
      <c r="K8" s="214">
        <f t="shared" si="1"/>
        <v>0</v>
      </c>
      <c r="L8" s="214">
        <f t="shared" si="1"/>
        <v>0</v>
      </c>
      <c r="M8" s="2154">
        <f>SUM(F8:L8)</f>
        <v>3471711</v>
      </c>
      <c r="N8" s="18">
        <f>SUM(G8:L8)</f>
        <v>3391674</v>
      </c>
      <c r="O8" s="753"/>
      <c r="P8" s="456"/>
    </row>
    <row r="9" spans="1:17" s="233" customFormat="1" ht="13.5" customHeight="1" thickBot="1">
      <c r="A9" s="601"/>
      <c r="B9" s="1384" t="s">
        <v>9</v>
      </c>
      <c r="C9" s="1385"/>
      <c r="D9" s="754">
        <f>D26+D38+D50+D62+D71+D89+D114+D198+D219</f>
        <v>114892793</v>
      </c>
      <c r="E9" s="754">
        <f t="shared" ref="E9:L9" si="2">E26+E38+E50+E62+E71+E89+E114+E198+E219</f>
        <v>926404</v>
      </c>
      <c r="F9" s="754">
        <f t="shared" si="2"/>
        <v>1248559</v>
      </c>
      <c r="G9" s="754">
        <f t="shared" si="2"/>
        <v>97564488</v>
      </c>
      <c r="H9" s="754">
        <f t="shared" si="2"/>
        <v>10397179</v>
      </c>
      <c r="I9" s="754">
        <f t="shared" si="2"/>
        <v>4756163</v>
      </c>
      <c r="J9" s="754">
        <f t="shared" si="2"/>
        <v>0</v>
      </c>
      <c r="K9" s="754">
        <f t="shared" si="2"/>
        <v>0</v>
      </c>
      <c r="L9" s="754">
        <f t="shared" si="2"/>
        <v>0</v>
      </c>
      <c r="M9" s="152">
        <f>SUM(F9:L9)</f>
        <v>113966389</v>
      </c>
      <c r="N9" s="152">
        <f>SUM(G9:L9)</f>
        <v>112717830</v>
      </c>
      <c r="O9" s="753"/>
      <c r="P9" s="456"/>
    </row>
    <row r="10" spans="1:17" ht="12">
      <c r="A10" s="601"/>
      <c r="B10" s="196" t="s">
        <v>10</v>
      </c>
      <c r="C10" s="90"/>
      <c r="D10" s="197">
        <f>D11+D15</f>
        <v>118364504</v>
      </c>
      <c r="E10" s="197">
        <f t="shared" ref="E10:L10" si="3">E11+E15</f>
        <v>926404</v>
      </c>
      <c r="F10" s="197">
        <f t="shared" si="3"/>
        <v>1328596</v>
      </c>
      <c r="G10" s="197">
        <f t="shared" si="3"/>
        <v>98975986</v>
      </c>
      <c r="H10" s="197">
        <f t="shared" si="3"/>
        <v>11895354</v>
      </c>
      <c r="I10" s="197">
        <f t="shared" si="3"/>
        <v>5238164</v>
      </c>
      <c r="J10" s="197">
        <f t="shared" si="3"/>
        <v>0</v>
      </c>
      <c r="K10" s="197">
        <f t="shared" si="3"/>
        <v>0</v>
      </c>
      <c r="L10" s="197">
        <f t="shared" si="3"/>
        <v>0</v>
      </c>
      <c r="M10" s="1465">
        <f>M11+M15</f>
        <v>117158184</v>
      </c>
      <c r="N10" s="65">
        <f>N11+N15</f>
        <v>116109504</v>
      </c>
      <c r="O10" s="755"/>
      <c r="P10" s="201"/>
      <c r="Q10" s="201"/>
    </row>
    <row r="11" spans="1:17" ht="13.5" customHeight="1">
      <c r="A11" s="601"/>
      <c r="B11" s="756" t="s">
        <v>24</v>
      </c>
      <c r="C11" s="1386"/>
      <c r="D11" s="1387">
        <f>D12+D13+D14</f>
        <v>18448412</v>
      </c>
      <c r="E11" s="1387">
        <f t="shared" ref="E11:K11" si="4">E12+E13+E14</f>
        <v>713938</v>
      </c>
      <c r="F11" s="1387">
        <f t="shared" si="4"/>
        <v>424067</v>
      </c>
      <c r="G11" s="1387">
        <f t="shared" si="4"/>
        <v>14735279</v>
      </c>
      <c r="H11" s="1387">
        <f t="shared" si="4"/>
        <v>1786896</v>
      </c>
      <c r="I11" s="1387">
        <f t="shared" si="4"/>
        <v>788232</v>
      </c>
      <c r="J11" s="1387">
        <f t="shared" si="4"/>
        <v>0</v>
      </c>
      <c r="K11" s="1387">
        <f t="shared" si="4"/>
        <v>0</v>
      </c>
      <c r="L11" s="1387">
        <f t="shared" ref="L11" si="5">L12+L13+L14</f>
        <v>0</v>
      </c>
      <c r="M11" s="1388">
        <f>+M12+M13+M14</f>
        <v>17454558</v>
      </c>
      <c r="N11" s="1388">
        <f>+N12+N13+N14</f>
        <v>17310407</v>
      </c>
      <c r="O11" s="757"/>
    </row>
    <row r="12" spans="1:17" ht="13.5" customHeight="1">
      <c r="A12" s="601"/>
      <c r="B12" s="1389" t="s">
        <v>12</v>
      </c>
      <c r="C12" s="1390"/>
      <c r="D12" s="1391">
        <f>D28+D40+D52+D64+D73+D82+D91+D103+D116+D125+D138+D147+D156+D169+D178+D191+D200+D212+D221</f>
        <v>17018496</v>
      </c>
      <c r="E12" s="1391">
        <f t="shared" ref="E12:N12" si="6">E28+E40+E52+E64+E73+E82+E91+E103+E116+E125+E138+E147+E156+E169+E178+E191+E200+E212+E221</f>
        <v>593938</v>
      </c>
      <c r="F12" s="1391">
        <f t="shared" si="6"/>
        <v>278181</v>
      </c>
      <c r="G12" s="1391">
        <f t="shared" si="6"/>
        <v>13571249</v>
      </c>
      <c r="H12" s="1391">
        <f t="shared" si="6"/>
        <v>1786896</v>
      </c>
      <c r="I12" s="1391">
        <f t="shared" si="6"/>
        <v>788232</v>
      </c>
      <c r="J12" s="1391">
        <f t="shared" si="6"/>
        <v>0</v>
      </c>
      <c r="K12" s="1391">
        <f t="shared" si="6"/>
        <v>0</v>
      </c>
      <c r="L12" s="1391">
        <f t="shared" si="6"/>
        <v>0</v>
      </c>
      <c r="M12" s="1391">
        <f t="shared" si="6"/>
        <v>16424558</v>
      </c>
      <c r="N12" s="1544">
        <f t="shared" si="6"/>
        <v>16146377</v>
      </c>
      <c r="O12" s="757"/>
      <c r="P12" s="201"/>
    </row>
    <row r="13" spans="1:17" ht="13.5" customHeight="1">
      <c r="A13" s="601"/>
      <c r="B13" s="1541" t="s">
        <v>62</v>
      </c>
      <c r="C13" s="1542"/>
      <c r="D13" s="1543">
        <f>+D92</f>
        <v>1000000</v>
      </c>
      <c r="E13" s="1543">
        <f t="shared" ref="E13:K13" si="7">+E92</f>
        <v>0</v>
      </c>
      <c r="F13" s="1543">
        <f t="shared" si="7"/>
        <v>100000</v>
      </c>
      <c r="G13" s="1543">
        <f t="shared" si="7"/>
        <v>900000</v>
      </c>
      <c r="H13" s="1543">
        <f t="shared" si="7"/>
        <v>0</v>
      </c>
      <c r="I13" s="1543">
        <f t="shared" si="7"/>
        <v>0</v>
      </c>
      <c r="J13" s="1543">
        <f t="shared" si="7"/>
        <v>0</v>
      </c>
      <c r="K13" s="1543">
        <f t="shared" si="7"/>
        <v>0</v>
      </c>
      <c r="L13" s="1543">
        <f t="shared" ref="L13" si="8">+L92</f>
        <v>0</v>
      </c>
      <c r="M13" s="1544">
        <f>SUM(F13:K13)</f>
        <v>1000000</v>
      </c>
      <c r="N13" s="1544">
        <f>SUM(G13:L13)</f>
        <v>900000</v>
      </c>
      <c r="O13" s="757"/>
      <c r="P13" s="201"/>
    </row>
    <row r="14" spans="1:17" ht="13.5" customHeight="1">
      <c r="A14" s="601"/>
      <c r="B14" s="2283" t="s">
        <v>15</v>
      </c>
      <c r="C14" s="2284"/>
      <c r="D14" s="2285">
        <f>D201+D222+D29+D41+D53</f>
        <v>429916</v>
      </c>
      <c r="E14" s="2285">
        <f t="shared" ref="E14:N14" si="9">E201+E222+E29+E41+E53</f>
        <v>120000</v>
      </c>
      <c r="F14" s="2285">
        <f t="shared" si="9"/>
        <v>45886</v>
      </c>
      <c r="G14" s="2285">
        <f t="shared" si="9"/>
        <v>264030</v>
      </c>
      <c r="H14" s="2285">
        <f t="shared" si="9"/>
        <v>0</v>
      </c>
      <c r="I14" s="2285">
        <f t="shared" si="9"/>
        <v>0</v>
      </c>
      <c r="J14" s="2285">
        <f t="shared" si="9"/>
        <v>0</v>
      </c>
      <c r="K14" s="2285">
        <f t="shared" si="9"/>
        <v>0</v>
      </c>
      <c r="L14" s="2285">
        <f t="shared" si="9"/>
        <v>0</v>
      </c>
      <c r="M14" s="2285">
        <f t="shared" si="9"/>
        <v>30000</v>
      </c>
      <c r="N14" s="1544">
        <f t="shared" si="9"/>
        <v>264030</v>
      </c>
      <c r="O14" s="757"/>
      <c r="P14" s="201"/>
    </row>
    <row r="15" spans="1:17" ht="13.5" customHeight="1">
      <c r="A15" s="601"/>
      <c r="B15" s="756" t="s">
        <v>18</v>
      </c>
      <c r="C15" s="1386"/>
      <c r="D15" s="1387">
        <f>+D16+D17</f>
        <v>99916092</v>
      </c>
      <c r="E15" s="1387">
        <f t="shared" ref="E15:K15" si="10">+E16+E17</f>
        <v>212466</v>
      </c>
      <c r="F15" s="1387">
        <f t="shared" si="10"/>
        <v>904529</v>
      </c>
      <c r="G15" s="1387">
        <f t="shared" si="10"/>
        <v>84240707</v>
      </c>
      <c r="H15" s="1387">
        <f t="shared" si="10"/>
        <v>10108458</v>
      </c>
      <c r="I15" s="1387">
        <f t="shared" si="10"/>
        <v>4449932</v>
      </c>
      <c r="J15" s="1387">
        <f t="shared" si="10"/>
        <v>0</v>
      </c>
      <c r="K15" s="1387">
        <f t="shared" si="10"/>
        <v>0</v>
      </c>
      <c r="L15" s="1387">
        <f t="shared" ref="L15" si="11">+L16+L17</f>
        <v>0</v>
      </c>
      <c r="M15" s="1388">
        <f>+M16</f>
        <v>99703626</v>
      </c>
      <c r="N15" s="1388">
        <f>+N16</f>
        <v>98799097</v>
      </c>
      <c r="O15" s="757"/>
    </row>
    <row r="16" spans="1:17" ht="13.5" customHeight="1">
      <c r="A16" s="601"/>
      <c r="B16" s="1389" t="s">
        <v>21</v>
      </c>
      <c r="C16" s="199"/>
      <c r="D16" s="146">
        <f>D31+D43+D55+D66+D75+D84+D94+D107+D118+D129+D160+D182+D193+D203+D214+D224</f>
        <v>99916092</v>
      </c>
      <c r="E16" s="146">
        <f t="shared" ref="E16:L16" si="12">E31+E43+E55+E66+E75+E84+E94+E107+E118+E129+E160+E182+E193+E203+E214+E224</f>
        <v>212466</v>
      </c>
      <c r="F16" s="146">
        <f t="shared" si="12"/>
        <v>904529</v>
      </c>
      <c r="G16" s="146">
        <f t="shared" si="12"/>
        <v>84240707</v>
      </c>
      <c r="H16" s="146">
        <f t="shared" si="12"/>
        <v>10108458</v>
      </c>
      <c r="I16" s="146">
        <f t="shared" si="12"/>
        <v>4449932</v>
      </c>
      <c r="J16" s="146">
        <f t="shared" si="12"/>
        <v>0</v>
      </c>
      <c r="K16" s="146">
        <f t="shared" si="12"/>
        <v>0</v>
      </c>
      <c r="L16" s="146">
        <f t="shared" si="12"/>
        <v>0</v>
      </c>
      <c r="M16" s="758">
        <f>SUM(F16:L16)</f>
        <v>99703626</v>
      </c>
      <c r="N16" s="758">
        <f>SUM(G16:L16)</f>
        <v>98799097</v>
      </c>
      <c r="O16" s="757"/>
      <c r="P16" s="201"/>
    </row>
    <row r="17" spans="1:16" ht="13.5" hidden="1" customHeight="1">
      <c r="A17" s="601"/>
      <c r="B17" s="281" t="s">
        <v>20</v>
      </c>
      <c r="C17" s="1836"/>
      <c r="D17" s="146"/>
      <c r="E17" s="146"/>
      <c r="F17" s="146"/>
      <c r="G17" s="146"/>
      <c r="H17" s="146"/>
      <c r="I17" s="146"/>
      <c r="J17" s="146"/>
      <c r="K17" s="146"/>
      <c r="L17" s="146"/>
      <c r="M17" s="277"/>
      <c r="N17" s="277"/>
      <c r="O17" s="757"/>
    </row>
    <row r="18" spans="1:16" ht="12">
      <c r="A18" s="601"/>
      <c r="B18" s="196" t="s">
        <v>22</v>
      </c>
      <c r="C18" s="22"/>
      <c r="D18" s="197">
        <f>D22+D19</f>
        <v>101346008</v>
      </c>
      <c r="E18" s="197">
        <f>E22+E19</f>
        <v>120000</v>
      </c>
      <c r="F18" s="197">
        <f t="shared" ref="F18:L18" si="13">F22+F19</f>
        <v>146863</v>
      </c>
      <c r="G18" s="197">
        <f t="shared" si="13"/>
        <v>77968785</v>
      </c>
      <c r="H18" s="197">
        <f t="shared" si="13"/>
        <v>12844197</v>
      </c>
      <c r="I18" s="197">
        <f t="shared" si="13"/>
        <v>6918375</v>
      </c>
      <c r="J18" s="197">
        <f t="shared" si="13"/>
        <v>3347788</v>
      </c>
      <c r="K18" s="197">
        <f t="shared" si="13"/>
        <v>0</v>
      </c>
      <c r="L18" s="197">
        <f t="shared" si="13"/>
        <v>0</v>
      </c>
      <c r="M18" s="3337" t="s">
        <v>61</v>
      </c>
      <c r="N18" s="3337" t="s">
        <v>61</v>
      </c>
      <c r="O18" s="757"/>
      <c r="P18" s="201"/>
    </row>
    <row r="19" spans="1:16" ht="16.5" customHeight="1">
      <c r="A19" s="601"/>
      <c r="B19" s="756" t="s">
        <v>11</v>
      </c>
      <c r="C19" s="199"/>
      <c r="D19" s="232">
        <f>D20+D21</f>
        <v>1429916</v>
      </c>
      <c r="E19" s="232">
        <f t="shared" ref="E19:L19" si="14">E20+E21</f>
        <v>120000</v>
      </c>
      <c r="F19" s="232">
        <f t="shared" si="14"/>
        <v>145886</v>
      </c>
      <c r="G19" s="232">
        <f t="shared" si="14"/>
        <v>1164030</v>
      </c>
      <c r="H19" s="232">
        <f t="shared" si="14"/>
        <v>0</v>
      </c>
      <c r="I19" s="232">
        <f t="shared" si="14"/>
        <v>0</v>
      </c>
      <c r="J19" s="232">
        <f t="shared" si="14"/>
        <v>0</v>
      </c>
      <c r="K19" s="232">
        <f t="shared" si="14"/>
        <v>0</v>
      </c>
      <c r="L19" s="232">
        <f t="shared" si="14"/>
        <v>0</v>
      </c>
      <c r="M19" s="3273"/>
      <c r="N19" s="3273"/>
      <c r="O19" s="757"/>
      <c r="P19" s="201"/>
    </row>
    <row r="20" spans="1:16" ht="12">
      <c r="A20" s="601"/>
      <c r="B20" s="1389" t="s">
        <v>62</v>
      </c>
      <c r="C20" s="199"/>
      <c r="D20" s="146">
        <f>D97</f>
        <v>1000000</v>
      </c>
      <c r="E20" s="146">
        <f t="shared" ref="E20:L20" si="15">E97</f>
        <v>0</v>
      </c>
      <c r="F20" s="146">
        <f t="shared" si="15"/>
        <v>100000</v>
      </c>
      <c r="G20" s="146">
        <f t="shared" si="15"/>
        <v>900000</v>
      </c>
      <c r="H20" s="146">
        <f t="shared" si="15"/>
        <v>0</v>
      </c>
      <c r="I20" s="146">
        <f t="shared" si="15"/>
        <v>0</v>
      </c>
      <c r="J20" s="146">
        <f t="shared" si="15"/>
        <v>0</v>
      </c>
      <c r="K20" s="146">
        <f t="shared" si="15"/>
        <v>0</v>
      </c>
      <c r="L20" s="146">
        <f t="shared" si="15"/>
        <v>0</v>
      </c>
      <c r="M20" s="3273"/>
      <c r="N20" s="3273"/>
      <c r="O20" s="757"/>
      <c r="P20" s="201"/>
    </row>
    <row r="21" spans="1:16" ht="12">
      <c r="A21" s="601"/>
      <c r="B21" s="2283" t="s">
        <v>15</v>
      </c>
      <c r="C21" s="2286"/>
      <c r="D21" s="2287">
        <f>D206+D227+D34+D46+D58</f>
        <v>429916</v>
      </c>
      <c r="E21" s="2287">
        <f t="shared" ref="E21:L21" si="16">E206+E227+E34+E46+E58</f>
        <v>120000</v>
      </c>
      <c r="F21" s="2287">
        <f t="shared" si="16"/>
        <v>45886</v>
      </c>
      <c r="G21" s="2287">
        <f t="shared" si="16"/>
        <v>264030</v>
      </c>
      <c r="H21" s="2287">
        <f t="shared" si="16"/>
        <v>0</v>
      </c>
      <c r="I21" s="2287">
        <f t="shared" si="16"/>
        <v>0</v>
      </c>
      <c r="J21" s="2287">
        <f t="shared" si="16"/>
        <v>0</v>
      </c>
      <c r="K21" s="2287">
        <f t="shared" si="16"/>
        <v>0</v>
      </c>
      <c r="L21" s="2287">
        <f t="shared" si="16"/>
        <v>0</v>
      </c>
      <c r="M21" s="3273"/>
      <c r="N21" s="3273"/>
      <c r="O21" s="757"/>
      <c r="P21" s="201">
        <f>G21-'[1]Tab. 6H - Kultura fiz. i turyst'!$G$21</f>
        <v>264030</v>
      </c>
    </row>
    <row r="22" spans="1:16" ht="13.5" customHeight="1">
      <c r="A22" s="601"/>
      <c r="B22" s="756" t="s">
        <v>18</v>
      </c>
      <c r="C22" s="199"/>
      <c r="D22" s="232">
        <f>+D23+D24</f>
        <v>99916092</v>
      </c>
      <c r="E22" s="232">
        <f t="shared" ref="E22:L22" si="17">+E23+E24</f>
        <v>0</v>
      </c>
      <c r="F22" s="232">
        <f t="shared" si="17"/>
        <v>977</v>
      </c>
      <c r="G22" s="232">
        <f t="shared" si="17"/>
        <v>76804755</v>
      </c>
      <c r="H22" s="232">
        <f t="shared" si="17"/>
        <v>12844197</v>
      </c>
      <c r="I22" s="232">
        <f t="shared" si="17"/>
        <v>6918375</v>
      </c>
      <c r="J22" s="232">
        <f t="shared" si="17"/>
        <v>3347788</v>
      </c>
      <c r="K22" s="232">
        <f t="shared" si="17"/>
        <v>0</v>
      </c>
      <c r="L22" s="232">
        <f t="shared" si="17"/>
        <v>0</v>
      </c>
      <c r="M22" s="3273"/>
      <c r="N22" s="3273"/>
      <c r="O22" s="757"/>
    </row>
    <row r="23" spans="1:16" ht="13.5" customHeight="1" thickBot="1">
      <c r="A23" s="759"/>
      <c r="B23" s="1389" t="s">
        <v>21</v>
      </c>
      <c r="C23" s="199"/>
      <c r="D23" s="146">
        <f>+D36+D48+D78+D87+D99+D69+D112+D121+D134+D143+D152+D60+D165+D174+D187+D195+D207+D217+D229</f>
        <v>99916092</v>
      </c>
      <c r="E23" s="146">
        <f t="shared" ref="E23:L23" si="18">+E36+E48+E78+E87+E99+E69+E112+E121+E134+E143+E152+E60+E165+E174+E187+E195+E207+E217+E229</f>
        <v>0</v>
      </c>
      <c r="F23" s="146">
        <f t="shared" si="18"/>
        <v>977</v>
      </c>
      <c r="G23" s="146">
        <f t="shared" si="18"/>
        <v>76804755</v>
      </c>
      <c r="H23" s="146">
        <f t="shared" si="18"/>
        <v>12844197</v>
      </c>
      <c r="I23" s="146">
        <f t="shared" si="18"/>
        <v>6918375</v>
      </c>
      <c r="J23" s="146">
        <f t="shared" si="18"/>
        <v>3347788</v>
      </c>
      <c r="K23" s="146">
        <f t="shared" si="18"/>
        <v>0</v>
      </c>
      <c r="L23" s="146">
        <f t="shared" si="18"/>
        <v>0</v>
      </c>
      <c r="M23" s="3273"/>
      <c r="N23" s="3273"/>
      <c r="O23" s="757"/>
      <c r="P23" s="201">
        <f>D23-D16</f>
        <v>0</v>
      </c>
    </row>
    <row r="24" spans="1:16" ht="13.5" hidden="1" customHeight="1" thickBot="1">
      <c r="A24" s="759"/>
      <c r="B24" s="760" t="s">
        <v>20</v>
      </c>
      <c r="C24" s="760"/>
      <c r="D24" s="760"/>
      <c r="E24" s="760"/>
      <c r="F24" s="760"/>
      <c r="G24" s="760"/>
      <c r="H24" s="760"/>
      <c r="I24" s="760"/>
      <c r="J24" s="760"/>
      <c r="K24" s="760"/>
      <c r="L24" s="248"/>
      <c r="M24" s="3274"/>
      <c r="N24" s="3274"/>
      <c r="O24" s="757"/>
    </row>
    <row r="25" spans="1:16" s="233" customFormat="1" ht="27" customHeight="1">
      <c r="A25" s="3787" t="s">
        <v>63</v>
      </c>
      <c r="B25" s="184" t="s">
        <v>569</v>
      </c>
      <c r="C25" s="1833" t="s">
        <v>81</v>
      </c>
      <c r="D25" s="761"/>
      <c r="E25" s="762"/>
      <c r="F25" s="763"/>
      <c r="G25" s="763"/>
      <c r="H25" s="763"/>
      <c r="I25" s="762"/>
      <c r="J25" s="762"/>
      <c r="K25" s="762"/>
      <c r="L25" s="762"/>
      <c r="M25" s="764"/>
      <c r="N25" s="764"/>
      <c r="O25" s="3240" t="s">
        <v>86</v>
      </c>
    </row>
    <row r="26" spans="1:16" s="233" customFormat="1" ht="12.75">
      <c r="A26" s="3783"/>
      <c r="B26" s="3013" t="s">
        <v>10</v>
      </c>
      <c r="C26" s="22"/>
      <c r="D26" s="3014">
        <f>D27+D30</f>
        <v>45393450</v>
      </c>
      <c r="E26" s="3014">
        <f>+E30+E27</f>
        <v>146960</v>
      </c>
      <c r="F26" s="3014">
        <f>+F30+F27</f>
        <v>482652</v>
      </c>
      <c r="G26" s="3014">
        <f>+G27+G30</f>
        <v>44763838</v>
      </c>
      <c r="H26" s="3014">
        <f t="shared" ref="H26" si="19">+H30</f>
        <v>0</v>
      </c>
      <c r="I26" s="3014"/>
      <c r="J26" s="3014"/>
      <c r="K26" s="3014"/>
      <c r="L26" s="3014"/>
      <c r="M26" s="3015">
        <f>+M30+M27</f>
        <v>45009182</v>
      </c>
      <c r="N26" s="3015">
        <f>+N30+N27</f>
        <v>44763838</v>
      </c>
      <c r="O26" s="3241"/>
    </row>
    <row r="27" spans="1:16" s="233" customFormat="1" ht="14.25" customHeight="1">
      <c r="A27" s="3783"/>
      <c r="B27" s="3016" t="s">
        <v>24</v>
      </c>
      <c r="C27" s="3802" t="s">
        <v>170</v>
      </c>
      <c r="D27" s="3017">
        <f>D28+D29</f>
        <v>7078433</v>
      </c>
      <c r="E27" s="3018">
        <f>E28+E29</f>
        <v>146960</v>
      </c>
      <c r="F27" s="3019">
        <f>F28+F29</f>
        <v>80135</v>
      </c>
      <c r="G27" s="3020">
        <f>G28+G29</f>
        <v>6851338</v>
      </c>
      <c r="H27" s="3020">
        <f t="shared" ref="H27" si="20">H28</f>
        <v>0</v>
      </c>
      <c r="I27" s="3020"/>
      <c r="J27" s="3020"/>
      <c r="K27" s="3020"/>
      <c r="L27" s="3020"/>
      <c r="M27" s="3021">
        <f>M28</f>
        <v>6694165</v>
      </c>
      <c r="N27" s="3021">
        <f>N28+N29</f>
        <v>6851338</v>
      </c>
      <c r="O27" s="3241"/>
    </row>
    <row r="28" spans="1:16" s="233" customFormat="1" ht="14.25" customHeight="1">
      <c r="A28" s="3783"/>
      <c r="B28" s="3022" t="s">
        <v>12</v>
      </c>
      <c r="C28" s="3215"/>
      <c r="D28" s="247">
        <f>E28+F28+G28+H28+I28+J28+K28+L28</f>
        <v>6841125</v>
      </c>
      <c r="E28" s="247">
        <v>146960</v>
      </c>
      <c r="F28" s="3023">
        <f>2732267+170000-2664017-80000-78115</f>
        <v>80135</v>
      </c>
      <c r="G28" s="3023">
        <f>4041376+2664017+80000-171363</f>
        <v>6614030</v>
      </c>
      <c r="H28" s="3023">
        <v>0</v>
      </c>
      <c r="I28" s="3023"/>
      <c r="J28" s="3023"/>
      <c r="K28" s="3023"/>
      <c r="L28" s="3023"/>
      <c r="M28" s="758">
        <f>SUM(F28:K28)</f>
        <v>6694165</v>
      </c>
      <c r="N28" s="758">
        <f>SUM(G28:L28)</f>
        <v>6614030</v>
      </c>
      <c r="O28" s="3241"/>
    </row>
    <row r="29" spans="1:16" s="233" customFormat="1" ht="14.25" customHeight="1">
      <c r="A29" s="3783"/>
      <c r="B29" s="2300" t="s">
        <v>15</v>
      </c>
      <c r="C29" s="3215"/>
      <c r="D29" s="247">
        <f>E29+F29+G29+H29+I29+J29+K29+L29</f>
        <v>237308</v>
      </c>
      <c r="E29" s="949">
        <v>0</v>
      </c>
      <c r="F29" s="986">
        <v>0</v>
      </c>
      <c r="G29" s="986">
        <v>237308</v>
      </c>
      <c r="H29" s="986"/>
      <c r="I29" s="986"/>
      <c r="J29" s="986"/>
      <c r="K29" s="986"/>
      <c r="L29" s="986"/>
      <c r="M29" s="2297"/>
      <c r="N29" s="758">
        <f>SUM(G29:L29)</f>
        <v>237308</v>
      </c>
      <c r="O29" s="3241"/>
    </row>
    <row r="30" spans="1:16" s="233" customFormat="1" ht="14.25" customHeight="1">
      <c r="A30" s="3783"/>
      <c r="B30" s="3024" t="s">
        <v>18</v>
      </c>
      <c r="C30" s="3215"/>
      <c r="D30" s="3017">
        <f>D31</f>
        <v>38315017</v>
      </c>
      <c r="E30" s="3018">
        <f t="shared" ref="E30" si="21">+E31</f>
        <v>0</v>
      </c>
      <c r="F30" s="3020">
        <f>+F31</f>
        <v>402517</v>
      </c>
      <c r="G30" s="3020">
        <f>+G31</f>
        <v>37912500</v>
      </c>
      <c r="H30" s="3020">
        <v>0</v>
      </c>
      <c r="I30" s="3020"/>
      <c r="J30" s="3020"/>
      <c r="K30" s="3020"/>
      <c r="L30" s="3020"/>
      <c r="M30" s="3021">
        <f>+M31</f>
        <v>38315017</v>
      </c>
      <c r="N30" s="3021">
        <f>+N31</f>
        <v>37912500</v>
      </c>
      <c r="O30" s="3241"/>
    </row>
    <row r="31" spans="1:16" s="233" customFormat="1" ht="15" customHeight="1">
      <c r="A31" s="3783"/>
      <c r="B31" s="281" t="s">
        <v>21</v>
      </c>
      <c r="C31" s="3262"/>
      <c r="D31" s="247">
        <f>E31+F31+G31+H31+I31+J31+K31+L31</f>
        <v>38315017</v>
      </c>
      <c r="E31" s="247">
        <v>0</v>
      </c>
      <c r="F31" s="3023">
        <f>15482849-14416099-255000-409233</f>
        <v>402517</v>
      </c>
      <c r="G31" s="3023">
        <f>22901129+14416099+255000+340272</f>
        <v>37912500</v>
      </c>
      <c r="H31" s="3023">
        <v>0</v>
      </c>
      <c r="I31" s="3023"/>
      <c r="J31" s="3023"/>
      <c r="K31" s="3023"/>
      <c r="L31" s="3023"/>
      <c r="M31" s="758">
        <f>SUM(F31:K31)</f>
        <v>38315017</v>
      </c>
      <c r="N31" s="758">
        <f>SUM(G31:L31)</f>
        <v>37912500</v>
      </c>
      <c r="O31" s="3723"/>
    </row>
    <row r="32" spans="1:16" s="233" customFormat="1" ht="12.75">
      <c r="A32" s="3783"/>
      <c r="B32" s="21" t="s">
        <v>22</v>
      </c>
      <c r="C32" s="22"/>
      <c r="D32" s="3014">
        <f>+D35+D33</f>
        <v>38552325</v>
      </c>
      <c r="E32" s="3014">
        <f>+E35</f>
        <v>0</v>
      </c>
      <c r="F32" s="3014">
        <f>F35</f>
        <v>0</v>
      </c>
      <c r="G32" s="3014">
        <f>G35+G33</f>
        <v>35557715</v>
      </c>
      <c r="H32" s="3014">
        <f>H35+H33</f>
        <v>2994610</v>
      </c>
      <c r="I32" s="3014"/>
      <c r="J32" s="3014"/>
      <c r="K32" s="3014"/>
      <c r="L32" s="3014"/>
      <c r="M32" s="3803" t="s">
        <v>61</v>
      </c>
      <c r="N32" s="3803" t="s">
        <v>61</v>
      </c>
      <c r="O32" s="3234" t="s">
        <v>102</v>
      </c>
      <c r="P32" s="456"/>
    </row>
    <row r="33" spans="1:17" s="233" customFormat="1" ht="12.75">
      <c r="A33" s="3783"/>
      <c r="B33" s="633" t="s">
        <v>489</v>
      </c>
      <c r="C33" s="3279" t="s">
        <v>170</v>
      </c>
      <c r="D33" s="1810">
        <f t="shared" ref="D33:L33" si="22">D34</f>
        <v>237308</v>
      </c>
      <c r="E33" s="2298">
        <f t="shared" ref="E33" si="23">+E34</f>
        <v>0</v>
      </c>
      <c r="F33" s="2299">
        <f t="shared" si="22"/>
        <v>0</v>
      </c>
      <c r="G33" s="3020">
        <f t="shared" si="22"/>
        <v>237308</v>
      </c>
      <c r="H33" s="2298">
        <f t="shared" si="22"/>
        <v>0</v>
      </c>
      <c r="I33" s="2298">
        <f t="shared" si="22"/>
        <v>0</v>
      </c>
      <c r="J33" s="2298">
        <f t="shared" si="22"/>
        <v>0</v>
      </c>
      <c r="K33" s="2298">
        <f t="shared" si="22"/>
        <v>0</v>
      </c>
      <c r="L33" s="2298">
        <f t="shared" si="22"/>
        <v>0</v>
      </c>
      <c r="M33" s="3273"/>
      <c r="N33" s="3273"/>
      <c r="O33" s="3234"/>
      <c r="P33" s="456"/>
    </row>
    <row r="34" spans="1:17" s="233" customFormat="1" ht="12.75">
      <c r="A34" s="3783"/>
      <c r="B34" s="2300" t="s">
        <v>15</v>
      </c>
      <c r="C34" s="3821"/>
      <c r="D34" s="1775">
        <f>E34+F34+G34+H34+I34+J34+K34+L34</f>
        <v>237308</v>
      </c>
      <c r="E34" s="1846">
        <v>0</v>
      </c>
      <c r="F34" s="2301">
        <v>0</v>
      </c>
      <c r="G34" s="3023">
        <v>237308</v>
      </c>
      <c r="H34" s="1846">
        <v>0</v>
      </c>
      <c r="I34" s="1846">
        <v>0</v>
      </c>
      <c r="J34" s="1846">
        <v>0</v>
      </c>
      <c r="K34" s="1846">
        <v>0</v>
      </c>
      <c r="L34" s="1846">
        <v>0</v>
      </c>
      <c r="M34" s="3273"/>
      <c r="N34" s="3273"/>
      <c r="O34" s="3234"/>
      <c r="P34" s="456"/>
    </row>
    <row r="35" spans="1:17" s="233" customFormat="1" ht="14.25" customHeight="1">
      <c r="A35" s="3783"/>
      <c r="B35" s="171" t="s">
        <v>18</v>
      </c>
      <c r="C35" s="3280" t="s">
        <v>218</v>
      </c>
      <c r="D35" s="3017">
        <f>+D36</f>
        <v>38315017</v>
      </c>
      <c r="E35" s="3025">
        <f t="shared" ref="E35" si="24">+E36</f>
        <v>0</v>
      </c>
      <c r="F35" s="3025">
        <f t="shared" ref="F35:H35" si="25">F36</f>
        <v>0</v>
      </c>
      <c r="G35" s="3025">
        <f t="shared" si="25"/>
        <v>35320407</v>
      </c>
      <c r="H35" s="3025">
        <f t="shared" si="25"/>
        <v>2994610</v>
      </c>
      <c r="I35" s="3025"/>
      <c r="J35" s="3025"/>
      <c r="K35" s="3025"/>
      <c r="L35" s="3025"/>
      <c r="M35" s="3273"/>
      <c r="N35" s="3273"/>
      <c r="O35" s="3234"/>
    </row>
    <row r="36" spans="1:17" s="233" customFormat="1" ht="14.25" customHeight="1" thickBot="1">
      <c r="A36" s="3784"/>
      <c r="B36" s="1835" t="s">
        <v>21</v>
      </c>
      <c r="C36" s="3774"/>
      <c r="D36" s="247">
        <f>E36+F36+G36+H36+I36+J36+K36+L36</f>
        <v>38315017</v>
      </c>
      <c r="E36" s="247">
        <v>0</v>
      </c>
      <c r="F36" s="72">
        <f>14000000-13175000-825000</f>
        <v>0</v>
      </c>
      <c r="G36" s="72">
        <f>23383978+11175000+825000-63571</f>
        <v>35320407</v>
      </c>
      <c r="H36" s="72">
        <f>1000000+2000000-5390</f>
        <v>2994610</v>
      </c>
      <c r="I36" s="72"/>
      <c r="J36" s="72"/>
      <c r="K36" s="72"/>
      <c r="L36" s="72"/>
      <c r="M36" s="3274"/>
      <c r="N36" s="3274"/>
      <c r="O36" s="3235"/>
    </row>
    <row r="37" spans="1:17" ht="23.25" customHeight="1">
      <c r="A37" s="3787" t="s">
        <v>64</v>
      </c>
      <c r="B37" s="184" t="s">
        <v>570</v>
      </c>
      <c r="C37" s="1833" t="s">
        <v>81</v>
      </c>
      <c r="D37" s="1592"/>
      <c r="E37" s="1708"/>
      <c r="F37" s="1594"/>
      <c r="G37" s="1594"/>
      <c r="H37" s="1594"/>
      <c r="I37" s="1593"/>
      <c r="J37" s="1593"/>
      <c r="K37" s="1593"/>
      <c r="L37" s="1593"/>
      <c r="M37" s="1595"/>
      <c r="N37" s="1595"/>
      <c r="O37" s="3240" t="s">
        <v>86</v>
      </c>
    </row>
    <row r="38" spans="1:17" ht="12">
      <c r="A38" s="3782"/>
      <c r="B38" s="313" t="s">
        <v>10</v>
      </c>
      <c r="C38" s="3026"/>
      <c r="D38" s="768">
        <f>+D39+D42</f>
        <v>16608975</v>
      </c>
      <c r="E38" s="768">
        <f t="shared" ref="E38" si="26">+E39+E42</f>
        <v>52306</v>
      </c>
      <c r="F38" s="768">
        <f>+F39+F42</f>
        <v>251149</v>
      </c>
      <c r="G38" s="768">
        <f>+G39+G42</f>
        <v>16305520</v>
      </c>
      <c r="H38" s="768"/>
      <c r="I38" s="768"/>
      <c r="J38" s="768"/>
      <c r="K38" s="768"/>
      <c r="L38" s="768"/>
      <c r="M38" s="3015">
        <f>M39+M42</f>
        <v>16522822</v>
      </c>
      <c r="N38" s="3015">
        <f>N39+N42</f>
        <v>16305520</v>
      </c>
      <c r="O38" s="3241"/>
      <c r="P38" s="201"/>
      <c r="Q38" s="201"/>
    </row>
    <row r="39" spans="1:17" s="233" customFormat="1" ht="14.25" customHeight="1">
      <c r="A39" s="3782"/>
      <c r="B39" s="769" t="s">
        <v>24</v>
      </c>
      <c r="C39" s="3785" t="s">
        <v>170</v>
      </c>
      <c r="D39" s="311">
        <f>D40+D41</f>
        <v>2591056</v>
      </c>
      <c r="E39" s="311">
        <f t="shared" ref="E39:G39" si="27">E40+E41</f>
        <v>52306</v>
      </c>
      <c r="F39" s="311">
        <f t="shared" si="27"/>
        <v>37672</v>
      </c>
      <c r="G39" s="311">
        <f t="shared" si="27"/>
        <v>2501078</v>
      </c>
      <c r="H39" s="316"/>
      <c r="I39" s="316"/>
      <c r="J39" s="316"/>
      <c r="K39" s="316"/>
      <c r="L39" s="316"/>
      <c r="M39" s="308">
        <f>M40</f>
        <v>2504903</v>
      </c>
      <c r="N39" s="308">
        <f>N40+N41</f>
        <v>2501078</v>
      </c>
      <c r="O39" s="3241"/>
    </row>
    <row r="40" spans="1:17" s="233" customFormat="1" ht="12.75">
      <c r="A40" s="3782"/>
      <c r="B40" s="770" t="s">
        <v>12</v>
      </c>
      <c r="C40" s="3215"/>
      <c r="D40" s="247">
        <f>E40+F40+G40+H40+I40+J40+K40+L40</f>
        <v>2557209</v>
      </c>
      <c r="E40" s="247">
        <v>52306</v>
      </c>
      <c r="F40" s="310">
        <f>1009016+55696-942462-60000-31703</f>
        <v>30547</v>
      </c>
      <c r="G40" s="310">
        <f>1500949-14542+942462+60000-14513</f>
        <v>2474356</v>
      </c>
      <c r="H40" s="310"/>
      <c r="I40" s="310"/>
      <c r="J40" s="310"/>
      <c r="K40" s="310"/>
      <c r="L40" s="310"/>
      <c r="M40" s="758">
        <f>SUM(F40:K40)</f>
        <v>2504903</v>
      </c>
      <c r="N40" s="758">
        <f>SUM(G40:L40)</f>
        <v>2474356</v>
      </c>
      <c r="O40" s="3241"/>
    </row>
    <row r="41" spans="1:17" s="233" customFormat="1" ht="12.75">
      <c r="A41" s="3782"/>
      <c r="B41" s="2300" t="s">
        <v>15</v>
      </c>
      <c r="C41" s="3215"/>
      <c r="D41" s="247">
        <f>E41+F41+G41+H41+I41+J41+K41+L41</f>
        <v>33847</v>
      </c>
      <c r="E41" s="949">
        <v>0</v>
      </c>
      <c r="F41" s="986">
        <v>7125</v>
      </c>
      <c r="G41" s="986">
        <v>26722</v>
      </c>
      <c r="H41" s="986"/>
      <c r="I41" s="986"/>
      <c r="J41" s="986"/>
      <c r="K41" s="986"/>
      <c r="L41" s="986"/>
      <c r="M41" s="1544"/>
      <c r="N41" s="758">
        <f>SUM(G41:L41)</f>
        <v>26722</v>
      </c>
      <c r="O41" s="3241"/>
    </row>
    <row r="42" spans="1:17" ht="14.25" customHeight="1">
      <c r="A42" s="3782"/>
      <c r="B42" s="314" t="s">
        <v>18</v>
      </c>
      <c r="C42" s="3215"/>
      <c r="D42" s="311">
        <f>+D43</f>
        <v>14017919</v>
      </c>
      <c r="E42" s="315">
        <f t="shared" ref="E42" si="28">+E43</f>
        <v>0</v>
      </c>
      <c r="F42" s="3027">
        <f>F43</f>
        <v>213477</v>
      </c>
      <c r="G42" s="3027">
        <f>G43</f>
        <v>13804442</v>
      </c>
      <c r="H42" s="316"/>
      <c r="I42" s="316"/>
      <c r="J42" s="316"/>
      <c r="K42" s="316"/>
      <c r="L42" s="316"/>
      <c r="M42" s="3028">
        <f>+M43</f>
        <v>14017919</v>
      </c>
      <c r="N42" s="3028">
        <f>+N43</f>
        <v>13804442</v>
      </c>
      <c r="O42" s="3241"/>
    </row>
    <row r="43" spans="1:17" ht="12.75">
      <c r="A43" s="3782"/>
      <c r="B43" s="281" t="s">
        <v>21</v>
      </c>
      <c r="C43" s="3262"/>
      <c r="D43" s="247">
        <f>E43+F43+G43+H43+I43+J43+K43+L43</f>
        <v>14017919</v>
      </c>
      <c r="E43" s="247">
        <v>0</v>
      </c>
      <c r="F43" s="310">
        <f>5717756-52724-5057282-255000-139273</f>
        <v>213477</v>
      </c>
      <c r="G43" s="310">
        <f>8505377-82402+5057282+255000+69185</f>
        <v>13804442</v>
      </c>
      <c r="H43" s="310"/>
      <c r="I43" s="310"/>
      <c r="J43" s="310"/>
      <c r="K43" s="310"/>
      <c r="L43" s="310"/>
      <c r="M43" s="758">
        <f>SUM(F43:K43)</f>
        <v>14017919</v>
      </c>
      <c r="N43" s="758">
        <f>SUM(G43:L43)</f>
        <v>13804442</v>
      </c>
      <c r="O43" s="3723"/>
    </row>
    <row r="44" spans="1:17" ht="12">
      <c r="A44" s="3782"/>
      <c r="B44" s="21" t="s">
        <v>22</v>
      </c>
      <c r="C44" s="22"/>
      <c r="D44" s="768">
        <f>+D47+D45</f>
        <v>14051766</v>
      </c>
      <c r="E44" s="768">
        <f>+E47</f>
        <v>0</v>
      </c>
      <c r="F44" s="768">
        <f>F47+F45</f>
        <v>7125</v>
      </c>
      <c r="G44" s="768">
        <f t="shared" ref="G44:H44" si="29">G47+G45</f>
        <v>12054591</v>
      </c>
      <c r="H44" s="768">
        <f t="shared" si="29"/>
        <v>1990050</v>
      </c>
      <c r="I44" s="768"/>
      <c r="J44" s="768"/>
      <c r="K44" s="768"/>
      <c r="L44" s="768"/>
      <c r="M44" s="3815"/>
      <c r="N44" s="3815"/>
      <c r="O44" s="3822" t="s">
        <v>102</v>
      </c>
    </row>
    <row r="45" spans="1:17" ht="12">
      <c r="A45" s="3782"/>
      <c r="B45" s="633" t="s">
        <v>489</v>
      </c>
      <c r="C45" s="3819" t="s">
        <v>170</v>
      </c>
      <c r="D45" s="1810">
        <f t="shared" ref="D45:L45" si="30">D46</f>
        <v>33847</v>
      </c>
      <c r="E45" s="2298">
        <f t="shared" ref="E45" si="31">+E46</f>
        <v>0</v>
      </c>
      <c r="F45" s="2299">
        <f t="shared" si="30"/>
        <v>7125</v>
      </c>
      <c r="G45" s="3020">
        <f t="shared" si="30"/>
        <v>26722</v>
      </c>
      <c r="H45" s="2298">
        <f t="shared" si="30"/>
        <v>0</v>
      </c>
      <c r="I45" s="2298">
        <f t="shared" si="30"/>
        <v>0</v>
      </c>
      <c r="J45" s="2298">
        <f t="shared" si="30"/>
        <v>0</v>
      </c>
      <c r="K45" s="2298">
        <f t="shared" si="30"/>
        <v>0</v>
      </c>
      <c r="L45" s="2298">
        <f t="shared" si="30"/>
        <v>0</v>
      </c>
      <c r="M45" s="3813"/>
      <c r="N45" s="3813"/>
      <c r="O45" s="3234"/>
    </row>
    <row r="46" spans="1:17" ht="12.75">
      <c r="A46" s="3782"/>
      <c r="B46" s="2300" t="s">
        <v>15</v>
      </c>
      <c r="C46" s="3820"/>
      <c r="D46" s="1775">
        <f>E46+F46+G46+H46+I46+J46+K46+L46</f>
        <v>33847</v>
      </c>
      <c r="E46" s="1846">
        <v>0</v>
      </c>
      <c r="F46" s="2301">
        <v>7125</v>
      </c>
      <c r="G46" s="3023">
        <v>26722</v>
      </c>
      <c r="H46" s="1846">
        <v>0</v>
      </c>
      <c r="I46" s="1846">
        <v>0</v>
      </c>
      <c r="J46" s="1846">
        <v>0</v>
      </c>
      <c r="K46" s="1846">
        <v>0</v>
      </c>
      <c r="L46" s="1846">
        <v>0</v>
      </c>
      <c r="M46" s="3813"/>
      <c r="N46" s="3813"/>
      <c r="O46" s="3234"/>
    </row>
    <row r="47" spans="1:17" ht="12.75" customHeight="1">
      <c r="A47" s="3782"/>
      <c r="B47" s="171" t="s">
        <v>18</v>
      </c>
      <c r="C47" s="3279" t="s">
        <v>218</v>
      </c>
      <c r="D47" s="311">
        <f>+D48</f>
        <v>14017919</v>
      </c>
      <c r="E47" s="312">
        <f t="shared" ref="E47" si="32">+E48</f>
        <v>0</v>
      </c>
      <c r="F47" s="312">
        <f t="shared" ref="F47:H47" si="33">F48</f>
        <v>0</v>
      </c>
      <c r="G47" s="312">
        <f t="shared" si="33"/>
        <v>12027869</v>
      </c>
      <c r="H47" s="312">
        <f t="shared" si="33"/>
        <v>1990050</v>
      </c>
      <c r="I47" s="312"/>
      <c r="J47" s="312"/>
      <c r="K47" s="312"/>
      <c r="L47" s="312"/>
      <c r="M47" s="3813"/>
      <c r="N47" s="3813"/>
      <c r="O47" s="3234"/>
    </row>
    <row r="48" spans="1:17" ht="13.5" thickBot="1">
      <c r="A48" s="3804"/>
      <c r="B48" s="2616" t="s">
        <v>21</v>
      </c>
      <c r="C48" s="3774"/>
      <c r="D48" s="2989">
        <f>E48+F48+G48+H48+I48+J48+K48+L48</f>
        <v>14017919</v>
      </c>
      <c r="E48" s="2989">
        <v>0</v>
      </c>
      <c r="F48" s="2181">
        <f>5600000-135126-4889874-575000</f>
        <v>0</v>
      </c>
      <c r="G48" s="2181">
        <f>8123133+3389874+575000-60138</f>
        <v>12027869</v>
      </c>
      <c r="H48" s="2181">
        <f>500000+1500000-9950</f>
        <v>1990050</v>
      </c>
      <c r="I48" s="2181"/>
      <c r="J48" s="2181"/>
      <c r="K48" s="2181"/>
      <c r="L48" s="2181"/>
      <c r="M48" s="3814"/>
      <c r="N48" s="3814"/>
      <c r="O48" s="3235"/>
    </row>
    <row r="49" spans="1:17" ht="27" customHeight="1">
      <c r="A49" s="3787" t="s">
        <v>65</v>
      </c>
      <c r="B49" s="184" t="s">
        <v>571</v>
      </c>
      <c r="C49" s="1833" t="s">
        <v>81</v>
      </c>
      <c r="D49" s="1592"/>
      <c r="E49" s="1708"/>
      <c r="F49" s="1594"/>
      <c r="G49" s="1594"/>
      <c r="H49" s="1594"/>
      <c r="I49" s="1593"/>
      <c r="J49" s="1593"/>
      <c r="K49" s="1593"/>
      <c r="L49" s="1593"/>
      <c r="M49" s="1595"/>
      <c r="N49" s="1595"/>
      <c r="O49" s="3240" t="s">
        <v>86</v>
      </c>
    </row>
    <row r="50" spans="1:17" ht="12">
      <c r="A50" s="3782"/>
      <c r="B50" s="1799" t="s">
        <v>10</v>
      </c>
      <c r="C50" s="3029"/>
      <c r="D50" s="1801">
        <f>+D51+D54</f>
        <v>6733663</v>
      </c>
      <c r="E50" s="1801">
        <f t="shared" ref="E50" si="34">+E51+E54</f>
        <v>0</v>
      </c>
      <c r="F50" s="1801">
        <f>+F51+F54</f>
        <v>217780</v>
      </c>
      <c r="G50" s="1801">
        <f>+G51+G54</f>
        <v>6515883</v>
      </c>
      <c r="H50" s="1801"/>
      <c r="I50" s="1801"/>
      <c r="J50" s="1801"/>
      <c r="K50" s="1801"/>
      <c r="L50" s="1801"/>
      <c r="M50" s="1802">
        <f>M51+M54</f>
        <v>6724902</v>
      </c>
      <c r="N50" s="1802">
        <f>N51+N54</f>
        <v>6515883</v>
      </c>
      <c r="O50" s="3241"/>
      <c r="P50" s="201"/>
      <c r="Q50" s="201"/>
    </row>
    <row r="51" spans="1:17" s="233" customFormat="1" ht="14.25" customHeight="1">
      <c r="A51" s="3782"/>
      <c r="B51" s="1803" t="s">
        <v>24</v>
      </c>
      <c r="C51" s="3214" t="s">
        <v>170</v>
      </c>
      <c r="D51" s="1804">
        <f>D52+D53</f>
        <v>1095049</v>
      </c>
      <c r="E51" s="1804">
        <f t="shared" ref="E51:G51" si="35">E52+E53</f>
        <v>0</v>
      </c>
      <c r="F51" s="1804">
        <f t="shared" si="35"/>
        <v>42149</v>
      </c>
      <c r="G51" s="1804">
        <f t="shared" si="35"/>
        <v>1052900</v>
      </c>
      <c r="H51" s="1809"/>
      <c r="I51" s="1809"/>
      <c r="J51" s="1809"/>
      <c r="K51" s="1809"/>
      <c r="L51" s="1809"/>
      <c r="M51" s="1805">
        <f>M52</f>
        <v>1086288</v>
      </c>
      <c r="N51" s="1805">
        <f>N52</f>
        <v>1052900</v>
      </c>
      <c r="O51" s="3241"/>
    </row>
    <row r="52" spans="1:17" s="233" customFormat="1" ht="12.75">
      <c r="A52" s="3782"/>
      <c r="B52" s="1806" t="s">
        <v>12</v>
      </c>
      <c r="C52" s="3215"/>
      <c r="D52" s="1715">
        <f>E52+F52+G52+H52+I52+J52+K52+L52</f>
        <v>1086288</v>
      </c>
      <c r="E52" s="1715">
        <v>0</v>
      </c>
      <c r="F52" s="1807">
        <f>610000-360000-72500-105621-38491</f>
        <v>33388</v>
      </c>
      <c r="G52" s="1807">
        <f>495000+360000+72500+105621+19779</f>
        <v>1052900</v>
      </c>
      <c r="H52" s="1807"/>
      <c r="I52" s="1807"/>
      <c r="J52" s="1807"/>
      <c r="K52" s="1807"/>
      <c r="L52" s="1807"/>
      <c r="M52" s="2194">
        <f>SUM(F52:K52)</f>
        <v>1086288</v>
      </c>
      <c r="N52" s="2194">
        <f>SUM(G52:L52)</f>
        <v>1052900</v>
      </c>
      <c r="O52" s="3241"/>
    </row>
    <row r="53" spans="1:17" s="233" customFormat="1" ht="12.75">
      <c r="A53" s="3782"/>
      <c r="B53" s="2300" t="s">
        <v>15</v>
      </c>
      <c r="C53" s="3215"/>
      <c r="D53" s="247">
        <f>E53+F53+G53+H53+I53+J53+K53+L53</f>
        <v>8761</v>
      </c>
      <c r="E53" s="949">
        <v>0</v>
      </c>
      <c r="F53" s="986">
        <v>8761</v>
      </c>
      <c r="G53" s="986">
        <v>0</v>
      </c>
      <c r="H53" s="986"/>
      <c r="I53" s="986"/>
      <c r="J53" s="986"/>
      <c r="K53" s="986"/>
      <c r="L53" s="986"/>
      <c r="M53" s="1544"/>
      <c r="N53" s="758">
        <f>SUM(G53:L53)</f>
        <v>0</v>
      </c>
      <c r="O53" s="3241"/>
    </row>
    <row r="54" spans="1:17" ht="12">
      <c r="A54" s="3782"/>
      <c r="B54" s="1808" t="s">
        <v>18</v>
      </c>
      <c r="C54" s="3215"/>
      <c r="D54" s="1804">
        <f>+D55</f>
        <v>5638614</v>
      </c>
      <c r="E54" s="2288">
        <f t="shared" ref="E54" si="36">+E55</f>
        <v>0</v>
      </c>
      <c r="F54" s="3030">
        <f>F55</f>
        <v>175631</v>
      </c>
      <c r="G54" s="3030">
        <f>G55</f>
        <v>5462983</v>
      </c>
      <c r="H54" s="1809"/>
      <c r="I54" s="1809"/>
      <c r="J54" s="1809"/>
      <c r="K54" s="1809"/>
      <c r="L54" s="1809"/>
      <c r="M54" s="3031">
        <f>+M55</f>
        <v>5638614</v>
      </c>
      <c r="N54" s="3031">
        <f>+N55</f>
        <v>5462983</v>
      </c>
      <c r="O54" s="3241"/>
    </row>
    <row r="55" spans="1:17" ht="12.75">
      <c r="A55" s="3782"/>
      <c r="B55" s="281" t="s">
        <v>21</v>
      </c>
      <c r="C55" s="3262"/>
      <c r="D55" s="1715">
        <f>E55+F55+G55+H55+I55+J55+K55+L55</f>
        <v>5638614</v>
      </c>
      <c r="E55" s="1715">
        <v>0</v>
      </c>
      <c r="F55" s="1807">
        <f>2890000-2040000-127500-546585-284</f>
        <v>175631</v>
      </c>
      <c r="G55" s="1807">
        <f>2805000+2040000+127500+546585-56102</f>
        <v>5462983</v>
      </c>
      <c r="H55" s="1807"/>
      <c r="I55" s="1807"/>
      <c r="J55" s="1807"/>
      <c r="K55" s="1807"/>
      <c r="L55" s="1807"/>
      <c r="M55" s="2194">
        <f>SUM(F55:K55)</f>
        <v>5638614</v>
      </c>
      <c r="N55" s="2194">
        <f>SUM(G55:L55)</f>
        <v>5462983</v>
      </c>
      <c r="O55" s="3723"/>
    </row>
    <row r="56" spans="1:17" ht="12">
      <c r="A56" s="3782"/>
      <c r="B56" s="662" t="s">
        <v>22</v>
      </c>
      <c r="C56" s="1800"/>
      <c r="D56" s="1801">
        <f>+D59+D57</f>
        <v>5647375</v>
      </c>
      <c r="E56" s="1801">
        <f t="shared" ref="E56:G56" si="37">+E59+E57</f>
        <v>0</v>
      </c>
      <c r="F56" s="1801">
        <f t="shared" si="37"/>
        <v>8761</v>
      </c>
      <c r="G56" s="1801">
        <f t="shared" si="37"/>
        <v>5638614</v>
      </c>
      <c r="H56" s="1801">
        <f>H59</f>
        <v>0</v>
      </c>
      <c r="I56" s="1801"/>
      <c r="J56" s="1801"/>
      <c r="K56" s="1801"/>
      <c r="L56" s="1801"/>
      <c r="M56" s="3812"/>
      <c r="N56" s="3812"/>
      <c r="O56" s="3234" t="s">
        <v>102</v>
      </c>
    </row>
    <row r="57" spans="1:17" ht="12">
      <c r="A57" s="3782"/>
      <c r="B57" s="633" t="s">
        <v>489</v>
      </c>
      <c r="C57" s="3819" t="s">
        <v>170</v>
      </c>
      <c r="D57" s="1810">
        <f t="shared" ref="D57:L57" si="38">D58</f>
        <v>8761</v>
      </c>
      <c r="E57" s="2298">
        <f t="shared" ref="E57" si="39">+E58</f>
        <v>0</v>
      </c>
      <c r="F57" s="2299">
        <f t="shared" si="38"/>
        <v>8761</v>
      </c>
      <c r="G57" s="3020">
        <f t="shared" si="38"/>
        <v>0</v>
      </c>
      <c r="H57" s="2298">
        <f t="shared" si="38"/>
        <v>0</v>
      </c>
      <c r="I57" s="2298">
        <f t="shared" si="38"/>
        <v>0</v>
      </c>
      <c r="J57" s="2298">
        <f t="shared" si="38"/>
        <v>0</v>
      </c>
      <c r="K57" s="2298">
        <f t="shared" si="38"/>
        <v>0</v>
      </c>
      <c r="L57" s="2298">
        <f t="shared" si="38"/>
        <v>0</v>
      </c>
      <c r="M57" s="3813"/>
      <c r="N57" s="3813"/>
      <c r="O57" s="3234"/>
    </row>
    <row r="58" spans="1:17" ht="12.75">
      <c r="A58" s="3782"/>
      <c r="B58" s="2300" t="s">
        <v>15</v>
      </c>
      <c r="C58" s="3820"/>
      <c r="D58" s="1775">
        <f>E58+F58+G58+H58+I58+J58+K58+L58</f>
        <v>8761</v>
      </c>
      <c r="E58" s="1846">
        <v>0</v>
      </c>
      <c r="F58" s="2301">
        <v>8761</v>
      </c>
      <c r="G58" s="3023">
        <v>0</v>
      </c>
      <c r="H58" s="1846">
        <v>0</v>
      </c>
      <c r="I58" s="1846">
        <v>0</v>
      </c>
      <c r="J58" s="1846">
        <v>0</v>
      </c>
      <c r="K58" s="1846">
        <v>0</v>
      </c>
      <c r="L58" s="1846">
        <v>0</v>
      </c>
      <c r="M58" s="3813"/>
      <c r="N58" s="3813"/>
      <c r="O58" s="3234"/>
    </row>
    <row r="59" spans="1:17" ht="12.75" customHeight="1">
      <c r="A59" s="3782"/>
      <c r="B59" s="633" t="s">
        <v>18</v>
      </c>
      <c r="C59" s="3332" t="s">
        <v>218</v>
      </c>
      <c r="D59" s="1804">
        <f>+D60</f>
        <v>5638614</v>
      </c>
      <c r="E59" s="1810">
        <f t="shared" ref="E59" si="40">+E60</f>
        <v>0</v>
      </c>
      <c r="F59" s="1810">
        <f t="shared" ref="F59:H59" si="41">F60</f>
        <v>0</v>
      </c>
      <c r="G59" s="1810">
        <f t="shared" si="41"/>
        <v>5638614</v>
      </c>
      <c r="H59" s="1810">
        <f t="shared" si="41"/>
        <v>0</v>
      </c>
      <c r="I59" s="1810"/>
      <c r="J59" s="1810"/>
      <c r="K59" s="1810"/>
      <c r="L59" s="1810"/>
      <c r="M59" s="3813"/>
      <c r="N59" s="3813"/>
      <c r="O59" s="3234"/>
    </row>
    <row r="60" spans="1:17" ht="13.5" thickBot="1">
      <c r="A60" s="3804"/>
      <c r="B60" s="1835" t="s">
        <v>21</v>
      </c>
      <c r="C60" s="3217"/>
      <c r="D60" s="1929">
        <f>E60+F60+G60+H60+I60+J60+K60+L60</f>
        <v>5638614</v>
      </c>
      <c r="E60" s="1929">
        <v>0</v>
      </c>
      <c r="F60" s="2181">
        <f>2890000-2040000-850000</f>
        <v>0</v>
      </c>
      <c r="G60" s="2181">
        <f>2805000+2040000+850000-56386</f>
        <v>5638614</v>
      </c>
      <c r="H60" s="2181">
        <v>0</v>
      </c>
      <c r="I60" s="2181"/>
      <c r="J60" s="2181"/>
      <c r="K60" s="2181"/>
      <c r="L60" s="2181"/>
      <c r="M60" s="3814"/>
      <c r="N60" s="3814"/>
      <c r="O60" s="3235"/>
    </row>
    <row r="61" spans="1:17" ht="24">
      <c r="A61" s="3787" t="s">
        <v>66</v>
      </c>
      <c r="B61" s="184" t="s">
        <v>472</v>
      </c>
      <c r="C61" s="1833" t="s">
        <v>81</v>
      </c>
      <c r="D61" s="1592"/>
      <c r="E61" s="1708"/>
      <c r="F61" s="1594"/>
      <c r="G61" s="1594"/>
      <c r="H61" s="1594"/>
      <c r="I61" s="1593"/>
      <c r="J61" s="1593"/>
      <c r="K61" s="1593"/>
      <c r="L61" s="1593"/>
      <c r="M61" s="1595"/>
      <c r="N61" s="1595"/>
      <c r="O61" s="3240" t="s">
        <v>86</v>
      </c>
    </row>
    <row r="62" spans="1:17" ht="16.5" customHeight="1">
      <c r="A62" s="3782"/>
      <c r="B62" s="996" t="s">
        <v>10</v>
      </c>
      <c r="C62" s="1596"/>
      <c r="D62" s="709">
        <f>+D63+D65</f>
        <v>7500000</v>
      </c>
      <c r="E62" s="709">
        <f t="shared" ref="E62" si="42">+E63+E65</f>
        <v>0</v>
      </c>
      <c r="F62" s="749">
        <f>+F63+F65</f>
        <v>0</v>
      </c>
      <c r="G62" s="709">
        <f>+G63+G65</f>
        <v>3500000</v>
      </c>
      <c r="H62" s="709">
        <f>+H63+H65</f>
        <v>4000000</v>
      </c>
      <c r="I62" s="709"/>
      <c r="J62" s="709"/>
      <c r="K62" s="709"/>
      <c r="L62" s="709"/>
      <c r="M62" s="957">
        <f>M63+M65</f>
        <v>7500000</v>
      </c>
      <c r="N62" s="957">
        <f>N63+N65</f>
        <v>7500000</v>
      </c>
      <c r="O62" s="3241"/>
      <c r="P62" s="201"/>
      <c r="Q62" s="201"/>
    </row>
    <row r="63" spans="1:17" s="233" customFormat="1" ht="14.25" customHeight="1">
      <c r="A63" s="3782"/>
      <c r="B63" s="989" t="s">
        <v>24</v>
      </c>
      <c r="C63" s="3232" t="s">
        <v>170</v>
      </c>
      <c r="D63" s="645">
        <f>D64</f>
        <v>1125000</v>
      </c>
      <c r="E63" s="1355">
        <f t="shared" ref="E63:H63" si="43">E64</f>
        <v>0</v>
      </c>
      <c r="F63" s="1597">
        <f t="shared" si="43"/>
        <v>0</v>
      </c>
      <c r="G63" s="1357">
        <f t="shared" si="43"/>
        <v>525000</v>
      </c>
      <c r="H63" s="1357">
        <f t="shared" si="43"/>
        <v>600000</v>
      </c>
      <c r="I63" s="1356"/>
      <c r="J63" s="1356"/>
      <c r="K63" s="1356"/>
      <c r="L63" s="1356"/>
      <c r="M63" s="644">
        <f>M64</f>
        <v>1125000</v>
      </c>
      <c r="N63" s="644">
        <f>N64</f>
        <v>1125000</v>
      </c>
      <c r="O63" s="3241"/>
    </row>
    <row r="64" spans="1:17" s="233" customFormat="1" ht="14.25" customHeight="1">
      <c r="A64" s="3782"/>
      <c r="B64" s="1329" t="s">
        <v>12</v>
      </c>
      <c r="C64" s="3215"/>
      <c r="D64" s="247">
        <f>E64+F64+G64+H64+I64+J64+K64+L64</f>
        <v>1125000</v>
      </c>
      <c r="E64" s="247">
        <v>0</v>
      </c>
      <c r="F64" s="1415">
        <f>225000-225000</f>
        <v>0</v>
      </c>
      <c r="G64" s="986">
        <f>900000-375000</f>
        <v>525000</v>
      </c>
      <c r="H64" s="986">
        <v>600000</v>
      </c>
      <c r="I64" s="986"/>
      <c r="J64" s="986"/>
      <c r="K64" s="986"/>
      <c r="L64" s="986"/>
      <c r="M64" s="758">
        <f>SUM(F64:K64)</f>
        <v>1125000</v>
      </c>
      <c r="N64" s="758">
        <f>SUM(G64:L64)</f>
        <v>1125000</v>
      </c>
      <c r="O64" s="3241"/>
    </row>
    <row r="65" spans="1:15" ht="14.25" customHeight="1">
      <c r="A65" s="3782"/>
      <c r="B65" s="980" t="s">
        <v>18</v>
      </c>
      <c r="C65" s="3215"/>
      <c r="D65" s="645">
        <f>+D66</f>
        <v>6375000</v>
      </c>
      <c r="E65" s="1355">
        <f t="shared" ref="E65" si="44">+E66</f>
        <v>0</v>
      </c>
      <c r="F65" s="1597">
        <f>F66</f>
        <v>0</v>
      </c>
      <c r="G65" s="1357">
        <f>G66</f>
        <v>2975000</v>
      </c>
      <c r="H65" s="1357">
        <f>H66</f>
        <v>3400000</v>
      </c>
      <c r="I65" s="1356"/>
      <c r="J65" s="1356"/>
      <c r="K65" s="1356"/>
      <c r="L65" s="1356"/>
      <c r="M65" s="1020">
        <f>+M66</f>
        <v>6375000</v>
      </c>
      <c r="N65" s="1020">
        <f>+N66</f>
        <v>6375000</v>
      </c>
      <c r="O65" s="3241"/>
    </row>
    <row r="66" spans="1:15" ht="13.5" customHeight="1">
      <c r="A66" s="3782"/>
      <c r="B66" s="281" t="s">
        <v>21</v>
      </c>
      <c r="C66" s="3262"/>
      <c r="D66" s="247">
        <f>E66+F66+G66+H66+I66+J66+K66+L66</f>
        <v>6375000</v>
      </c>
      <c r="E66" s="247">
        <v>0</v>
      </c>
      <c r="F66" s="1415">
        <f>1275000-1275000</f>
        <v>0</v>
      </c>
      <c r="G66" s="986">
        <f>5100000-2125000</f>
        <v>2975000</v>
      </c>
      <c r="H66" s="986">
        <v>3400000</v>
      </c>
      <c r="I66" s="986"/>
      <c r="J66" s="986"/>
      <c r="K66" s="986"/>
      <c r="L66" s="986"/>
      <c r="M66" s="758">
        <f>SUM(F66:K66)</f>
        <v>6375000</v>
      </c>
      <c r="N66" s="758">
        <f>SUM(G66:L66)</f>
        <v>6375000</v>
      </c>
      <c r="O66" s="3723"/>
    </row>
    <row r="67" spans="1:15" ht="15.75" customHeight="1">
      <c r="A67" s="3782"/>
      <c r="B67" s="662" t="s">
        <v>22</v>
      </c>
      <c r="C67" s="748"/>
      <c r="D67" s="709">
        <f>+D68</f>
        <v>6375000</v>
      </c>
      <c r="E67" s="709">
        <f t="shared" ref="E67:E68" si="45">+E68</f>
        <v>0</v>
      </c>
      <c r="F67" s="749">
        <f t="shared" ref="F67:H68" si="46">F68</f>
        <v>0</v>
      </c>
      <c r="G67" s="709">
        <f t="shared" si="46"/>
        <v>1800000</v>
      </c>
      <c r="H67" s="709">
        <f t="shared" si="46"/>
        <v>4575000</v>
      </c>
      <c r="I67" s="709"/>
      <c r="J67" s="709"/>
      <c r="K67" s="709"/>
      <c r="L67" s="709"/>
      <c r="M67" s="3815"/>
      <c r="N67" s="3815"/>
      <c r="O67" s="3234" t="s">
        <v>102</v>
      </c>
    </row>
    <row r="68" spans="1:15" ht="17.25" customHeight="1">
      <c r="A68" s="3782"/>
      <c r="B68" s="633" t="s">
        <v>18</v>
      </c>
      <c r="C68" s="3279" t="s">
        <v>218</v>
      </c>
      <c r="D68" s="645">
        <f>+D69</f>
        <v>6375000</v>
      </c>
      <c r="E68" s="962">
        <f t="shared" si="45"/>
        <v>0</v>
      </c>
      <c r="F68" s="984">
        <f t="shared" si="46"/>
        <v>0</v>
      </c>
      <c r="G68" s="962">
        <f t="shared" si="46"/>
        <v>1800000</v>
      </c>
      <c r="H68" s="962">
        <f t="shared" si="46"/>
        <v>4575000</v>
      </c>
      <c r="I68" s="962"/>
      <c r="J68" s="962"/>
      <c r="K68" s="962"/>
      <c r="L68" s="962"/>
      <c r="M68" s="3813"/>
      <c r="N68" s="3813"/>
      <c r="O68" s="3234"/>
    </row>
    <row r="69" spans="1:15" ht="17.25" customHeight="1" thickBot="1">
      <c r="A69" s="3804"/>
      <c r="B69" s="1835" t="s">
        <v>21</v>
      </c>
      <c r="C69" s="3217"/>
      <c r="D69" s="247">
        <f>E69+F69+G69+H69+I69+J69+K69+L69</f>
        <v>6375000</v>
      </c>
      <c r="E69" s="247">
        <v>0</v>
      </c>
      <c r="F69" s="985">
        <v>0</v>
      </c>
      <c r="G69" s="483">
        <v>1800000</v>
      </c>
      <c r="H69" s="483">
        <v>4575000</v>
      </c>
      <c r="I69" s="483"/>
      <c r="J69" s="483"/>
      <c r="K69" s="483"/>
      <c r="L69" s="483"/>
      <c r="M69" s="3814"/>
      <c r="N69" s="3814"/>
      <c r="O69" s="3235"/>
    </row>
    <row r="70" spans="1:15" s="233" customFormat="1" ht="27.75" customHeight="1">
      <c r="A70" s="3787" t="s">
        <v>67</v>
      </c>
      <c r="B70" s="184" t="s">
        <v>315</v>
      </c>
      <c r="C70" s="1833" t="s">
        <v>81</v>
      </c>
      <c r="D70" s="761"/>
      <c r="E70" s="1709"/>
      <c r="F70" s="763"/>
      <c r="G70" s="763"/>
      <c r="H70" s="763"/>
      <c r="I70" s="762"/>
      <c r="J70" s="762"/>
      <c r="K70" s="762"/>
      <c r="L70" s="762"/>
      <c r="M70" s="764"/>
      <c r="N70" s="764"/>
      <c r="O70" s="485"/>
    </row>
    <row r="71" spans="1:15" s="233" customFormat="1" ht="14.25" customHeight="1">
      <c r="A71" s="3783"/>
      <c r="B71" s="313" t="s">
        <v>10</v>
      </c>
      <c r="C71" s="22"/>
      <c r="D71" s="768">
        <f t="shared" ref="D71" si="47">+D74+D72</f>
        <v>10907395</v>
      </c>
      <c r="E71" s="768">
        <f t="shared" ref="E71" si="48">+E74+E72</f>
        <v>0</v>
      </c>
      <c r="F71" s="768">
        <f>+F74+F72</f>
        <v>0</v>
      </c>
      <c r="G71" s="768">
        <f t="shared" ref="G71:L71" si="49">+G74+G72</f>
        <v>10907395</v>
      </c>
      <c r="H71" s="768">
        <f t="shared" si="49"/>
        <v>0</v>
      </c>
      <c r="I71" s="768">
        <f t="shared" si="49"/>
        <v>0</v>
      </c>
      <c r="J71" s="768">
        <f t="shared" si="49"/>
        <v>0</v>
      </c>
      <c r="K71" s="768">
        <f t="shared" si="49"/>
        <v>0</v>
      </c>
      <c r="L71" s="768">
        <f t="shared" si="49"/>
        <v>0</v>
      </c>
      <c r="M71" s="309">
        <f>+M74+M72</f>
        <v>10907395</v>
      </c>
      <c r="N71" s="309">
        <f>+N74+N72</f>
        <v>10907395</v>
      </c>
      <c r="O71" s="3241" t="s">
        <v>470</v>
      </c>
    </row>
    <row r="72" spans="1:15" s="233" customFormat="1" ht="14.25" customHeight="1">
      <c r="A72" s="3783"/>
      <c r="B72" s="769" t="s">
        <v>24</v>
      </c>
      <c r="C72" s="3785" t="s">
        <v>170</v>
      </c>
      <c r="D72" s="311">
        <f>D73</f>
        <v>1636110</v>
      </c>
      <c r="E72" s="315">
        <f t="shared" ref="E72:I72" si="50">E73</f>
        <v>0</v>
      </c>
      <c r="F72" s="316">
        <f t="shared" si="50"/>
        <v>0</v>
      </c>
      <c r="G72" s="316">
        <f t="shared" si="50"/>
        <v>1636110</v>
      </c>
      <c r="H72" s="316">
        <f t="shared" si="50"/>
        <v>0</v>
      </c>
      <c r="I72" s="316">
        <f t="shared" si="50"/>
        <v>0</v>
      </c>
      <c r="J72" s="316"/>
      <c r="K72" s="316"/>
      <c r="L72" s="316"/>
      <c r="M72" s="308">
        <f>M73</f>
        <v>1636110</v>
      </c>
      <c r="N72" s="308">
        <f>N73</f>
        <v>1636110</v>
      </c>
      <c r="O72" s="3241"/>
    </row>
    <row r="73" spans="1:15" s="233" customFormat="1" ht="14.25" customHeight="1">
      <c r="A73" s="3783"/>
      <c r="B73" s="770" t="s">
        <v>12</v>
      </c>
      <c r="C73" s="3215"/>
      <c r="D73" s="247">
        <f>E73+F73+G73+H73+I73+J73+K73+L73</f>
        <v>1636110</v>
      </c>
      <c r="E73" s="247">
        <v>0</v>
      </c>
      <c r="F73" s="2289">
        <f>1140368-497301-643067</f>
        <v>0</v>
      </c>
      <c r="G73" s="2289">
        <f>1140367-147324+643067</f>
        <v>1636110</v>
      </c>
      <c r="H73" s="310">
        <v>0</v>
      </c>
      <c r="I73" s="310">
        <v>0</v>
      </c>
      <c r="J73" s="310">
        <v>0</v>
      </c>
      <c r="K73" s="310">
        <v>0</v>
      </c>
      <c r="L73" s="310">
        <v>0</v>
      </c>
      <c r="M73" s="758">
        <f>SUM(F73:K73)</f>
        <v>1636110</v>
      </c>
      <c r="N73" s="758">
        <f>SUM(G73:L73)</f>
        <v>1636110</v>
      </c>
      <c r="O73" s="3241"/>
    </row>
    <row r="74" spans="1:15" s="233" customFormat="1" ht="14.25" customHeight="1">
      <c r="A74" s="3783"/>
      <c r="B74" s="314" t="s">
        <v>18</v>
      </c>
      <c r="C74" s="3215"/>
      <c r="D74" s="311">
        <f>D75</f>
        <v>9271285</v>
      </c>
      <c r="E74" s="311">
        <f t="shared" ref="E74:L74" si="51">E75</f>
        <v>0</v>
      </c>
      <c r="F74" s="311">
        <f t="shared" si="51"/>
        <v>0</v>
      </c>
      <c r="G74" s="311">
        <f t="shared" si="51"/>
        <v>9271285</v>
      </c>
      <c r="H74" s="311">
        <f t="shared" si="51"/>
        <v>0</v>
      </c>
      <c r="I74" s="311">
        <f t="shared" si="51"/>
        <v>0</v>
      </c>
      <c r="J74" s="311">
        <f t="shared" si="51"/>
        <v>0</v>
      </c>
      <c r="K74" s="311">
        <f t="shared" si="51"/>
        <v>0</v>
      </c>
      <c r="L74" s="311">
        <f t="shared" si="51"/>
        <v>0</v>
      </c>
      <c r="M74" s="308">
        <f>+M75</f>
        <v>9271285</v>
      </c>
      <c r="N74" s="308">
        <f>+N75</f>
        <v>9271285</v>
      </c>
      <c r="O74" s="3241"/>
    </row>
    <row r="75" spans="1:15" s="233" customFormat="1" ht="15" customHeight="1">
      <c r="A75" s="3783"/>
      <c r="B75" s="281" t="s">
        <v>21</v>
      </c>
      <c r="C75" s="3262"/>
      <c r="D75" s="247">
        <f>E75+F75+G75+H75+I75+J75+K75+L75</f>
        <v>9271285</v>
      </c>
      <c r="E75" s="247">
        <v>0</v>
      </c>
      <c r="F75" s="310">
        <f>6462083-2818040-3644043</f>
        <v>0</v>
      </c>
      <c r="G75" s="310">
        <f>6462084-834842+3644043</f>
        <v>9271285</v>
      </c>
      <c r="H75" s="310">
        <v>0</v>
      </c>
      <c r="I75" s="310">
        <v>0</v>
      </c>
      <c r="J75" s="310">
        <v>0</v>
      </c>
      <c r="K75" s="310">
        <v>0</v>
      </c>
      <c r="L75" s="310">
        <v>0</v>
      </c>
      <c r="M75" s="758">
        <f>SUM(F75:K75)</f>
        <v>9271285</v>
      </c>
      <c r="N75" s="758">
        <f>SUM(G75:L75)</f>
        <v>9271285</v>
      </c>
      <c r="O75" s="3723"/>
    </row>
    <row r="76" spans="1:15" s="233" customFormat="1" ht="15.75" customHeight="1">
      <c r="A76" s="3783"/>
      <c r="B76" s="21" t="s">
        <v>22</v>
      </c>
      <c r="C76" s="22"/>
      <c r="D76" s="768">
        <f t="shared" ref="D76:L77" si="52">D77</f>
        <v>9271285</v>
      </c>
      <c r="E76" s="768">
        <f t="shared" ref="E76:E77" si="53">+E77</f>
        <v>0</v>
      </c>
      <c r="F76" s="768">
        <f t="shared" si="52"/>
        <v>0</v>
      </c>
      <c r="G76" s="768">
        <f t="shared" si="52"/>
        <v>9271285</v>
      </c>
      <c r="H76" s="768">
        <f t="shared" si="52"/>
        <v>0</v>
      </c>
      <c r="I76" s="768">
        <f t="shared" si="52"/>
        <v>0</v>
      </c>
      <c r="J76" s="768">
        <f t="shared" si="52"/>
        <v>0</v>
      </c>
      <c r="K76" s="768">
        <f t="shared" si="52"/>
        <v>0</v>
      </c>
      <c r="L76" s="768">
        <f t="shared" si="52"/>
        <v>0</v>
      </c>
      <c r="M76" s="3811" t="s">
        <v>61</v>
      </c>
      <c r="N76" s="3811" t="s">
        <v>61</v>
      </c>
      <c r="O76" s="3805" t="s">
        <v>314</v>
      </c>
    </row>
    <row r="77" spans="1:15" s="233" customFormat="1" ht="15" customHeight="1">
      <c r="A77" s="3783"/>
      <c r="B77" s="171" t="s">
        <v>18</v>
      </c>
      <c r="C77" s="3789" t="s">
        <v>218</v>
      </c>
      <c r="D77" s="312">
        <f t="shared" si="52"/>
        <v>9271285</v>
      </c>
      <c r="E77" s="312">
        <f t="shared" si="53"/>
        <v>0</v>
      </c>
      <c r="F77" s="312">
        <f t="shared" si="52"/>
        <v>0</v>
      </c>
      <c r="G77" s="312">
        <f t="shared" si="52"/>
        <v>9271285</v>
      </c>
      <c r="H77" s="312">
        <f t="shared" si="52"/>
        <v>0</v>
      </c>
      <c r="I77" s="312">
        <f t="shared" si="52"/>
        <v>0</v>
      </c>
      <c r="J77" s="312">
        <f t="shared" si="52"/>
        <v>0</v>
      </c>
      <c r="K77" s="312">
        <f t="shared" si="52"/>
        <v>0</v>
      </c>
      <c r="L77" s="312">
        <f t="shared" si="52"/>
        <v>0</v>
      </c>
      <c r="M77" s="3273"/>
      <c r="N77" s="3273"/>
      <c r="O77" s="3212"/>
    </row>
    <row r="78" spans="1:15" s="233" customFormat="1" ht="15" customHeight="1" thickBot="1">
      <c r="A78" s="3784"/>
      <c r="B78" s="1835" t="s">
        <v>21</v>
      </c>
      <c r="C78" s="3217"/>
      <c r="D78" s="247">
        <f>E78+F78+G78+H78+I78+J78+K78+L78</f>
        <v>9271285</v>
      </c>
      <c r="E78" s="247">
        <v>0</v>
      </c>
      <c r="F78" s="72">
        <f>6462083-2818040-3644043</f>
        <v>0</v>
      </c>
      <c r="G78" s="72">
        <f>6462084-834842+3644043</f>
        <v>9271285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3274"/>
      <c r="N78" s="3274"/>
      <c r="O78" s="3213"/>
    </row>
    <row r="79" spans="1:15" s="233" customFormat="1" ht="36">
      <c r="A79" s="3782" t="s">
        <v>115</v>
      </c>
      <c r="B79" s="184" t="s">
        <v>510</v>
      </c>
      <c r="C79" s="1833" t="s">
        <v>171</v>
      </c>
      <c r="D79" s="761"/>
      <c r="E79" s="1709"/>
      <c r="F79" s="763"/>
      <c r="G79" s="763"/>
      <c r="H79" s="763"/>
      <c r="I79" s="762"/>
      <c r="J79" s="762"/>
      <c r="K79" s="762"/>
      <c r="L79" s="762"/>
      <c r="M79" s="764"/>
      <c r="N79" s="764"/>
      <c r="O79" s="3240" t="s">
        <v>356</v>
      </c>
    </row>
    <row r="80" spans="1:15" s="233" customFormat="1" ht="15" customHeight="1">
      <c r="A80" s="3783"/>
      <c r="B80" s="30" t="s">
        <v>10</v>
      </c>
      <c r="C80" s="22"/>
      <c r="D80" s="197">
        <f>D81+D83</f>
        <v>119600</v>
      </c>
      <c r="E80" s="197">
        <f t="shared" ref="E80" si="54">E81+E83</f>
        <v>0</v>
      </c>
      <c r="F80" s="873">
        <f t="shared" ref="F80:L80" si="55">+F83</f>
        <v>0</v>
      </c>
      <c r="G80" s="197">
        <f>G81+G85</f>
        <v>119600</v>
      </c>
      <c r="H80" s="197">
        <f t="shared" si="55"/>
        <v>0</v>
      </c>
      <c r="I80" s="197">
        <f t="shared" si="55"/>
        <v>0</v>
      </c>
      <c r="J80" s="197">
        <f t="shared" si="55"/>
        <v>0</v>
      </c>
      <c r="K80" s="197">
        <f t="shared" si="55"/>
        <v>0</v>
      </c>
      <c r="L80" s="197">
        <f t="shared" si="55"/>
        <v>0</v>
      </c>
      <c r="M80" s="65">
        <f>+M83+M81</f>
        <v>119600</v>
      </c>
      <c r="N80" s="65">
        <f>+N83+N81</f>
        <v>119600</v>
      </c>
      <c r="O80" s="3241"/>
    </row>
    <row r="81" spans="1:16" s="233" customFormat="1" ht="15" customHeight="1">
      <c r="A81" s="3783"/>
      <c r="B81" s="769" t="s">
        <v>24</v>
      </c>
      <c r="C81" s="3785" t="s">
        <v>215</v>
      </c>
      <c r="D81" s="311">
        <f>D82</f>
        <v>17940</v>
      </c>
      <c r="E81" s="315">
        <f t="shared" ref="E81:F81" si="56">E82</f>
        <v>0</v>
      </c>
      <c r="F81" s="1416">
        <f t="shared" si="56"/>
        <v>0</v>
      </c>
      <c r="G81" s="316">
        <f>G82</f>
        <v>17940</v>
      </c>
      <c r="H81" s="316">
        <v>0</v>
      </c>
      <c r="I81" s="316">
        <v>0</v>
      </c>
      <c r="J81" s="316">
        <v>0</v>
      </c>
      <c r="K81" s="316">
        <v>0</v>
      </c>
      <c r="L81" s="316">
        <v>0</v>
      </c>
      <c r="M81" s="308">
        <f>M82</f>
        <v>17940</v>
      </c>
      <c r="N81" s="308">
        <f>N82</f>
        <v>17940</v>
      </c>
      <c r="O81" s="3241"/>
    </row>
    <row r="82" spans="1:16" s="233" customFormat="1" ht="15" customHeight="1">
      <c r="A82" s="3783"/>
      <c r="B82" s="770" t="s">
        <v>12</v>
      </c>
      <c r="C82" s="3215"/>
      <c r="D82" s="247">
        <f>E82+F82+G82+H82+I82+J82+K82+L82</f>
        <v>17940</v>
      </c>
      <c r="E82" s="247">
        <v>0</v>
      </c>
      <c r="F82" s="1417">
        <v>0</v>
      </c>
      <c r="G82" s="310">
        <v>17940</v>
      </c>
      <c r="H82" s="310">
        <v>0</v>
      </c>
      <c r="I82" s="310">
        <v>0</v>
      </c>
      <c r="J82" s="310">
        <v>0</v>
      </c>
      <c r="K82" s="310">
        <v>0</v>
      </c>
      <c r="L82" s="310">
        <v>0</v>
      </c>
      <c r="M82" s="758">
        <f>SUM(F82:K82)</f>
        <v>17940</v>
      </c>
      <c r="N82" s="758">
        <f>SUM(G82:L82)</f>
        <v>17940</v>
      </c>
      <c r="O82" s="3241"/>
    </row>
    <row r="83" spans="1:16" s="233" customFormat="1" ht="15" customHeight="1">
      <c r="A83" s="3783"/>
      <c r="B83" s="640" t="s">
        <v>18</v>
      </c>
      <c r="C83" s="3215"/>
      <c r="D83" s="49">
        <f>D84</f>
        <v>101660</v>
      </c>
      <c r="E83" s="99">
        <f t="shared" ref="E83:N83" si="57">+E84</f>
        <v>0</v>
      </c>
      <c r="F83" s="1418">
        <v>0</v>
      </c>
      <c r="G83" s="100">
        <f>G84</f>
        <v>101660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79">
        <f t="shared" si="57"/>
        <v>101660</v>
      </c>
      <c r="N83" s="79">
        <f t="shared" si="57"/>
        <v>101660</v>
      </c>
      <c r="O83" s="3241"/>
    </row>
    <row r="84" spans="1:16" s="233" customFormat="1" ht="15" customHeight="1">
      <c r="A84" s="3783"/>
      <c r="B84" s="281" t="s">
        <v>21</v>
      </c>
      <c r="C84" s="3262"/>
      <c r="D84" s="247">
        <f>E84+F84+G84+H84+I84+J84+K84+L84</f>
        <v>101660</v>
      </c>
      <c r="E84" s="247">
        <v>0</v>
      </c>
      <c r="F84" s="1419">
        <v>0</v>
      </c>
      <c r="G84" s="51">
        <v>101660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758">
        <f>SUM(F84:K84)</f>
        <v>101660</v>
      </c>
      <c r="N84" s="758">
        <f>SUM(G84:L84)</f>
        <v>101660</v>
      </c>
      <c r="O84" s="3723"/>
    </row>
    <row r="85" spans="1:16" s="233" customFormat="1" ht="15" customHeight="1">
      <c r="A85" s="3783"/>
      <c r="B85" s="21" t="s">
        <v>22</v>
      </c>
      <c r="C85" s="22"/>
      <c r="D85" s="197">
        <f t="shared" ref="D85:L86" si="58">D86</f>
        <v>101660</v>
      </c>
      <c r="E85" s="197">
        <f t="shared" ref="E85:E86" si="59">+E86</f>
        <v>0</v>
      </c>
      <c r="F85" s="873">
        <f t="shared" si="58"/>
        <v>0</v>
      </c>
      <c r="G85" s="197">
        <f t="shared" si="58"/>
        <v>101660</v>
      </c>
      <c r="H85" s="197">
        <f t="shared" si="58"/>
        <v>0</v>
      </c>
      <c r="I85" s="197">
        <f t="shared" si="58"/>
        <v>0</v>
      </c>
      <c r="J85" s="197">
        <f t="shared" si="58"/>
        <v>0</v>
      </c>
      <c r="K85" s="197">
        <f t="shared" si="58"/>
        <v>0</v>
      </c>
      <c r="L85" s="197">
        <f t="shared" si="58"/>
        <v>0</v>
      </c>
      <c r="M85" s="3272" t="s">
        <v>61</v>
      </c>
      <c r="N85" s="3272" t="s">
        <v>61</v>
      </c>
      <c r="O85" s="3823" t="s">
        <v>223</v>
      </c>
    </row>
    <row r="86" spans="1:16" s="233" customFormat="1" ht="15" customHeight="1">
      <c r="A86" s="3783"/>
      <c r="B86" s="171" t="s">
        <v>18</v>
      </c>
      <c r="C86" s="3332" t="s">
        <v>218</v>
      </c>
      <c r="D86" s="50">
        <f t="shared" si="58"/>
        <v>101660</v>
      </c>
      <c r="E86" s="50">
        <f t="shared" si="59"/>
        <v>0</v>
      </c>
      <c r="F86" s="285">
        <f t="shared" si="58"/>
        <v>0</v>
      </c>
      <c r="G86" s="50">
        <f t="shared" si="58"/>
        <v>101660</v>
      </c>
      <c r="H86" s="50">
        <f t="shared" si="58"/>
        <v>0</v>
      </c>
      <c r="I86" s="50">
        <f t="shared" si="58"/>
        <v>0</v>
      </c>
      <c r="J86" s="50">
        <f t="shared" si="58"/>
        <v>0</v>
      </c>
      <c r="K86" s="50">
        <f t="shared" si="58"/>
        <v>0</v>
      </c>
      <c r="L86" s="50">
        <f t="shared" si="58"/>
        <v>0</v>
      </c>
      <c r="M86" s="3273"/>
      <c r="N86" s="3273"/>
      <c r="O86" s="3241"/>
    </row>
    <row r="87" spans="1:16" s="233" customFormat="1" ht="15" customHeight="1" thickBot="1">
      <c r="A87" s="3784"/>
      <c r="B87" s="2616" t="s">
        <v>21</v>
      </c>
      <c r="C87" s="3217"/>
      <c r="D87" s="2391">
        <f>E87+F87+G87+H87+I87+J87+K87+L87</f>
        <v>101660</v>
      </c>
      <c r="E87" s="2391">
        <v>0</v>
      </c>
      <c r="F87" s="2182">
        <v>0</v>
      </c>
      <c r="G87" s="2181">
        <v>101660</v>
      </c>
      <c r="H87" s="2181">
        <v>0</v>
      </c>
      <c r="I87" s="2181">
        <v>0</v>
      </c>
      <c r="J87" s="2181">
        <v>0</v>
      </c>
      <c r="K87" s="2181">
        <v>0</v>
      </c>
      <c r="L87" s="2181">
        <v>0</v>
      </c>
      <c r="M87" s="3274"/>
      <c r="N87" s="3274"/>
      <c r="O87" s="3242"/>
    </row>
    <row r="88" spans="1:16" s="233" customFormat="1" ht="39.75" customHeight="1">
      <c r="A88" s="3787" t="s">
        <v>87</v>
      </c>
      <c r="B88" s="184" t="s">
        <v>500</v>
      </c>
      <c r="C88" s="1833" t="s">
        <v>81</v>
      </c>
      <c r="D88" s="761"/>
      <c r="E88" s="1709"/>
      <c r="F88" s="763"/>
      <c r="G88" s="763"/>
      <c r="H88" s="763"/>
      <c r="I88" s="762"/>
      <c r="J88" s="762"/>
      <c r="K88" s="762"/>
      <c r="L88" s="762"/>
      <c r="M88" s="764"/>
      <c r="N88" s="764"/>
      <c r="O88" s="3240" t="s">
        <v>356</v>
      </c>
    </row>
    <row r="89" spans="1:16" s="233" customFormat="1" ht="15" customHeight="1">
      <c r="A89" s="3783"/>
      <c r="B89" s="1799" t="s">
        <v>10</v>
      </c>
      <c r="C89" s="1800"/>
      <c r="D89" s="1801">
        <f t="shared" ref="D89" si="60">D90+D93</f>
        <v>13955532</v>
      </c>
      <c r="E89" s="1801">
        <f t="shared" ref="E89" si="61">E90+E93</f>
        <v>250844</v>
      </c>
      <c r="F89" s="1801">
        <f>F90+F93</f>
        <v>214186</v>
      </c>
      <c r="G89" s="1801">
        <f>G90+G93</f>
        <v>13490502</v>
      </c>
      <c r="H89" s="1801">
        <f>+H93</f>
        <v>0</v>
      </c>
      <c r="I89" s="1801">
        <f>+I93</f>
        <v>0</v>
      </c>
      <c r="J89" s="1801">
        <f>+J93</f>
        <v>0</v>
      </c>
      <c r="K89" s="1801">
        <f>+K93</f>
        <v>0</v>
      </c>
      <c r="L89" s="1801">
        <f>+L93</f>
        <v>0</v>
      </c>
      <c r="M89" s="1802">
        <f>M90+M93</f>
        <v>13704688</v>
      </c>
      <c r="N89" s="1802">
        <f>N90+N93</f>
        <v>13490502</v>
      </c>
      <c r="O89" s="3241"/>
    </row>
    <row r="90" spans="1:16" s="233" customFormat="1" ht="15" customHeight="1">
      <c r="A90" s="3783"/>
      <c r="B90" s="1803" t="s">
        <v>24</v>
      </c>
      <c r="C90" s="3214" t="s">
        <v>215</v>
      </c>
      <c r="D90" s="1804">
        <f>D91+D92</f>
        <v>2093329</v>
      </c>
      <c r="E90" s="1804">
        <f t="shared" ref="E90" si="62">E91+E92</f>
        <v>250844</v>
      </c>
      <c r="F90" s="1804">
        <f t="shared" ref="F90:L90" si="63">F91+F92</f>
        <v>214186</v>
      </c>
      <c r="G90" s="1804">
        <f t="shared" si="63"/>
        <v>1628299</v>
      </c>
      <c r="H90" s="1804">
        <f t="shared" si="63"/>
        <v>0</v>
      </c>
      <c r="I90" s="1804">
        <f t="shared" si="63"/>
        <v>0</v>
      </c>
      <c r="J90" s="1804">
        <f t="shared" si="63"/>
        <v>0</v>
      </c>
      <c r="K90" s="1804">
        <f t="shared" si="63"/>
        <v>0</v>
      </c>
      <c r="L90" s="1804">
        <f t="shared" si="63"/>
        <v>0</v>
      </c>
      <c r="M90" s="1805">
        <f>M91+M92</f>
        <v>1842485</v>
      </c>
      <c r="N90" s="1805">
        <f>N91+N92</f>
        <v>1628299</v>
      </c>
      <c r="O90" s="3241"/>
    </row>
    <row r="91" spans="1:16" s="233" customFormat="1" ht="15" customHeight="1">
      <c r="A91" s="3783"/>
      <c r="B91" s="1806" t="s">
        <v>12</v>
      </c>
      <c r="C91" s="3215"/>
      <c r="D91" s="1715">
        <f>E91+F91+G91+H91+I91+J91+K91+L91</f>
        <v>1093329</v>
      </c>
      <c r="E91" s="1715">
        <v>250844</v>
      </c>
      <c r="F91" s="1807">
        <f>430112+57000-100000-272926</f>
        <v>114186</v>
      </c>
      <c r="G91" s="1807">
        <f>1568662-213289-900000+272926</f>
        <v>728299</v>
      </c>
      <c r="H91" s="1807">
        <v>0</v>
      </c>
      <c r="I91" s="1807">
        <v>0</v>
      </c>
      <c r="J91" s="1807">
        <v>0</v>
      </c>
      <c r="K91" s="1807">
        <v>0</v>
      </c>
      <c r="L91" s="1807">
        <v>0</v>
      </c>
      <c r="M91" s="2194">
        <f>SUM(F91:K91)</f>
        <v>842485</v>
      </c>
      <c r="N91" s="2194">
        <f>SUM(G91:L91)</f>
        <v>728299</v>
      </c>
      <c r="O91" s="3241"/>
      <c r="P91" s="1495"/>
    </row>
    <row r="92" spans="1:16" s="233" customFormat="1" ht="15" customHeight="1">
      <c r="A92" s="3783"/>
      <c r="B92" s="1806" t="s">
        <v>62</v>
      </c>
      <c r="C92" s="3215"/>
      <c r="D92" s="1715">
        <f>E92+F92+G92+H92+I92+J92+K92+L92</f>
        <v>1000000</v>
      </c>
      <c r="E92" s="1715">
        <v>0</v>
      </c>
      <c r="F92" s="1807">
        <v>100000</v>
      </c>
      <c r="G92" s="1807">
        <v>900000</v>
      </c>
      <c r="H92" s="1807">
        <v>0</v>
      </c>
      <c r="I92" s="1807">
        <v>0</v>
      </c>
      <c r="J92" s="1807">
        <v>0</v>
      </c>
      <c r="K92" s="1807">
        <v>0</v>
      </c>
      <c r="L92" s="1807">
        <v>0</v>
      </c>
      <c r="M92" s="2194">
        <f>SUM(F92:K92)</f>
        <v>1000000</v>
      </c>
      <c r="N92" s="2194">
        <f>SUM(G92:L92)</f>
        <v>900000</v>
      </c>
      <c r="O92" s="3241"/>
      <c r="P92" s="1495"/>
    </row>
    <row r="93" spans="1:16" s="233" customFormat="1" ht="15" customHeight="1">
      <c r="A93" s="3783"/>
      <c r="B93" s="1808" t="s">
        <v>18</v>
      </c>
      <c r="C93" s="3215"/>
      <c r="D93" s="1804">
        <f>D94</f>
        <v>11862203</v>
      </c>
      <c r="E93" s="2288">
        <f t="shared" ref="E93:N93" si="64">+E94</f>
        <v>0</v>
      </c>
      <c r="F93" s="1809">
        <f>F94</f>
        <v>0</v>
      </c>
      <c r="G93" s="1809">
        <f>G94</f>
        <v>11862203</v>
      </c>
      <c r="H93" s="1809">
        <v>0</v>
      </c>
      <c r="I93" s="1809">
        <v>0</v>
      </c>
      <c r="J93" s="1809">
        <v>0</v>
      </c>
      <c r="K93" s="1809">
        <v>0</v>
      </c>
      <c r="L93" s="1809">
        <v>0</v>
      </c>
      <c r="M93" s="1805">
        <f t="shared" si="64"/>
        <v>11862203</v>
      </c>
      <c r="N93" s="1805">
        <f t="shared" si="64"/>
        <v>11862203</v>
      </c>
      <c r="O93" s="3241"/>
    </row>
    <row r="94" spans="1:16" s="233" customFormat="1" ht="15" customHeight="1">
      <c r="A94" s="3783"/>
      <c r="B94" s="281" t="s">
        <v>21</v>
      </c>
      <c r="C94" s="3262"/>
      <c r="D94" s="1715">
        <f>E94+F94+G94+H94+I94+J94+K94+L94</f>
        <v>11862203</v>
      </c>
      <c r="E94" s="1715">
        <v>0</v>
      </c>
      <c r="F94" s="1807">
        <f>2437304+323000-2760304</f>
        <v>0</v>
      </c>
      <c r="G94" s="1807">
        <f>8889087+212812+2760304</f>
        <v>11862203</v>
      </c>
      <c r="H94" s="1807">
        <v>0</v>
      </c>
      <c r="I94" s="1807">
        <v>0</v>
      </c>
      <c r="J94" s="1807">
        <v>0</v>
      </c>
      <c r="K94" s="1807">
        <v>0</v>
      </c>
      <c r="L94" s="1807">
        <v>0</v>
      </c>
      <c r="M94" s="2194">
        <f>SUM(F94:K94)</f>
        <v>11862203</v>
      </c>
      <c r="N94" s="2194">
        <f>SUM(G94:L94)</f>
        <v>11862203</v>
      </c>
      <c r="O94" s="3723"/>
    </row>
    <row r="95" spans="1:16" s="233" customFormat="1" ht="15" customHeight="1">
      <c r="A95" s="3783"/>
      <c r="B95" s="662" t="s">
        <v>22</v>
      </c>
      <c r="C95" s="1800"/>
      <c r="D95" s="1801">
        <f>D98+D96</f>
        <v>12862203</v>
      </c>
      <c r="E95" s="1801">
        <f>E98+E96</f>
        <v>0</v>
      </c>
      <c r="F95" s="1801">
        <f>F98+F96</f>
        <v>100000</v>
      </c>
      <c r="G95" s="1801">
        <f>G98+G96</f>
        <v>12762203</v>
      </c>
      <c r="H95" s="1801">
        <f>H98</f>
        <v>0</v>
      </c>
      <c r="I95" s="1801">
        <f>I98</f>
        <v>0</v>
      </c>
      <c r="J95" s="1801">
        <f>J98</f>
        <v>0</v>
      </c>
      <c r="K95" s="1801">
        <f>K98</f>
        <v>0</v>
      </c>
      <c r="L95" s="1801">
        <f>L98</f>
        <v>0</v>
      </c>
      <c r="M95" s="3302" t="s">
        <v>61</v>
      </c>
      <c r="N95" s="3302" t="s">
        <v>61</v>
      </c>
      <c r="O95" s="3241" t="s">
        <v>223</v>
      </c>
    </row>
    <row r="96" spans="1:16" s="233" customFormat="1" ht="15" customHeight="1">
      <c r="A96" s="3783"/>
      <c r="B96" s="1880" t="s">
        <v>11</v>
      </c>
      <c r="C96" s="3816" t="s">
        <v>428</v>
      </c>
      <c r="D96" s="2290">
        <f>SUM(E96:L96)</f>
        <v>1000000</v>
      </c>
      <c r="E96" s="2290">
        <f>E97</f>
        <v>0</v>
      </c>
      <c r="F96" s="2290">
        <f>F97</f>
        <v>100000</v>
      </c>
      <c r="G96" s="2290">
        <f>G97</f>
        <v>900000</v>
      </c>
      <c r="H96" s="2290"/>
      <c r="I96" s="2290"/>
      <c r="J96" s="2290"/>
      <c r="K96" s="2290"/>
      <c r="L96" s="2290"/>
      <c r="M96" s="3273"/>
      <c r="N96" s="3273"/>
      <c r="O96" s="3241"/>
    </row>
    <row r="97" spans="1:15" s="233" customFormat="1" ht="15" customHeight="1">
      <c r="A97" s="3783"/>
      <c r="B97" s="2291" t="s">
        <v>62</v>
      </c>
      <c r="C97" s="3817"/>
      <c r="D97" s="1715">
        <f>E97+F97+G97+H97+I97+J97+K97+L97</f>
        <v>1000000</v>
      </c>
      <c r="E97" s="1715">
        <v>0</v>
      </c>
      <c r="F97" s="2292">
        <v>100000</v>
      </c>
      <c r="G97" s="2292">
        <v>900000</v>
      </c>
      <c r="H97" s="2290"/>
      <c r="I97" s="2290"/>
      <c r="J97" s="2290"/>
      <c r="K97" s="2290"/>
      <c r="L97" s="2290"/>
      <c r="M97" s="3273"/>
      <c r="N97" s="3273"/>
      <c r="O97" s="3241"/>
    </row>
    <row r="98" spans="1:15" s="233" customFormat="1" ht="15" customHeight="1">
      <c r="A98" s="3783"/>
      <c r="B98" s="1880" t="s">
        <v>18</v>
      </c>
      <c r="C98" s="3817"/>
      <c r="D98" s="1810">
        <f t="shared" ref="D98:L98" si="65">D99</f>
        <v>11862203</v>
      </c>
      <c r="E98" s="1810">
        <f t="shared" ref="E98" si="66">+E99</f>
        <v>0</v>
      </c>
      <c r="F98" s="1810">
        <f t="shared" si="65"/>
        <v>0</v>
      </c>
      <c r="G98" s="1810">
        <f t="shared" si="65"/>
        <v>11862203</v>
      </c>
      <c r="H98" s="1810">
        <f t="shared" si="65"/>
        <v>0</v>
      </c>
      <c r="I98" s="1810">
        <f t="shared" si="65"/>
        <v>0</v>
      </c>
      <c r="J98" s="1810">
        <f t="shared" si="65"/>
        <v>0</v>
      </c>
      <c r="K98" s="1810">
        <f t="shared" si="65"/>
        <v>0</v>
      </c>
      <c r="L98" s="1810">
        <f t="shared" si="65"/>
        <v>0</v>
      </c>
      <c r="M98" s="3273"/>
      <c r="N98" s="3273"/>
      <c r="O98" s="3241"/>
    </row>
    <row r="99" spans="1:15" s="233" customFormat="1" ht="15" customHeight="1" thickBot="1">
      <c r="A99" s="3784"/>
      <c r="B99" s="1835" t="s">
        <v>21</v>
      </c>
      <c r="C99" s="3818"/>
      <c r="D99" s="1929">
        <f>E99+F99+G99+H99+I99+J99+K99+L99</f>
        <v>11862203</v>
      </c>
      <c r="E99" s="1929">
        <v>0</v>
      </c>
      <c r="F99" s="2181">
        <f>2437304+323000-2760304</f>
        <v>0</v>
      </c>
      <c r="G99" s="2181">
        <f>8889087+212812+2760304</f>
        <v>11862203</v>
      </c>
      <c r="H99" s="2181">
        <v>0</v>
      </c>
      <c r="I99" s="2181">
        <v>0</v>
      </c>
      <c r="J99" s="2181">
        <v>0</v>
      </c>
      <c r="K99" s="2181">
        <v>0</v>
      </c>
      <c r="L99" s="2181">
        <v>0</v>
      </c>
      <c r="M99" s="3274"/>
      <c r="N99" s="3274"/>
      <c r="O99" s="3242"/>
    </row>
    <row r="100" spans="1:15" s="1549" customFormat="1" ht="40.5" customHeight="1">
      <c r="A100" s="3782" t="s">
        <v>88</v>
      </c>
      <c r="B100" s="3032" t="s">
        <v>376</v>
      </c>
      <c r="C100" s="260" t="s">
        <v>171</v>
      </c>
      <c r="D100" s="777"/>
      <c r="E100" s="3033"/>
      <c r="F100" s="779"/>
      <c r="G100" s="779"/>
      <c r="H100" s="779"/>
      <c r="I100" s="778"/>
      <c r="J100" s="778"/>
      <c r="K100" s="778"/>
      <c r="L100" s="778"/>
      <c r="M100" s="780"/>
      <c r="N100" s="780"/>
      <c r="O100" s="3241" t="s">
        <v>365</v>
      </c>
    </row>
    <row r="101" spans="1:15" s="1549" customFormat="1" ht="15" customHeight="1">
      <c r="A101" s="3783"/>
      <c r="B101" s="1799" t="s">
        <v>10</v>
      </c>
      <c r="C101" s="1800"/>
      <c r="D101" s="1801">
        <f>D102+D106</f>
        <v>342701</v>
      </c>
      <c r="E101" s="1801">
        <f t="shared" ref="E101" si="67">E102+E106</f>
        <v>0</v>
      </c>
      <c r="F101" s="1801">
        <f>F102+F106</f>
        <v>21322</v>
      </c>
      <c r="G101" s="1801">
        <f>G102+G106</f>
        <v>146351</v>
      </c>
      <c r="H101" s="1801">
        <f>H102+H106</f>
        <v>175028</v>
      </c>
      <c r="I101" s="1801">
        <f>+I106</f>
        <v>0</v>
      </c>
      <c r="J101" s="1801">
        <f>+J106</f>
        <v>0</v>
      </c>
      <c r="K101" s="1801">
        <f>+K106</f>
        <v>0</v>
      </c>
      <c r="L101" s="1801">
        <f>+L106</f>
        <v>0</v>
      </c>
      <c r="M101" s="1802">
        <f>M102+M106</f>
        <v>342701</v>
      </c>
      <c r="N101" s="1802">
        <f>N102+N106</f>
        <v>321379</v>
      </c>
      <c r="O101" s="3241"/>
    </row>
    <row r="102" spans="1:15" s="1549" customFormat="1" ht="15" customHeight="1">
      <c r="A102" s="3783"/>
      <c r="B102" s="1803" t="s">
        <v>24</v>
      </c>
      <c r="C102" s="3214" t="s">
        <v>360</v>
      </c>
      <c r="D102" s="1804">
        <f>D103</f>
        <v>51406</v>
      </c>
      <c r="E102" s="2288">
        <f t="shared" ref="E102:H102" si="68">E103</f>
        <v>0</v>
      </c>
      <c r="F102" s="1356">
        <f t="shared" si="68"/>
        <v>3199</v>
      </c>
      <c r="G102" s="1356">
        <f t="shared" si="68"/>
        <v>21952</v>
      </c>
      <c r="H102" s="1356">
        <f t="shared" si="68"/>
        <v>26255</v>
      </c>
      <c r="I102" s="1356">
        <v>0</v>
      </c>
      <c r="J102" s="1356">
        <v>0</v>
      </c>
      <c r="K102" s="1356">
        <v>0</v>
      </c>
      <c r="L102" s="1356">
        <v>0</v>
      </c>
      <c r="M102" s="1805">
        <f>M103</f>
        <v>51406</v>
      </c>
      <c r="N102" s="1805">
        <f>N103</f>
        <v>48207</v>
      </c>
      <c r="O102" s="3241"/>
    </row>
    <row r="103" spans="1:15" s="1549" customFormat="1" ht="15" customHeight="1">
      <c r="A103" s="3783"/>
      <c r="B103" s="1806" t="s">
        <v>12</v>
      </c>
      <c r="C103" s="3215"/>
      <c r="D103" s="949">
        <f>E103+F103+G103+H103+I103+J103+K103+L103</f>
        <v>51406</v>
      </c>
      <c r="E103" s="949">
        <v>0</v>
      </c>
      <c r="F103" s="986">
        <f>SUM(F104:F105)</f>
        <v>3199</v>
      </c>
      <c r="G103" s="986">
        <f t="shared" ref="G103:H103" si="69">SUM(G104:G105)</f>
        <v>21952</v>
      </c>
      <c r="H103" s="986">
        <f t="shared" si="69"/>
        <v>26255</v>
      </c>
      <c r="I103" s="986">
        <v>0</v>
      </c>
      <c r="J103" s="986">
        <v>0</v>
      </c>
      <c r="K103" s="986">
        <v>0</v>
      </c>
      <c r="L103" s="986">
        <v>0</v>
      </c>
      <c r="M103" s="2194">
        <f>SUM(F103:K103)</f>
        <v>51406</v>
      </c>
      <c r="N103" s="2194">
        <f>SUM(G103:L103)</f>
        <v>48207</v>
      </c>
      <c r="O103" s="3241"/>
    </row>
    <row r="104" spans="1:15" s="1549" customFormat="1" ht="15" hidden="1" customHeight="1">
      <c r="A104" s="3783"/>
      <c r="B104" s="3086" t="s">
        <v>370</v>
      </c>
      <c r="C104" s="3215"/>
      <c r="D104" s="949"/>
      <c r="E104" s="3034"/>
      <c r="F104" s="3035">
        <f>3347-1656</f>
        <v>1691</v>
      </c>
      <c r="G104" s="3035">
        <f>8073+12063</f>
        <v>20136</v>
      </c>
      <c r="H104" s="3035">
        <f>34839-10400</f>
        <v>24439</v>
      </c>
      <c r="I104" s="986"/>
      <c r="J104" s="986"/>
      <c r="K104" s="986"/>
      <c r="L104" s="986"/>
      <c r="M104" s="2297"/>
      <c r="N104" s="2297"/>
      <c r="O104" s="3241"/>
    </row>
    <row r="105" spans="1:15" s="1549" customFormat="1" ht="15" hidden="1" customHeight="1">
      <c r="A105" s="3783"/>
      <c r="B105" s="3086" t="s">
        <v>371</v>
      </c>
      <c r="C105" s="3215"/>
      <c r="D105" s="949"/>
      <c r="E105" s="3034"/>
      <c r="F105" s="3035">
        <f>1514-6</f>
        <v>1508</v>
      </c>
      <c r="G105" s="3035">
        <v>1816</v>
      </c>
      <c r="H105" s="3035">
        <v>1816</v>
      </c>
      <c r="I105" s="986"/>
      <c r="J105" s="986"/>
      <c r="K105" s="986"/>
      <c r="L105" s="986"/>
      <c r="M105" s="2297"/>
      <c r="N105" s="2297"/>
      <c r="O105" s="3241"/>
    </row>
    <row r="106" spans="1:15" s="1549" customFormat="1" ht="15" customHeight="1">
      <c r="A106" s="3783"/>
      <c r="B106" s="1808" t="s">
        <v>18</v>
      </c>
      <c r="C106" s="3215"/>
      <c r="D106" s="1804">
        <f>D107</f>
        <v>291295</v>
      </c>
      <c r="E106" s="2288">
        <f t="shared" ref="E106:N106" si="70">+E107</f>
        <v>0</v>
      </c>
      <c r="F106" s="1356">
        <f t="shared" ref="F106:H106" si="71">F107</f>
        <v>18123</v>
      </c>
      <c r="G106" s="1356">
        <f t="shared" si="71"/>
        <v>124399</v>
      </c>
      <c r="H106" s="1356">
        <f t="shared" si="71"/>
        <v>148773</v>
      </c>
      <c r="I106" s="1356">
        <v>0</v>
      </c>
      <c r="J106" s="1356">
        <v>0</v>
      </c>
      <c r="K106" s="1356">
        <v>0</v>
      </c>
      <c r="L106" s="1356">
        <v>0</v>
      </c>
      <c r="M106" s="1805">
        <f t="shared" si="70"/>
        <v>291295</v>
      </c>
      <c r="N106" s="1805">
        <f t="shared" si="70"/>
        <v>273172</v>
      </c>
      <c r="O106" s="3241"/>
    </row>
    <row r="107" spans="1:15" s="1549" customFormat="1" ht="15" customHeight="1">
      <c r="A107" s="3783"/>
      <c r="B107" s="281" t="s">
        <v>21</v>
      </c>
      <c r="C107" s="3215"/>
      <c r="D107" s="949">
        <f>E107+F107+G107+H107+I107+J107+K107+L107</f>
        <v>291295</v>
      </c>
      <c r="E107" s="949">
        <v>0</v>
      </c>
      <c r="F107" s="986">
        <f>SUM(F108:F109)</f>
        <v>18123</v>
      </c>
      <c r="G107" s="986">
        <f t="shared" ref="G107:H107" si="72">SUM(G108:G109)</f>
        <v>124399</v>
      </c>
      <c r="H107" s="986">
        <f t="shared" si="72"/>
        <v>148773</v>
      </c>
      <c r="I107" s="986">
        <v>0</v>
      </c>
      <c r="J107" s="986">
        <v>0</v>
      </c>
      <c r="K107" s="986">
        <v>0</v>
      </c>
      <c r="L107" s="986">
        <v>0</v>
      </c>
      <c r="M107" s="2194">
        <f>SUM(F107:K107)</f>
        <v>291295</v>
      </c>
      <c r="N107" s="2194">
        <f>SUM(G107:L107)</f>
        <v>273172</v>
      </c>
      <c r="O107" s="3241"/>
    </row>
    <row r="108" spans="1:15" s="1549" customFormat="1" ht="15" hidden="1" customHeight="1">
      <c r="A108" s="3783"/>
      <c r="B108" s="3086" t="s">
        <v>373</v>
      </c>
      <c r="C108" s="3215"/>
      <c r="D108" s="949"/>
      <c r="E108" s="3059"/>
      <c r="F108" s="3035">
        <f>18973-9391</f>
        <v>9582</v>
      </c>
      <c r="G108" s="3035">
        <f>45747+68360</f>
        <v>114107</v>
      </c>
      <c r="H108" s="3035">
        <f>197415-58934</f>
        <v>138481</v>
      </c>
      <c r="I108" s="986"/>
      <c r="J108" s="986"/>
      <c r="K108" s="986"/>
      <c r="L108" s="986"/>
      <c r="M108" s="3087"/>
      <c r="N108" s="3087"/>
      <c r="O108" s="3241"/>
    </row>
    <row r="109" spans="1:15" s="1549" customFormat="1" ht="15" hidden="1" customHeight="1">
      <c r="A109" s="3783"/>
      <c r="B109" s="3086" t="s">
        <v>372</v>
      </c>
      <c r="C109" s="3262"/>
      <c r="D109" s="949"/>
      <c r="E109" s="3059"/>
      <c r="F109" s="3035">
        <f>8576-35</f>
        <v>8541</v>
      </c>
      <c r="G109" s="3035">
        <v>10292</v>
      </c>
      <c r="H109" s="3035">
        <v>10292</v>
      </c>
      <c r="I109" s="986"/>
      <c r="J109" s="986"/>
      <c r="K109" s="986"/>
      <c r="L109" s="986"/>
      <c r="M109" s="3087"/>
      <c r="N109" s="3087"/>
      <c r="O109" s="3241"/>
    </row>
    <row r="110" spans="1:15" s="1549" customFormat="1" ht="12.75">
      <c r="A110" s="3783"/>
      <c r="B110" s="662" t="s">
        <v>22</v>
      </c>
      <c r="C110" s="1800"/>
      <c r="D110" s="1801">
        <f t="shared" ref="D110:L111" si="73">D111</f>
        <v>291295</v>
      </c>
      <c r="E110" s="1801">
        <f t="shared" ref="E110:E111" si="74">+E111</f>
        <v>0</v>
      </c>
      <c r="F110" s="1801">
        <f t="shared" si="73"/>
        <v>977</v>
      </c>
      <c r="G110" s="1801">
        <f t="shared" si="73"/>
        <v>14906</v>
      </c>
      <c r="H110" s="1801">
        <f t="shared" si="73"/>
        <v>113937</v>
      </c>
      <c r="I110" s="1801">
        <f t="shared" si="73"/>
        <v>161475</v>
      </c>
      <c r="J110" s="1801">
        <f t="shared" si="73"/>
        <v>0</v>
      </c>
      <c r="K110" s="1801">
        <f t="shared" si="73"/>
        <v>0</v>
      </c>
      <c r="L110" s="1801">
        <f t="shared" si="73"/>
        <v>0</v>
      </c>
      <c r="M110" s="3302" t="s">
        <v>61</v>
      </c>
      <c r="N110" s="3302" t="s">
        <v>61</v>
      </c>
      <c r="O110" s="3241"/>
    </row>
    <row r="111" spans="1:15" s="1549" customFormat="1" ht="12.75">
      <c r="A111" s="3783"/>
      <c r="B111" s="633" t="s">
        <v>18</v>
      </c>
      <c r="C111" s="3332" t="s">
        <v>170</v>
      </c>
      <c r="D111" s="1810">
        <f t="shared" si="73"/>
        <v>291295</v>
      </c>
      <c r="E111" s="1810">
        <f t="shared" si="74"/>
        <v>0</v>
      </c>
      <c r="F111" s="1810">
        <f t="shared" si="73"/>
        <v>977</v>
      </c>
      <c r="G111" s="1810">
        <f t="shared" si="73"/>
        <v>14906</v>
      </c>
      <c r="H111" s="1810">
        <f t="shared" si="73"/>
        <v>113937</v>
      </c>
      <c r="I111" s="1810">
        <f t="shared" si="73"/>
        <v>161475</v>
      </c>
      <c r="J111" s="1810">
        <f t="shared" si="73"/>
        <v>0</v>
      </c>
      <c r="K111" s="1810">
        <f t="shared" si="73"/>
        <v>0</v>
      </c>
      <c r="L111" s="1810">
        <f t="shared" si="73"/>
        <v>0</v>
      </c>
      <c r="M111" s="3273"/>
      <c r="N111" s="3273"/>
      <c r="O111" s="3241"/>
    </row>
    <row r="112" spans="1:15" s="1549" customFormat="1" ht="13.5" thickBot="1">
      <c r="A112" s="3784"/>
      <c r="B112" s="1835" t="s">
        <v>21</v>
      </c>
      <c r="C112" s="3217"/>
      <c r="D112" s="949">
        <f>E112+F112+G112+H112+I112+J112+K112+L112</f>
        <v>291295</v>
      </c>
      <c r="E112" s="949">
        <v>0</v>
      </c>
      <c r="F112" s="2181">
        <f>2133-1156</f>
        <v>977</v>
      </c>
      <c r="G112" s="2181">
        <f>39145-24239</f>
        <v>14906</v>
      </c>
      <c r="H112" s="2181">
        <f>148930-34993</f>
        <v>113937</v>
      </c>
      <c r="I112" s="2181">
        <f>101087+60388</f>
        <v>161475</v>
      </c>
      <c r="J112" s="2181">
        <v>0</v>
      </c>
      <c r="K112" s="2181">
        <v>0</v>
      </c>
      <c r="L112" s="2181">
        <v>0</v>
      </c>
      <c r="M112" s="3274"/>
      <c r="N112" s="3274"/>
      <c r="O112" s="3242"/>
    </row>
    <row r="113" spans="1:15" s="1549" customFormat="1" ht="36.75" customHeight="1">
      <c r="A113" s="3782" t="s">
        <v>89</v>
      </c>
      <c r="B113" s="184" t="s">
        <v>375</v>
      </c>
      <c r="C113" s="1833" t="s">
        <v>81</v>
      </c>
      <c r="D113" s="761"/>
      <c r="E113" s="1709"/>
      <c r="F113" s="763"/>
      <c r="G113" s="763"/>
      <c r="H113" s="763"/>
      <c r="I113" s="762"/>
      <c r="J113" s="762"/>
      <c r="K113" s="762"/>
      <c r="L113" s="762"/>
      <c r="M113" s="764"/>
      <c r="N113" s="764"/>
      <c r="O113" s="3240" t="s">
        <v>223</v>
      </c>
    </row>
    <row r="114" spans="1:15" s="1549" customFormat="1" ht="12.75">
      <c r="A114" s="3783"/>
      <c r="B114" s="1799" t="s">
        <v>10</v>
      </c>
      <c r="C114" s="1800"/>
      <c r="D114" s="1801">
        <f>D115+D117</f>
        <v>329300</v>
      </c>
      <c r="E114" s="1801">
        <f t="shared" ref="E114" si="75">E115+E117</f>
        <v>0</v>
      </c>
      <c r="F114" s="1801">
        <f>F115+F117</f>
        <v>52792</v>
      </c>
      <c r="G114" s="1801">
        <f>G115+G117</f>
        <v>276508</v>
      </c>
      <c r="H114" s="1801">
        <f>H115+H117</f>
        <v>0</v>
      </c>
      <c r="I114" s="1801">
        <f>+I117</f>
        <v>0</v>
      </c>
      <c r="J114" s="1801">
        <f>+J117</f>
        <v>0</v>
      </c>
      <c r="K114" s="1801">
        <f>+K117</f>
        <v>0</v>
      </c>
      <c r="L114" s="1801">
        <f>+L117</f>
        <v>0</v>
      </c>
      <c r="M114" s="1802">
        <f>M115+M117</f>
        <v>329300</v>
      </c>
      <c r="N114" s="1802">
        <f>N115+N117</f>
        <v>276508</v>
      </c>
      <c r="O114" s="3241"/>
    </row>
    <row r="115" spans="1:15" s="1549" customFormat="1" ht="12.75">
      <c r="A115" s="3783"/>
      <c r="B115" s="1803" t="s">
        <v>24</v>
      </c>
      <c r="C115" s="3214" t="s">
        <v>170</v>
      </c>
      <c r="D115" s="1804">
        <f>D116</f>
        <v>49395</v>
      </c>
      <c r="E115" s="2288">
        <f t="shared" ref="E115:L115" si="76">E116</f>
        <v>0</v>
      </c>
      <c r="F115" s="1356">
        <f t="shared" si="76"/>
        <v>7919</v>
      </c>
      <c r="G115" s="1356">
        <f t="shared" si="76"/>
        <v>41476</v>
      </c>
      <c r="H115" s="1356">
        <f t="shared" si="76"/>
        <v>0</v>
      </c>
      <c r="I115" s="1356">
        <f t="shared" si="76"/>
        <v>0</v>
      </c>
      <c r="J115" s="1356">
        <f t="shared" si="76"/>
        <v>0</v>
      </c>
      <c r="K115" s="1356">
        <f t="shared" si="76"/>
        <v>0</v>
      </c>
      <c r="L115" s="1356">
        <f t="shared" si="76"/>
        <v>0</v>
      </c>
      <c r="M115" s="1805">
        <f>M116</f>
        <v>49395</v>
      </c>
      <c r="N115" s="1805">
        <f>N116</f>
        <v>41476</v>
      </c>
      <c r="O115" s="3241"/>
    </row>
    <row r="116" spans="1:15" s="1549" customFormat="1" ht="12.75">
      <c r="A116" s="3783"/>
      <c r="B116" s="1806" t="s">
        <v>12</v>
      </c>
      <c r="C116" s="3215"/>
      <c r="D116" s="949">
        <f>E116+F116+G116+H116+I116+J116+K116+L116</f>
        <v>49395</v>
      </c>
      <c r="E116" s="949">
        <v>0</v>
      </c>
      <c r="F116" s="986">
        <f>8310-391</f>
        <v>7919</v>
      </c>
      <c r="G116" s="986">
        <f>37035+4441</f>
        <v>41476</v>
      </c>
      <c r="H116" s="986">
        <f>4050-4050</f>
        <v>0</v>
      </c>
      <c r="I116" s="986">
        <v>0</v>
      </c>
      <c r="J116" s="986">
        <v>0</v>
      </c>
      <c r="K116" s="986">
        <v>0</v>
      </c>
      <c r="L116" s="986">
        <v>0</v>
      </c>
      <c r="M116" s="2194">
        <f>SUM(F116:K116)</f>
        <v>49395</v>
      </c>
      <c r="N116" s="2194">
        <f>SUM(G116:L116)</f>
        <v>41476</v>
      </c>
      <c r="O116" s="3241"/>
    </row>
    <row r="117" spans="1:15" s="1549" customFormat="1" ht="12.75">
      <c r="A117" s="3783"/>
      <c r="B117" s="1808" t="s">
        <v>18</v>
      </c>
      <c r="C117" s="3215"/>
      <c r="D117" s="1804">
        <f>D118</f>
        <v>279905</v>
      </c>
      <c r="E117" s="2288">
        <f t="shared" ref="E117:N117" si="77">+E118</f>
        <v>0</v>
      </c>
      <c r="F117" s="1356">
        <f t="shared" ref="F117:H117" si="78">F118</f>
        <v>44873</v>
      </c>
      <c r="G117" s="1356">
        <f t="shared" si="78"/>
        <v>235032</v>
      </c>
      <c r="H117" s="1356">
        <f t="shared" si="78"/>
        <v>0</v>
      </c>
      <c r="I117" s="1356">
        <f t="shared" ref="I117:L117" si="79">I118</f>
        <v>0</v>
      </c>
      <c r="J117" s="1356">
        <f t="shared" si="79"/>
        <v>0</v>
      </c>
      <c r="K117" s="1356">
        <f t="shared" si="79"/>
        <v>0</v>
      </c>
      <c r="L117" s="1356">
        <f t="shared" si="79"/>
        <v>0</v>
      </c>
      <c r="M117" s="1805">
        <f t="shared" si="77"/>
        <v>279905</v>
      </c>
      <c r="N117" s="1805">
        <f t="shared" si="77"/>
        <v>235032</v>
      </c>
      <c r="O117" s="3241"/>
    </row>
    <row r="118" spans="1:15" s="1549" customFormat="1" ht="12.75">
      <c r="A118" s="3783"/>
      <c r="B118" s="281" t="s">
        <v>21</v>
      </c>
      <c r="C118" s="3262"/>
      <c r="D118" s="949">
        <f>E118+F118+G118+H118+I118+J118+K118+L118</f>
        <v>279905</v>
      </c>
      <c r="E118" s="949">
        <v>0</v>
      </c>
      <c r="F118" s="986">
        <f>47090-2217</f>
        <v>44873</v>
      </c>
      <c r="G118" s="986">
        <f>209865+25167</f>
        <v>235032</v>
      </c>
      <c r="H118" s="986">
        <f>22950-22950</f>
        <v>0</v>
      </c>
      <c r="I118" s="986">
        <v>0</v>
      </c>
      <c r="J118" s="986">
        <v>0</v>
      </c>
      <c r="K118" s="986">
        <v>0</v>
      </c>
      <c r="L118" s="986">
        <v>0</v>
      </c>
      <c r="M118" s="2194">
        <f>SUM(F118:K118)</f>
        <v>279905</v>
      </c>
      <c r="N118" s="2194">
        <f>SUM(G118:L118)</f>
        <v>235032</v>
      </c>
      <c r="O118" s="3241"/>
    </row>
    <row r="119" spans="1:15" s="1549" customFormat="1" ht="12.75">
      <c r="A119" s="3783"/>
      <c r="B119" s="662" t="s">
        <v>22</v>
      </c>
      <c r="C119" s="1800"/>
      <c r="D119" s="1801">
        <f t="shared" ref="D119:L120" si="80">D120</f>
        <v>279905</v>
      </c>
      <c r="E119" s="1801">
        <f t="shared" ref="E119:E120" si="81">+E120</f>
        <v>0</v>
      </c>
      <c r="F119" s="1801">
        <f t="shared" si="80"/>
        <v>0</v>
      </c>
      <c r="G119" s="1801">
        <f t="shared" si="80"/>
        <v>46640</v>
      </c>
      <c r="H119" s="1801">
        <f t="shared" si="80"/>
        <v>178570</v>
      </c>
      <c r="I119" s="1801">
        <f t="shared" si="80"/>
        <v>54695</v>
      </c>
      <c r="J119" s="1801">
        <f t="shared" si="80"/>
        <v>0</v>
      </c>
      <c r="K119" s="1801">
        <f t="shared" si="80"/>
        <v>0</v>
      </c>
      <c r="L119" s="1801">
        <f t="shared" si="80"/>
        <v>0</v>
      </c>
      <c r="M119" s="3302" t="s">
        <v>61</v>
      </c>
      <c r="N119" s="3302" t="s">
        <v>61</v>
      </c>
      <c r="O119" s="3241"/>
    </row>
    <row r="120" spans="1:15" s="1549" customFormat="1" ht="12.75">
      <c r="A120" s="3783"/>
      <c r="B120" s="633" t="s">
        <v>18</v>
      </c>
      <c r="C120" s="3332" t="s">
        <v>170</v>
      </c>
      <c r="D120" s="1810">
        <f t="shared" si="80"/>
        <v>279905</v>
      </c>
      <c r="E120" s="1810">
        <f t="shared" si="81"/>
        <v>0</v>
      </c>
      <c r="F120" s="1810">
        <f t="shared" si="80"/>
        <v>0</v>
      </c>
      <c r="G120" s="1810">
        <f t="shared" si="80"/>
        <v>46640</v>
      </c>
      <c r="H120" s="1810">
        <f t="shared" si="80"/>
        <v>178570</v>
      </c>
      <c r="I120" s="1810">
        <f t="shared" si="80"/>
        <v>54695</v>
      </c>
      <c r="J120" s="1810">
        <f t="shared" si="80"/>
        <v>0</v>
      </c>
      <c r="K120" s="1810">
        <f t="shared" si="80"/>
        <v>0</v>
      </c>
      <c r="L120" s="1810">
        <f t="shared" si="80"/>
        <v>0</v>
      </c>
      <c r="M120" s="3273"/>
      <c r="N120" s="3273"/>
      <c r="O120" s="3241"/>
    </row>
    <row r="121" spans="1:15" s="1549" customFormat="1" ht="13.5" thickBot="1">
      <c r="A121" s="3784"/>
      <c r="B121" s="1835" t="s">
        <v>21</v>
      </c>
      <c r="C121" s="3217"/>
      <c r="D121" s="949">
        <f>E121+F121+G121+H121+I121+J121+K121+L121</f>
        <v>279905</v>
      </c>
      <c r="E121" s="949">
        <v>0</v>
      </c>
      <c r="F121" s="2181"/>
      <c r="G121" s="2181">
        <f>73100-26460</f>
        <v>46640</v>
      </c>
      <c r="H121" s="2181">
        <f>183855-5285</f>
        <v>178570</v>
      </c>
      <c r="I121" s="2181">
        <f>22950+31745</f>
        <v>54695</v>
      </c>
      <c r="J121" s="2181">
        <v>0</v>
      </c>
      <c r="K121" s="2181">
        <v>0</v>
      </c>
      <c r="L121" s="2181">
        <v>0</v>
      </c>
      <c r="M121" s="3274"/>
      <c r="N121" s="3274"/>
      <c r="O121" s="3242"/>
    </row>
    <row r="122" spans="1:15" s="233" customFormat="1" ht="34.5" customHeight="1">
      <c r="A122" s="3787" t="s">
        <v>90</v>
      </c>
      <c r="B122" s="184" t="s">
        <v>374</v>
      </c>
      <c r="C122" s="1833" t="s">
        <v>171</v>
      </c>
      <c r="D122" s="3036"/>
      <c r="E122" s="1709"/>
      <c r="F122" s="763"/>
      <c r="G122" s="763"/>
      <c r="H122" s="763"/>
      <c r="I122" s="762"/>
      <c r="J122" s="762"/>
      <c r="K122" s="762"/>
      <c r="L122" s="762"/>
      <c r="M122" s="764"/>
      <c r="N122" s="764"/>
      <c r="O122" s="3240" t="s">
        <v>365</v>
      </c>
    </row>
    <row r="123" spans="1:15" s="233" customFormat="1" ht="12.75">
      <c r="A123" s="3783"/>
      <c r="B123" s="1799" t="s">
        <v>10</v>
      </c>
      <c r="C123" s="1800"/>
      <c r="D123" s="1801">
        <f>D124+D128</f>
        <v>693012</v>
      </c>
      <c r="E123" s="1801">
        <f t="shared" ref="E123" si="82">E124+E128</f>
        <v>0</v>
      </c>
      <c r="F123" s="1801">
        <f>F124+F128</f>
        <v>32378</v>
      </c>
      <c r="G123" s="1801">
        <f>G124+G128</f>
        <v>384634</v>
      </c>
      <c r="H123" s="1801">
        <f>H124+H128</f>
        <v>276000</v>
      </c>
      <c r="I123" s="1801">
        <f>+I128</f>
        <v>0</v>
      </c>
      <c r="J123" s="1801">
        <f>+J128</f>
        <v>0</v>
      </c>
      <c r="K123" s="1801">
        <f>+K128</f>
        <v>0</v>
      </c>
      <c r="L123" s="1801">
        <f>+L128</f>
        <v>0</v>
      </c>
      <c r="M123" s="1802">
        <f>M124+M128</f>
        <v>693012</v>
      </c>
      <c r="N123" s="1802">
        <f>N124+N128</f>
        <v>660634</v>
      </c>
      <c r="O123" s="3241"/>
    </row>
    <row r="124" spans="1:15" s="233" customFormat="1" ht="13.5" thickBot="1">
      <c r="A124" s="3784"/>
      <c r="B124" s="3105" t="s">
        <v>24</v>
      </c>
      <c r="C124" s="3810" t="s">
        <v>360</v>
      </c>
      <c r="D124" s="3106">
        <f>D125</f>
        <v>119262</v>
      </c>
      <c r="E124" s="3107">
        <f t="shared" ref="E124:H124" si="83">E125</f>
        <v>0</v>
      </c>
      <c r="F124" s="3108">
        <f t="shared" si="83"/>
        <v>4857</v>
      </c>
      <c r="G124" s="3108">
        <f t="shared" si="83"/>
        <v>73005</v>
      </c>
      <c r="H124" s="3108">
        <f t="shared" si="83"/>
        <v>41400</v>
      </c>
      <c r="I124" s="3108">
        <v>0</v>
      </c>
      <c r="J124" s="3108">
        <v>0</v>
      </c>
      <c r="K124" s="3108">
        <v>0</v>
      </c>
      <c r="L124" s="3108">
        <v>0</v>
      </c>
      <c r="M124" s="3109">
        <f>M125</f>
        <v>119262</v>
      </c>
      <c r="N124" s="3110">
        <f>N125</f>
        <v>114405</v>
      </c>
      <c r="O124" s="3242"/>
    </row>
    <row r="125" spans="1:15" s="233" customFormat="1" ht="12.75">
      <c r="A125" s="3783"/>
      <c r="B125" s="3092" t="s">
        <v>12</v>
      </c>
      <c r="C125" s="3215"/>
      <c r="D125" s="1007">
        <f>E125+F125+G125+H125+I125+J125+K125+L125</f>
        <v>119262</v>
      </c>
      <c r="E125" s="1007">
        <v>0</v>
      </c>
      <c r="F125" s="3093">
        <f>15474-10617</f>
        <v>4857</v>
      </c>
      <c r="G125" s="3093">
        <f>62388+10617</f>
        <v>73005</v>
      </c>
      <c r="H125" s="3093">
        <v>41400</v>
      </c>
      <c r="I125" s="3093">
        <v>0</v>
      </c>
      <c r="J125" s="3093">
        <v>0</v>
      </c>
      <c r="K125" s="3093">
        <v>0</v>
      </c>
      <c r="L125" s="3093">
        <v>0</v>
      </c>
      <c r="M125" s="3094">
        <f>SUM(F125:K125)</f>
        <v>119262</v>
      </c>
      <c r="N125" s="3094">
        <f>SUM(G125:L125)</f>
        <v>114405</v>
      </c>
      <c r="O125" s="3241"/>
    </row>
    <row r="126" spans="1:15" s="233" customFormat="1" ht="15" hidden="1" customHeight="1">
      <c r="A126" s="3783"/>
      <c r="B126" s="3086" t="s">
        <v>371</v>
      </c>
      <c r="C126" s="3215"/>
      <c r="D126" s="949">
        <f t="shared" ref="D126:D127" si="84">E126+F126+G126+H126+I126+J126+K126+L126</f>
        <v>5597</v>
      </c>
      <c r="E126" s="3034"/>
      <c r="F126" s="3035">
        <f>1500+258+37-148</f>
        <v>1647</v>
      </c>
      <c r="G126" s="3035">
        <f>1500+258+37+360</f>
        <v>2155</v>
      </c>
      <c r="H126" s="3035">
        <f>1500+258+37</f>
        <v>1795</v>
      </c>
      <c r="I126" s="986"/>
      <c r="J126" s="986"/>
      <c r="K126" s="986"/>
      <c r="L126" s="986"/>
      <c r="M126" s="2194"/>
      <c r="N126" s="2297"/>
      <c r="O126" s="3241"/>
    </row>
    <row r="127" spans="1:15" s="233" customFormat="1" ht="15" hidden="1" customHeight="1">
      <c r="A127" s="3783"/>
      <c r="B127" s="3086" t="s">
        <v>370</v>
      </c>
      <c r="C127" s="3215"/>
      <c r="D127" s="949">
        <f t="shared" si="84"/>
        <v>113665</v>
      </c>
      <c r="E127" s="3034"/>
      <c r="F127" s="3035">
        <f>29862+1010+900-17345-750-10467</f>
        <v>3210</v>
      </c>
      <c r="G127" s="3035">
        <f>37887+3262+1350+17345+750+10256</f>
        <v>70850</v>
      </c>
      <c r="H127" s="3035">
        <f>36006+900+2700-1</f>
        <v>39605</v>
      </c>
      <c r="I127" s="2665"/>
      <c r="J127" s="2665"/>
      <c r="K127" s="2665"/>
      <c r="L127" s="2665"/>
      <c r="M127" s="2194"/>
      <c r="N127" s="2297"/>
      <c r="O127" s="3241"/>
    </row>
    <row r="128" spans="1:15" s="233" customFormat="1" ht="12.75">
      <c r="A128" s="3783"/>
      <c r="B128" s="1808" t="s">
        <v>18</v>
      </c>
      <c r="C128" s="3215"/>
      <c r="D128" s="1804">
        <f>D129</f>
        <v>573750</v>
      </c>
      <c r="E128" s="2288">
        <f t="shared" ref="E128:N128" si="85">+E129</f>
        <v>0</v>
      </c>
      <c r="F128" s="1356">
        <f t="shared" ref="F128:H128" si="86">F129</f>
        <v>27521</v>
      </c>
      <c r="G128" s="1356">
        <f t="shared" si="86"/>
        <v>311629</v>
      </c>
      <c r="H128" s="1356">
        <f t="shared" si="86"/>
        <v>234600</v>
      </c>
      <c r="I128" s="1356">
        <v>0</v>
      </c>
      <c r="J128" s="1356">
        <v>0</v>
      </c>
      <c r="K128" s="1356">
        <v>0</v>
      </c>
      <c r="L128" s="1356">
        <v>0</v>
      </c>
      <c r="M128" s="2179">
        <f t="shared" si="85"/>
        <v>573750</v>
      </c>
      <c r="N128" s="1805">
        <f t="shared" si="85"/>
        <v>546229</v>
      </c>
      <c r="O128" s="3241"/>
    </row>
    <row r="129" spans="1:15" s="233" customFormat="1" ht="12.75">
      <c r="A129" s="3783"/>
      <c r="B129" s="281" t="s">
        <v>21</v>
      </c>
      <c r="C129" s="3262"/>
      <c r="D129" s="949">
        <f>E129+F129+G129+H129+I129+J129+K129+L129</f>
        <v>573750</v>
      </c>
      <c r="E129" s="949">
        <v>0</v>
      </c>
      <c r="F129" s="986">
        <f>36651-9130</f>
        <v>27521</v>
      </c>
      <c r="G129" s="986">
        <f>302499+9130</f>
        <v>311629</v>
      </c>
      <c r="H129" s="986">
        <v>234600</v>
      </c>
      <c r="I129" s="986">
        <v>0</v>
      </c>
      <c r="J129" s="986">
        <v>0</v>
      </c>
      <c r="K129" s="986">
        <v>0</v>
      </c>
      <c r="L129" s="986">
        <v>0</v>
      </c>
      <c r="M129" s="2194">
        <f>SUM(F129:K129)</f>
        <v>573750</v>
      </c>
      <c r="N129" s="2194">
        <f>SUM(G129:L129)</f>
        <v>546229</v>
      </c>
      <c r="O129" s="3241"/>
    </row>
    <row r="130" spans="1:15" s="233" customFormat="1" ht="15" hidden="1" customHeight="1">
      <c r="A130" s="3783"/>
      <c r="B130" s="3086" t="s">
        <v>372</v>
      </c>
      <c r="C130" s="3078"/>
      <c r="D130" s="949">
        <f t="shared" ref="D130:D131" si="87">E130+F130+G130+H130+I130+J130+K130+L130</f>
        <v>31701</v>
      </c>
      <c r="E130" s="3059"/>
      <c r="F130" s="3035">
        <f>8496+1459+208-829</f>
        <v>9334</v>
      </c>
      <c r="G130" s="3035">
        <f>8496+1459+208+2041</f>
        <v>12204</v>
      </c>
      <c r="H130" s="3035">
        <f>8496+1459+208</f>
        <v>10163</v>
      </c>
      <c r="I130" s="986"/>
      <c r="J130" s="986"/>
      <c r="K130" s="986"/>
      <c r="L130" s="986"/>
      <c r="M130" s="3087"/>
      <c r="N130" s="3087"/>
      <c r="O130" s="3241"/>
    </row>
    <row r="131" spans="1:15" s="233" customFormat="1" ht="15" hidden="1" customHeight="1">
      <c r="A131" s="3783"/>
      <c r="B131" s="3086" t="s">
        <v>373</v>
      </c>
      <c r="C131" s="3078"/>
      <c r="D131" s="949">
        <f t="shared" si="87"/>
        <v>542049</v>
      </c>
      <c r="E131" s="3059"/>
      <c r="F131" s="3035">
        <f>129026-98286-4250-8303</f>
        <v>18187</v>
      </c>
      <c r="G131" s="3035">
        <f>163661+18488+7650+98286+4250+7090</f>
        <v>299425</v>
      </c>
      <c r="H131" s="3035">
        <f>204036+5100+15300+1</f>
        <v>224437</v>
      </c>
      <c r="I131" s="2665"/>
      <c r="J131" s="2665"/>
      <c r="K131" s="2665"/>
      <c r="L131" s="2665"/>
      <c r="M131" s="3087"/>
      <c r="N131" s="3087"/>
      <c r="O131" s="3241"/>
    </row>
    <row r="132" spans="1:15" s="233" customFormat="1" ht="12.75">
      <c r="A132" s="3783"/>
      <c r="B132" s="662" t="s">
        <v>22</v>
      </c>
      <c r="C132" s="1800"/>
      <c r="D132" s="1801">
        <f t="shared" ref="D132:L133" si="88">D133</f>
        <v>573750</v>
      </c>
      <c r="E132" s="1801">
        <f t="shared" ref="E132:E133" si="89">+E133</f>
        <v>0</v>
      </c>
      <c r="F132" s="1801">
        <f t="shared" si="88"/>
        <v>0</v>
      </c>
      <c r="G132" s="1801">
        <f t="shared" si="88"/>
        <v>178482</v>
      </c>
      <c r="H132" s="1801">
        <f t="shared" si="88"/>
        <v>308586</v>
      </c>
      <c r="I132" s="1801">
        <f t="shared" si="88"/>
        <v>86682</v>
      </c>
      <c r="J132" s="1801">
        <f t="shared" si="88"/>
        <v>0</v>
      </c>
      <c r="K132" s="1801">
        <f t="shared" si="88"/>
        <v>0</v>
      </c>
      <c r="L132" s="1801">
        <f t="shared" si="88"/>
        <v>0</v>
      </c>
      <c r="M132" s="3302" t="s">
        <v>61</v>
      </c>
      <c r="N132" s="3302" t="s">
        <v>61</v>
      </c>
      <c r="O132" s="3241"/>
    </row>
    <row r="133" spans="1:15" s="233" customFormat="1" ht="12.75">
      <c r="A133" s="3783"/>
      <c r="B133" s="633" t="s">
        <v>18</v>
      </c>
      <c r="C133" s="3332" t="s">
        <v>170</v>
      </c>
      <c r="D133" s="1810">
        <f t="shared" si="88"/>
        <v>573750</v>
      </c>
      <c r="E133" s="1810">
        <f t="shared" si="89"/>
        <v>0</v>
      </c>
      <c r="F133" s="1810">
        <f t="shared" si="88"/>
        <v>0</v>
      </c>
      <c r="G133" s="1810">
        <f t="shared" si="88"/>
        <v>178482</v>
      </c>
      <c r="H133" s="1810">
        <f t="shared" si="88"/>
        <v>308586</v>
      </c>
      <c r="I133" s="1810">
        <f t="shared" si="88"/>
        <v>86682</v>
      </c>
      <c r="J133" s="1810">
        <f t="shared" si="88"/>
        <v>0</v>
      </c>
      <c r="K133" s="1810">
        <f t="shared" si="88"/>
        <v>0</v>
      </c>
      <c r="L133" s="1810">
        <f t="shared" si="88"/>
        <v>0</v>
      </c>
      <c r="M133" s="3273"/>
      <c r="N133" s="3273"/>
      <c r="O133" s="3241"/>
    </row>
    <row r="134" spans="1:15" s="233" customFormat="1" ht="13.5" thickBot="1">
      <c r="A134" s="3784"/>
      <c r="B134" s="1835" t="s">
        <v>21</v>
      </c>
      <c r="C134" s="3217"/>
      <c r="D134" s="2989">
        <f>E134+F134+G134+H134+I134+J134+K134+L134</f>
        <v>573750</v>
      </c>
      <c r="E134" s="2989">
        <v>0</v>
      </c>
      <c r="F134" s="2181">
        <f>48432-48432</f>
        <v>0</v>
      </c>
      <c r="G134" s="2181">
        <f>130050+48432</f>
        <v>178482</v>
      </c>
      <c r="H134" s="2181">
        <v>308586</v>
      </c>
      <c r="I134" s="2181">
        <v>86682</v>
      </c>
      <c r="J134" s="2181">
        <v>0</v>
      </c>
      <c r="K134" s="2181">
        <v>0</v>
      </c>
      <c r="L134" s="2181">
        <v>0</v>
      </c>
      <c r="M134" s="3274"/>
      <c r="N134" s="3274"/>
      <c r="O134" s="3242"/>
    </row>
    <row r="135" spans="1:15" s="233" customFormat="1" ht="12.75" hidden="1">
      <c r="A135" s="3787" t="s">
        <v>91</v>
      </c>
      <c r="B135" s="184"/>
      <c r="C135" s="1833" t="s">
        <v>171</v>
      </c>
      <c r="D135" s="761"/>
      <c r="E135" s="762"/>
      <c r="F135" s="763"/>
      <c r="G135" s="763"/>
      <c r="H135" s="763"/>
      <c r="I135" s="762"/>
      <c r="J135" s="762"/>
      <c r="K135" s="762"/>
      <c r="L135" s="762"/>
      <c r="M135" s="764"/>
      <c r="N135" s="764"/>
      <c r="O135" s="3240"/>
    </row>
    <row r="136" spans="1:15" s="233" customFormat="1" ht="15" hidden="1" customHeight="1">
      <c r="A136" s="3783"/>
      <c r="B136" s="1799" t="s">
        <v>10</v>
      </c>
      <c r="C136" s="1800"/>
      <c r="D136" s="1801">
        <f>+D137+D139</f>
        <v>0</v>
      </c>
      <c r="E136" s="1801">
        <f>+E137+E139</f>
        <v>0</v>
      </c>
      <c r="F136" s="1801">
        <f>+F137+F139</f>
        <v>0</v>
      </c>
      <c r="G136" s="1801">
        <f t="shared" ref="G136:H136" si="90">+G137+G139</f>
        <v>0</v>
      </c>
      <c r="H136" s="1801">
        <f t="shared" si="90"/>
        <v>0</v>
      </c>
      <c r="I136" s="1801">
        <v>0</v>
      </c>
      <c r="J136" s="1801">
        <v>0</v>
      </c>
      <c r="K136" s="1801">
        <v>0</v>
      </c>
      <c r="L136" s="1801">
        <v>0</v>
      </c>
      <c r="M136" s="1802">
        <f>+M137+M139</f>
        <v>0</v>
      </c>
      <c r="N136" s="1802">
        <f>+N137+N139</f>
        <v>0</v>
      </c>
      <c r="O136" s="3241"/>
    </row>
    <row r="137" spans="1:15" s="233" customFormat="1" ht="15" hidden="1" customHeight="1">
      <c r="A137" s="3783"/>
      <c r="B137" s="1803" t="s">
        <v>24</v>
      </c>
      <c r="C137" s="3214" t="s">
        <v>215</v>
      </c>
      <c r="D137" s="1804">
        <f>+D138</f>
        <v>0</v>
      </c>
      <c r="E137" s="1809">
        <f>+E138</f>
        <v>0</v>
      </c>
      <c r="F137" s="1809">
        <f>+F138</f>
        <v>0</v>
      </c>
      <c r="G137" s="1809">
        <f t="shared" ref="G137:H137" si="91">+G138</f>
        <v>0</v>
      </c>
      <c r="H137" s="1809">
        <f t="shared" si="91"/>
        <v>0</v>
      </c>
      <c r="I137" s="1810">
        <v>0</v>
      </c>
      <c r="J137" s="1810">
        <v>0</v>
      </c>
      <c r="K137" s="1810">
        <v>0</v>
      </c>
      <c r="L137" s="1810">
        <v>0</v>
      </c>
      <c r="M137" s="1805">
        <f>+M138</f>
        <v>0</v>
      </c>
      <c r="N137" s="1805">
        <f>+N138</f>
        <v>0</v>
      </c>
      <c r="O137" s="3241"/>
    </row>
    <row r="138" spans="1:15" s="233" customFormat="1" ht="15" hidden="1" customHeight="1">
      <c r="A138" s="3783"/>
      <c r="B138" s="1806" t="s">
        <v>12</v>
      </c>
      <c r="C138" s="3215"/>
      <c r="D138" s="1715"/>
      <c r="E138" s="1715">
        <v>0</v>
      </c>
      <c r="F138" s="1807"/>
      <c r="G138" s="1807"/>
      <c r="H138" s="1807"/>
      <c r="I138" s="1810">
        <v>0</v>
      </c>
      <c r="J138" s="1810">
        <v>0</v>
      </c>
      <c r="K138" s="1810">
        <v>0</v>
      </c>
      <c r="L138" s="1810">
        <v>0</v>
      </c>
      <c r="M138" s="758">
        <f>SUM(F138:K138)</f>
        <v>0</v>
      </c>
      <c r="N138" s="758">
        <f>SUM(G138:L138)</f>
        <v>0</v>
      </c>
      <c r="O138" s="3241"/>
    </row>
    <row r="139" spans="1:15" s="233" customFormat="1" ht="15" hidden="1" customHeight="1">
      <c r="A139" s="3783"/>
      <c r="B139" s="1808" t="s">
        <v>18</v>
      </c>
      <c r="C139" s="3215"/>
      <c r="D139" s="1804">
        <f>+D140</f>
        <v>0</v>
      </c>
      <c r="E139" s="1809">
        <f>+E140</f>
        <v>0</v>
      </c>
      <c r="F139" s="1809">
        <f>+F140</f>
        <v>0</v>
      </c>
      <c r="G139" s="1809">
        <f t="shared" ref="G139:H139" si="92">+G140</f>
        <v>0</v>
      </c>
      <c r="H139" s="1809">
        <f t="shared" si="92"/>
        <v>0</v>
      </c>
      <c r="I139" s="1810">
        <v>0</v>
      </c>
      <c r="J139" s="1810">
        <v>0</v>
      </c>
      <c r="K139" s="1810">
        <v>0</v>
      </c>
      <c r="L139" s="1810">
        <v>0</v>
      </c>
      <c r="M139" s="1805">
        <f>+M140</f>
        <v>0</v>
      </c>
      <c r="N139" s="1805">
        <f>+N140</f>
        <v>0</v>
      </c>
      <c r="O139" s="3241"/>
    </row>
    <row r="140" spans="1:15" s="233" customFormat="1" ht="15" hidden="1" customHeight="1">
      <c r="A140" s="3783"/>
      <c r="B140" s="281" t="s">
        <v>21</v>
      </c>
      <c r="C140" s="3262"/>
      <c r="D140" s="1715"/>
      <c r="E140" s="1715">
        <v>0</v>
      </c>
      <c r="F140" s="1807"/>
      <c r="G140" s="1807"/>
      <c r="H140" s="1807"/>
      <c r="I140" s="1810">
        <v>0</v>
      </c>
      <c r="J140" s="1810">
        <v>0</v>
      </c>
      <c r="K140" s="1810">
        <v>0</v>
      </c>
      <c r="L140" s="1810">
        <v>0</v>
      </c>
      <c r="M140" s="758">
        <f>SUM(F140:K140)</f>
        <v>0</v>
      </c>
      <c r="N140" s="758">
        <f>SUM(G140:L140)</f>
        <v>0</v>
      </c>
      <c r="O140" s="3723"/>
    </row>
    <row r="141" spans="1:15" s="233" customFormat="1" ht="15" hidden="1" customHeight="1">
      <c r="A141" s="3783"/>
      <c r="B141" s="662" t="s">
        <v>22</v>
      </c>
      <c r="C141" s="1800"/>
      <c r="D141" s="1801">
        <f t="shared" ref="D141:F142" si="93">+D142</f>
        <v>0</v>
      </c>
      <c r="E141" s="1801">
        <f t="shared" si="93"/>
        <v>0</v>
      </c>
      <c r="F141" s="1801">
        <f t="shared" si="93"/>
        <v>0</v>
      </c>
      <c r="G141" s="1801">
        <f t="shared" ref="G141:H141" si="94">+G142</f>
        <v>0</v>
      </c>
      <c r="H141" s="1801">
        <f t="shared" si="94"/>
        <v>0</v>
      </c>
      <c r="I141" s="1801">
        <v>0</v>
      </c>
      <c r="J141" s="1801">
        <v>0</v>
      </c>
      <c r="K141" s="1801">
        <v>0</v>
      </c>
      <c r="L141" s="1801">
        <v>0</v>
      </c>
      <c r="M141" s="3302"/>
      <c r="N141" s="3302"/>
      <c r="O141" s="3241"/>
    </row>
    <row r="142" spans="1:15" s="233" customFormat="1" ht="15" hidden="1" customHeight="1">
      <c r="A142" s="3783"/>
      <c r="B142" s="633" t="s">
        <v>18</v>
      </c>
      <c r="C142" s="3332" t="s">
        <v>218</v>
      </c>
      <c r="D142" s="1804">
        <f t="shared" si="93"/>
        <v>0</v>
      </c>
      <c r="E142" s="1810">
        <f t="shared" si="93"/>
        <v>0</v>
      </c>
      <c r="F142" s="1810">
        <f t="shared" si="93"/>
        <v>0</v>
      </c>
      <c r="G142" s="1810">
        <f t="shared" ref="G142:H142" si="95">+G143</f>
        <v>0</v>
      </c>
      <c r="H142" s="1810">
        <f t="shared" si="95"/>
        <v>0</v>
      </c>
      <c r="I142" s="1810">
        <v>0</v>
      </c>
      <c r="J142" s="1810">
        <v>0</v>
      </c>
      <c r="K142" s="1810">
        <v>0</v>
      </c>
      <c r="L142" s="1810">
        <v>0</v>
      </c>
      <c r="M142" s="3273"/>
      <c r="N142" s="3273"/>
      <c r="O142" s="3241"/>
    </row>
    <row r="143" spans="1:15" s="233" customFormat="1" ht="15" hidden="1" customHeight="1" thickBot="1">
      <c r="A143" s="3784"/>
      <c r="B143" s="1835" t="s">
        <v>21</v>
      </c>
      <c r="C143" s="3217"/>
      <c r="D143" s="942">
        <f>E143+F143+G143+H143+I143+J143+K143+L143</f>
        <v>0</v>
      </c>
      <c r="E143" s="942">
        <v>0</v>
      </c>
      <c r="F143" s="483"/>
      <c r="G143" s="483"/>
      <c r="H143" s="483"/>
      <c r="I143" s="483">
        <v>0</v>
      </c>
      <c r="J143" s="483">
        <v>0</v>
      </c>
      <c r="K143" s="483">
        <v>0</v>
      </c>
      <c r="L143" s="483">
        <v>0</v>
      </c>
      <c r="M143" s="3274"/>
      <c r="N143" s="3274"/>
      <c r="O143" s="3242"/>
    </row>
    <row r="144" spans="1:15" s="233" customFormat="1" ht="12.75" hidden="1">
      <c r="A144" s="3782" t="s">
        <v>92</v>
      </c>
      <c r="B144" s="184"/>
      <c r="C144" s="1833" t="s">
        <v>81</v>
      </c>
      <c r="D144" s="761"/>
      <c r="E144" s="1709"/>
      <c r="F144" s="763"/>
      <c r="G144" s="763"/>
      <c r="H144" s="763"/>
      <c r="I144" s="762"/>
      <c r="J144" s="762"/>
      <c r="K144" s="762"/>
      <c r="L144" s="762"/>
      <c r="M144" s="764"/>
      <c r="N144" s="764"/>
      <c r="O144" s="3240"/>
    </row>
    <row r="145" spans="1:16" s="233" customFormat="1" ht="15" hidden="1" customHeight="1">
      <c r="A145" s="3783"/>
      <c r="B145" s="30" t="s">
        <v>10</v>
      </c>
      <c r="C145" s="22"/>
      <c r="D145" s="197">
        <f>+D146+D148</f>
        <v>0</v>
      </c>
      <c r="E145" s="197">
        <f>+E146+E148</f>
        <v>0</v>
      </c>
      <c r="F145" s="197">
        <f>+F146+F148</f>
        <v>0</v>
      </c>
      <c r="G145" s="197">
        <f t="shared" ref="G145:I145" si="96">+G146+G148</f>
        <v>0</v>
      </c>
      <c r="H145" s="197">
        <f t="shared" si="96"/>
        <v>0</v>
      </c>
      <c r="I145" s="197">
        <f t="shared" si="96"/>
        <v>0</v>
      </c>
      <c r="J145" s="197">
        <v>0</v>
      </c>
      <c r="K145" s="197">
        <v>0</v>
      </c>
      <c r="L145" s="197">
        <v>0</v>
      </c>
      <c r="M145" s="65">
        <f>+M146+M148</f>
        <v>0</v>
      </c>
      <c r="N145" s="65">
        <f>+N146+N148</f>
        <v>0</v>
      </c>
      <c r="O145" s="3241"/>
    </row>
    <row r="146" spans="1:16" s="233" customFormat="1" ht="15" hidden="1" customHeight="1">
      <c r="A146" s="3783"/>
      <c r="B146" s="769" t="s">
        <v>24</v>
      </c>
      <c r="C146" s="3232" t="s">
        <v>215</v>
      </c>
      <c r="D146" s="311">
        <f>+D147</f>
        <v>0</v>
      </c>
      <c r="E146" s="316">
        <f>+E147</f>
        <v>0</v>
      </c>
      <c r="F146" s="316">
        <f>+F147</f>
        <v>0</v>
      </c>
      <c r="G146" s="316">
        <f>+G147</f>
        <v>0</v>
      </c>
      <c r="H146" s="316">
        <f t="shared" ref="H146:I146" si="97">+H147</f>
        <v>0</v>
      </c>
      <c r="I146" s="316">
        <f t="shared" si="97"/>
        <v>0</v>
      </c>
      <c r="J146" s="50">
        <v>0</v>
      </c>
      <c r="K146" s="50">
        <v>0</v>
      </c>
      <c r="L146" s="50">
        <v>0</v>
      </c>
      <c r="M146" s="308">
        <f>+M147</f>
        <v>0</v>
      </c>
      <c r="N146" s="308">
        <f>+N147</f>
        <v>0</v>
      </c>
      <c r="O146" s="3241"/>
    </row>
    <row r="147" spans="1:16" s="233" customFormat="1" ht="15" hidden="1" customHeight="1">
      <c r="A147" s="3783"/>
      <c r="B147" s="770" t="s">
        <v>12</v>
      </c>
      <c r="C147" s="3215"/>
      <c r="D147" s="247"/>
      <c r="E147" s="247">
        <v>0</v>
      </c>
      <c r="F147" s="310"/>
      <c r="G147" s="310"/>
      <c r="H147" s="310"/>
      <c r="I147" s="310"/>
      <c r="J147" s="50">
        <v>0</v>
      </c>
      <c r="K147" s="50">
        <v>0</v>
      </c>
      <c r="L147" s="50">
        <v>0</v>
      </c>
      <c r="M147" s="758">
        <f>SUM(F147:K147)</f>
        <v>0</v>
      </c>
      <c r="N147" s="758">
        <f>SUM(G147:L147)</f>
        <v>0</v>
      </c>
      <c r="O147" s="3241"/>
    </row>
    <row r="148" spans="1:16" s="233" customFormat="1" ht="15" hidden="1" customHeight="1">
      <c r="A148" s="3783"/>
      <c r="B148" s="640" t="s">
        <v>18</v>
      </c>
      <c r="C148" s="3215"/>
      <c r="D148" s="49">
        <f>+D149</f>
        <v>0</v>
      </c>
      <c r="E148" s="100">
        <f>+E149</f>
        <v>0</v>
      </c>
      <c r="F148" s="100">
        <f>+F149</f>
        <v>0</v>
      </c>
      <c r="G148" s="100">
        <f t="shared" ref="G148:I148" si="98">+G149</f>
        <v>0</v>
      </c>
      <c r="H148" s="100">
        <f t="shared" si="98"/>
        <v>0</v>
      </c>
      <c r="I148" s="100">
        <f t="shared" si="98"/>
        <v>0</v>
      </c>
      <c r="J148" s="50">
        <v>0</v>
      </c>
      <c r="K148" s="50">
        <v>0</v>
      </c>
      <c r="L148" s="50">
        <v>0</v>
      </c>
      <c r="M148" s="79">
        <f>+M149</f>
        <v>0</v>
      </c>
      <c r="N148" s="79">
        <f>+N149</f>
        <v>0</v>
      </c>
      <c r="O148" s="3241"/>
    </row>
    <row r="149" spans="1:16" s="233" customFormat="1" ht="15" hidden="1" customHeight="1">
      <c r="A149" s="3783"/>
      <c r="B149" s="281" t="s">
        <v>21</v>
      </c>
      <c r="C149" s="3262"/>
      <c r="D149" s="247"/>
      <c r="E149" s="1555">
        <v>0</v>
      </c>
      <c r="F149" s="718"/>
      <c r="G149" s="718"/>
      <c r="H149" s="718"/>
      <c r="I149" s="718"/>
      <c r="J149" s="50">
        <v>0</v>
      </c>
      <c r="K149" s="50">
        <v>0</v>
      </c>
      <c r="L149" s="50">
        <v>0</v>
      </c>
      <c r="M149" s="758">
        <f>SUM(F149:K149)</f>
        <v>0</v>
      </c>
      <c r="N149" s="758">
        <f>SUM(G149:L149)</f>
        <v>0</v>
      </c>
      <c r="O149" s="3723"/>
    </row>
    <row r="150" spans="1:16" s="233" customFormat="1" ht="15" hidden="1" customHeight="1">
      <c r="A150" s="3783"/>
      <c r="B150" s="21" t="s">
        <v>22</v>
      </c>
      <c r="C150" s="22"/>
      <c r="D150" s="197">
        <f t="shared" ref="D150:F151" si="99">+D151</f>
        <v>0</v>
      </c>
      <c r="E150" s="101">
        <f t="shared" si="99"/>
        <v>0</v>
      </c>
      <c r="F150" s="101">
        <f t="shared" si="99"/>
        <v>0</v>
      </c>
      <c r="G150" s="101">
        <f t="shared" ref="G150:I150" si="100">+G151</f>
        <v>0</v>
      </c>
      <c r="H150" s="101">
        <f t="shared" si="100"/>
        <v>0</v>
      </c>
      <c r="I150" s="101">
        <f t="shared" si="100"/>
        <v>0</v>
      </c>
      <c r="J150" s="197">
        <v>0</v>
      </c>
      <c r="K150" s="197">
        <v>0</v>
      </c>
      <c r="L150" s="197">
        <v>0</v>
      </c>
      <c r="M150" s="3337"/>
      <c r="N150" s="3337"/>
      <c r="O150" s="3241"/>
    </row>
    <row r="151" spans="1:16" s="233" customFormat="1" ht="15" hidden="1" customHeight="1">
      <c r="A151" s="3783"/>
      <c r="B151" s="171" t="s">
        <v>18</v>
      </c>
      <c r="C151" s="3789" t="s">
        <v>218</v>
      </c>
      <c r="D151" s="49">
        <f t="shared" si="99"/>
        <v>0</v>
      </c>
      <c r="E151" s="50">
        <f t="shared" si="99"/>
        <v>0</v>
      </c>
      <c r="F151" s="50">
        <f t="shared" si="99"/>
        <v>0</v>
      </c>
      <c r="G151" s="50">
        <f t="shared" ref="G151:I151" si="101">+G152</f>
        <v>0</v>
      </c>
      <c r="H151" s="50">
        <f t="shared" si="101"/>
        <v>0</v>
      </c>
      <c r="I151" s="50">
        <f t="shared" si="101"/>
        <v>0</v>
      </c>
      <c r="J151" s="50">
        <v>0</v>
      </c>
      <c r="K151" s="50">
        <v>0</v>
      </c>
      <c r="L151" s="50">
        <v>0</v>
      </c>
      <c r="M151" s="3273"/>
      <c r="N151" s="3273"/>
      <c r="O151" s="3241"/>
    </row>
    <row r="152" spans="1:16" s="233" customFormat="1" ht="15" hidden="1" customHeight="1" thickBot="1">
      <c r="A152" s="3784"/>
      <c r="B152" s="1835" t="s">
        <v>21</v>
      </c>
      <c r="C152" s="3217"/>
      <c r="D152" s="247"/>
      <c r="E152" s="247">
        <v>0</v>
      </c>
      <c r="F152" s="72"/>
      <c r="G152" s="72"/>
      <c r="H152" s="72"/>
      <c r="I152" s="72"/>
      <c r="J152" s="72">
        <v>0</v>
      </c>
      <c r="K152" s="72">
        <v>0</v>
      </c>
      <c r="L152" s="72">
        <v>0</v>
      </c>
      <c r="M152" s="3274"/>
      <c r="N152" s="3274"/>
      <c r="O152" s="3242"/>
    </row>
    <row r="153" spans="1:16" s="1549" customFormat="1" ht="22.5" customHeight="1">
      <c r="A153" s="3787" t="s">
        <v>91</v>
      </c>
      <c r="B153" s="184" t="s">
        <v>432</v>
      </c>
      <c r="C153" s="3037" t="s">
        <v>109</v>
      </c>
      <c r="D153" s="3038"/>
      <c r="E153" s="3039"/>
      <c r="F153" s="763"/>
      <c r="G153" s="763"/>
      <c r="H153" s="763"/>
      <c r="I153" s="762"/>
      <c r="J153" s="762"/>
      <c r="K153" s="762"/>
      <c r="L153" s="762"/>
      <c r="M153" s="764"/>
      <c r="N153" s="764"/>
      <c r="O153" s="3240" t="s">
        <v>365</v>
      </c>
    </row>
    <row r="154" spans="1:16" s="1549" customFormat="1" ht="12.75">
      <c r="A154" s="3783"/>
      <c r="B154" s="30" t="s">
        <v>10</v>
      </c>
      <c r="C154" s="22"/>
      <c r="D154" s="197">
        <f>+D155+D159</f>
        <v>653000</v>
      </c>
      <c r="E154" s="197">
        <f t="shared" ref="E154" si="102">+E155+E159</f>
        <v>0</v>
      </c>
      <c r="F154" s="197">
        <f t="shared" ref="F154:L154" si="103">+F155+F159</f>
        <v>915</v>
      </c>
      <c r="G154" s="197">
        <f t="shared" si="103"/>
        <v>214292</v>
      </c>
      <c r="H154" s="197">
        <f t="shared" si="103"/>
        <v>372867</v>
      </c>
      <c r="I154" s="197">
        <f t="shared" si="103"/>
        <v>64926</v>
      </c>
      <c r="J154" s="1598">
        <f t="shared" si="103"/>
        <v>0</v>
      </c>
      <c r="K154" s="1598">
        <f t="shared" si="103"/>
        <v>0</v>
      </c>
      <c r="L154" s="1598">
        <f t="shared" si="103"/>
        <v>0</v>
      </c>
      <c r="M154" s="65">
        <f>+M155+M159</f>
        <v>653000</v>
      </c>
      <c r="N154" s="65">
        <f>+N155+N159</f>
        <v>652085</v>
      </c>
      <c r="O154" s="3241"/>
      <c r="P154" s="1549" t="s">
        <v>430</v>
      </c>
    </row>
    <row r="155" spans="1:16" s="1549" customFormat="1" ht="15" customHeight="1">
      <c r="A155" s="3783"/>
      <c r="B155" s="769" t="s">
        <v>24</v>
      </c>
      <c r="C155" s="3232" t="s">
        <v>424</v>
      </c>
      <c r="D155" s="311">
        <f>SUM(D156)</f>
        <v>98843</v>
      </c>
      <c r="E155" s="311">
        <f t="shared" ref="E155:L155" si="104">SUM(E156)</f>
        <v>0</v>
      </c>
      <c r="F155" s="311">
        <f t="shared" si="104"/>
        <v>137</v>
      </c>
      <c r="G155" s="311">
        <f t="shared" si="104"/>
        <v>32442</v>
      </c>
      <c r="H155" s="311">
        <f t="shared" si="104"/>
        <v>56227</v>
      </c>
      <c r="I155" s="311">
        <f t="shared" si="104"/>
        <v>10037</v>
      </c>
      <c r="J155" s="3040">
        <f t="shared" si="104"/>
        <v>0</v>
      </c>
      <c r="K155" s="3040">
        <f t="shared" si="104"/>
        <v>0</v>
      </c>
      <c r="L155" s="3040">
        <f t="shared" si="104"/>
        <v>0</v>
      </c>
      <c r="M155" s="308">
        <f>+M156</f>
        <v>98843</v>
      </c>
      <c r="N155" s="308">
        <f>+N156</f>
        <v>98706</v>
      </c>
      <c r="O155" s="3241"/>
    </row>
    <row r="156" spans="1:16" s="1549" customFormat="1" ht="12.75">
      <c r="A156" s="3783"/>
      <c r="B156" s="770" t="s">
        <v>12</v>
      </c>
      <c r="C156" s="3215"/>
      <c r="D156" s="247">
        <f>E156+F156+G156+H156+I156+J156+K156+L156</f>
        <v>98843</v>
      </c>
      <c r="E156" s="247">
        <v>0</v>
      </c>
      <c r="F156" s="247">
        <f>SUM(F157:F158)</f>
        <v>137</v>
      </c>
      <c r="G156" s="247">
        <f t="shared" ref="G156:L156" si="105">SUM(G157:G158)</f>
        <v>32442</v>
      </c>
      <c r="H156" s="247">
        <f t="shared" si="105"/>
        <v>56227</v>
      </c>
      <c r="I156" s="247">
        <f t="shared" si="105"/>
        <v>10037</v>
      </c>
      <c r="J156" s="3041">
        <f t="shared" si="105"/>
        <v>0</v>
      </c>
      <c r="K156" s="3041">
        <f t="shared" si="105"/>
        <v>0</v>
      </c>
      <c r="L156" s="3041">
        <f t="shared" si="105"/>
        <v>0</v>
      </c>
      <c r="M156" s="758">
        <f>+M157+M158</f>
        <v>98843</v>
      </c>
      <c r="N156" s="758">
        <f>+N157+N158</f>
        <v>98706</v>
      </c>
      <c r="O156" s="3241"/>
    </row>
    <row r="157" spans="1:16" s="1549" customFormat="1" ht="15" hidden="1" customHeight="1">
      <c r="A157" s="3783"/>
      <c r="B157" s="3042" t="s">
        <v>425</v>
      </c>
      <c r="C157" s="3215"/>
      <c r="D157" s="949">
        <f>SUM(E157:L157)</f>
        <v>80557</v>
      </c>
      <c r="E157" s="3043">
        <v>0</v>
      </c>
      <c r="F157" s="986">
        <f>2151-2014</f>
        <v>137</v>
      </c>
      <c r="G157" s="986">
        <f>22007+4408</f>
        <v>26415</v>
      </c>
      <c r="H157" s="986">
        <v>45779</v>
      </c>
      <c r="I157" s="986">
        <v>8226</v>
      </c>
      <c r="J157" s="3044">
        <v>0</v>
      </c>
      <c r="K157" s="3044">
        <v>0</v>
      </c>
      <c r="L157" s="3044">
        <v>0</v>
      </c>
      <c r="M157" s="758">
        <f>SUM(F157:K157)</f>
        <v>80557</v>
      </c>
      <c r="N157" s="758">
        <f>SUM(G157:L157)</f>
        <v>80420</v>
      </c>
      <c r="O157" s="3241"/>
    </row>
    <row r="158" spans="1:16" s="1549" customFormat="1" ht="15" hidden="1" customHeight="1">
      <c r="A158" s="3783"/>
      <c r="B158" s="3042" t="s">
        <v>293</v>
      </c>
      <c r="C158" s="3215"/>
      <c r="D158" s="949">
        <v>18286</v>
      </c>
      <c r="E158" s="3043">
        <v>0</v>
      </c>
      <c r="F158" s="1599">
        <v>0</v>
      </c>
      <c r="G158" s="986">
        <v>6027</v>
      </c>
      <c r="H158" s="986">
        <v>10448</v>
      </c>
      <c r="I158" s="986">
        <v>1811</v>
      </c>
      <c r="J158" s="3044">
        <v>0</v>
      </c>
      <c r="K158" s="3044">
        <v>0</v>
      </c>
      <c r="L158" s="3044">
        <v>0</v>
      </c>
      <c r="M158" s="758">
        <f>SUM(F158:K158)</f>
        <v>18286</v>
      </c>
      <c r="N158" s="758">
        <f>SUM(G158:L158)</f>
        <v>18286</v>
      </c>
      <c r="O158" s="3241"/>
    </row>
    <row r="159" spans="1:16" s="1549" customFormat="1" ht="12.75">
      <c r="A159" s="3783"/>
      <c r="B159" s="640" t="s">
        <v>18</v>
      </c>
      <c r="C159" s="3215"/>
      <c r="D159" s="49">
        <f>SUM(E159:L159)</f>
        <v>554157</v>
      </c>
      <c r="E159" s="49">
        <f t="shared" ref="E159:L159" si="106">SUM(E160)</f>
        <v>0</v>
      </c>
      <c r="F159" s="49">
        <f t="shared" si="106"/>
        <v>778</v>
      </c>
      <c r="G159" s="49">
        <f t="shared" si="106"/>
        <v>181850</v>
      </c>
      <c r="H159" s="49">
        <f t="shared" si="106"/>
        <v>316640</v>
      </c>
      <c r="I159" s="49">
        <f t="shared" si="106"/>
        <v>54889</v>
      </c>
      <c r="J159" s="3045">
        <f t="shared" si="106"/>
        <v>0</v>
      </c>
      <c r="K159" s="3045">
        <f t="shared" si="106"/>
        <v>0</v>
      </c>
      <c r="L159" s="3045">
        <f t="shared" si="106"/>
        <v>0</v>
      </c>
      <c r="M159" s="308">
        <f>+M160</f>
        <v>554157</v>
      </c>
      <c r="N159" s="308">
        <f>+N160</f>
        <v>553379</v>
      </c>
      <c r="O159" s="3241"/>
    </row>
    <row r="160" spans="1:16" s="1549" customFormat="1" ht="12.75">
      <c r="A160" s="3783"/>
      <c r="B160" s="3046" t="s">
        <v>21</v>
      </c>
      <c r="C160" s="3215"/>
      <c r="D160" s="247">
        <f>E160+F160+G160+H160+I160+J160+K160+L160</f>
        <v>554157</v>
      </c>
      <c r="E160" s="247">
        <v>0</v>
      </c>
      <c r="F160" s="3047">
        <f t="shared" ref="F160:L160" si="107">SUM(F161:F162)</f>
        <v>778</v>
      </c>
      <c r="G160" s="3047">
        <f t="shared" si="107"/>
        <v>181850</v>
      </c>
      <c r="H160" s="3047">
        <f t="shared" si="107"/>
        <v>316640</v>
      </c>
      <c r="I160" s="3047">
        <f t="shared" si="107"/>
        <v>54889</v>
      </c>
      <c r="J160" s="3048">
        <f t="shared" si="107"/>
        <v>0</v>
      </c>
      <c r="K160" s="3048">
        <f t="shared" si="107"/>
        <v>0</v>
      </c>
      <c r="L160" s="3048">
        <f t="shared" si="107"/>
        <v>0</v>
      </c>
      <c r="M160" s="758">
        <f>SUM(F160:K160)</f>
        <v>554157</v>
      </c>
      <c r="N160" s="758">
        <f>SUM(G160:L160)</f>
        <v>553379</v>
      </c>
      <c r="O160" s="3241"/>
    </row>
    <row r="161" spans="1:16" s="1549" customFormat="1" ht="15" hidden="1" customHeight="1">
      <c r="A161" s="3783"/>
      <c r="B161" s="3049" t="s">
        <v>425</v>
      </c>
      <c r="C161" s="3790"/>
      <c r="D161" s="3047">
        <f>SUM(E161:L161)</f>
        <v>450534</v>
      </c>
      <c r="E161" s="3050">
        <v>0</v>
      </c>
      <c r="F161" s="2665">
        <f>12189-11411</f>
        <v>778</v>
      </c>
      <c r="G161" s="2665">
        <f>122723+24977</f>
        <v>147700</v>
      </c>
      <c r="H161" s="2665">
        <v>257431</v>
      </c>
      <c r="I161" s="2665">
        <v>44625</v>
      </c>
      <c r="J161" s="3051">
        <v>0</v>
      </c>
      <c r="K161" s="3051">
        <v>0</v>
      </c>
      <c r="L161" s="3051">
        <v>0</v>
      </c>
      <c r="M161" s="65">
        <f t="shared" ref="M161:N162" si="108">SUM(E161:K161)</f>
        <v>450534</v>
      </c>
      <c r="N161" s="758">
        <f t="shared" si="108"/>
        <v>450534</v>
      </c>
      <c r="O161" s="3241"/>
    </row>
    <row r="162" spans="1:16" s="1549" customFormat="1" ht="15" hidden="1" customHeight="1">
      <c r="A162" s="3783"/>
      <c r="B162" s="3052" t="s">
        <v>293</v>
      </c>
      <c r="C162" s="3791"/>
      <c r="D162" s="247">
        <f>SUM(E162:L162)</f>
        <v>103623</v>
      </c>
      <c r="E162" s="3053">
        <v>0</v>
      </c>
      <c r="F162" s="3054">
        <v>0</v>
      </c>
      <c r="G162" s="718">
        <v>34150</v>
      </c>
      <c r="H162" s="718">
        <v>59209</v>
      </c>
      <c r="I162" s="718">
        <v>10264</v>
      </c>
      <c r="J162" s="3055">
        <v>0</v>
      </c>
      <c r="K162" s="3055">
        <v>0</v>
      </c>
      <c r="L162" s="3055">
        <v>0</v>
      </c>
      <c r="M162" s="65">
        <f t="shared" si="108"/>
        <v>103623</v>
      </c>
      <c r="N162" s="758">
        <f t="shared" si="108"/>
        <v>103623</v>
      </c>
      <c r="O162" s="3723"/>
    </row>
    <row r="163" spans="1:16" s="1549" customFormat="1" ht="13.5" customHeight="1">
      <c r="A163" s="3783"/>
      <c r="B163" s="82" t="s">
        <v>22</v>
      </c>
      <c r="C163" s="22"/>
      <c r="D163" s="197">
        <f>SUM(E163:L163)</f>
        <v>554157</v>
      </c>
      <c r="E163" s="197">
        <f t="shared" ref="E163:L163" si="109">+E164</f>
        <v>0</v>
      </c>
      <c r="F163" s="1598">
        <f t="shared" si="109"/>
        <v>0</v>
      </c>
      <c r="G163" s="197">
        <f t="shared" si="109"/>
        <v>69700</v>
      </c>
      <c r="H163" s="197">
        <f t="shared" si="109"/>
        <v>367384</v>
      </c>
      <c r="I163" s="197">
        <f t="shared" si="109"/>
        <v>117073</v>
      </c>
      <c r="J163" s="1598">
        <f t="shared" si="109"/>
        <v>0</v>
      </c>
      <c r="K163" s="1598">
        <f t="shared" si="109"/>
        <v>0</v>
      </c>
      <c r="L163" s="1598">
        <f t="shared" si="109"/>
        <v>0</v>
      </c>
      <c r="M163" s="3337"/>
      <c r="N163" s="3337"/>
      <c r="O163" s="3788" t="s">
        <v>223</v>
      </c>
    </row>
    <row r="164" spans="1:16" s="1549" customFormat="1" ht="15" customHeight="1">
      <c r="A164" s="3783"/>
      <c r="B164" s="171" t="s">
        <v>18</v>
      </c>
      <c r="C164" s="3789" t="s">
        <v>170</v>
      </c>
      <c r="D164" s="49">
        <f>SUM(E164:L164)</f>
        <v>554157</v>
      </c>
      <c r="E164" s="49">
        <f t="shared" ref="E164:L164" si="110">SUM(E165)</f>
        <v>0</v>
      </c>
      <c r="F164" s="3045">
        <f t="shared" si="110"/>
        <v>0</v>
      </c>
      <c r="G164" s="49">
        <f t="shared" si="110"/>
        <v>69700</v>
      </c>
      <c r="H164" s="49">
        <f t="shared" si="110"/>
        <v>367384</v>
      </c>
      <c r="I164" s="49">
        <f t="shared" si="110"/>
        <v>117073</v>
      </c>
      <c r="J164" s="3045">
        <f t="shared" si="110"/>
        <v>0</v>
      </c>
      <c r="K164" s="3045">
        <f t="shared" si="110"/>
        <v>0</v>
      </c>
      <c r="L164" s="3045">
        <f t="shared" si="110"/>
        <v>0</v>
      </c>
      <c r="M164" s="3273"/>
      <c r="N164" s="3273"/>
      <c r="O164" s="3241"/>
    </row>
    <row r="165" spans="1:16" s="1549" customFormat="1" ht="13.5" thickBot="1">
      <c r="A165" s="3784"/>
      <c r="B165" s="1835" t="s">
        <v>21</v>
      </c>
      <c r="C165" s="3217"/>
      <c r="D165" s="247">
        <f>E165+F165+G165+H165+I165+J165+K165+L165</f>
        <v>554157</v>
      </c>
      <c r="E165" s="247">
        <v>0</v>
      </c>
      <c r="F165" s="1600">
        <v>0</v>
      </c>
      <c r="G165" s="72">
        <v>69700</v>
      </c>
      <c r="H165" s="72">
        <f>353818+13566</f>
        <v>367384</v>
      </c>
      <c r="I165" s="72">
        <v>117073</v>
      </c>
      <c r="J165" s="1600">
        <v>0</v>
      </c>
      <c r="K165" s="1600">
        <v>0</v>
      </c>
      <c r="L165" s="1600">
        <v>0</v>
      </c>
      <c r="M165" s="3274"/>
      <c r="N165" s="3274"/>
      <c r="O165" s="3242"/>
    </row>
    <row r="166" spans="1:16" s="1549" customFormat="1" ht="24" hidden="1" customHeight="1">
      <c r="A166" s="3787" t="s">
        <v>92</v>
      </c>
      <c r="B166" s="184" t="s">
        <v>432</v>
      </c>
      <c r="C166" s="1833" t="s">
        <v>81</v>
      </c>
      <c r="D166" s="761"/>
      <c r="E166" s="1709"/>
      <c r="F166" s="763"/>
      <c r="G166" s="763"/>
      <c r="H166" s="763"/>
      <c r="I166" s="762"/>
      <c r="J166" s="762"/>
      <c r="K166" s="762"/>
      <c r="L166" s="762"/>
      <c r="M166" s="764"/>
      <c r="N166" s="764"/>
      <c r="O166" s="3240" t="s">
        <v>223</v>
      </c>
      <c r="P166" s="1549" t="s">
        <v>430</v>
      </c>
    </row>
    <row r="167" spans="1:16" s="1549" customFormat="1" ht="12.75" hidden="1">
      <c r="A167" s="3783"/>
      <c r="B167" s="1799" t="s">
        <v>10</v>
      </c>
      <c r="C167" s="1800"/>
      <c r="D167" s="1801">
        <f>SUM(E167:L167)</f>
        <v>0</v>
      </c>
      <c r="E167" s="3056">
        <f>SUM(E168,E170)</f>
        <v>0</v>
      </c>
      <c r="F167" s="2173">
        <f t="shared" ref="F167:L167" si="111">F168+F170</f>
        <v>0</v>
      </c>
      <c r="G167" s="3056">
        <f>SUM(G168,G170)</f>
        <v>0</v>
      </c>
      <c r="H167" s="2173">
        <f t="shared" si="111"/>
        <v>0</v>
      </c>
      <c r="I167" s="2173">
        <f t="shared" si="111"/>
        <v>0</v>
      </c>
      <c r="J167" s="2173">
        <f t="shared" si="111"/>
        <v>0</v>
      </c>
      <c r="K167" s="2173">
        <f t="shared" si="111"/>
        <v>0</v>
      </c>
      <c r="L167" s="2173">
        <f t="shared" si="111"/>
        <v>0</v>
      </c>
      <c r="M167" s="1802">
        <f>+M168+M170</f>
        <v>0</v>
      </c>
      <c r="N167" s="1802">
        <f>+N168+N170</f>
        <v>0</v>
      </c>
      <c r="O167" s="3241"/>
    </row>
    <row r="168" spans="1:16" s="1549" customFormat="1" ht="15" hidden="1" customHeight="1">
      <c r="A168" s="3783"/>
      <c r="B168" s="1803" t="s">
        <v>24</v>
      </c>
      <c r="C168" s="3214" t="s">
        <v>170</v>
      </c>
      <c r="D168" s="1804">
        <f>SUM(E168:L168)</f>
        <v>0</v>
      </c>
      <c r="E168" s="3057">
        <f t="shared" ref="E168:L168" si="112">E169</f>
        <v>0</v>
      </c>
      <c r="F168" s="3058">
        <f t="shared" si="112"/>
        <v>0</v>
      </c>
      <c r="G168" s="3057">
        <f t="shared" si="112"/>
        <v>0</v>
      </c>
      <c r="H168" s="3058">
        <f t="shared" si="112"/>
        <v>0</v>
      </c>
      <c r="I168" s="3058">
        <f t="shared" si="112"/>
        <v>0</v>
      </c>
      <c r="J168" s="3058">
        <f t="shared" si="112"/>
        <v>0</v>
      </c>
      <c r="K168" s="3058">
        <f t="shared" si="112"/>
        <v>0</v>
      </c>
      <c r="L168" s="3058">
        <f t="shared" si="112"/>
        <v>0</v>
      </c>
      <c r="M168" s="1805">
        <f>+M169</f>
        <v>0</v>
      </c>
      <c r="N168" s="1805">
        <f>+N169</f>
        <v>0</v>
      </c>
      <c r="O168" s="3241"/>
    </row>
    <row r="169" spans="1:16" s="1549" customFormat="1" ht="11.25" hidden="1" customHeight="1">
      <c r="A169" s="3783"/>
      <c r="B169" s="1806" t="s">
        <v>12</v>
      </c>
      <c r="C169" s="3215"/>
      <c r="D169" s="1715">
        <f>E169+F169+G169+H169+I169+J169+K169+L169</f>
        <v>0</v>
      </c>
      <c r="E169" s="1715">
        <v>0</v>
      </c>
      <c r="F169" s="3059">
        <v>0</v>
      </c>
      <c r="G169" s="3060">
        <f>2394-2394</f>
        <v>0</v>
      </c>
      <c r="H169" s="3059">
        <v>0</v>
      </c>
      <c r="I169" s="3059">
        <v>0</v>
      </c>
      <c r="J169" s="3059">
        <v>0</v>
      </c>
      <c r="K169" s="3059">
        <v>0</v>
      </c>
      <c r="L169" s="3059">
        <v>0</v>
      </c>
      <c r="M169" s="2194">
        <f>SUM(F169:K169)</f>
        <v>0</v>
      </c>
      <c r="N169" s="2194">
        <f>SUM(G169:L169)</f>
        <v>0</v>
      </c>
      <c r="O169" s="3241"/>
    </row>
    <row r="170" spans="1:16" s="1549" customFormat="1" ht="12.75" hidden="1" customHeight="1">
      <c r="A170" s="3783"/>
      <c r="B170" s="1808" t="s">
        <v>18</v>
      </c>
      <c r="C170" s="3215"/>
      <c r="D170" s="1804">
        <f>SUM(E170:L170)</f>
        <v>0</v>
      </c>
      <c r="E170" s="3057">
        <f>E171</f>
        <v>0</v>
      </c>
      <c r="F170" s="3058">
        <v>0</v>
      </c>
      <c r="G170" s="3057">
        <f>G171</f>
        <v>0</v>
      </c>
      <c r="H170" s="3058">
        <v>0</v>
      </c>
      <c r="I170" s="3058">
        <v>0</v>
      </c>
      <c r="J170" s="3058">
        <v>0</v>
      </c>
      <c r="K170" s="3058">
        <v>0</v>
      </c>
      <c r="L170" s="3058">
        <v>0</v>
      </c>
      <c r="M170" s="1805">
        <f>+M171</f>
        <v>0</v>
      </c>
      <c r="N170" s="1805">
        <f>+N171</f>
        <v>0</v>
      </c>
      <c r="O170" s="3241"/>
    </row>
    <row r="171" spans="1:16" s="1549" customFormat="1" ht="12.75" hidden="1">
      <c r="A171" s="3783"/>
      <c r="B171" s="281" t="s">
        <v>21</v>
      </c>
      <c r="C171" s="3262"/>
      <c r="D171" s="1715">
        <f>E171+F171+G171+H171+I171+J171+K171+L171</f>
        <v>0</v>
      </c>
      <c r="E171" s="1715">
        <v>0</v>
      </c>
      <c r="F171" s="3059">
        <v>0</v>
      </c>
      <c r="G171" s="3060">
        <f>13566-13566</f>
        <v>0</v>
      </c>
      <c r="H171" s="3059">
        <v>0</v>
      </c>
      <c r="I171" s="3059">
        <v>0</v>
      </c>
      <c r="J171" s="3059">
        <v>0</v>
      </c>
      <c r="K171" s="3059">
        <v>0</v>
      </c>
      <c r="L171" s="3059">
        <v>0</v>
      </c>
      <c r="M171" s="2194">
        <f>SUM(F171:K171)</f>
        <v>0</v>
      </c>
      <c r="N171" s="2194">
        <f>SUM(G171:L171)</f>
        <v>0</v>
      </c>
      <c r="O171" s="3723"/>
    </row>
    <row r="172" spans="1:16" s="1549" customFormat="1" ht="12.75" hidden="1">
      <c r="A172" s="3783"/>
      <c r="B172" s="662" t="s">
        <v>22</v>
      </c>
      <c r="C172" s="1800"/>
      <c r="D172" s="1801">
        <f>SUM(E172:L172)</f>
        <v>0</v>
      </c>
      <c r="E172" s="3056">
        <f t="shared" ref="E172:L173" si="113">E173</f>
        <v>0</v>
      </c>
      <c r="F172" s="2173">
        <f t="shared" si="113"/>
        <v>0</v>
      </c>
      <c r="G172" s="3056">
        <f t="shared" si="113"/>
        <v>0</v>
      </c>
      <c r="H172" s="2173">
        <f t="shared" si="113"/>
        <v>0</v>
      </c>
      <c r="I172" s="2173">
        <f t="shared" si="113"/>
        <v>0</v>
      </c>
      <c r="J172" s="2173">
        <f t="shared" si="113"/>
        <v>0</v>
      </c>
      <c r="K172" s="2173">
        <f t="shared" si="113"/>
        <v>0</v>
      </c>
      <c r="L172" s="2173">
        <f t="shared" si="113"/>
        <v>0</v>
      </c>
      <c r="M172" s="3302"/>
      <c r="N172" s="3302"/>
      <c r="O172" s="3241" t="s">
        <v>223</v>
      </c>
    </row>
    <row r="173" spans="1:16" s="1549" customFormat="1" ht="12.75" hidden="1" customHeight="1">
      <c r="A173" s="3783"/>
      <c r="B173" s="633" t="s">
        <v>18</v>
      </c>
      <c r="C173" s="3332" t="s">
        <v>170</v>
      </c>
      <c r="D173" s="1804">
        <f>SUM(E173:L173)</f>
        <v>0</v>
      </c>
      <c r="E173" s="3061">
        <f t="shared" si="113"/>
        <v>0</v>
      </c>
      <c r="F173" s="1869">
        <f t="shared" si="113"/>
        <v>0</v>
      </c>
      <c r="G173" s="3061">
        <f t="shared" si="113"/>
        <v>0</v>
      </c>
      <c r="H173" s="1869">
        <f t="shared" si="113"/>
        <v>0</v>
      </c>
      <c r="I173" s="1869">
        <f t="shared" si="113"/>
        <v>0</v>
      </c>
      <c r="J173" s="1869">
        <f t="shared" si="113"/>
        <v>0</v>
      </c>
      <c r="K173" s="1869">
        <f t="shared" si="113"/>
        <v>0</v>
      </c>
      <c r="L173" s="1869">
        <f t="shared" si="113"/>
        <v>0</v>
      </c>
      <c r="M173" s="3273"/>
      <c r="N173" s="3273"/>
      <c r="O173" s="3241"/>
    </row>
    <row r="174" spans="1:16" s="1549" customFormat="1" ht="12" hidden="1" customHeight="1" thickBot="1">
      <c r="A174" s="3784"/>
      <c r="B174" s="1835" t="s">
        <v>21</v>
      </c>
      <c r="C174" s="3217"/>
      <c r="D174" s="1929">
        <f>E174+F174+G174+H174+I174+J174+K174+L174</f>
        <v>0</v>
      </c>
      <c r="E174" s="1929">
        <v>0</v>
      </c>
      <c r="F174" s="3062">
        <v>0</v>
      </c>
      <c r="G174" s="3063">
        <f>13566-13566</f>
        <v>0</v>
      </c>
      <c r="H174" s="3062">
        <v>0</v>
      </c>
      <c r="I174" s="3062">
        <v>0</v>
      </c>
      <c r="J174" s="3062">
        <v>0</v>
      </c>
      <c r="K174" s="3062">
        <v>0</v>
      </c>
      <c r="L174" s="3062">
        <v>0</v>
      </c>
      <c r="M174" s="3274"/>
      <c r="N174" s="3274"/>
      <c r="O174" s="3242"/>
    </row>
    <row r="175" spans="1:16" s="233" customFormat="1" ht="40.5" customHeight="1">
      <c r="A175" s="3787" t="s">
        <v>92</v>
      </c>
      <c r="B175" s="184" t="s">
        <v>433</v>
      </c>
      <c r="C175" s="1833" t="s">
        <v>109</v>
      </c>
      <c r="D175" s="761"/>
      <c r="E175" s="1709"/>
      <c r="F175" s="763"/>
      <c r="G175" s="763"/>
      <c r="H175" s="763"/>
      <c r="I175" s="762"/>
      <c r="J175" s="762"/>
      <c r="K175" s="762"/>
      <c r="L175" s="762"/>
      <c r="M175" s="764"/>
      <c r="N175" s="764"/>
      <c r="O175" s="3240" t="s">
        <v>365</v>
      </c>
    </row>
    <row r="176" spans="1:16" s="233" customFormat="1" ht="15" customHeight="1">
      <c r="A176" s="3783"/>
      <c r="B176" s="1799" t="s">
        <v>10</v>
      </c>
      <c r="C176" s="1800"/>
      <c r="D176" s="1801">
        <f>+D177+D181</f>
        <v>1276500</v>
      </c>
      <c r="E176" s="1801">
        <f t="shared" ref="E176" si="114">+E177+E181</f>
        <v>0</v>
      </c>
      <c r="F176" s="1801">
        <f>+F177+F181</f>
        <v>25422</v>
      </c>
      <c r="G176" s="1801">
        <f>+G177+G181</f>
        <v>545621</v>
      </c>
      <c r="H176" s="1801">
        <f t="shared" ref="H176:L176" si="115">+H177+H181</f>
        <v>671780</v>
      </c>
      <c r="I176" s="1801">
        <f t="shared" si="115"/>
        <v>33677</v>
      </c>
      <c r="J176" s="1811">
        <f t="shared" si="115"/>
        <v>0</v>
      </c>
      <c r="K176" s="1811">
        <f t="shared" si="115"/>
        <v>0</v>
      </c>
      <c r="L176" s="1811">
        <f t="shared" si="115"/>
        <v>0</v>
      </c>
      <c r="M176" s="1802">
        <f>+M177+M181</f>
        <v>1276500</v>
      </c>
      <c r="N176" s="1802">
        <f>+N177+N181</f>
        <v>1251078</v>
      </c>
      <c r="O176" s="3241"/>
    </row>
    <row r="177" spans="1:16" s="233" customFormat="1" ht="15" customHeight="1">
      <c r="A177" s="3783"/>
      <c r="B177" s="1803" t="s">
        <v>24</v>
      </c>
      <c r="C177" s="3214" t="s">
        <v>424</v>
      </c>
      <c r="D177" s="1804">
        <f>SUM(D178)</f>
        <v>191898</v>
      </c>
      <c r="E177" s="1804">
        <f t="shared" ref="E177:L177" si="116">SUM(E178)</f>
        <v>0</v>
      </c>
      <c r="F177" s="1804">
        <f t="shared" si="116"/>
        <v>3813</v>
      </c>
      <c r="G177" s="1804">
        <f t="shared" si="116"/>
        <v>82013</v>
      </c>
      <c r="H177" s="1804">
        <f t="shared" si="116"/>
        <v>100937</v>
      </c>
      <c r="I177" s="1804">
        <f t="shared" si="116"/>
        <v>5135</v>
      </c>
      <c r="J177" s="1812">
        <f t="shared" si="116"/>
        <v>0</v>
      </c>
      <c r="K177" s="1812">
        <f t="shared" si="116"/>
        <v>0</v>
      </c>
      <c r="L177" s="1812">
        <f t="shared" si="116"/>
        <v>0</v>
      </c>
      <c r="M177" s="308">
        <f>+M178</f>
        <v>191898</v>
      </c>
      <c r="N177" s="308">
        <f>+N178</f>
        <v>188085</v>
      </c>
      <c r="O177" s="3241"/>
    </row>
    <row r="178" spans="1:16" s="233" customFormat="1" ht="12" customHeight="1">
      <c r="A178" s="3783"/>
      <c r="B178" s="1806" t="s">
        <v>12</v>
      </c>
      <c r="C178" s="3215"/>
      <c r="D178" s="1715">
        <f>E178+F178+G178+H178+I178+J178+K178+L178</f>
        <v>191898</v>
      </c>
      <c r="E178" s="1715">
        <v>0</v>
      </c>
      <c r="F178" s="1715">
        <f t="shared" ref="F178:L178" si="117">SUM(F179:F180)</f>
        <v>3813</v>
      </c>
      <c r="G178" s="1715">
        <f t="shared" si="117"/>
        <v>82013</v>
      </c>
      <c r="H178" s="1715">
        <f t="shared" si="117"/>
        <v>100937</v>
      </c>
      <c r="I178" s="1715">
        <f t="shared" si="117"/>
        <v>5135</v>
      </c>
      <c r="J178" s="3064">
        <f t="shared" si="117"/>
        <v>0</v>
      </c>
      <c r="K178" s="3064">
        <f t="shared" si="117"/>
        <v>0</v>
      </c>
      <c r="L178" s="3064">
        <f t="shared" si="117"/>
        <v>0</v>
      </c>
      <c r="M178" s="758">
        <f>+M179+M180</f>
        <v>191898</v>
      </c>
      <c r="N178" s="758">
        <f>+N179+N180</f>
        <v>188085</v>
      </c>
      <c r="O178" s="3241"/>
    </row>
    <row r="179" spans="1:16" s="233" customFormat="1" ht="15" hidden="1" customHeight="1">
      <c r="A179" s="3783"/>
      <c r="B179" s="3065" t="s">
        <v>425</v>
      </c>
      <c r="C179" s="3215"/>
      <c r="D179" s="3066">
        <f>SUM(E179:L179)</f>
        <v>156108</v>
      </c>
      <c r="E179" s="3067">
        <v>0</v>
      </c>
      <c r="F179" s="1916">
        <f>3150-50</f>
        <v>3100</v>
      </c>
      <c r="G179" s="1916">
        <f>66665+50</f>
        <v>66715</v>
      </c>
      <c r="H179" s="1916">
        <v>82100</v>
      </c>
      <c r="I179" s="1916">
        <v>4193</v>
      </c>
      <c r="J179" s="3068">
        <v>0</v>
      </c>
      <c r="K179" s="3068">
        <v>0</v>
      </c>
      <c r="L179" s="3068">
        <v>0</v>
      </c>
      <c r="M179" s="758">
        <f>SUM(F179:K179)</f>
        <v>156108</v>
      </c>
      <c r="N179" s="758">
        <f>SUM(G179:L179)</f>
        <v>153008</v>
      </c>
      <c r="O179" s="3241"/>
    </row>
    <row r="180" spans="1:16" s="233" customFormat="1" ht="15" hidden="1" customHeight="1">
      <c r="A180" s="3783"/>
      <c r="B180" s="3065" t="s">
        <v>293</v>
      </c>
      <c r="C180" s="3215"/>
      <c r="D180" s="3066">
        <f>SUM(E180:L180)</f>
        <v>35790</v>
      </c>
      <c r="E180" s="3067">
        <v>0</v>
      </c>
      <c r="F180" s="1916">
        <f>724-11</f>
        <v>713</v>
      </c>
      <c r="G180" s="1916">
        <f>15287+11</f>
        <v>15298</v>
      </c>
      <c r="H180" s="1916">
        <v>18837</v>
      </c>
      <c r="I180" s="1916">
        <v>942</v>
      </c>
      <c r="J180" s="3068">
        <v>0</v>
      </c>
      <c r="K180" s="3068">
        <v>0</v>
      </c>
      <c r="L180" s="3068">
        <v>0</v>
      </c>
      <c r="M180" s="758">
        <f>SUM(F180:K180)</f>
        <v>35790</v>
      </c>
      <c r="N180" s="758">
        <f>SUM(G180:L180)</f>
        <v>35077</v>
      </c>
      <c r="O180" s="3241"/>
    </row>
    <row r="181" spans="1:16" s="233" customFormat="1" ht="15" customHeight="1">
      <c r="A181" s="3783"/>
      <c r="B181" s="1808" t="s">
        <v>18</v>
      </c>
      <c r="C181" s="3215"/>
      <c r="D181" s="1804">
        <f>SUM(E181:L181)</f>
        <v>1084602</v>
      </c>
      <c r="E181" s="1804">
        <f t="shared" ref="E181:L181" si="118">SUM(E182)</f>
        <v>0</v>
      </c>
      <c r="F181" s="1804">
        <f t="shared" si="118"/>
        <v>21609</v>
      </c>
      <c r="G181" s="1804">
        <f t="shared" si="118"/>
        <v>463608</v>
      </c>
      <c r="H181" s="1804">
        <f t="shared" si="118"/>
        <v>570843</v>
      </c>
      <c r="I181" s="1804">
        <f t="shared" si="118"/>
        <v>28542</v>
      </c>
      <c r="J181" s="1812">
        <f t="shared" si="118"/>
        <v>0</v>
      </c>
      <c r="K181" s="1812">
        <f t="shared" si="118"/>
        <v>0</v>
      </c>
      <c r="L181" s="1812">
        <f t="shared" si="118"/>
        <v>0</v>
      </c>
      <c r="M181" s="308">
        <f>+M182</f>
        <v>1084602</v>
      </c>
      <c r="N181" s="308">
        <f>+N182</f>
        <v>1062993</v>
      </c>
      <c r="O181" s="3241"/>
    </row>
    <row r="182" spans="1:16" s="233" customFormat="1" ht="15" customHeight="1">
      <c r="A182" s="3783"/>
      <c r="B182" s="281" t="s">
        <v>21</v>
      </c>
      <c r="C182" s="3215"/>
      <c r="D182" s="1715">
        <f>E182+F182+G182+H182+I182+J182+K182+L182</f>
        <v>1084602</v>
      </c>
      <c r="E182" s="1715">
        <v>0</v>
      </c>
      <c r="F182" s="3069">
        <f t="shared" ref="F182:L182" si="119">SUM(F183:F184)</f>
        <v>21609</v>
      </c>
      <c r="G182" s="3069">
        <f t="shared" si="119"/>
        <v>463608</v>
      </c>
      <c r="H182" s="3069">
        <f t="shared" si="119"/>
        <v>570843</v>
      </c>
      <c r="I182" s="3069">
        <f t="shared" si="119"/>
        <v>28542</v>
      </c>
      <c r="J182" s="3070">
        <f t="shared" si="119"/>
        <v>0</v>
      </c>
      <c r="K182" s="3070">
        <f t="shared" si="119"/>
        <v>0</v>
      </c>
      <c r="L182" s="3071">
        <f t="shared" si="119"/>
        <v>0</v>
      </c>
      <c r="M182" s="758">
        <f>+M183+M184</f>
        <v>1084602</v>
      </c>
      <c r="N182" s="758">
        <f>+N183+N184</f>
        <v>1062993</v>
      </c>
      <c r="O182" s="3241"/>
    </row>
    <row r="183" spans="1:16" s="233" customFormat="1" ht="15" hidden="1" customHeight="1">
      <c r="A183" s="3800"/>
      <c r="B183" s="3049" t="s">
        <v>425</v>
      </c>
      <c r="C183" s="3790"/>
      <c r="D183" s="1915">
        <f>SUM(E183:L183)</f>
        <v>881790</v>
      </c>
      <c r="E183" s="3072">
        <v>0</v>
      </c>
      <c r="F183" s="3073">
        <f>17850-282</f>
        <v>17568</v>
      </c>
      <c r="G183" s="3073">
        <f>376635+282</f>
        <v>376917</v>
      </c>
      <c r="H183" s="3073">
        <v>464100</v>
      </c>
      <c r="I183" s="3073">
        <v>23205</v>
      </c>
      <c r="J183" s="3074">
        <v>0</v>
      </c>
      <c r="K183" s="3075">
        <v>0</v>
      </c>
      <c r="L183" s="3075">
        <v>0</v>
      </c>
      <c r="M183" s="758">
        <f>SUM(F183:K183)</f>
        <v>881790</v>
      </c>
      <c r="N183" s="758">
        <f>SUM(G183:L183)</f>
        <v>864222</v>
      </c>
      <c r="O183" s="3241"/>
    </row>
    <row r="184" spans="1:16" s="233" customFormat="1" ht="15" hidden="1" customHeight="1">
      <c r="A184" s="3800"/>
      <c r="B184" s="3052" t="s">
        <v>293</v>
      </c>
      <c r="C184" s="3791"/>
      <c r="D184" s="3066">
        <f>SUM(E184:L184)</f>
        <v>202812</v>
      </c>
      <c r="E184" s="3076">
        <v>0</v>
      </c>
      <c r="F184" s="2562">
        <f>4106-65</f>
        <v>4041</v>
      </c>
      <c r="G184" s="2562">
        <f>86626+65</f>
        <v>86691</v>
      </c>
      <c r="H184" s="2562">
        <v>106743</v>
      </c>
      <c r="I184" s="2562">
        <v>5337</v>
      </c>
      <c r="J184" s="3074">
        <v>0</v>
      </c>
      <c r="K184" s="3075">
        <v>0</v>
      </c>
      <c r="L184" s="3075">
        <v>0</v>
      </c>
      <c r="M184" s="758">
        <f>SUM(F184:K184)</f>
        <v>202812</v>
      </c>
      <c r="N184" s="758">
        <f>SUM(G184:L184)</f>
        <v>198771</v>
      </c>
      <c r="O184" s="3723"/>
    </row>
    <row r="185" spans="1:16" s="233" customFormat="1" ht="15" customHeight="1">
      <c r="A185" s="3783"/>
      <c r="B185" s="82" t="s">
        <v>22</v>
      </c>
      <c r="C185" s="1800"/>
      <c r="D185" s="1801">
        <f>SUM(E185:L185)</f>
        <v>1084602</v>
      </c>
      <c r="E185" s="1801">
        <f t="shared" ref="E185:L185" si="120">+E186</f>
        <v>0</v>
      </c>
      <c r="F185" s="1811">
        <f t="shared" si="120"/>
        <v>0</v>
      </c>
      <c r="G185" s="1801">
        <f t="shared" si="120"/>
        <v>253586</v>
      </c>
      <c r="H185" s="1801">
        <f t="shared" si="120"/>
        <v>517052</v>
      </c>
      <c r="I185" s="1801">
        <f t="shared" si="120"/>
        <v>313964</v>
      </c>
      <c r="J185" s="1811">
        <f t="shared" si="120"/>
        <v>0</v>
      </c>
      <c r="K185" s="1811">
        <f t="shared" si="120"/>
        <v>0</v>
      </c>
      <c r="L185" s="1811">
        <f t="shared" si="120"/>
        <v>0</v>
      </c>
      <c r="M185" s="3302"/>
      <c r="N185" s="3302"/>
      <c r="O185" s="3788" t="s">
        <v>223</v>
      </c>
    </row>
    <row r="186" spans="1:16" s="233" customFormat="1" ht="15" customHeight="1">
      <c r="A186" s="3783"/>
      <c r="B186" s="633" t="s">
        <v>18</v>
      </c>
      <c r="C186" s="3332" t="s">
        <v>170</v>
      </c>
      <c r="D186" s="1804">
        <f>SUM(E186:L186)</f>
        <v>1084602</v>
      </c>
      <c r="E186" s="1804">
        <f t="shared" ref="E186:L186" si="121">SUM(E187)</f>
        <v>0</v>
      </c>
      <c r="F186" s="1812">
        <f t="shared" si="121"/>
        <v>0</v>
      </c>
      <c r="G186" s="1804">
        <f t="shared" si="121"/>
        <v>253586</v>
      </c>
      <c r="H186" s="1804">
        <f t="shared" si="121"/>
        <v>517052</v>
      </c>
      <c r="I186" s="1804">
        <f t="shared" si="121"/>
        <v>313964</v>
      </c>
      <c r="J186" s="1812">
        <f t="shared" si="121"/>
        <v>0</v>
      </c>
      <c r="K186" s="1812">
        <f t="shared" si="121"/>
        <v>0</v>
      </c>
      <c r="L186" s="1812">
        <f t="shared" si="121"/>
        <v>0</v>
      </c>
      <c r="M186" s="3273"/>
      <c r="N186" s="3273"/>
      <c r="O186" s="3241"/>
    </row>
    <row r="187" spans="1:16" s="233" customFormat="1" ht="15" customHeight="1" thickBot="1">
      <c r="A187" s="3784"/>
      <c r="B187" s="1835" t="s">
        <v>21</v>
      </c>
      <c r="C187" s="3217"/>
      <c r="D187" s="942">
        <f>E187+F187+G187+H187+I187+J187+K187+L187</f>
        <v>1084602</v>
      </c>
      <c r="E187" s="942">
        <v>0</v>
      </c>
      <c r="F187" s="3077">
        <v>0</v>
      </c>
      <c r="G187" s="483">
        <v>253586</v>
      </c>
      <c r="H187" s="483">
        <v>517052</v>
      </c>
      <c r="I187" s="483">
        <v>313964</v>
      </c>
      <c r="J187" s="3077">
        <v>0</v>
      </c>
      <c r="K187" s="3077">
        <v>0</v>
      </c>
      <c r="L187" s="3077">
        <v>0</v>
      </c>
      <c r="M187" s="3274"/>
      <c r="N187" s="3274"/>
      <c r="O187" s="3242"/>
    </row>
    <row r="188" spans="1:16" s="233" customFormat="1" ht="27.75" customHeight="1">
      <c r="A188" s="3782" t="s">
        <v>93</v>
      </c>
      <c r="B188" s="184" t="s">
        <v>498</v>
      </c>
      <c r="C188" s="1833" t="s">
        <v>171</v>
      </c>
      <c r="D188" s="761"/>
      <c r="E188" s="1709"/>
      <c r="F188" s="763"/>
      <c r="G188" s="763"/>
      <c r="H188" s="763"/>
      <c r="I188" s="762"/>
      <c r="J188" s="762"/>
      <c r="K188" s="762"/>
      <c r="L188" s="762"/>
      <c r="M188" s="764"/>
      <c r="N188" s="764"/>
      <c r="O188" s="3240" t="s">
        <v>356</v>
      </c>
    </row>
    <row r="189" spans="1:16" s="233" customFormat="1" ht="15" customHeight="1">
      <c r="A189" s="3783"/>
      <c r="B189" s="30" t="s">
        <v>10</v>
      </c>
      <c r="C189" s="22"/>
      <c r="D189" s="197">
        <f>D190+D192</f>
        <v>225600</v>
      </c>
      <c r="E189" s="873">
        <f t="shared" ref="E189" si="122">E190+E192</f>
        <v>0</v>
      </c>
      <c r="F189" s="873">
        <f t="shared" ref="F189" si="123">+F192</f>
        <v>0</v>
      </c>
      <c r="G189" s="197">
        <f>G190+G194</f>
        <v>1000</v>
      </c>
      <c r="H189" s="197">
        <f t="shared" ref="H189:L189" si="124">H190+H194</f>
        <v>1000</v>
      </c>
      <c r="I189" s="197">
        <f>I190+I192</f>
        <v>223600</v>
      </c>
      <c r="J189" s="873">
        <f>J190+J192</f>
        <v>0</v>
      </c>
      <c r="K189" s="873">
        <f t="shared" si="124"/>
        <v>0</v>
      </c>
      <c r="L189" s="873">
        <f t="shared" si="124"/>
        <v>0</v>
      </c>
      <c r="M189" s="65">
        <f>+M192+M190</f>
        <v>225600</v>
      </c>
      <c r="N189" s="65">
        <f>+N192+N190</f>
        <v>225600</v>
      </c>
      <c r="O189" s="3241"/>
      <c r="P189" s="233" t="s">
        <v>406</v>
      </c>
    </row>
    <row r="190" spans="1:16" s="233" customFormat="1" ht="15" customHeight="1">
      <c r="A190" s="3783"/>
      <c r="B190" s="769" t="s">
        <v>24</v>
      </c>
      <c r="C190" s="3785" t="s">
        <v>215</v>
      </c>
      <c r="D190" s="311">
        <f>D191</f>
        <v>36390</v>
      </c>
      <c r="E190" s="1416">
        <f t="shared" ref="E190:F190" si="125">E191</f>
        <v>0</v>
      </c>
      <c r="F190" s="1416">
        <f t="shared" si="125"/>
        <v>0</v>
      </c>
      <c r="G190" s="316">
        <f>G191</f>
        <v>1000</v>
      </c>
      <c r="H190" s="316">
        <f>H191</f>
        <v>1000</v>
      </c>
      <c r="I190" s="316">
        <f t="shared" ref="I190:L190" si="126">I191</f>
        <v>34390</v>
      </c>
      <c r="J190" s="285">
        <f t="shared" si="126"/>
        <v>0</v>
      </c>
      <c r="K190" s="285">
        <f t="shared" si="126"/>
        <v>0</v>
      </c>
      <c r="L190" s="285">
        <f t="shared" si="126"/>
        <v>0</v>
      </c>
      <c r="M190" s="308">
        <f>M191</f>
        <v>36390</v>
      </c>
      <c r="N190" s="308">
        <f>N191</f>
        <v>36390</v>
      </c>
      <c r="O190" s="3241"/>
    </row>
    <row r="191" spans="1:16" s="233" customFormat="1" ht="15" customHeight="1">
      <c r="A191" s="3783"/>
      <c r="B191" s="770" t="s">
        <v>12</v>
      </c>
      <c r="C191" s="3215"/>
      <c r="D191" s="247">
        <f>E191+F191+G191+H191+I191+J191+K191+L191</f>
        <v>36390</v>
      </c>
      <c r="E191" s="1417">
        <v>0</v>
      </c>
      <c r="F191" s="1417">
        <v>0</v>
      </c>
      <c r="G191" s="310">
        <v>1000</v>
      </c>
      <c r="H191" s="310">
        <v>1000</v>
      </c>
      <c r="I191" s="310">
        <v>34390</v>
      </c>
      <c r="J191" s="285">
        <v>0</v>
      </c>
      <c r="K191" s="1417">
        <v>0</v>
      </c>
      <c r="L191" s="1417">
        <v>0</v>
      </c>
      <c r="M191" s="758">
        <f>SUM(F191:K191)</f>
        <v>36390</v>
      </c>
      <c r="N191" s="758">
        <f>SUM(G191:L191)</f>
        <v>36390</v>
      </c>
      <c r="O191" s="3241"/>
    </row>
    <row r="192" spans="1:16" s="233" customFormat="1" ht="15" customHeight="1">
      <c r="A192" s="3783"/>
      <c r="B192" s="640" t="s">
        <v>18</v>
      </c>
      <c r="C192" s="3215"/>
      <c r="D192" s="49">
        <f>D193</f>
        <v>189210</v>
      </c>
      <c r="E192" s="1416">
        <f t="shared" ref="E192:N192" si="127">+E193</f>
        <v>0</v>
      </c>
      <c r="F192" s="1418">
        <v>0</v>
      </c>
      <c r="G192" s="2450">
        <f>G193</f>
        <v>0</v>
      </c>
      <c r="H192" s="2450">
        <v>0</v>
      </c>
      <c r="I192" s="100">
        <f>I193</f>
        <v>189210</v>
      </c>
      <c r="J192" s="285">
        <v>0</v>
      </c>
      <c r="K192" s="285">
        <v>0</v>
      </c>
      <c r="L192" s="285">
        <v>0</v>
      </c>
      <c r="M192" s="79">
        <f t="shared" si="127"/>
        <v>189210</v>
      </c>
      <c r="N192" s="79">
        <f t="shared" si="127"/>
        <v>189210</v>
      </c>
      <c r="O192" s="3241"/>
    </row>
    <row r="193" spans="1:16" s="233" customFormat="1" ht="15" customHeight="1">
      <c r="A193" s="3783"/>
      <c r="B193" s="281" t="s">
        <v>21</v>
      </c>
      <c r="C193" s="3262"/>
      <c r="D193" s="247">
        <f>E193+F193+G193+H193+I193+J193+K193+L193</f>
        <v>189210</v>
      </c>
      <c r="E193" s="1417">
        <v>0</v>
      </c>
      <c r="F193" s="1419">
        <v>0</v>
      </c>
      <c r="G193" s="2451">
        <v>0</v>
      </c>
      <c r="H193" s="2451">
        <v>0</v>
      </c>
      <c r="I193" s="51">
        <v>189210</v>
      </c>
      <c r="J193" s="1417">
        <v>0</v>
      </c>
      <c r="K193" s="1417">
        <v>0</v>
      </c>
      <c r="L193" s="1417">
        <v>0</v>
      </c>
      <c r="M193" s="758">
        <f>SUM(F193:K193)</f>
        <v>189210</v>
      </c>
      <c r="N193" s="758">
        <f>SUM(G193:L193)</f>
        <v>189210</v>
      </c>
      <c r="O193" s="3723"/>
    </row>
    <row r="194" spans="1:16" s="233" customFormat="1" ht="15" customHeight="1">
      <c r="A194" s="3783"/>
      <c r="B194" s="21" t="s">
        <v>22</v>
      </c>
      <c r="C194" s="22"/>
      <c r="D194" s="197">
        <f t="shared" ref="D194:L195" si="128">D195</f>
        <v>189210</v>
      </c>
      <c r="E194" s="873">
        <f t="shared" ref="E194" si="129">+E197</f>
        <v>0</v>
      </c>
      <c r="F194" s="873">
        <f t="shared" si="128"/>
        <v>0</v>
      </c>
      <c r="G194" s="1598">
        <f t="shared" si="128"/>
        <v>0</v>
      </c>
      <c r="H194" s="1598">
        <f t="shared" si="128"/>
        <v>0</v>
      </c>
      <c r="I194" s="1598">
        <f t="shared" si="128"/>
        <v>0</v>
      </c>
      <c r="J194" s="197">
        <f t="shared" si="128"/>
        <v>189210</v>
      </c>
      <c r="K194" s="873">
        <f t="shared" si="128"/>
        <v>0</v>
      </c>
      <c r="L194" s="873">
        <f t="shared" si="128"/>
        <v>0</v>
      </c>
      <c r="M194" s="3337" t="s">
        <v>61</v>
      </c>
      <c r="N194" s="3337" t="s">
        <v>61</v>
      </c>
      <c r="O194" s="3241" t="s">
        <v>223</v>
      </c>
    </row>
    <row r="195" spans="1:16" s="233" customFormat="1" ht="15" customHeight="1">
      <c r="A195" s="3783"/>
      <c r="B195" s="171" t="s">
        <v>18</v>
      </c>
      <c r="C195" s="3786" t="s">
        <v>488</v>
      </c>
      <c r="D195" s="50">
        <f t="shared" si="128"/>
        <v>189210</v>
      </c>
      <c r="E195" s="1416">
        <f t="shared" si="128"/>
        <v>0</v>
      </c>
      <c r="F195" s="285">
        <f t="shared" si="128"/>
        <v>0</v>
      </c>
      <c r="G195" s="2452">
        <f t="shared" si="128"/>
        <v>0</v>
      </c>
      <c r="H195" s="2452">
        <f t="shared" si="128"/>
        <v>0</v>
      </c>
      <c r="I195" s="2452">
        <f t="shared" si="128"/>
        <v>0</v>
      </c>
      <c r="J195" s="50">
        <f t="shared" si="128"/>
        <v>189210</v>
      </c>
      <c r="K195" s="285">
        <f t="shared" si="128"/>
        <v>0</v>
      </c>
      <c r="L195" s="285">
        <f t="shared" si="128"/>
        <v>0</v>
      </c>
      <c r="M195" s="3273"/>
      <c r="N195" s="3273"/>
      <c r="O195" s="3241"/>
    </row>
    <row r="196" spans="1:16" s="233" customFormat="1" ht="15" customHeight="1" thickBot="1">
      <c r="A196" s="3784"/>
      <c r="B196" s="1835" t="s">
        <v>21</v>
      </c>
      <c r="C196" s="3217"/>
      <c r="D196" s="247">
        <f>E196+F196+G196+H196+I196+J196+K196+L196</f>
        <v>189210</v>
      </c>
      <c r="E196" s="1417">
        <v>0</v>
      </c>
      <c r="F196" s="286">
        <v>0</v>
      </c>
      <c r="G196" s="1600">
        <v>0</v>
      </c>
      <c r="H196" s="1600">
        <v>0</v>
      </c>
      <c r="I196" s="1600">
        <v>0</v>
      </c>
      <c r="J196" s="72">
        <v>189210</v>
      </c>
      <c r="K196" s="1417">
        <v>0</v>
      </c>
      <c r="L196" s="1417">
        <v>0</v>
      </c>
      <c r="M196" s="3274"/>
      <c r="N196" s="3274"/>
      <c r="O196" s="3242"/>
    </row>
    <row r="197" spans="1:16" s="233" customFormat="1" ht="29.25" customHeight="1">
      <c r="A197" s="3787" t="s">
        <v>94</v>
      </c>
      <c r="B197" s="184" t="s">
        <v>497</v>
      </c>
      <c r="C197" s="1833" t="s">
        <v>81</v>
      </c>
      <c r="D197" s="761"/>
      <c r="E197" s="1709"/>
      <c r="F197" s="763"/>
      <c r="G197" s="763"/>
      <c r="H197" s="763"/>
      <c r="I197" s="762"/>
      <c r="J197" s="762"/>
      <c r="K197" s="762"/>
      <c r="L197" s="762"/>
      <c r="M197" s="764"/>
      <c r="N197" s="764"/>
      <c r="O197" s="3240" t="s">
        <v>356</v>
      </c>
    </row>
    <row r="198" spans="1:16" s="233" customFormat="1" ht="15" customHeight="1">
      <c r="A198" s="3783"/>
      <c r="B198" s="1799" t="s">
        <v>10</v>
      </c>
      <c r="C198" s="1800"/>
      <c r="D198" s="1801">
        <f>D199+D202</f>
        <v>6246481</v>
      </c>
      <c r="E198" s="1801">
        <f t="shared" ref="E198" si="130">E199+E202</f>
        <v>284314</v>
      </c>
      <c r="F198" s="2293">
        <f>F199</f>
        <v>30000</v>
      </c>
      <c r="G198" s="1801">
        <f>+G202+G199</f>
        <v>1804842</v>
      </c>
      <c r="H198" s="1801">
        <f>+H202+H199</f>
        <v>1983007</v>
      </c>
      <c r="I198" s="1801">
        <f t="shared" ref="I198:L198" si="131">+I202+I199</f>
        <v>2144318</v>
      </c>
      <c r="J198" s="2173">
        <f t="shared" si="131"/>
        <v>0</v>
      </c>
      <c r="K198" s="2173">
        <f t="shared" si="131"/>
        <v>0</v>
      </c>
      <c r="L198" s="2173">
        <f t="shared" si="131"/>
        <v>0</v>
      </c>
      <c r="M198" s="1802">
        <f>+M202+M199</f>
        <v>5962167</v>
      </c>
      <c r="N198" s="1802">
        <f>+N202+N199</f>
        <v>5932167</v>
      </c>
      <c r="O198" s="3241"/>
      <c r="P198" s="233" t="s">
        <v>406</v>
      </c>
    </row>
    <row r="199" spans="1:16" s="233" customFormat="1" ht="15" customHeight="1">
      <c r="A199" s="3783"/>
      <c r="B199" s="1803" t="s">
        <v>24</v>
      </c>
      <c r="C199" s="3214" t="s">
        <v>215</v>
      </c>
      <c r="D199" s="1804">
        <f>D200+D201</f>
        <v>1034156</v>
      </c>
      <c r="E199" s="1804">
        <f t="shared" ref="E199:I199" si="132">E200+E201</f>
        <v>114331</v>
      </c>
      <c r="F199" s="1804">
        <f t="shared" si="132"/>
        <v>30000</v>
      </c>
      <c r="G199" s="1804">
        <f t="shared" si="132"/>
        <v>270726</v>
      </c>
      <c r="H199" s="1804">
        <f t="shared" si="132"/>
        <v>297451</v>
      </c>
      <c r="I199" s="1804">
        <f t="shared" si="132"/>
        <v>321648</v>
      </c>
      <c r="J199" s="2294">
        <f t="shared" ref="J199:L199" si="133">J200+J201</f>
        <v>0</v>
      </c>
      <c r="K199" s="2294">
        <f t="shared" si="133"/>
        <v>0</v>
      </c>
      <c r="L199" s="2294">
        <f t="shared" si="133"/>
        <v>0</v>
      </c>
      <c r="M199" s="1805">
        <f>M200+M201</f>
        <v>919825</v>
      </c>
      <c r="N199" s="1805">
        <f>N200</f>
        <v>889825</v>
      </c>
      <c r="O199" s="3241"/>
    </row>
    <row r="200" spans="1:16" s="233" customFormat="1" ht="15" customHeight="1">
      <c r="A200" s="3783"/>
      <c r="B200" s="1806" t="s">
        <v>12</v>
      </c>
      <c r="C200" s="3215"/>
      <c r="D200" s="1715">
        <f>E200+F200+G200+H200+I200+J200+K200+L200</f>
        <v>1004156</v>
      </c>
      <c r="E200" s="1715">
        <v>114331</v>
      </c>
      <c r="F200" s="2294">
        <v>0</v>
      </c>
      <c r="G200" s="1807">
        <v>270726</v>
      </c>
      <c r="H200" s="1807">
        <v>297451</v>
      </c>
      <c r="I200" s="1807">
        <v>321648</v>
      </c>
      <c r="J200" s="2294">
        <v>0</v>
      </c>
      <c r="K200" s="2294">
        <v>0</v>
      </c>
      <c r="L200" s="2294">
        <v>0</v>
      </c>
      <c r="M200" s="2194">
        <f>SUM(F200:K200)</f>
        <v>889825</v>
      </c>
      <c r="N200" s="2194">
        <f>SUM(G200:L200)</f>
        <v>889825</v>
      </c>
      <c r="O200" s="3241"/>
    </row>
    <row r="201" spans="1:16" s="233" customFormat="1" ht="15" customHeight="1">
      <c r="A201" s="3783"/>
      <c r="B201" s="1806" t="s">
        <v>15</v>
      </c>
      <c r="C201" s="3215"/>
      <c r="D201" s="1715">
        <f>E201+F201+G201+H201+I201+J201+K201+L201</f>
        <v>30000</v>
      </c>
      <c r="E201" s="2294">
        <v>0</v>
      </c>
      <c r="F201" s="2295">
        <v>30000</v>
      </c>
      <c r="G201" s="2296">
        <v>0</v>
      </c>
      <c r="H201" s="2296">
        <v>0</v>
      </c>
      <c r="I201" s="2296">
        <v>0</v>
      </c>
      <c r="J201" s="2296">
        <v>0</v>
      </c>
      <c r="K201" s="2296">
        <v>0</v>
      </c>
      <c r="L201" s="2296">
        <v>0</v>
      </c>
      <c r="M201" s="2194">
        <f>SUM(F201:K201)</f>
        <v>30000</v>
      </c>
      <c r="N201" s="2297"/>
      <c r="O201" s="3241"/>
    </row>
    <row r="202" spans="1:16" s="233" customFormat="1" ht="15" customHeight="1">
      <c r="A202" s="3783"/>
      <c r="B202" s="1808" t="s">
        <v>18</v>
      </c>
      <c r="C202" s="3215"/>
      <c r="D202" s="1804">
        <f>D203</f>
        <v>5212325</v>
      </c>
      <c r="E202" s="2288">
        <f t="shared" ref="E202:N202" si="134">+E203</f>
        <v>169983</v>
      </c>
      <c r="F202" s="2298">
        <v>0</v>
      </c>
      <c r="G202" s="1809">
        <f>G203</f>
        <v>1534116</v>
      </c>
      <c r="H202" s="1809">
        <f t="shared" ref="H202:L202" si="135">H203</f>
        <v>1685556</v>
      </c>
      <c r="I202" s="1809">
        <f t="shared" si="135"/>
        <v>1822670</v>
      </c>
      <c r="J202" s="2298">
        <f t="shared" si="135"/>
        <v>0</v>
      </c>
      <c r="K202" s="2298">
        <f t="shared" si="135"/>
        <v>0</v>
      </c>
      <c r="L202" s="2298">
        <f t="shared" si="135"/>
        <v>0</v>
      </c>
      <c r="M202" s="1805">
        <f t="shared" si="134"/>
        <v>5042342</v>
      </c>
      <c r="N202" s="1805">
        <f t="shared" si="134"/>
        <v>5042342</v>
      </c>
      <c r="O202" s="3241"/>
    </row>
    <row r="203" spans="1:16" s="233" customFormat="1" ht="15" customHeight="1">
      <c r="A203" s="3783"/>
      <c r="B203" s="281" t="s">
        <v>21</v>
      </c>
      <c r="C203" s="3262"/>
      <c r="D203" s="1715">
        <f>E203+F203+G203+H203+I203+J203+K203+L203</f>
        <v>5212325</v>
      </c>
      <c r="E203" s="1715">
        <v>169983</v>
      </c>
      <c r="F203" s="2294">
        <v>0</v>
      </c>
      <c r="G203" s="1807">
        <v>1534116</v>
      </c>
      <c r="H203" s="1807">
        <v>1685556</v>
      </c>
      <c r="I203" s="1807">
        <v>1822670</v>
      </c>
      <c r="J203" s="2296">
        <v>0</v>
      </c>
      <c r="K203" s="2296">
        <v>0</v>
      </c>
      <c r="L203" s="2296">
        <v>0</v>
      </c>
      <c r="M203" s="2194">
        <f>SUM(F203:K203)</f>
        <v>5042342</v>
      </c>
      <c r="N203" s="2194">
        <f>SUM(G203:L203)</f>
        <v>5042342</v>
      </c>
      <c r="O203" s="3723"/>
    </row>
    <row r="204" spans="1:16" s="233" customFormat="1" ht="15" customHeight="1">
      <c r="A204" s="3783"/>
      <c r="B204" s="662" t="s">
        <v>22</v>
      </c>
      <c r="C204" s="1800"/>
      <c r="D204" s="1801">
        <f>D207+D205</f>
        <v>5242325</v>
      </c>
      <c r="E204" s="2173">
        <f t="shared" ref="E204:L204" si="136">E207+E205</f>
        <v>0</v>
      </c>
      <c r="F204" s="1801">
        <f t="shared" si="136"/>
        <v>30000</v>
      </c>
      <c r="G204" s="1801">
        <f t="shared" si="136"/>
        <v>219403</v>
      </c>
      <c r="H204" s="1801">
        <f t="shared" si="136"/>
        <v>1561453</v>
      </c>
      <c r="I204" s="1801">
        <f t="shared" si="136"/>
        <v>1671276</v>
      </c>
      <c r="J204" s="1801">
        <f t="shared" si="136"/>
        <v>1760193</v>
      </c>
      <c r="K204" s="2173">
        <f t="shared" si="136"/>
        <v>0</v>
      </c>
      <c r="L204" s="2173">
        <f t="shared" si="136"/>
        <v>0</v>
      </c>
      <c r="M204" s="3302" t="s">
        <v>61</v>
      </c>
      <c r="N204" s="3302" t="s">
        <v>61</v>
      </c>
      <c r="O204" s="3241" t="s">
        <v>223</v>
      </c>
    </row>
    <row r="205" spans="1:16" s="233" customFormat="1" ht="15" customHeight="1">
      <c r="A205" s="3783"/>
      <c r="B205" s="633" t="s">
        <v>489</v>
      </c>
      <c r="C205" s="3332" t="s">
        <v>488</v>
      </c>
      <c r="D205" s="1810">
        <f t="shared" ref="D205:L207" si="137">D206</f>
        <v>30000</v>
      </c>
      <c r="E205" s="2298">
        <f t="shared" ref="E205:E207" si="138">+E206</f>
        <v>0</v>
      </c>
      <c r="F205" s="2299">
        <f t="shared" si="137"/>
        <v>30000</v>
      </c>
      <c r="G205" s="2298">
        <f t="shared" si="137"/>
        <v>0</v>
      </c>
      <c r="H205" s="2298">
        <f t="shared" si="137"/>
        <v>0</v>
      </c>
      <c r="I205" s="2298">
        <f t="shared" si="137"/>
        <v>0</v>
      </c>
      <c r="J205" s="2298">
        <f t="shared" si="137"/>
        <v>0</v>
      </c>
      <c r="K205" s="2298">
        <f t="shared" si="137"/>
        <v>0</v>
      </c>
      <c r="L205" s="2298">
        <f t="shared" si="137"/>
        <v>0</v>
      </c>
      <c r="M205" s="3273"/>
      <c r="N205" s="3273"/>
      <c r="O205" s="3241"/>
    </row>
    <row r="206" spans="1:16" s="233" customFormat="1" ht="15" customHeight="1">
      <c r="A206" s="3783"/>
      <c r="B206" s="2300" t="s">
        <v>15</v>
      </c>
      <c r="C206" s="3280"/>
      <c r="D206" s="1775">
        <f>E206+F206+G206+H206+I206+J206+K206+L206</f>
        <v>30000</v>
      </c>
      <c r="E206" s="1846">
        <v>0</v>
      </c>
      <c r="F206" s="2301">
        <v>30000</v>
      </c>
      <c r="G206" s="1846">
        <v>0</v>
      </c>
      <c r="H206" s="1846">
        <v>0</v>
      </c>
      <c r="I206" s="1846">
        <v>0</v>
      </c>
      <c r="J206" s="1846">
        <v>0</v>
      </c>
      <c r="K206" s="1846">
        <v>0</v>
      </c>
      <c r="L206" s="1846">
        <v>0</v>
      </c>
      <c r="M206" s="3273"/>
      <c r="N206" s="3273"/>
      <c r="O206" s="3241"/>
    </row>
    <row r="207" spans="1:16" s="233" customFormat="1" ht="15" customHeight="1">
      <c r="A207" s="3783"/>
      <c r="B207" s="2258" t="s">
        <v>18</v>
      </c>
      <c r="C207" s="3280"/>
      <c r="D207" s="2302">
        <f t="shared" si="137"/>
        <v>5212325</v>
      </c>
      <c r="E207" s="2303">
        <f t="shared" si="138"/>
        <v>0</v>
      </c>
      <c r="F207" s="2304">
        <f t="shared" si="137"/>
        <v>0</v>
      </c>
      <c r="G207" s="2302">
        <f t="shared" si="137"/>
        <v>219403</v>
      </c>
      <c r="H207" s="2302">
        <f t="shared" si="137"/>
        <v>1561453</v>
      </c>
      <c r="I207" s="2302">
        <f t="shared" si="137"/>
        <v>1671276</v>
      </c>
      <c r="J207" s="2302">
        <f t="shared" si="137"/>
        <v>1760193</v>
      </c>
      <c r="K207" s="2303">
        <f t="shared" si="137"/>
        <v>0</v>
      </c>
      <c r="L207" s="2303">
        <f t="shared" si="137"/>
        <v>0</v>
      </c>
      <c r="M207" s="3273"/>
      <c r="N207" s="3273"/>
      <c r="O207" s="3241"/>
    </row>
    <row r="208" spans="1:16" s="233" customFormat="1" ht="15" customHeight="1" thickBot="1">
      <c r="A208" s="3784"/>
      <c r="B208" s="1835" t="s">
        <v>21</v>
      </c>
      <c r="C208" s="3774"/>
      <c r="D208" s="1929">
        <f>E208+F208+G208+H208+I208+J208+K208+L208</f>
        <v>5212325</v>
      </c>
      <c r="E208" s="2305">
        <v>0</v>
      </c>
      <c r="F208" s="2182">
        <v>0</v>
      </c>
      <c r="G208" s="2181">
        <v>219403</v>
      </c>
      <c r="H208" s="2181">
        <v>1561453</v>
      </c>
      <c r="I208" s="2181">
        <v>1671276</v>
      </c>
      <c r="J208" s="2181">
        <v>1760193</v>
      </c>
      <c r="K208" s="2305">
        <v>0</v>
      </c>
      <c r="L208" s="2305">
        <v>0</v>
      </c>
      <c r="M208" s="3274"/>
      <c r="N208" s="3274"/>
      <c r="O208" s="3242"/>
    </row>
    <row r="209" spans="1:16" s="233" customFormat="1" ht="27" customHeight="1">
      <c r="A209" s="3779" t="s">
        <v>95</v>
      </c>
      <c r="B209" s="2155" t="s">
        <v>524</v>
      </c>
      <c r="C209" s="1833" t="s">
        <v>171</v>
      </c>
      <c r="D209" s="761"/>
      <c r="E209" s="1709"/>
      <c r="F209" s="763"/>
      <c r="G209" s="763"/>
      <c r="H209" s="763"/>
      <c r="I209" s="762"/>
      <c r="J209" s="762"/>
      <c r="K209" s="762"/>
      <c r="L209" s="762"/>
      <c r="M209" s="764"/>
      <c r="N209" s="764"/>
      <c r="O209" s="3240" t="s">
        <v>356</v>
      </c>
    </row>
    <row r="210" spans="1:16" s="233" customFormat="1" ht="15" customHeight="1">
      <c r="A210" s="3780"/>
      <c r="B210" s="1799" t="s">
        <v>10</v>
      </c>
      <c r="C210" s="1800"/>
      <c r="D210" s="1801">
        <f>D211+D213</f>
        <v>161298</v>
      </c>
      <c r="E210" s="2173">
        <f t="shared" ref="E210" si="139">E211+E213</f>
        <v>0</v>
      </c>
      <c r="F210" s="2173">
        <f t="shared" ref="F210" si="140">+F213</f>
        <v>0</v>
      </c>
      <c r="G210" s="1811">
        <f>G211+G215</f>
        <v>0</v>
      </c>
      <c r="H210" s="1801">
        <f t="shared" ref="H210" si="141">H211+H215</f>
        <v>1500</v>
      </c>
      <c r="I210" s="1801">
        <f>I211+I213</f>
        <v>159798</v>
      </c>
      <c r="J210" s="2173">
        <f>J211+J213</f>
        <v>0</v>
      </c>
      <c r="K210" s="2173">
        <f t="shared" ref="K210:L210" si="142">K211+K215</f>
        <v>0</v>
      </c>
      <c r="L210" s="2173">
        <f t="shared" si="142"/>
        <v>0</v>
      </c>
      <c r="M210" s="1802">
        <f>+M213+M211</f>
        <v>161298</v>
      </c>
      <c r="N210" s="1802">
        <f>+N213+N211</f>
        <v>161298</v>
      </c>
      <c r="O210" s="3241"/>
      <c r="P210" s="233" t="s">
        <v>406</v>
      </c>
    </row>
    <row r="211" spans="1:16" s="233" customFormat="1" ht="15" customHeight="1">
      <c r="A211" s="3780"/>
      <c r="B211" s="1803" t="s">
        <v>24</v>
      </c>
      <c r="C211" s="3214" t="s">
        <v>215</v>
      </c>
      <c r="D211" s="1804">
        <f>D212</f>
        <v>26745</v>
      </c>
      <c r="E211" s="2453">
        <f t="shared" ref="E211:F211" si="143">E212</f>
        <v>0</v>
      </c>
      <c r="F211" s="2453">
        <f t="shared" si="143"/>
        <v>0</v>
      </c>
      <c r="G211" s="2454">
        <f>G212</f>
        <v>0</v>
      </c>
      <c r="H211" s="1356">
        <f>H212</f>
        <v>1500</v>
      </c>
      <c r="I211" s="1356">
        <f t="shared" ref="I211:L211" si="144">I212</f>
        <v>25245</v>
      </c>
      <c r="J211" s="1869">
        <f t="shared" si="144"/>
        <v>0</v>
      </c>
      <c r="K211" s="1869">
        <f t="shared" si="144"/>
        <v>0</v>
      </c>
      <c r="L211" s="1869">
        <f t="shared" si="144"/>
        <v>0</v>
      </c>
      <c r="M211" s="1805">
        <f>M212</f>
        <v>26745</v>
      </c>
      <c r="N211" s="1805">
        <f>N212</f>
        <v>26745</v>
      </c>
      <c r="O211" s="3241"/>
    </row>
    <row r="212" spans="1:16" s="233" customFormat="1" ht="15" customHeight="1">
      <c r="A212" s="3780"/>
      <c r="B212" s="1806" t="s">
        <v>12</v>
      </c>
      <c r="C212" s="3215"/>
      <c r="D212" s="949">
        <f>E212+F212+G212+H212+I212+J212+K212+L212</f>
        <v>26745</v>
      </c>
      <c r="E212" s="1415">
        <v>0</v>
      </c>
      <c r="F212" s="1415">
        <v>0</v>
      </c>
      <c r="G212" s="1599">
        <v>0</v>
      </c>
      <c r="H212" s="986">
        <v>1500</v>
      </c>
      <c r="I212" s="986">
        <v>25245</v>
      </c>
      <c r="J212" s="1869">
        <v>0</v>
      </c>
      <c r="K212" s="1415">
        <v>0</v>
      </c>
      <c r="L212" s="1415">
        <v>0</v>
      </c>
      <c r="M212" s="2194">
        <f>SUM(F212:K212)</f>
        <v>26745</v>
      </c>
      <c r="N212" s="2194">
        <f>SUM(G212:L212)</f>
        <v>26745</v>
      </c>
      <c r="O212" s="3241"/>
    </row>
    <row r="213" spans="1:16" s="233" customFormat="1" ht="15" customHeight="1">
      <c r="A213" s="3780"/>
      <c r="B213" s="1808" t="s">
        <v>18</v>
      </c>
      <c r="C213" s="3215"/>
      <c r="D213" s="1804">
        <f>D214</f>
        <v>134553</v>
      </c>
      <c r="E213" s="2453">
        <f t="shared" ref="E213:N213" si="145">+E214</f>
        <v>0</v>
      </c>
      <c r="F213" s="2453">
        <v>0</v>
      </c>
      <c r="G213" s="2455">
        <f>G214</f>
        <v>0</v>
      </c>
      <c r="H213" s="2455">
        <v>0</v>
      </c>
      <c r="I213" s="1356">
        <f>I214</f>
        <v>134553</v>
      </c>
      <c r="J213" s="1869">
        <v>0</v>
      </c>
      <c r="K213" s="1869">
        <v>0</v>
      </c>
      <c r="L213" s="1869">
        <v>0</v>
      </c>
      <c r="M213" s="1805">
        <f t="shared" si="145"/>
        <v>134553</v>
      </c>
      <c r="N213" s="1805">
        <f t="shared" si="145"/>
        <v>134553</v>
      </c>
      <c r="O213" s="3241"/>
    </row>
    <row r="214" spans="1:16" s="233" customFormat="1" ht="15" customHeight="1">
      <c r="A214" s="3780"/>
      <c r="B214" s="281" t="s">
        <v>21</v>
      </c>
      <c r="C214" s="3262"/>
      <c r="D214" s="949">
        <f>E214+F214+G214+H214+I214+J214+K214+L214</f>
        <v>134553</v>
      </c>
      <c r="E214" s="1415">
        <v>0</v>
      </c>
      <c r="F214" s="1415">
        <v>0</v>
      </c>
      <c r="G214" s="2456">
        <v>0</v>
      </c>
      <c r="H214" s="2456">
        <v>0</v>
      </c>
      <c r="I214" s="986">
        <v>134553</v>
      </c>
      <c r="J214" s="1415">
        <v>0</v>
      </c>
      <c r="K214" s="1415">
        <v>0</v>
      </c>
      <c r="L214" s="1415">
        <v>0</v>
      </c>
      <c r="M214" s="2194">
        <f>SUM(F214:K214)</f>
        <v>134553</v>
      </c>
      <c r="N214" s="2194">
        <f>SUM(G214:L214)</f>
        <v>134553</v>
      </c>
      <c r="O214" s="3723"/>
    </row>
    <row r="215" spans="1:16" s="233" customFormat="1" ht="15" customHeight="1">
      <c r="A215" s="3780"/>
      <c r="B215" s="1799" t="s">
        <v>22</v>
      </c>
      <c r="C215" s="1800"/>
      <c r="D215" s="1801">
        <f t="shared" ref="D215:L216" si="146">D216</f>
        <v>134553</v>
      </c>
      <c r="E215" s="2173">
        <f t="shared" ref="E215" si="147">+E218</f>
        <v>0</v>
      </c>
      <c r="F215" s="2173">
        <f t="shared" si="146"/>
        <v>0</v>
      </c>
      <c r="G215" s="2457">
        <f t="shared" si="146"/>
        <v>0</v>
      </c>
      <c r="H215" s="2457">
        <f t="shared" si="146"/>
        <v>0</v>
      </c>
      <c r="I215" s="2457">
        <f t="shared" si="146"/>
        <v>0</v>
      </c>
      <c r="J215" s="1801">
        <f t="shared" si="146"/>
        <v>134553</v>
      </c>
      <c r="K215" s="2173">
        <f t="shared" si="146"/>
        <v>0</v>
      </c>
      <c r="L215" s="2173">
        <f t="shared" si="146"/>
        <v>0</v>
      </c>
      <c r="M215" s="3302" t="s">
        <v>61</v>
      </c>
      <c r="N215" s="3302" t="s">
        <v>61</v>
      </c>
      <c r="O215" s="3241" t="s">
        <v>223</v>
      </c>
    </row>
    <row r="216" spans="1:16" s="233" customFormat="1" ht="15" customHeight="1">
      <c r="A216" s="3780"/>
      <c r="B216" s="1808" t="s">
        <v>18</v>
      </c>
      <c r="C216" s="3332" t="s">
        <v>488</v>
      </c>
      <c r="D216" s="1810">
        <f t="shared" si="146"/>
        <v>134553</v>
      </c>
      <c r="E216" s="2453">
        <f t="shared" si="146"/>
        <v>0</v>
      </c>
      <c r="F216" s="1869">
        <f t="shared" si="146"/>
        <v>0</v>
      </c>
      <c r="G216" s="2458">
        <f t="shared" si="146"/>
        <v>0</v>
      </c>
      <c r="H216" s="2458">
        <f t="shared" si="146"/>
        <v>0</v>
      </c>
      <c r="I216" s="2458">
        <f t="shared" si="146"/>
        <v>0</v>
      </c>
      <c r="J216" s="1810">
        <f t="shared" si="146"/>
        <v>134553</v>
      </c>
      <c r="K216" s="1869">
        <f t="shared" si="146"/>
        <v>0</v>
      </c>
      <c r="L216" s="1869">
        <f t="shared" si="146"/>
        <v>0</v>
      </c>
      <c r="M216" s="3273"/>
      <c r="N216" s="3273"/>
      <c r="O216" s="3241"/>
    </row>
    <row r="217" spans="1:16" s="233" customFormat="1" ht="15" customHeight="1" thickBot="1">
      <c r="A217" s="3781"/>
      <c r="B217" s="230" t="s">
        <v>21</v>
      </c>
      <c r="C217" s="3217"/>
      <c r="D217" s="2391">
        <f>E217+F217+G217+H217+I217+J217+K217+L217</f>
        <v>134553</v>
      </c>
      <c r="E217" s="2459">
        <v>0</v>
      </c>
      <c r="F217" s="2182">
        <v>0</v>
      </c>
      <c r="G217" s="2460">
        <v>0</v>
      </c>
      <c r="H217" s="2460">
        <v>0</v>
      </c>
      <c r="I217" s="2460">
        <v>0</v>
      </c>
      <c r="J217" s="2181">
        <v>134553</v>
      </c>
      <c r="K217" s="2459">
        <v>0</v>
      </c>
      <c r="L217" s="2459">
        <v>0</v>
      </c>
      <c r="M217" s="3274"/>
      <c r="N217" s="3274"/>
      <c r="O217" s="3242"/>
    </row>
    <row r="218" spans="1:16" s="233" customFormat="1" ht="36.75" customHeight="1">
      <c r="A218" s="3776" t="s">
        <v>96</v>
      </c>
      <c r="B218" s="2155" t="s">
        <v>523</v>
      </c>
      <c r="C218" s="1833" t="s">
        <v>81</v>
      </c>
      <c r="D218" s="761"/>
      <c r="E218" s="1709"/>
      <c r="F218" s="763"/>
      <c r="G218" s="763"/>
      <c r="H218" s="763"/>
      <c r="I218" s="762"/>
      <c r="J218" s="762"/>
      <c r="K218" s="762"/>
      <c r="L218" s="762"/>
      <c r="M218" s="764"/>
      <c r="N218" s="764"/>
      <c r="O218" s="3240" t="s">
        <v>356</v>
      </c>
    </row>
    <row r="219" spans="1:16" s="233" customFormat="1" ht="15" customHeight="1">
      <c r="A219" s="3777"/>
      <c r="B219" s="1799" t="s">
        <v>10</v>
      </c>
      <c r="C219" s="1800"/>
      <c r="D219" s="1801">
        <f>D220+D223</f>
        <v>7217997</v>
      </c>
      <c r="E219" s="1801">
        <f t="shared" ref="E219" si="148">E220+E223</f>
        <v>191980</v>
      </c>
      <c r="F219" s="2461">
        <f>F220</f>
        <v>0</v>
      </c>
      <c r="G219" s="1811">
        <f>+G223+G220</f>
        <v>0</v>
      </c>
      <c r="H219" s="1801">
        <f>+H223+H220</f>
        <v>4414172</v>
      </c>
      <c r="I219" s="1801">
        <f t="shared" ref="I219:L219" si="149">+I223+I220</f>
        <v>2611845</v>
      </c>
      <c r="J219" s="2173">
        <f t="shared" si="149"/>
        <v>0</v>
      </c>
      <c r="K219" s="2173">
        <f t="shared" si="149"/>
        <v>0</v>
      </c>
      <c r="L219" s="2173">
        <f t="shared" si="149"/>
        <v>0</v>
      </c>
      <c r="M219" s="1802">
        <f>+M223+M220</f>
        <v>7026017</v>
      </c>
      <c r="N219" s="1802">
        <f>+N223+N220</f>
        <v>7026017</v>
      </c>
      <c r="O219" s="3241"/>
      <c r="P219" s="233" t="s">
        <v>406</v>
      </c>
    </row>
    <row r="220" spans="1:16" s="233" customFormat="1" ht="15" customHeight="1">
      <c r="A220" s="3777"/>
      <c r="B220" s="1803" t="s">
        <v>24</v>
      </c>
      <c r="C220" s="3214" t="s">
        <v>215</v>
      </c>
      <c r="D220" s="1804">
        <f>D221+D222</f>
        <v>1203400</v>
      </c>
      <c r="E220" s="1804">
        <f t="shared" ref="E220:L220" si="150">E221+E222</f>
        <v>149497</v>
      </c>
      <c r="F220" s="1812">
        <f t="shared" si="150"/>
        <v>0</v>
      </c>
      <c r="G220" s="1812">
        <f t="shared" si="150"/>
        <v>0</v>
      </c>
      <c r="H220" s="1804">
        <f t="shared" si="150"/>
        <v>662126</v>
      </c>
      <c r="I220" s="1804">
        <f t="shared" si="150"/>
        <v>391777</v>
      </c>
      <c r="J220" s="2294">
        <f t="shared" si="150"/>
        <v>0</v>
      </c>
      <c r="K220" s="2294">
        <f t="shared" si="150"/>
        <v>0</v>
      </c>
      <c r="L220" s="2294">
        <f t="shared" si="150"/>
        <v>0</v>
      </c>
      <c r="M220" s="1805">
        <f>M221+M222</f>
        <v>1053903</v>
      </c>
      <c r="N220" s="1805">
        <f>N221</f>
        <v>1053903</v>
      </c>
      <c r="O220" s="3241"/>
    </row>
    <row r="221" spans="1:16" s="233" customFormat="1" ht="15" customHeight="1">
      <c r="A221" s="3777"/>
      <c r="B221" s="1806" t="s">
        <v>12</v>
      </c>
      <c r="C221" s="3215"/>
      <c r="D221" s="1715">
        <f>E221+F221+G221+H221+I221+J221+K221+L221</f>
        <v>1083400</v>
      </c>
      <c r="E221" s="1715">
        <v>29497</v>
      </c>
      <c r="F221" s="2296">
        <v>0</v>
      </c>
      <c r="G221" s="2462">
        <v>0</v>
      </c>
      <c r="H221" s="1807">
        <v>662126</v>
      </c>
      <c r="I221" s="1807">
        <v>391777</v>
      </c>
      <c r="J221" s="2294">
        <v>0</v>
      </c>
      <c r="K221" s="2294">
        <v>0</v>
      </c>
      <c r="L221" s="2294">
        <v>0</v>
      </c>
      <c r="M221" s="2194">
        <f>SUM(F221:K221)</f>
        <v>1053903</v>
      </c>
      <c r="N221" s="2194">
        <f>SUM(G221:L221)</f>
        <v>1053903</v>
      </c>
      <c r="O221" s="3241"/>
    </row>
    <row r="222" spans="1:16" s="233" customFormat="1" ht="15" customHeight="1">
      <c r="A222" s="3777"/>
      <c r="B222" s="1806" t="s">
        <v>15</v>
      </c>
      <c r="C222" s="3215"/>
      <c r="D222" s="2463">
        <f>E222+F222+G222+H222+I222+J222+K222+L222</f>
        <v>120000</v>
      </c>
      <c r="E222" s="2464">
        <v>120000</v>
      </c>
      <c r="F222" s="2296">
        <v>0</v>
      </c>
      <c r="G222" s="2296">
        <v>0</v>
      </c>
      <c r="H222" s="2296">
        <v>0</v>
      </c>
      <c r="I222" s="2296">
        <v>0</v>
      </c>
      <c r="J222" s="2296">
        <v>0</v>
      </c>
      <c r="K222" s="2296">
        <v>0</v>
      </c>
      <c r="L222" s="2296">
        <v>0</v>
      </c>
      <c r="M222" s="2194">
        <f>SUM(F222:K222)</f>
        <v>0</v>
      </c>
      <c r="N222" s="2194">
        <f>SUM(G222:L222)</f>
        <v>0</v>
      </c>
      <c r="O222" s="3241"/>
    </row>
    <row r="223" spans="1:16" s="233" customFormat="1" ht="15" customHeight="1">
      <c r="A223" s="3777"/>
      <c r="B223" s="1808" t="s">
        <v>18</v>
      </c>
      <c r="C223" s="3215"/>
      <c r="D223" s="1804">
        <f>D224</f>
        <v>6014597</v>
      </c>
      <c r="E223" s="2288">
        <f t="shared" ref="E223:N223" si="151">+E224</f>
        <v>42483</v>
      </c>
      <c r="F223" s="2465">
        <v>0</v>
      </c>
      <c r="G223" s="2466">
        <f>G224</f>
        <v>0</v>
      </c>
      <c r="H223" s="1809">
        <f t="shared" ref="H223:L223" si="152">H224</f>
        <v>3752046</v>
      </c>
      <c r="I223" s="1809">
        <f t="shared" si="152"/>
        <v>2220068</v>
      </c>
      <c r="J223" s="2298">
        <f t="shared" si="152"/>
        <v>0</v>
      </c>
      <c r="K223" s="2298">
        <f t="shared" si="152"/>
        <v>0</v>
      </c>
      <c r="L223" s="2298">
        <f t="shared" si="152"/>
        <v>0</v>
      </c>
      <c r="M223" s="1805">
        <f t="shared" si="151"/>
        <v>5972114</v>
      </c>
      <c r="N223" s="1805">
        <f t="shared" si="151"/>
        <v>5972114</v>
      </c>
      <c r="O223" s="3241"/>
    </row>
    <row r="224" spans="1:16" s="233" customFormat="1" ht="15" customHeight="1">
      <c r="A224" s="3777"/>
      <c r="B224" s="281" t="s">
        <v>21</v>
      </c>
      <c r="C224" s="3262"/>
      <c r="D224" s="1715">
        <f>SUM(E224:L224)</f>
        <v>6014597</v>
      </c>
      <c r="E224" s="1715">
        <v>42483</v>
      </c>
      <c r="F224" s="2296">
        <v>0</v>
      </c>
      <c r="G224" s="2462">
        <v>0</v>
      </c>
      <c r="H224" s="1807">
        <v>3752046</v>
      </c>
      <c r="I224" s="1807">
        <v>2220068</v>
      </c>
      <c r="J224" s="2296">
        <v>0</v>
      </c>
      <c r="K224" s="2296">
        <v>0</v>
      </c>
      <c r="L224" s="2296">
        <v>0</v>
      </c>
      <c r="M224" s="2194">
        <f>SUM(F224:K224)</f>
        <v>5972114</v>
      </c>
      <c r="N224" s="2194">
        <f>SUM(G224:L224)</f>
        <v>5972114</v>
      </c>
      <c r="O224" s="3723"/>
    </row>
    <row r="225" spans="1:15" s="233" customFormat="1" ht="15" customHeight="1">
      <c r="A225" s="3777"/>
      <c r="B225" s="1799" t="s">
        <v>22</v>
      </c>
      <c r="C225" s="1800"/>
      <c r="D225" s="1801">
        <f>D228+D226</f>
        <v>6134597</v>
      </c>
      <c r="E225" s="2467">
        <f t="shared" ref="E225:L225" si="153">E228+E226</f>
        <v>120000</v>
      </c>
      <c r="F225" s="1811">
        <f t="shared" si="153"/>
        <v>0</v>
      </c>
      <c r="G225" s="1811">
        <f t="shared" si="153"/>
        <v>0</v>
      </c>
      <c r="H225" s="1801">
        <f t="shared" si="153"/>
        <v>237555</v>
      </c>
      <c r="I225" s="1801">
        <f t="shared" si="153"/>
        <v>4513210</v>
      </c>
      <c r="J225" s="1801">
        <f t="shared" si="153"/>
        <v>1263832</v>
      </c>
      <c r="K225" s="2173">
        <f t="shared" si="153"/>
        <v>0</v>
      </c>
      <c r="L225" s="2173">
        <f t="shared" si="153"/>
        <v>0</v>
      </c>
      <c r="M225" s="3302" t="s">
        <v>61</v>
      </c>
      <c r="N225" s="3302" t="s">
        <v>61</v>
      </c>
      <c r="O225" s="3241" t="s">
        <v>223</v>
      </c>
    </row>
    <row r="226" spans="1:15" s="233" customFormat="1" ht="15" customHeight="1">
      <c r="A226" s="3777"/>
      <c r="B226" s="1808" t="s">
        <v>489</v>
      </c>
      <c r="C226" s="3332" t="s">
        <v>488</v>
      </c>
      <c r="D226" s="1810">
        <f t="shared" ref="D226:L228" si="154">D227</f>
        <v>120000</v>
      </c>
      <c r="E226" s="2468">
        <f t="shared" ref="E226:E228" si="155">+E227</f>
        <v>120000</v>
      </c>
      <c r="F226" s="2469">
        <f t="shared" si="154"/>
        <v>0</v>
      </c>
      <c r="G226" s="2465">
        <f t="shared" si="154"/>
        <v>0</v>
      </c>
      <c r="H226" s="2298">
        <f t="shared" si="154"/>
        <v>0</v>
      </c>
      <c r="I226" s="2298">
        <f t="shared" si="154"/>
        <v>0</v>
      </c>
      <c r="J226" s="2298">
        <f t="shared" si="154"/>
        <v>0</v>
      </c>
      <c r="K226" s="2298">
        <f t="shared" si="154"/>
        <v>0</v>
      </c>
      <c r="L226" s="2298">
        <f t="shared" si="154"/>
        <v>0</v>
      </c>
      <c r="M226" s="3273"/>
      <c r="N226" s="3273"/>
      <c r="O226" s="3241"/>
    </row>
    <row r="227" spans="1:15" s="233" customFormat="1" ht="15" customHeight="1">
      <c r="A227" s="3777"/>
      <c r="B227" s="2470" t="s">
        <v>15</v>
      </c>
      <c r="C227" s="3280"/>
      <c r="D227" s="1775">
        <f>E227+F227+G227+H227+I227+J227+K227+L227</f>
        <v>120000</v>
      </c>
      <c r="E227" s="2471">
        <v>120000</v>
      </c>
      <c r="F227" s="2472">
        <v>0</v>
      </c>
      <c r="G227" s="2473">
        <v>0</v>
      </c>
      <c r="H227" s="1846">
        <v>0</v>
      </c>
      <c r="I227" s="1846">
        <v>0</v>
      </c>
      <c r="J227" s="1846">
        <v>0</v>
      </c>
      <c r="K227" s="1846">
        <v>0</v>
      </c>
      <c r="L227" s="1846">
        <v>0</v>
      </c>
      <c r="M227" s="3273"/>
      <c r="N227" s="3273"/>
      <c r="O227" s="3241"/>
    </row>
    <row r="228" spans="1:15" s="233" customFormat="1" ht="15" customHeight="1">
      <c r="A228" s="3777"/>
      <c r="B228" s="2474" t="s">
        <v>18</v>
      </c>
      <c r="C228" s="3280"/>
      <c r="D228" s="2302">
        <f t="shared" si="154"/>
        <v>6014597</v>
      </c>
      <c r="E228" s="2303">
        <f t="shared" si="155"/>
        <v>0</v>
      </c>
      <c r="F228" s="2475">
        <f t="shared" si="154"/>
        <v>0</v>
      </c>
      <c r="G228" s="2476">
        <f t="shared" si="154"/>
        <v>0</v>
      </c>
      <c r="H228" s="2302">
        <f t="shared" si="154"/>
        <v>237555</v>
      </c>
      <c r="I228" s="2302">
        <f t="shared" si="154"/>
        <v>4513210</v>
      </c>
      <c r="J228" s="2302">
        <f t="shared" si="154"/>
        <v>1263832</v>
      </c>
      <c r="K228" s="2303">
        <f t="shared" si="154"/>
        <v>0</v>
      </c>
      <c r="L228" s="2303">
        <f t="shared" si="154"/>
        <v>0</v>
      </c>
      <c r="M228" s="3273"/>
      <c r="N228" s="3273"/>
      <c r="O228" s="3241"/>
    </row>
    <row r="229" spans="1:15" s="233" customFormat="1" ht="15" customHeight="1" thickBot="1">
      <c r="A229" s="3778"/>
      <c r="B229" s="230" t="s">
        <v>21</v>
      </c>
      <c r="C229" s="3774"/>
      <c r="D229" s="1929">
        <f>E229+F229+G229+H229+I229+J229+K229+L229</f>
        <v>6014597</v>
      </c>
      <c r="E229" s="2305">
        <v>0</v>
      </c>
      <c r="F229" s="2477">
        <v>0</v>
      </c>
      <c r="G229" s="2478">
        <v>0</v>
      </c>
      <c r="H229" s="2181">
        <v>237555</v>
      </c>
      <c r="I229" s="2181">
        <v>4513210</v>
      </c>
      <c r="J229" s="2181">
        <v>1263832</v>
      </c>
      <c r="K229" s="2305">
        <v>0</v>
      </c>
      <c r="L229" s="2305">
        <v>0</v>
      </c>
      <c r="M229" s="3274"/>
      <c r="N229" s="3274"/>
      <c r="O229" s="3242"/>
    </row>
    <row r="230" spans="1:15" ht="23.25" customHeight="1" thickBot="1">
      <c r="A230" s="191" t="s">
        <v>172</v>
      </c>
      <c r="B230" s="771"/>
      <c r="C230" s="771"/>
      <c r="D230" s="771"/>
      <c r="E230" s="771"/>
      <c r="F230" s="771"/>
      <c r="G230" s="771"/>
      <c r="H230" s="771"/>
      <c r="I230" s="771"/>
      <c r="J230" s="771"/>
      <c r="K230" s="771"/>
      <c r="L230" s="771"/>
      <c r="M230" s="772"/>
      <c r="N230" s="772"/>
      <c r="O230" s="773"/>
    </row>
    <row r="231" spans="1:15" ht="18.75" customHeight="1">
      <c r="A231" s="774"/>
      <c r="B231" s="209" t="s">
        <v>76</v>
      </c>
      <c r="C231" s="486"/>
      <c r="D231" s="211">
        <f>+D232+D233</f>
        <v>16198501</v>
      </c>
      <c r="E231" s="211">
        <f t="shared" ref="E231:F231" si="156">+E232+E233</f>
        <v>7742800</v>
      </c>
      <c r="F231" s="211">
        <f t="shared" si="156"/>
        <v>2600000</v>
      </c>
      <c r="G231" s="211">
        <f t="shared" ref="G231:N231" si="157">+G232+G233</f>
        <v>2647000</v>
      </c>
      <c r="H231" s="211">
        <f t="shared" si="157"/>
        <v>2788899</v>
      </c>
      <c r="I231" s="211">
        <f t="shared" si="157"/>
        <v>83899</v>
      </c>
      <c r="J231" s="211">
        <f t="shared" si="157"/>
        <v>97429</v>
      </c>
      <c r="K231" s="211">
        <f t="shared" si="157"/>
        <v>113579</v>
      </c>
      <c r="L231" s="211">
        <f t="shared" si="157"/>
        <v>124895</v>
      </c>
      <c r="M231" s="16">
        <f t="shared" ref="M231" si="158">+M232+M233</f>
        <v>8330806</v>
      </c>
      <c r="N231" s="16">
        <f t="shared" si="157"/>
        <v>5855701</v>
      </c>
      <c r="O231" s="3618"/>
    </row>
    <row r="232" spans="1:15" ht="14.25" customHeight="1">
      <c r="A232" s="661"/>
      <c r="B232" s="212" t="s">
        <v>77</v>
      </c>
      <c r="C232" s="214"/>
      <c r="D232" s="214">
        <f>D243+D247</f>
        <v>16198501</v>
      </c>
      <c r="E232" s="214">
        <f t="shared" ref="E232:L232" si="159">E243+E247</f>
        <v>7742800</v>
      </c>
      <c r="F232" s="214">
        <f t="shared" si="159"/>
        <v>2600000</v>
      </c>
      <c r="G232" s="214">
        <f t="shared" si="159"/>
        <v>2647000</v>
      </c>
      <c r="H232" s="214">
        <f t="shared" si="159"/>
        <v>2788899</v>
      </c>
      <c r="I232" s="214">
        <f t="shared" si="159"/>
        <v>83899</v>
      </c>
      <c r="J232" s="214">
        <f t="shared" si="159"/>
        <v>97429</v>
      </c>
      <c r="K232" s="214">
        <f t="shared" si="159"/>
        <v>113579</v>
      </c>
      <c r="L232" s="214">
        <f t="shared" si="159"/>
        <v>124895</v>
      </c>
      <c r="M232" s="18">
        <f>SUM(F232:K232)</f>
        <v>8330806</v>
      </c>
      <c r="N232" s="18">
        <f>SUM(G232:L232)</f>
        <v>5855701</v>
      </c>
      <c r="O232" s="3619"/>
    </row>
    <row r="233" spans="1:15" ht="14.25" customHeight="1" thickBot="1">
      <c r="A233" s="661"/>
      <c r="B233" s="775" t="s">
        <v>9</v>
      </c>
      <c r="C233" s="754"/>
      <c r="D233" s="754">
        <v>0</v>
      </c>
      <c r="E233" s="754">
        <v>0</v>
      </c>
      <c r="F233" s="754">
        <v>0</v>
      </c>
      <c r="G233" s="754">
        <v>0</v>
      </c>
      <c r="H233" s="754">
        <v>0</v>
      </c>
      <c r="I233" s="754">
        <f>+I243</f>
        <v>0</v>
      </c>
      <c r="J233" s="754">
        <f>+J243</f>
        <v>0</v>
      </c>
      <c r="K233" s="754">
        <f>+K243</f>
        <v>0</v>
      </c>
      <c r="L233" s="754">
        <f>+L243</f>
        <v>0</v>
      </c>
      <c r="M233" s="152">
        <f>SUM(E233:K233)</f>
        <v>0</v>
      </c>
      <c r="N233" s="152">
        <f>SUM(G233:L233)</f>
        <v>0</v>
      </c>
      <c r="O233" s="3619"/>
    </row>
    <row r="234" spans="1:15" ht="16.5" customHeight="1">
      <c r="A234" s="373"/>
      <c r="B234" s="82" t="s">
        <v>10</v>
      </c>
      <c r="C234" s="188"/>
      <c r="D234" s="194">
        <f t="shared" ref="D234:L234" si="160">+D235</f>
        <v>16198501</v>
      </c>
      <c r="E234" s="194">
        <f t="shared" si="160"/>
        <v>7742800</v>
      </c>
      <c r="F234" s="194">
        <f t="shared" si="160"/>
        <v>2600000</v>
      </c>
      <c r="G234" s="194">
        <f t="shared" si="160"/>
        <v>2647000</v>
      </c>
      <c r="H234" s="194">
        <f t="shared" si="160"/>
        <v>2788899</v>
      </c>
      <c r="I234" s="194">
        <f t="shared" si="160"/>
        <v>83899</v>
      </c>
      <c r="J234" s="194">
        <f t="shared" si="160"/>
        <v>97429</v>
      </c>
      <c r="K234" s="194">
        <f t="shared" si="160"/>
        <v>113579</v>
      </c>
      <c r="L234" s="194">
        <f t="shared" si="160"/>
        <v>124895</v>
      </c>
      <c r="M234" s="374">
        <f>+M235</f>
        <v>8330806</v>
      </c>
      <c r="N234" s="374">
        <f>+N235</f>
        <v>5855701</v>
      </c>
      <c r="O234" s="3619"/>
    </row>
    <row r="235" spans="1:15" ht="15" customHeight="1">
      <c r="A235" s="195"/>
      <c r="B235" s="157" t="s">
        <v>11</v>
      </c>
      <c r="C235" s="3621" t="s">
        <v>61</v>
      </c>
      <c r="D235" s="1078">
        <f>+D238+D236</f>
        <v>16198501</v>
      </c>
      <c r="E235" s="1078">
        <f t="shared" ref="E235:L235" si="161">+E238+E236</f>
        <v>7742800</v>
      </c>
      <c r="F235" s="1078">
        <f t="shared" si="161"/>
        <v>2600000</v>
      </c>
      <c r="G235" s="1078">
        <f t="shared" si="161"/>
        <v>2647000</v>
      </c>
      <c r="H235" s="1078">
        <f t="shared" si="161"/>
        <v>2788899</v>
      </c>
      <c r="I235" s="1078">
        <f t="shared" si="161"/>
        <v>83899</v>
      </c>
      <c r="J235" s="1078">
        <f t="shared" si="161"/>
        <v>97429</v>
      </c>
      <c r="K235" s="1078">
        <f t="shared" si="161"/>
        <v>113579</v>
      </c>
      <c r="L235" s="1078">
        <f t="shared" si="161"/>
        <v>124895</v>
      </c>
      <c r="M235" s="644">
        <f>+M236+M237+M238</f>
        <v>8330806</v>
      </c>
      <c r="N235" s="644">
        <f>+N236+N237+N238</f>
        <v>5855701</v>
      </c>
      <c r="O235" s="3619"/>
    </row>
    <row r="236" spans="1:15" s="1359" customFormat="1" ht="15" customHeight="1">
      <c r="A236" s="195"/>
      <c r="B236" s="1358" t="s">
        <v>12</v>
      </c>
      <c r="C236" s="3622"/>
      <c r="D236" s="1079">
        <f>D249</f>
        <v>503701</v>
      </c>
      <c r="E236" s="1392">
        <f t="shared" ref="E236:L236" si="162">E249</f>
        <v>0</v>
      </c>
      <c r="F236" s="1392">
        <f t="shared" si="162"/>
        <v>0</v>
      </c>
      <c r="G236" s="1392">
        <f t="shared" si="162"/>
        <v>0</v>
      </c>
      <c r="H236" s="1392">
        <f t="shared" si="162"/>
        <v>83899</v>
      </c>
      <c r="I236" s="1392">
        <f t="shared" si="162"/>
        <v>83899</v>
      </c>
      <c r="J236" s="1392">
        <f t="shared" si="162"/>
        <v>97429</v>
      </c>
      <c r="K236" s="1392">
        <f t="shared" si="162"/>
        <v>113579</v>
      </c>
      <c r="L236" s="1392">
        <f t="shared" si="162"/>
        <v>124895</v>
      </c>
      <c r="M236" s="758">
        <f t="shared" ref="M236:N238" si="163">SUM(F236:K236)</f>
        <v>378806</v>
      </c>
      <c r="N236" s="758">
        <f t="shared" si="163"/>
        <v>503701</v>
      </c>
      <c r="O236" s="3619"/>
    </row>
    <row r="237" spans="1:15" ht="13.5" hidden="1" customHeight="1">
      <c r="A237" s="195"/>
      <c r="B237" s="160" t="s">
        <v>62</v>
      </c>
      <c r="C237" s="3622"/>
      <c r="D237" s="1392">
        <f t="shared" ref="D237:L237" si="164">D253</f>
        <v>0</v>
      </c>
      <c r="E237" s="1392">
        <f t="shared" si="164"/>
        <v>0</v>
      </c>
      <c r="F237" s="1392">
        <f t="shared" si="164"/>
        <v>0</v>
      </c>
      <c r="G237" s="1392">
        <f t="shared" si="164"/>
        <v>0</v>
      </c>
      <c r="H237" s="1392">
        <f t="shared" si="164"/>
        <v>0</v>
      </c>
      <c r="I237" s="1392">
        <f t="shared" si="164"/>
        <v>0</v>
      </c>
      <c r="J237" s="1392">
        <f t="shared" si="164"/>
        <v>0</v>
      </c>
      <c r="K237" s="1392">
        <f t="shared" si="164"/>
        <v>0</v>
      </c>
      <c r="L237" s="1392">
        <f t="shared" si="164"/>
        <v>0</v>
      </c>
      <c r="M237" s="758">
        <f t="shared" si="163"/>
        <v>0</v>
      </c>
      <c r="N237" s="758">
        <f t="shared" si="163"/>
        <v>0</v>
      </c>
      <c r="O237" s="3619"/>
    </row>
    <row r="238" spans="1:15" ht="15.75" customHeight="1" thickBot="1">
      <c r="A238" s="776"/>
      <c r="B238" s="160" t="s">
        <v>175</v>
      </c>
      <c r="C238" s="3622"/>
      <c r="D238" s="1079">
        <f t="shared" ref="D238:E238" si="165">+D245+D253</f>
        <v>15694800</v>
      </c>
      <c r="E238" s="1079">
        <f t="shared" si="165"/>
        <v>7742800</v>
      </c>
      <c r="F238" s="1079">
        <f t="shared" ref="F238:I238" si="166">+F245</f>
        <v>2600000</v>
      </c>
      <c r="G238" s="1079">
        <f t="shared" si="166"/>
        <v>2647000</v>
      </c>
      <c r="H238" s="1079">
        <f t="shared" si="166"/>
        <v>2705000</v>
      </c>
      <c r="I238" s="1079">
        <f t="shared" si="166"/>
        <v>0</v>
      </c>
      <c r="J238" s="1079">
        <f>+J245</f>
        <v>0</v>
      </c>
      <c r="K238" s="1079">
        <f>+K245</f>
        <v>0</v>
      </c>
      <c r="L238" s="1079">
        <f>+L245</f>
        <v>0</v>
      </c>
      <c r="M238" s="758">
        <f t="shared" si="163"/>
        <v>7952000</v>
      </c>
      <c r="N238" s="758">
        <f t="shared" si="163"/>
        <v>5352000</v>
      </c>
      <c r="O238" s="3619"/>
    </row>
    <row r="239" spans="1:15" ht="18.75" hidden="1" customHeight="1">
      <c r="A239" s="601"/>
      <c r="B239" s="196" t="s">
        <v>22</v>
      </c>
      <c r="C239" s="748"/>
      <c r="D239" s="710">
        <f t="shared" ref="D239:I240" si="167">D240</f>
        <v>0</v>
      </c>
      <c r="E239" s="710">
        <f t="shared" si="167"/>
        <v>0</v>
      </c>
      <c r="F239" s="710">
        <f t="shared" si="167"/>
        <v>0</v>
      </c>
      <c r="G239" s="710">
        <f t="shared" si="167"/>
        <v>0</v>
      </c>
      <c r="H239" s="710">
        <f t="shared" si="167"/>
        <v>0</v>
      </c>
      <c r="I239" s="710">
        <f t="shared" si="167"/>
        <v>0</v>
      </c>
      <c r="J239" s="710">
        <f t="shared" ref="J239:L240" si="168">J240</f>
        <v>0</v>
      </c>
      <c r="K239" s="710">
        <f t="shared" si="168"/>
        <v>0</v>
      </c>
      <c r="L239" s="710">
        <f t="shared" si="168"/>
        <v>0</v>
      </c>
      <c r="M239" s="3272" t="s">
        <v>61</v>
      </c>
      <c r="N239" s="3272" t="s">
        <v>61</v>
      </c>
      <c r="O239" s="3619"/>
    </row>
    <row r="240" spans="1:15" ht="13.5" hidden="1" customHeight="1">
      <c r="A240" s="601"/>
      <c r="B240" s="1393" t="s">
        <v>11</v>
      </c>
      <c r="C240" s="1394"/>
      <c r="D240" s="1395">
        <f t="shared" si="167"/>
        <v>0</v>
      </c>
      <c r="E240" s="1395">
        <f t="shared" si="167"/>
        <v>0</v>
      </c>
      <c r="F240" s="1395">
        <f t="shared" si="167"/>
        <v>0</v>
      </c>
      <c r="G240" s="1395">
        <f t="shared" si="167"/>
        <v>0</v>
      </c>
      <c r="H240" s="1395">
        <f t="shared" si="167"/>
        <v>0</v>
      </c>
      <c r="I240" s="1395">
        <f t="shared" si="167"/>
        <v>0</v>
      </c>
      <c r="J240" s="1395">
        <f t="shared" si="168"/>
        <v>0</v>
      </c>
      <c r="K240" s="1395">
        <f t="shared" si="168"/>
        <v>0</v>
      </c>
      <c r="L240" s="1395">
        <f t="shared" si="168"/>
        <v>0</v>
      </c>
      <c r="M240" s="3273"/>
      <c r="N240" s="3273"/>
      <c r="O240" s="3619"/>
    </row>
    <row r="241" spans="1:17" ht="13.5" hidden="1" customHeight="1" thickBot="1">
      <c r="A241" s="759"/>
      <c r="B241" s="1396" t="s">
        <v>62</v>
      </c>
      <c r="C241" s="487"/>
      <c r="D241" s="1079"/>
      <c r="E241" s="1397">
        <f t="shared" ref="E241:G241" si="169">E255+E273+E280+E287+E294+E264+E301+E308+E315+E322</f>
        <v>0</v>
      </c>
      <c r="F241" s="1397">
        <f t="shared" si="169"/>
        <v>0</v>
      </c>
      <c r="G241" s="1397">
        <f t="shared" si="169"/>
        <v>0</v>
      </c>
      <c r="H241" s="1397">
        <f>H256</f>
        <v>0</v>
      </c>
      <c r="I241" s="1397">
        <f>I256</f>
        <v>0</v>
      </c>
      <c r="J241" s="1397">
        <f>J256</f>
        <v>0</v>
      </c>
      <c r="K241" s="1397">
        <f>K256</f>
        <v>0</v>
      </c>
      <c r="L241" s="1397">
        <f>L256</f>
        <v>0</v>
      </c>
      <c r="M241" s="3274"/>
      <c r="N241" s="3274"/>
      <c r="O241" s="3620"/>
    </row>
    <row r="242" spans="1:17" ht="29.25" customHeight="1">
      <c r="A242" s="3797" t="s">
        <v>63</v>
      </c>
      <c r="B242" s="184" t="s">
        <v>324</v>
      </c>
      <c r="C242" s="1833" t="s">
        <v>171</v>
      </c>
      <c r="D242" s="761"/>
      <c r="E242" s="762"/>
      <c r="F242" s="763"/>
      <c r="G242" s="763"/>
      <c r="H242" s="763"/>
      <c r="I242" s="762"/>
      <c r="J242" s="762"/>
      <c r="K242" s="762"/>
      <c r="L242" s="762"/>
      <c r="M242" s="764"/>
      <c r="N242" s="764"/>
      <c r="O242" s="3240" t="s">
        <v>173</v>
      </c>
    </row>
    <row r="243" spans="1:17" ht="15.75" customHeight="1">
      <c r="A243" s="3798"/>
      <c r="B243" s="662" t="s">
        <v>10</v>
      </c>
      <c r="C243" s="748"/>
      <c r="D243" s="709">
        <f t="shared" ref="D243:N244" si="170">+D244</f>
        <v>15694800</v>
      </c>
      <c r="E243" s="709">
        <f t="shared" si="170"/>
        <v>7742800</v>
      </c>
      <c r="F243" s="709">
        <f t="shared" si="170"/>
        <v>2600000</v>
      </c>
      <c r="G243" s="709">
        <f t="shared" si="170"/>
        <v>2647000</v>
      </c>
      <c r="H243" s="709">
        <f t="shared" si="170"/>
        <v>2705000</v>
      </c>
      <c r="I243" s="709">
        <f t="shared" si="170"/>
        <v>0</v>
      </c>
      <c r="J243" s="709">
        <f t="shared" si="170"/>
        <v>0</v>
      </c>
      <c r="K243" s="709">
        <f t="shared" si="170"/>
        <v>0</v>
      </c>
      <c r="L243" s="709">
        <f t="shared" si="170"/>
        <v>0</v>
      </c>
      <c r="M243" s="643">
        <f t="shared" si="170"/>
        <v>7952000</v>
      </c>
      <c r="N243" s="643">
        <f t="shared" si="170"/>
        <v>5352000</v>
      </c>
      <c r="O243" s="3241"/>
    </row>
    <row r="244" spans="1:17" ht="15" customHeight="1">
      <c r="A244" s="3798"/>
      <c r="B244" s="989" t="s">
        <v>24</v>
      </c>
      <c r="C244" s="3232" t="s">
        <v>174</v>
      </c>
      <c r="D244" s="1355">
        <f t="shared" si="170"/>
        <v>15694800</v>
      </c>
      <c r="E244" s="1355">
        <f t="shared" si="170"/>
        <v>7742800</v>
      </c>
      <c r="F244" s="1356">
        <f t="shared" ref="F244:H244" si="171">F245</f>
        <v>2600000</v>
      </c>
      <c r="G244" s="1356">
        <f t="shared" si="171"/>
        <v>2647000</v>
      </c>
      <c r="H244" s="1356">
        <f t="shared" si="171"/>
        <v>2705000</v>
      </c>
      <c r="I244" s="1356">
        <v>0</v>
      </c>
      <c r="J244" s="1356">
        <v>0</v>
      </c>
      <c r="K244" s="1356">
        <v>0</v>
      </c>
      <c r="L244" s="1356">
        <v>0</v>
      </c>
      <c r="M244" s="644">
        <f t="shared" si="170"/>
        <v>7952000</v>
      </c>
      <c r="N244" s="644">
        <f t="shared" si="170"/>
        <v>5352000</v>
      </c>
      <c r="O244" s="3241"/>
    </row>
    <row r="245" spans="1:17" ht="15" customHeight="1" thickBot="1">
      <c r="A245" s="3799"/>
      <c r="B245" s="230" t="s">
        <v>175</v>
      </c>
      <c r="C245" s="3216"/>
      <c r="D245" s="941">
        <f>E245+F245+G245+H245+I245+J245+K245+L245</f>
        <v>15694800</v>
      </c>
      <c r="E245" s="941">
        <v>7742800</v>
      </c>
      <c r="F245" s="521">
        <v>2600000</v>
      </c>
      <c r="G245" s="521">
        <v>2647000</v>
      </c>
      <c r="H245" s="521">
        <v>2705000</v>
      </c>
      <c r="I245" s="521">
        <v>0</v>
      </c>
      <c r="J245" s="521">
        <v>0</v>
      </c>
      <c r="K245" s="521">
        <v>0</v>
      </c>
      <c r="L245" s="521">
        <v>0</v>
      </c>
      <c r="M245" s="758">
        <f>SUM(F245:K245)</f>
        <v>7952000</v>
      </c>
      <c r="N245" s="2605">
        <f>SUM(G245:L245)</f>
        <v>5352000</v>
      </c>
      <c r="O245" s="3242"/>
    </row>
    <row r="246" spans="1:17" ht="27" customHeight="1">
      <c r="A246" s="3291" t="s">
        <v>64</v>
      </c>
      <c r="B246" s="720" t="s">
        <v>354</v>
      </c>
      <c r="C246" s="737" t="s">
        <v>109</v>
      </c>
      <c r="D246" s="737"/>
      <c r="E246" s="85"/>
      <c r="F246" s="739"/>
      <c r="G246" s="739"/>
      <c r="H246" s="739"/>
      <c r="I246" s="739"/>
      <c r="J246" s="739"/>
      <c r="K246" s="739"/>
      <c r="L246" s="739"/>
      <c r="M246" s="721"/>
      <c r="N246" s="721"/>
      <c r="O246" s="3757" t="s">
        <v>469</v>
      </c>
      <c r="Q246" s="201"/>
    </row>
    <row r="247" spans="1:17" ht="15" customHeight="1">
      <c r="A247" s="3291"/>
      <c r="B247" s="662" t="s">
        <v>10</v>
      </c>
      <c r="C247" s="738"/>
      <c r="D247" s="709">
        <f>D248</f>
        <v>503701</v>
      </c>
      <c r="E247" s="709">
        <f t="shared" ref="E247:L248" si="172">E248</f>
        <v>0</v>
      </c>
      <c r="F247" s="749">
        <f t="shared" si="172"/>
        <v>0</v>
      </c>
      <c r="G247" s="749">
        <f t="shared" si="172"/>
        <v>0</v>
      </c>
      <c r="H247" s="709">
        <f t="shared" si="172"/>
        <v>83899</v>
      </c>
      <c r="I247" s="709">
        <f t="shared" si="172"/>
        <v>83899</v>
      </c>
      <c r="J247" s="709">
        <f t="shared" si="172"/>
        <v>97429</v>
      </c>
      <c r="K247" s="709">
        <f t="shared" si="172"/>
        <v>113579</v>
      </c>
      <c r="L247" s="710">
        <f t="shared" si="172"/>
        <v>124895</v>
      </c>
      <c r="M247" s="730">
        <f>M248</f>
        <v>503701</v>
      </c>
      <c r="N247" s="730">
        <f>N248</f>
        <v>503701</v>
      </c>
      <c r="O247" s="3757"/>
    </row>
    <row r="248" spans="1:17" ht="15" customHeight="1">
      <c r="A248" s="3291"/>
      <c r="B248" s="712" t="s">
        <v>11</v>
      </c>
      <c r="C248" s="3801" t="s">
        <v>170</v>
      </c>
      <c r="D248" s="714">
        <f>D249</f>
        <v>503701</v>
      </c>
      <c r="E248" s="714">
        <f t="shared" si="172"/>
        <v>0</v>
      </c>
      <c r="F248" s="724">
        <f t="shared" si="172"/>
        <v>0</v>
      </c>
      <c r="G248" s="724">
        <f t="shared" si="172"/>
        <v>0</v>
      </c>
      <c r="H248" s="714">
        <f t="shared" si="172"/>
        <v>83899</v>
      </c>
      <c r="I248" s="714">
        <f t="shared" si="172"/>
        <v>83899</v>
      </c>
      <c r="J248" s="714">
        <f t="shared" si="172"/>
        <v>97429</v>
      </c>
      <c r="K248" s="714">
        <f t="shared" si="172"/>
        <v>113579</v>
      </c>
      <c r="L248" s="714">
        <f t="shared" si="172"/>
        <v>124895</v>
      </c>
      <c r="M248" s="731">
        <f>M249</f>
        <v>503701</v>
      </c>
      <c r="N248" s="731">
        <f>N249</f>
        <v>503701</v>
      </c>
      <c r="O248" s="3757"/>
    </row>
    <row r="249" spans="1:17" ht="15" customHeight="1" thickBot="1">
      <c r="A249" s="3359"/>
      <c r="B249" s="81" t="s">
        <v>12</v>
      </c>
      <c r="C249" s="3773"/>
      <c r="D249" s="941">
        <f>E249+F249+G249+H249+I249+J249+K249+L249</f>
        <v>503701</v>
      </c>
      <c r="E249" s="941">
        <v>0</v>
      </c>
      <c r="F249" s="1352">
        <v>0</v>
      </c>
      <c r="G249" s="1352">
        <v>0</v>
      </c>
      <c r="H249" s="1353">
        <v>83899</v>
      </c>
      <c r="I249" s="1353">
        <v>83899</v>
      </c>
      <c r="J249" s="1353">
        <v>97429</v>
      </c>
      <c r="K249" s="1353">
        <v>113579</v>
      </c>
      <c r="L249" s="1353">
        <v>124895</v>
      </c>
      <c r="M249" s="1354">
        <f>SUM(F249:L249)</f>
        <v>503701</v>
      </c>
      <c r="N249" s="1354">
        <f>SUM(G249:L249)</f>
        <v>503701</v>
      </c>
      <c r="O249" s="3758"/>
    </row>
    <row r="250" spans="1:17" ht="40.5" hidden="1" customHeight="1">
      <c r="A250" s="3793" t="s">
        <v>65</v>
      </c>
      <c r="B250" s="268"/>
      <c r="C250" s="260" t="s">
        <v>171</v>
      </c>
      <c r="D250" s="777"/>
      <c r="E250" s="778"/>
      <c r="F250" s="779"/>
      <c r="G250" s="779"/>
      <c r="H250" s="779"/>
      <c r="I250" s="778"/>
      <c r="J250" s="778"/>
      <c r="K250" s="778"/>
      <c r="L250" s="778"/>
      <c r="M250" s="780"/>
      <c r="N250" s="780"/>
      <c r="O250" s="3794" t="s">
        <v>216</v>
      </c>
    </row>
    <row r="251" spans="1:17" ht="17.25" hidden="1" customHeight="1">
      <c r="A251" s="3793"/>
      <c r="B251" s="136" t="s">
        <v>10</v>
      </c>
      <c r="C251" s="136"/>
      <c r="D251" s="235"/>
      <c r="E251" s="235"/>
      <c r="F251" s="270"/>
      <c r="G251" s="269">
        <f t="shared" ref="G251:N251" si="173">+G252</f>
        <v>0</v>
      </c>
      <c r="H251" s="269">
        <f t="shared" si="173"/>
        <v>0</v>
      </c>
      <c r="I251" s="270">
        <f t="shared" si="173"/>
        <v>0</v>
      </c>
      <c r="J251" s="270"/>
      <c r="K251" s="270"/>
      <c r="L251" s="270"/>
      <c r="M251" s="65">
        <f t="shared" si="173"/>
        <v>0</v>
      </c>
      <c r="N251" s="65">
        <f t="shared" si="173"/>
        <v>0</v>
      </c>
      <c r="O251" s="3794"/>
    </row>
    <row r="252" spans="1:17" ht="16.5" hidden="1" customHeight="1">
      <c r="A252" s="3793"/>
      <c r="B252" s="175" t="s">
        <v>217</v>
      </c>
      <c r="C252" s="3795" t="s">
        <v>215</v>
      </c>
      <c r="D252" s="271"/>
      <c r="E252" s="272"/>
      <c r="F252" s="272"/>
      <c r="G252" s="272">
        <f>G253</f>
        <v>0</v>
      </c>
      <c r="H252" s="272">
        <f>H253</f>
        <v>0</v>
      </c>
      <c r="I252" s="273">
        <f>I253</f>
        <v>0</v>
      </c>
      <c r="J252" s="273"/>
      <c r="K252" s="273"/>
      <c r="L252" s="273"/>
      <c r="M252" s="79">
        <f>+M253</f>
        <v>0</v>
      </c>
      <c r="N252" s="79">
        <f>+N253</f>
        <v>0</v>
      </c>
      <c r="O252" s="3794"/>
    </row>
    <row r="253" spans="1:17" ht="13.5" hidden="1" customHeight="1">
      <c r="A253" s="3793"/>
      <c r="B253" s="274" t="s">
        <v>62</v>
      </c>
      <c r="C253" s="3796"/>
      <c r="D253" s="275"/>
      <c r="E253" s="276"/>
      <c r="F253" s="276"/>
      <c r="G253" s="276">
        <v>0</v>
      </c>
      <c r="H253" s="276">
        <v>0</v>
      </c>
      <c r="I253" s="276">
        <v>0</v>
      </c>
      <c r="J253" s="276"/>
      <c r="K253" s="276"/>
      <c r="L253" s="276"/>
      <c r="M253" s="277"/>
      <c r="N253" s="277"/>
      <c r="O253" s="3794"/>
    </row>
    <row r="254" spans="1:17" ht="15.75" hidden="1" customHeight="1">
      <c r="A254" s="3793"/>
      <c r="B254" s="278" t="s">
        <v>22</v>
      </c>
      <c r="C254" s="22"/>
      <c r="D254" s="31"/>
      <c r="E254" s="197"/>
      <c r="F254" s="197"/>
      <c r="G254" s="197"/>
      <c r="H254" s="197">
        <f t="shared" ref="G254:I255" si="174">H255</f>
        <v>0</v>
      </c>
      <c r="I254" s="197">
        <f t="shared" si="174"/>
        <v>0</v>
      </c>
      <c r="J254" s="781"/>
      <c r="K254" s="781"/>
      <c r="L254" s="781"/>
      <c r="M254" s="3273" t="s">
        <v>61</v>
      </c>
      <c r="N254" s="3273" t="s">
        <v>61</v>
      </c>
      <c r="O254" s="3794"/>
    </row>
    <row r="255" spans="1:17" ht="16.5" hidden="1" customHeight="1">
      <c r="A255" s="3793"/>
      <c r="B255" s="175" t="s">
        <v>11</v>
      </c>
      <c r="C255" s="3786" t="s">
        <v>215</v>
      </c>
      <c r="D255" s="127"/>
      <c r="E255" s="50"/>
      <c r="F255" s="50"/>
      <c r="G255" s="50">
        <f t="shared" si="174"/>
        <v>0</v>
      </c>
      <c r="H255" s="50">
        <f t="shared" si="174"/>
        <v>0</v>
      </c>
      <c r="I255" s="50">
        <f t="shared" si="174"/>
        <v>0</v>
      </c>
      <c r="J255" s="301"/>
      <c r="K255" s="301"/>
      <c r="L255" s="301"/>
      <c r="M255" s="3273"/>
      <c r="N255" s="3273"/>
      <c r="O255" s="3794"/>
    </row>
    <row r="256" spans="1:17" ht="13.5" hidden="1" customHeight="1" thickBot="1">
      <c r="A256" s="3793"/>
      <c r="B256" s="1835" t="s">
        <v>62</v>
      </c>
      <c r="C256" s="3217"/>
      <c r="D256" s="279"/>
      <c r="E256" s="73"/>
      <c r="F256" s="72"/>
      <c r="G256" s="72">
        <v>0</v>
      </c>
      <c r="H256" s="72">
        <v>0</v>
      </c>
      <c r="I256" s="72">
        <v>0</v>
      </c>
      <c r="J256" s="56"/>
      <c r="K256" s="56"/>
      <c r="L256" s="56"/>
      <c r="M256" s="3274"/>
      <c r="N256" s="3274"/>
      <c r="O256" s="3794"/>
    </row>
    <row r="257" spans="1:15" ht="17.25" customHeight="1">
      <c r="A257" s="750" t="s">
        <v>454</v>
      </c>
      <c r="E257" s="681"/>
      <c r="O257" s="782"/>
    </row>
    <row r="258" spans="1:15" ht="11.25" hidden="1" customHeight="1">
      <c r="A258" s="3792"/>
      <c r="B258" s="3792"/>
      <c r="C258" s="3792"/>
      <c r="D258" s="3792"/>
      <c r="E258" s="3792"/>
      <c r="F258" s="3792"/>
      <c r="G258" s="3792"/>
      <c r="H258" s="3792"/>
      <c r="I258" s="3792"/>
      <c r="J258" s="3792"/>
      <c r="K258" s="3792"/>
      <c r="L258" s="3792"/>
      <c r="M258" s="3792"/>
      <c r="N258" s="3792"/>
      <c r="O258" s="3792"/>
    </row>
    <row r="259" spans="1:15" hidden="1">
      <c r="A259" s="3792"/>
      <c r="B259" s="3792"/>
      <c r="C259" s="3792"/>
      <c r="D259" s="3792"/>
      <c r="E259" s="3792"/>
      <c r="F259" s="3792"/>
      <c r="G259" s="3792"/>
      <c r="H259" s="3792"/>
      <c r="I259" s="3792"/>
      <c r="J259" s="3792"/>
      <c r="K259" s="3792"/>
      <c r="L259" s="3792"/>
      <c r="M259" s="3792"/>
      <c r="N259" s="3792"/>
      <c r="O259" s="3792"/>
    </row>
    <row r="260" spans="1:15" ht="12.75" hidden="1">
      <c r="B260" s="1442" t="s">
        <v>401</v>
      </c>
      <c r="C260" s="1433"/>
      <c r="D260" s="1433"/>
      <c r="E260" s="1433"/>
      <c r="F260" s="1433"/>
      <c r="G260" s="1433"/>
      <c r="H260" s="1433"/>
      <c r="I260" s="1433"/>
      <c r="J260" s="1433"/>
      <c r="K260" s="1433"/>
      <c r="L260" s="1433"/>
      <c r="O260" s="782"/>
    </row>
    <row r="261" spans="1:15" ht="12.75" hidden="1">
      <c r="B261" s="1398" t="s">
        <v>402</v>
      </c>
      <c r="C261" s="1433"/>
      <c r="D261" s="1439">
        <f>D85+D110+D132+D141+D163+D185+D194+D217</f>
        <v>2929227</v>
      </c>
      <c r="E261" s="1439">
        <f t="shared" ref="E261:L261" si="175">E85+E110+E132+E141+E163+E185+E194+E217</f>
        <v>0</v>
      </c>
      <c r="F261" s="1439">
        <f t="shared" si="175"/>
        <v>977</v>
      </c>
      <c r="G261" s="1439">
        <f t="shared" si="175"/>
        <v>618334</v>
      </c>
      <c r="H261" s="1439">
        <f t="shared" si="175"/>
        <v>1306959</v>
      </c>
      <c r="I261" s="1439">
        <f t="shared" si="175"/>
        <v>679194</v>
      </c>
      <c r="J261" s="1439">
        <f t="shared" si="175"/>
        <v>323763</v>
      </c>
      <c r="K261" s="1439">
        <f t="shared" si="175"/>
        <v>0</v>
      </c>
      <c r="L261" s="1439">
        <f t="shared" si="175"/>
        <v>0</v>
      </c>
      <c r="O261" s="782"/>
    </row>
    <row r="262" spans="1:15" ht="12.75" hidden="1">
      <c r="B262" s="1398" t="s">
        <v>403</v>
      </c>
      <c r="C262" s="1433"/>
      <c r="D262" s="1439">
        <f>D32+D44+D56+D67+D76+D95+D119+D150+D172+D204+D229+D227</f>
        <v>98416781</v>
      </c>
      <c r="E262" s="1439">
        <f t="shared" ref="E262:L262" si="176">E32+E44+E56+E67+E76+E95+E119+E150+E172+E204+E229+E227</f>
        <v>120000</v>
      </c>
      <c r="F262" s="1439">
        <f t="shared" si="176"/>
        <v>145886</v>
      </c>
      <c r="G262" s="1439">
        <f t="shared" si="176"/>
        <v>77350451</v>
      </c>
      <c r="H262" s="1439">
        <f t="shared" si="176"/>
        <v>11537238</v>
      </c>
      <c r="I262" s="1439">
        <f t="shared" si="176"/>
        <v>6239181</v>
      </c>
      <c r="J262" s="1439">
        <f t="shared" si="176"/>
        <v>3024025</v>
      </c>
      <c r="K262" s="1439">
        <f t="shared" si="176"/>
        <v>0</v>
      </c>
      <c r="L262" s="1439">
        <f t="shared" si="176"/>
        <v>0</v>
      </c>
      <c r="O262" s="782"/>
    </row>
    <row r="263" spans="1:15" ht="12.75" hidden="1">
      <c r="B263" s="1398" t="s">
        <v>404</v>
      </c>
      <c r="C263" s="1433"/>
      <c r="D263" s="1440">
        <f>D261+D262</f>
        <v>101346008</v>
      </c>
      <c r="E263" s="1440">
        <f t="shared" ref="E263:I263" si="177">E261+E262</f>
        <v>120000</v>
      </c>
      <c r="F263" s="1440">
        <f t="shared" si="177"/>
        <v>146863</v>
      </c>
      <c r="G263" s="1440">
        <f t="shared" si="177"/>
        <v>77968785</v>
      </c>
      <c r="H263" s="1440">
        <f t="shared" si="177"/>
        <v>12844197</v>
      </c>
      <c r="I263" s="1440">
        <f t="shared" si="177"/>
        <v>6918375</v>
      </c>
      <c r="J263" s="1440">
        <f t="shared" ref="J263:L263" si="178">J261+J262</f>
        <v>3347788</v>
      </c>
      <c r="K263" s="1440">
        <f t="shared" si="178"/>
        <v>0</v>
      </c>
      <c r="L263" s="1440">
        <f t="shared" si="178"/>
        <v>0</v>
      </c>
      <c r="O263" s="782"/>
    </row>
    <row r="264" spans="1:15" ht="12.75" hidden="1">
      <c r="B264" s="1436" t="s">
        <v>42</v>
      </c>
      <c r="C264" s="1438"/>
      <c r="D264" s="1441">
        <f>D263-D18</f>
        <v>0</v>
      </c>
      <c r="E264" s="1441">
        <f t="shared" ref="E264:L264" si="179">E263-E18</f>
        <v>0</v>
      </c>
      <c r="F264" s="1441">
        <f t="shared" si="179"/>
        <v>0</v>
      </c>
      <c r="G264" s="1441">
        <f t="shared" si="179"/>
        <v>0</v>
      </c>
      <c r="H264" s="1441">
        <f t="shared" si="179"/>
        <v>0</v>
      </c>
      <c r="I264" s="1441">
        <f t="shared" si="179"/>
        <v>0</v>
      </c>
      <c r="J264" s="1441">
        <f t="shared" si="179"/>
        <v>0</v>
      </c>
      <c r="K264" s="1441">
        <f t="shared" si="179"/>
        <v>0</v>
      </c>
      <c r="L264" s="1441">
        <f t="shared" si="179"/>
        <v>0</v>
      </c>
      <c r="O264" s="782"/>
    </row>
    <row r="265" spans="1:15" hidden="1">
      <c r="E265" s="681"/>
      <c r="O265" s="782"/>
    </row>
    <row r="266" spans="1:15" hidden="1">
      <c r="E266" s="681"/>
      <c r="O266" s="782"/>
    </row>
    <row r="267" spans="1:15">
      <c r="E267" s="681"/>
      <c r="O267" s="782"/>
    </row>
    <row r="268" spans="1:15">
      <c r="E268" s="681"/>
      <c r="O268" s="782"/>
    </row>
    <row r="269" spans="1:15">
      <c r="E269" s="681"/>
      <c r="O269" s="782"/>
    </row>
    <row r="270" spans="1:15">
      <c r="E270" s="681"/>
      <c r="O270" s="782"/>
    </row>
    <row r="271" spans="1:15">
      <c r="E271" s="681"/>
      <c r="O271" s="782"/>
    </row>
    <row r="272" spans="1:15">
      <c r="E272" s="681"/>
      <c r="O272" s="782"/>
    </row>
    <row r="273" spans="5:15">
      <c r="E273" s="681"/>
      <c r="O273" s="782"/>
    </row>
    <row r="274" spans="5:15">
      <c r="E274" s="681"/>
      <c r="O274" s="782"/>
    </row>
    <row r="275" spans="5:15">
      <c r="E275" s="681"/>
      <c r="O275" s="782"/>
    </row>
    <row r="276" spans="5:15">
      <c r="E276" s="681"/>
      <c r="O276" s="782"/>
    </row>
    <row r="277" spans="5:15">
      <c r="E277" s="681"/>
      <c r="O277" s="782"/>
    </row>
    <row r="278" spans="5:15">
      <c r="E278" s="681"/>
      <c r="O278" s="782"/>
    </row>
    <row r="279" spans="5:15">
      <c r="E279" s="681"/>
      <c r="O279" s="782"/>
    </row>
    <row r="280" spans="5:15">
      <c r="E280" s="681"/>
      <c r="O280" s="782"/>
    </row>
    <row r="281" spans="5:15">
      <c r="E281" s="681"/>
      <c r="O281" s="782"/>
    </row>
    <row r="282" spans="5:15">
      <c r="E282" s="681"/>
      <c r="O282" s="782"/>
    </row>
    <row r="283" spans="5:15">
      <c r="E283" s="681"/>
      <c r="O283" s="782"/>
    </row>
    <row r="284" spans="5:15">
      <c r="E284" s="681"/>
      <c r="O284" s="782"/>
    </row>
    <row r="285" spans="5:15">
      <c r="E285" s="681"/>
      <c r="O285" s="782"/>
    </row>
    <row r="286" spans="5:15">
      <c r="E286" s="681"/>
      <c r="O286" s="782"/>
    </row>
    <row r="287" spans="5:15">
      <c r="E287" s="681"/>
      <c r="O287" s="782"/>
    </row>
    <row r="288" spans="5:15">
      <c r="E288" s="681"/>
      <c r="O288" s="782"/>
    </row>
    <row r="289" spans="5:15">
      <c r="E289" s="681"/>
      <c r="O289" s="782"/>
    </row>
    <row r="290" spans="5:15">
      <c r="E290" s="681"/>
      <c r="O290" s="782"/>
    </row>
    <row r="291" spans="5:15">
      <c r="E291" s="681"/>
      <c r="O291" s="782"/>
    </row>
    <row r="292" spans="5:15">
      <c r="E292" s="681"/>
      <c r="O292" s="782"/>
    </row>
    <row r="293" spans="5:15">
      <c r="E293" s="681"/>
      <c r="O293" s="782"/>
    </row>
    <row r="294" spans="5:15">
      <c r="E294" s="681"/>
      <c r="O294" s="782"/>
    </row>
    <row r="295" spans="5:15">
      <c r="E295" s="681"/>
      <c r="O295" s="782"/>
    </row>
    <row r="296" spans="5:15">
      <c r="E296" s="681"/>
      <c r="O296" s="782"/>
    </row>
    <row r="297" spans="5:15">
      <c r="E297" s="681"/>
      <c r="O297" s="782"/>
    </row>
    <row r="298" spans="5:15">
      <c r="E298" s="681"/>
      <c r="O298" s="782"/>
    </row>
    <row r="299" spans="5:15">
      <c r="E299" s="681"/>
      <c r="O299" s="782"/>
    </row>
    <row r="300" spans="5:15">
      <c r="E300" s="681"/>
      <c r="O300" s="782"/>
    </row>
    <row r="301" spans="5:15">
      <c r="E301" s="681"/>
      <c r="O301" s="782"/>
    </row>
    <row r="302" spans="5:15">
      <c r="E302" s="681"/>
      <c r="O302" s="782"/>
    </row>
    <row r="303" spans="5:15">
      <c r="E303" s="681"/>
      <c r="O303" s="782"/>
    </row>
    <row r="304" spans="5:15">
      <c r="E304" s="681"/>
      <c r="O304" s="782"/>
    </row>
    <row r="305" spans="5:15">
      <c r="E305" s="681"/>
      <c r="O305" s="782"/>
    </row>
    <row r="306" spans="5:15">
      <c r="E306" s="681"/>
      <c r="O306" s="782"/>
    </row>
    <row r="307" spans="5:15">
      <c r="E307" s="681"/>
      <c r="O307" s="782"/>
    </row>
    <row r="308" spans="5:15">
      <c r="E308" s="681"/>
      <c r="O308" s="782"/>
    </row>
    <row r="309" spans="5:15">
      <c r="E309" s="681"/>
      <c r="O309" s="782"/>
    </row>
    <row r="310" spans="5:15">
      <c r="E310" s="681"/>
      <c r="O310" s="782"/>
    </row>
    <row r="311" spans="5:15">
      <c r="E311" s="681"/>
      <c r="O311" s="782"/>
    </row>
    <row r="312" spans="5:15">
      <c r="E312" s="681"/>
      <c r="O312" s="782"/>
    </row>
    <row r="313" spans="5:15">
      <c r="E313" s="681"/>
      <c r="O313" s="782"/>
    </row>
    <row r="314" spans="5:15">
      <c r="E314" s="681"/>
      <c r="O314" s="782"/>
    </row>
    <row r="315" spans="5:15">
      <c r="E315" s="681"/>
      <c r="O315" s="782"/>
    </row>
    <row r="316" spans="5:15">
      <c r="E316" s="681"/>
      <c r="O316" s="782"/>
    </row>
    <row r="317" spans="5:15">
      <c r="E317" s="681"/>
      <c r="O317" s="782"/>
    </row>
    <row r="318" spans="5:15">
      <c r="E318" s="681"/>
      <c r="O318" s="782"/>
    </row>
    <row r="319" spans="5:15">
      <c r="E319" s="681"/>
      <c r="O319" s="782"/>
    </row>
    <row r="320" spans="5:15">
      <c r="E320" s="681"/>
      <c r="O320" s="782"/>
    </row>
    <row r="321" spans="5:15">
      <c r="E321" s="681"/>
      <c r="O321" s="782"/>
    </row>
    <row r="322" spans="5:15">
      <c r="E322" s="681"/>
      <c r="O322" s="782"/>
    </row>
    <row r="323" spans="5:15">
      <c r="E323" s="681"/>
      <c r="O323" s="782"/>
    </row>
    <row r="324" spans="5:15">
      <c r="E324" s="681"/>
      <c r="O324" s="782"/>
    </row>
    <row r="325" spans="5:15">
      <c r="E325" s="681"/>
      <c r="O325" s="782"/>
    </row>
    <row r="326" spans="5:15">
      <c r="E326" s="681"/>
      <c r="O326" s="782"/>
    </row>
    <row r="327" spans="5:15">
      <c r="E327" s="681"/>
      <c r="O327" s="782"/>
    </row>
    <row r="328" spans="5:15">
      <c r="E328" s="681"/>
      <c r="O328" s="782"/>
    </row>
    <row r="329" spans="5:15">
      <c r="E329" s="681"/>
      <c r="O329" s="782"/>
    </row>
    <row r="330" spans="5:15">
      <c r="E330" s="681"/>
      <c r="O330" s="782"/>
    </row>
    <row r="331" spans="5:15">
      <c r="E331" s="681"/>
      <c r="O331" s="782"/>
    </row>
    <row r="332" spans="5:15">
      <c r="E332" s="681"/>
      <c r="O332" s="782"/>
    </row>
    <row r="333" spans="5:15">
      <c r="E333" s="681"/>
      <c r="O333" s="782"/>
    </row>
    <row r="334" spans="5:15">
      <c r="E334" s="681"/>
      <c r="O334" s="782"/>
    </row>
    <row r="335" spans="5:15">
      <c r="E335" s="681"/>
      <c r="O335" s="782"/>
    </row>
    <row r="336" spans="5:15">
      <c r="E336" s="681"/>
      <c r="O336" s="782"/>
    </row>
    <row r="337" spans="5:15">
      <c r="E337" s="681"/>
      <c r="O337" s="782"/>
    </row>
    <row r="338" spans="5:15">
      <c r="E338" s="681"/>
      <c r="O338" s="782"/>
    </row>
    <row r="339" spans="5:15">
      <c r="E339" s="681"/>
      <c r="O339" s="782"/>
    </row>
    <row r="340" spans="5:15">
      <c r="E340" s="681"/>
      <c r="O340" s="782"/>
    </row>
    <row r="341" spans="5:15">
      <c r="E341" s="681"/>
      <c r="O341" s="782"/>
    </row>
    <row r="342" spans="5:15">
      <c r="E342" s="681"/>
      <c r="O342" s="782"/>
    </row>
    <row r="343" spans="5:15">
      <c r="E343" s="681"/>
      <c r="O343" s="782"/>
    </row>
    <row r="344" spans="5:15">
      <c r="E344" s="681"/>
      <c r="O344" s="782"/>
    </row>
    <row r="345" spans="5:15">
      <c r="E345" s="681"/>
      <c r="O345" s="782"/>
    </row>
    <row r="346" spans="5:15">
      <c r="E346" s="681"/>
      <c r="O346" s="782"/>
    </row>
    <row r="347" spans="5:15">
      <c r="E347" s="681"/>
      <c r="O347" s="782"/>
    </row>
    <row r="348" spans="5:15">
      <c r="E348" s="681"/>
      <c r="O348" s="782"/>
    </row>
    <row r="349" spans="5:15">
      <c r="E349" s="681"/>
      <c r="O349" s="782"/>
    </row>
    <row r="350" spans="5:15">
      <c r="E350" s="681"/>
      <c r="O350" s="782"/>
    </row>
    <row r="351" spans="5:15">
      <c r="E351" s="681"/>
      <c r="O351" s="782"/>
    </row>
    <row r="352" spans="5:15">
      <c r="E352" s="681"/>
      <c r="O352" s="782"/>
    </row>
    <row r="353" spans="5:15">
      <c r="E353" s="681"/>
      <c r="O353" s="782"/>
    </row>
    <row r="354" spans="5:15">
      <c r="E354" s="681"/>
      <c r="O354" s="782"/>
    </row>
    <row r="355" spans="5:15">
      <c r="E355" s="681"/>
      <c r="O355" s="782"/>
    </row>
    <row r="356" spans="5:15">
      <c r="E356" s="681"/>
      <c r="O356" s="782"/>
    </row>
    <row r="357" spans="5:15">
      <c r="E357" s="681"/>
      <c r="O357" s="782"/>
    </row>
    <row r="358" spans="5:15">
      <c r="E358" s="681"/>
      <c r="O358" s="782"/>
    </row>
    <row r="359" spans="5:15">
      <c r="E359" s="681"/>
      <c r="O359" s="782"/>
    </row>
    <row r="360" spans="5:15">
      <c r="E360" s="681"/>
      <c r="O360" s="782"/>
    </row>
    <row r="361" spans="5:15">
      <c r="E361" s="681"/>
      <c r="O361" s="782"/>
    </row>
    <row r="362" spans="5:15">
      <c r="E362" s="681"/>
      <c r="O362" s="782"/>
    </row>
    <row r="363" spans="5:15">
      <c r="E363" s="681"/>
      <c r="O363" s="782"/>
    </row>
    <row r="364" spans="5:15">
      <c r="E364" s="681"/>
      <c r="O364" s="782"/>
    </row>
    <row r="365" spans="5:15">
      <c r="E365" s="681"/>
      <c r="O365" s="782"/>
    </row>
    <row r="366" spans="5:15">
      <c r="E366" s="681"/>
      <c r="O366" s="782"/>
    </row>
    <row r="367" spans="5:15">
      <c r="E367" s="681"/>
      <c r="O367" s="782"/>
    </row>
    <row r="368" spans="5:15">
      <c r="E368" s="681"/>
      <c r="O368" s="782"/>
    </row>
    <row r="369" spans="5:15">
      <c r="E369" s="681"/>
      <c r="O369" s="782"/>
    </row>
    <row r="370" spans="5:15">
      <c r="E370" s="681"/>
      <c r="O370" s="782"/>
    </row>
    <row r="371" spans="5:15">
      <c r="E371" s="681"/>
      <c r="O371" s="782"/>
    </row>
    <row r="372" spans="5:15">
      <c r="E372" s="681"/>
      <c r="O372" s="782"/>
    </row>
    <row r="373" spans="5:15">
      <c r="E373" s="681"/>
      <c r="O373" s="782"/>
    </row>
    <row r="374" spans="5:15">
      <c r="E374" s="681"/>
      <c r="O374" s="782"/>
    </row>
    <row r="375" spans="5:15">
      <c r="E375" s="681"/>
      <c r="O375" s="782"/>
    </row>
    <row r="376" spans="5:15">
      <c r="E376" s="681"/>
      <c r="O376" s="782"/>
    </row>
    <row r="377" spans="5:15">
      <c r="E377" s="681"/>
      <c r="O377" s="782"/>
    </row>
    <row r="378" spans="5:15">
      <c r="E378" s="681"/>
      <c r="O378" s="782"/>
    </row>
    <row r="379" spans="5:15">
      <c r="E379" s="681"/>
      <c r="O379" s="782"/>
    </row>
    <row r="380" spans="5:15">
      <c r="E380" s="681"/>
      <c r="O380" s="782"/>
    </row>
    <row r="381" spans="5:15">
      <c r="E381" s="681"/>
      <c r="O381" s="782"/>
    </row>
    <row r="382" spans="5:15">
      <c r="E382" s="681"/>
      <c r="O382" s="782"/>
    </row>
    <row r="383" spans="5:15">
      <c r="E383" s="681"/>
      <c r="O383" s="782"/>
    </row>
    <row r="384" spans="5:15">
      <c r="E384" s="681"/>
      <c r="O384" s="782"/>
    </row>
    <row r="385" spans="5:15">
      <c r="E385" s="681"/>
      <c r="O385" s="782"/>
    </row>
    <row r="386" spans="5:15">
      <c r="E386" s="681"/>
      <c r="O386" s="782"/>
    </row>
    <row r="387" spans="5:15">
      <c r="E387" s="681"/>
      <c r="O387" s="782"/>
    </row>
    <row r="388" spans="5:15">
      <c r="E388" s="681"/>
      <c r="O388" s="782"/>
    </row>
    <row r="389" spans="5:15">
      <c r="E389" s="681"/>
      <c r="O389" s="782"/>
    </row>
    <row r="390" spans="5:15">
      <c r="E390" s="681"/>
      <c r="O390" s="782"/>
    </row>
    <row r="391" spans="5:15">
      <c r="E391" s="681"/>
      <c r="O391" s="782"/>
    </row>
    <row r="392" spans="5:15">
      <c r="E392" s="681"/>
      <c r="O392" s="782"/>
    </row>
    <row r="393" spans="5:15">
      <c r="E393" s="681"/>
      <c r="O393" s="782"/>
    </row>
    <row r="394" spans="5:15">
      <c r="E394" s="681"/>
      <c r="O394" s="782"/>
    </row>
    <row r="395" spans="5:15">
      <c r="E395" s="681"/>
      <c r="O395" s="782"/>
    </row>
    <row r="396" spans="5:15">
      <c r="E396" s="681"/>
      <c r="O396" s="782"/>
    </row>
    <row r="397" spans="5:15">
      <c r="E397" s="681"/>
      <c r="O397" s="782"/>
    </row>
    <row r="398" spans="5:15">
      <c r="E398" s="681"/>
      <c r="O398" s="782"/>
    </row>
    <row r="399" spans="5:15">
      <c r="E399" s="681"/>
      <c r="O399" s="782"/>
    </row>
    <row r="400" spans="5:15">
      <c r="E400" s="681"/>
      <c r="O400" s="782"/>
    </row>
    <row r="401" spans="5:15">
      <c r="E401" s="681"/>
      <c r="O401" s="782"/>
    </row>
    <row r="402" spans="5:15">
      <c r="E402" s="681"/>
      <c r="O402" s="782"/>
    </row>
    <row r="403" spans="5:15">
      <c r="E403" s="681"/>
      <c r="O403" s="782"/>
    </row>
    <row r="404" spans="5:15">
      <c r="E404" s="681"/>
      <c r="O404" s="782"/>
    </row>
    <row r="405" spans="5:15">
      <c r="E405" s="681"/>
      <c r="O405" s="782"/>
    </row>
    <row r="406" spans="5:15">
      <c r="E406" s="681"/>
      <c r="O406" s="782"/>
    </row>
    <row r="407" spans="5:15">
      <c r="E407" s="681"/>
      <c r="O407" s="782"/>
    </row>
    <row r="408" spans="5:15">
      <c r="E408" s="681"/>
      <c r="O408" s="782"/>
    </row>
    <row r="409" spans="5:15">
      <c r="E409" s="681"/>
      <c r="O409" s="782"/>
    </row>
    <row r="410" spans="5:15">
      <c r="E410" s="681"/>
      <c r="O410" s="782"/>
    </row>
    <row r="411" spans="5:15">
      <c r="E411" s="681"/>
      <c r="O411" s="782"/>
    </row>
    <row r="412" spans="5:15">
      <c r="E412" s="681"/>
      <c r="O412" s="782"/>
    </row>
    <row r="413" spans="5:15">
      <c r="E413" s="681"/>
      <c r="O413" s="782"/>
    </row>
    <row r="414" spans="5:15">
      <c r="E414" s="681"/>
      <c r="O414" s="782"/>
    </row>
    <row r="415" spans="5:15">
      <c r="E415" s="681"/>
      <c r="O415" s="782"/>
    </row>
    <row r="416" spans="5:15">
      <c r="E416" s="681"/>
      <c r="O416" s="782"/>
    </row>
    <row r="417" spans="5:15">
      <c r="E417" s="681"/>
      <c r="O417" s="782"/>
    </row>
    <row r="418" spans="5:15">
      <c r="E418" s="681"/>
      <c r="O418" s="782"/>
    </row>
    <row r="419" spans="5:15">
      <c r="E419" s="681"/>
      <c r="O419" s="782"/>
    </row>
    <row r="420" spans="5:15">
      <c r="E420" s="681"/>
      <c r="O420" s="782"/>
    </row>
    <row r="421" spans="5:15">
      <c r="E421" s="681"/>
      <c r="O421" s="782"/>
    </row>
    <row r="422" spans="5:15">
      <c r="E422" s="681"/>
      <c r="O422" s="782"/>
    </row>
    <row r="423" spans="5:15">
      <c r="E423" s="681"/>
      <c r="O423" s="782"/>
    </row>
    <row r="424" spans="5:15">
      <c r="E424" s="681"/>
      <c r="O424" s="782"/>
    </row>
    <row r="425" spans="5:15">
      <c r="E425" s="681"/>
      <c r="O425" s="782"/>
    </row>
    <row r="426" spans="5:15">
      <c r="E426" s="681"/>
      <c r="O426" s="782"/>
    </row>
    <row r="427" spans="5:15">
      <c r="E427" s="681"/>
      <c r="O427" s="782"/>
    </row>
    <row r="428" spans="5:15">
      <c r="E428" s="681"/>
      <c r="O428" s="782"/>
    </row>
    <row r="429" spans="5:15">
      <c r="E429" s="681"/>
      <c r="O429" s="782"/>
    </row>
    <row r="430" spans="5:15">
      <c r="E430" s="681"/>
      <c r="O430" s="782"/>
    </row>
    <row r="431" spans="5:15">
      <c r="E431" s="681"/>
      <c r="O431" s="782"/>
    </row>
    <row r="432" spans="5:15">
      <c r="E432" s="681"/>
      <c r="O432" s="782"/>
    </row>
    <row r="433" spans="5:15">
      <c r="E433" s="681"/>
      <c r="O433" s="782"/>
    </row>
    <row r="434" spans="5:15">
      <c r="E434" s="681"/>
      <c r="O434" s="782"/>
    </row>
    <row r="435" spans="5:15">
      <c r="E435" s="681"/>
      <c r="O435" s="782"/>
    </row>
    <row r="436" spans="5:15">
      <c r="E436" s="681"/>
      <c r="O436" s="782"/>
    </row>
    <row r="437" spans="5:15">
      <c r="E437" s="681"/>
      <c r="O437" s="782"/>
    </row>
    <row r="438" spans="5:15">
      <c r="E438" s="681"/>
      <c r="O438" s="782"/>
    </row>
    <row r="439" spans="5:15">
      <c r="E439" s="681"/>
      <c r="O439" s="782"/>
    </row>
    <row r="440" spans="5:15">
      <c r="E440" s="681"/>
      <c r="O440" s="782"/>
    </row>
    <row r="441" spans="5:15">
      <c r="E441" s="681"/>
      <c r="O441" s="782"/>
    </row>
    <row r="442" spans="5:15">
      <c r="E442" s="681"/>
      <c r="O442" s="782"/>
    </row>
    <row r="443" spans="5:15">
      <c r="E443" s="681"/>
      <c r="O443" s="782"/>
    </row>
    <row r="444" spans="5:15">
      <c r="E444" s="681"/>
      <c r="O444" s="782"/>
    </row>
    <row r="445" spans="5:15">
      <c r="E445" s="681"/>
      <c r="O445" s="782"/>
    </row>
    <row r="446" spans="5:15">
      <c r="E446" s="681"/>
      <c r="O446" s="782"/>
    </row>
    <row r="447" spans="5:15">
      <c r="E447" s="681"/>
      <c r="O447" s="782"/>
    </row>
    <row r="448" spans="5:15">
      <c r="E448" s="681"/>
      <c r="O448" s="782"/>
    </row>
    <row r="449" spans="5:15">
      <c r="E449" s="681"/>
      <c r="O449" s="782"/>
    </row>
    <row r="450" spans="5:15">
      <c r="E450" s="681"/>
      <c r="O450" s="782"/>
    </row>
    <row r="451" spans="5:15">
      <c r="E451" s="681"/>
      <c r="O451" s="782"/>
    </row>
    <row r="452" spans="5:15">
      <c r="E452" s="681"/>
      <c r="O452" s="782"/>
    </row>
    <row r="453" spans="5:15">
      <c r="E453" s="681"/>
      <c r="O453" s="782"/>
    </row>
    <row r="454" spans="5:15">
      <c r="E454" s="681"/>
      <c r="O454" s="782"/>
    </row>
    <row r="455" spans="5:15">
      <c r="E455" s="681"/>
      <c r="O455" s="782"/>
    </row>
    <row r="456" spans="5:15">
      <c r="E456" s="681"/>
      <c r="O456" s="782"/>
    </row>
    <row r="457" spans="5:15">
      <c r="E457" s="681"/>
      <c r="O457" s="782"/>
    </row>
    <row r="458" spans="5:15">
      <c r="E458" s="681"/>
      <c r="O458" s="782"/>
    </row>
    <row r="459" spans="5:15">
      <c r="E459" s="681"/>
      <c r="O459" s="782"/>
    </row>
    <row r="460" spans="5:15">
      <c r="E460" s="681"/>
      <c r="O460" s="782"/>
    </row>
    <row r="461" spans="5:15">
      <c r="E461" s="681"/>
      <c r="O461" s="782"/>
    </row>
    <row r="462" spans="5:15">
      <c r="E462" s="681"/>
      <c r="O462" s="782"/>
    </row>
    <row r="463" spans="5:15">
      <c r="E463" s="681"/>
      <c r="O463" s="782"/>
    </row>
    <row r="464" spans="5:15">
      <c r="E464" s="681"/>
      <c r="O464" s="782"/>
    </row>
    <row r="465" spans="5:15">
      <c r="E465" s="681"/>
      <c r="O465" s="782"/>
    </row>
    <row r="466" spans="5:15">
      <c r="E466" s="681"/>
      <c r="O466" s="782"/>
    </row>
    <row r="467" spans="5:15">
      <c r="E467" s="681"/>
      <c r="O467" s="782"/>
    </row>
    <row r="468" spans="5:15">
      <c r="E468" s="681"/>
      <c r="O468" s="782"/>
    </row>
    <row r="469" spans="5:15">
      <c r="E469" s="681"/>
      <c r="O469" s="782"/>
    </row>
    <row r="470" spans="5:15">
      <c r="E470" s="681"/>
      <c r="O470" s="782"/>
    </row>
    <row r="471" spans="5:15">
      <c r="E471" s="681"/>
      <c r="O471" s="782"/>
    </row>
    <row r="472" spans="5:15">
      <c r="E472" s="681"/>
      <c r="O472" s="782"/>
    </row>
    <row r="473" spans="5:15">
      <c r="E473" s="681"/>
      <c r="O473" s="782"/>
    </row>
    <row r="474" spans="5:15">
      <c r="E474" s="681"/>
      <c r="O474" s="782"/>
    </row>
    <row r="475" spans="5:15">
      <c r="E475" s="681"/>
      <c r="O475" s="782"/>
    </row>
    <row r="476" spans="5:15">
      <c r="E476" s="681"/>
      <c r="O476" s="782"/>
    </row>
    <row r="477" spans="5:15">
      <c r="E477" s="681"/>
      <c r="O477" s="782"/>
    </row>
    <row r="478" spans="5:15">
      <c r="E478" s="681"/>
      <c r="O478" s="782"/>
    </row>
    <row r="479" spans="5:15">
      <c r="E479" s="681"/>
      <c r="O479" s="782"/>
    </row>
    <row r="480" spans="5:15">
      <c r="E480" s="681"/>
      <c r="O480" s="782"/>
    </row>
    <row r="481" spans="5:15">
      <c r="E481" s="681"/>
      <c r="O481" s="782"/>
    </row>
    <row r="482" spans="5:15">
      <c r="E482" s="681"/>
      <c r="O482" s="782"/>
    </row>
    <row r="483" spans="5:15">
      <c r="E483" s="681"/>
      <c r="O483" s="782"/>
    </row>
    <row r="484" spans="5:15">
      <c r="E484" s="681"/>
      <c r="O484" s="782"/>
    </row>
    <row r="485" spans="5:15">
      <c r="E485" s="681"/>
      <c r="O485" s="782"/>
    </row>
    <row r="486" spans="5:15">
      <c r="E486" s="681"/>
      <c r="O486" s="782"/>
    </row>
    <row r="487" spans="5:15">
      <c r="E487" s="681"/>
      <c r="O487" s="782"/>
    </row>
    <row r="488" spans="5:15">
      <c r="E488" s="681"/>
      <c r="O488" s="782"/>
    </row>
    <row r="489" spans="5:15">
      <c r="E489" s="681"/>
      <c r="O489" s="782"/>
    </row>
    <row r="490" spans="5:15">
      <c r="E490" s="681"/>
      <c r="O490" s="782"/>
    </row>
    <row r="491" spans="5:15">
      <c r="E491" s="681"/>
      <c r="O491" s="782"/>
    </row>
    <row r="492" spans="5:15">
      <c r="E492" s="681"/>
      <c r="O492" s="782"/>
    </row>
    <row r="493" spans="5:15">
      <c r="E493" s="681"/>
      <c r="O493" s="782"/>
    </row>
    <row r="494" spans="5:15">
      <c r="E494" s="681"/>
      <c r="O494" s="782"/>
    </row>
    <row r="495" spans="5:15">
      <c r="E495" s="681"/>
      <c r="O495" s="782"/>
    </row>
    <row r="496" spans="5:15">
      <c r="E496" s="681"/>
      <c r="O496" s="782"/>
    </row>
    <row r="497" spans="5:15">
      <c r="E497" s="681"/>
      <c r="O497" s="782"/>
    </row>
    <row r="498" spans="5:15">
      <c r="E498" s="681"/>
      <c r="O498" s="782"/>
    </row>
    <row r="499" spans="5:15">
      <c r="E499" s="681"/>
      <c r="O499" s="782"/>
    </row>
    <row r="500" spans="5:15">
      <c r="E500" s="681"/>
      <c r="O500" s="782"/>
    </row>
    <row r="501" spans="5:15">
      <c r="E501" s="681"/>
      <c r="O501" s="782"/>
    </row>
    <row r="502" spans="5:15">
      <c r="E502" s="681"/>
      <c r="O502" s="782"/>
    </row>
    <row r="503" spans="5:15">
      <c r="E503" s="681"/>
      <c r="O503" s="782"/>
    </row>
    <row r="504" spans="5:15">
      <c r="E504" s="681"/>
      <c r="O504" s="782"/>
    </row>
    <row r="505" spans="5:15">
      <c r="E505" s="681"/>
      <c r="O505" s="782"/>
    </row>
    <row r="506" spans="5:15">
      <c r="E506" s="681"/>
      <c r="O506" s="782"/>
    </row>
    <row r="507" spans="5:15">
      <c r="E507" s="681"/>
      <c r="O507" s="782"/>
    </row>
    <row r="508" spans="5:15">
      <c r="E508" s="681"/>
      <c r="O508" s="782"/>
    </row>
    <row r="509" spans="5:15">
      <c r="E509" s="681"/>
      <c r="O509" s="782"/>
    </row>
    <row r="510" spans="5:15">
      <c r="E510" s="681"/>
      <c r="O510" s="782"/>
    </row>
    <row r="511" spans="5:15">
      <c r="E511" s="681"/>
      <c r="O511" s="782"/>
    </row>
    <row r="512" spans="5:15">
      <c r="E512" s="681"/>
      <c r="O512" s="782"/>
    </row>
    <row r="513" spans="5:15">
      <c r="E513" s="681"/>
      <c r="O513" s="782"/>
    </row>
    <row r="514" spans="5:15">
      <c r="E514" s="681"/>
      <c r="O514" s="782"/>
    </row>
    <row r="515" spans="5:15">
      <c r="E515" s="681"/>
      <c r="O515" s="782"/>
    </row>
    <row r="516" spans="5:15">
      <c r="E516" s="681"/>
      <c r="O516" s="782"/>
    </row>
    <row r="517" spans="5:15">
      <c r="E517" s="681"/>
      <c r="O517" s="782"/>
    </row>
    <row r="518" spans="5:15">
      <c r="E518" s="681"/>
      <c r="O518" s="782"/>
    </row>
    <row r="519" spans="5:15">
      <c r="E519" s="681"/>
      <c r="O519" s="782"/>
    </row>
    <row r="520" spans="5:15">
      <c r="E520" s="681"/>
      <c r="O520" s="782"/>
    </row>
    <row r="521" spans="5:15">
      <c r="E521" s="681"/>
      <c r="O521" s="782"/>
    </row>
    <row r="522" spans="5:15">
      <c r="E522" s="681"/>
      <c r="O522" s="782"/>
    </row>
    <row r="523" spans="5:15">
      <c r="E523" s="681"/>
      <c r="O523" s="782"/>
    </row>
    <row r="524" spans="5:15">
      <c r="E524" s="681"/>
      <c r="O524" s="782"/>
    </row>
    <row r="525" spans="5:15">
      <c r="E525" s="681"/>
      <c r="O525" s="782"/>
    </row>
    <row r="526" spans="5:15">
      <c r="E526" s="681"/>
      <c r="O526" s="782"/>
    </row>
    <row r="527" spans="5:15">
      <c r="E527" s="681"/>
      <c r="O527" s="782"/>
    </row>
    <row r="528" spans="5:15">
      <c r="E528" s="681"/>
      <c r="O528" s="782"/>
    </row>
    <row r="529" spans="5:15">
      <c r="E529" s="681"/>
      <c r="O529" s="782"/>
    </row>
    <row r="530" spans="5:15">
      <c r="E530" s="681"/>
      <c r="O530" s="782"/>
    </row>
    <row r="531" spans="5:15">
      <c r="E531" s="681"/>
      <c r="O531" s="782"/>
    </row>
    <row r="532" spans="5:15">
      <c r="E532" s="681"/>
      <c r="O532" s="782"/>
    </row>
    <row r="533" spans="5:15">
      <c r="E533" s="681"/>
      <c r="O533" s="782"/>
    </row>
    <row r="534" spans="5:15">
      <c r="E534" s="681"/>
      <c r="O534" s="782"/>
    </row>
    <row r="535" spans="5:15">
      <c r="E535" s="681"/>
      <c r="O535" s="782"/>
    </row>
    <row r="536" spans="5:15">
      <c r="E536" s="681"/>
      <c r="O536" s="782"/>
    </row>
    <row r="537" spans="5:15">
      <c r="E537" s="681"/>
      <c r="O537" s="782"/>
    </row>
    <row r="538" spans="5:15">
      <c r="E538" s="681"/>
      <c r="O538" s="782"/>
    </row>
    <row r="539" spans="5:15">
      <c r="E539" s="681"/>
      <c r="O539" s="782"/>
    </row>
    <row r="540" spans="5:15">
      <c r="E540" s="681"/>
      <c r="O540" s="782"/>
    </row>
    <row r="541" spans="5:15">
      <c r="E541" s="681"/>
      <c r="O541" s="782"/>
    </row>
    <row r="542" spans="5:15">
      <c r="E542" s="681"/>
      <c r="O542" s="782"/>
    </row>
    <row r="543" spans="5:15">
      <c r="E543" s="681"/>
      <c r="O543" s="782"/>
    </row>
    <row r="544" spans="5:15">
      <c r="E544" s="681"/>
      <c r="O544" s="782"/>
    </row>
    <row r="545" spans="5:15">
      <c r="E545" s="681"/>
      <c r="O545" s="782"/>
    </row>
    <row r="546" spans="5:15">
      <c r="E546" s="681"/>
      <c r="O546" s="782"/>
    </row>
    <row r="547" spans="5:15">
      <c r="E547" s="681"/>
      <c r="O547" s="782"/>
    </row>
    <row r="548" spans="5:15">
      <c r="E548" s="681"/>
      <c r="O548" s="782"/>
    </row>
    <row r="549" spans="5:15">
      <c r="E549" s="681"/>
      <c r="O549" s="782"/>
    </row>
    <row r="550" spans="5:15">
      <c r="E550" s="681"/>
      <c r="O550" s="782"/>
    </row>
    <row r="551" spans="5:15">
      <c r="E551" s="681"/>
      <c r="O551" s="782"/>
    </row>
    <row r="552" spans="5:15">
      <c r="E552" s="681"/>
      <c r="O552" s="782"/>
    </row>
    <row r="553" spans="5:15">
      <c r="E553" s="681"/>
      <c r="O553" s="782"/>
    </row>
    <row r="554" spans="5:15">
      <c r="E554" s="681"/>
      <c r="O554" s="782"/>
    </row>
    <row r="555" spans="5:15">
      <c r="E555" s="681"/>
      <c r="O555" s="782"/>
    </row>
    <row r="556" spans="5:15">
      <c r="E556" s="681"/>
      <c r="O556" s="782"/>
    </row>
    <row r="557" spans="5:15">
      <c r="E557" s="681"/>
      <c r="O557" s="782"/>
    </row>
    <row r="558" spans="5:15">
      <c r="E558" s="681"/>
      <c r="O558" s="782"/>
    </row>
    <row r="559" spans="5:15">
      <c r="E559" s="681"/>
      <c r="O559" s="782"/>
    </row>
    <row r="560" spans="5:15">
      <c r="E560" s="681"/>
      <c r="O560" s="782"/>
    </row>
    <row r="561" spans="5:15">
      <c r="E561" s="681"/>
      <c r="O561" s="782"/>
    </row>
    <row r="562" spans="5:15">
      <c r="E562" s="681"/>
      <c r="O562" s="782"/>
    </row>
    <row r="563" spans="5:15">
      <c r="E563" s="681"/>
      <c r="O563" s="782"/>
    </row>
    <row r="564" spans="5:15">
      <c r="E564" s="681"/>
      <c r="O564" s="782"/>
    </row>
    <row r="565" spans="5:15">
      <c r="E565" s="681"/>
      <c r="O565" s="782"/>
    </row>
    <row r="566" spans="5:15">
      <c r="E566" s="681"/>
      <c r="O566" s="782"/>
    </row>
    <row r="567" spans="5:15">
      <c r="E567" s="681"/>
      <c r="O567" s="782"/>
    </row>
    <row r="568" spans="5:15">
      <c r="E568" s="681"/>
      <c r="O568" s="782"/>
    </row>
    <row r="569" spans="5:15">
      <c r="E569" s="681"/>
      <c r="O569" s="782"/>
    </row>
    <row r="570" spans="5:15">
      <c r="E570" s="681"/>
      <c r="O570" s="782"/>
    </row>
    <row r="571" spans="5:15">
      <c r="E571" s="681"/>
      <c r="O571" s="782"/>
    </row>
    <row r="572" spans="5:15">
      <c r="E572" s="681"/>
      <c r="O572" s="782"/>
    </row>
    <row r="573" spans="5:15">
      <c r="E573" s="681"/>
      <c r="O573" s="782"/>
    </row>
    <row r="574" spans="5:15">
      <c r="E574" s="681"/>
      <c r="O574" s="782"/>
    </row>
    <row r="575" spans="5:15">
      <c r="E575" s="681"/>
      <c r="O575" s="782"/>
    </row>
    <row r="576" spans="5:15">
      <c r="E576" s="681"/>
      <c r="O576" s="782"/>
    </row>
    <row r="577" spans="5:15">
      <c r="E577" s="681"/>
      <c r="O577" s="782"/>
    </row>
    <row r="578" spans="5:15">
      <c r="E578" s="681"/>
      <c r="O578" s="782"/>
    </row>
    <row r="579" spans="5:15">
      <c r="E579" s="681"/>
      <c r="O579" s="782"/>
    </row>
    <row r="580" spans="5:15">
      <c r="E580" s="681"/>
      <c r="O580" s="782"/>
    </row>
    <row r="581" spans="5:15">
      <c r="E581" s="681"/>
      <c r="O581" s="782"/>
    </row>
    <row r="582" spans="5:15">
      <c r="E582" s="681"/>
      <c r="O582" s="782"/>
    </row>
    <row r="583" spans="5:15">
      <c r="E583" s="681"/>
      <c r="O583" s="782"/>
    </row>
    <row r="584" spans="5:15">
      <c r="E584" s="681"/>
      <c r="O584" s="782"/>
    </row>
    <row r="585" spans="5:15">
      <c r="E585" s="681"/>
      <c r="O585" s="782"/>
    </row>
    <row r="586" spans="5:15">
      <c r="E586" s="681"/>
      <c r="O586" s="782"/>
    </row>
    <row r="587" spans="5:15">
      <c r="E587" s="681"/>
      <c r="O587" s="782"/>
    </row>
    <row r="588" spans="5:15">
      <c r="E588" s="681"/>
      <c r="O588" s="782"/>
    </row>
    <row r="589" spans="5:15">
      <c r="E589" s="681"/>
      <c r="O589" s="782"/>
    </row>
    <row r="590" spans="5:15">
      <c r="E590" s="681"/>
      <c r="O590" s="782"/>
    </row>
    <row r="591" spans="5:15">
      <c r="E591" s="681"/>
      <c r="O591" s="782"/>
    </row>
    <row r="592" spans="5:15">
      <c r="E592" s="681"/>
      <c r="O592" s="782"/>
    </row>
    <row r="593" spans="5:15">
      <c r="E593" s="681"/>
      <c r="O593" s="782"/>
    </row>
    <row r="594" spans="5:15">
      <c r="E594" s="681"/>
      <c r="O594" s="782"/>
    </row>
    <row r="595" spans="5:15">
      <c r="E595" s="681"/>
      <c r="O595" s="782"/>
    </row>
    <row r="596" spans="5:15">
      <c r="E596" s="681"/>
      <c r="O596" s="782"/>
    </row>
    <row r="597" spans="5:15">
      <c r="E597" s="681"/>
      <c r="O597" s="782"/>
    </row>
    <row r="598" spans="5:15">
      <c r="E598" s="681"/>
      <c r="O598" s="782"/>
    </row>
    <row r="599" spans="5:15">
      <c r="E599" s="681"/>
      <c r="O599" s="782"/>
    </row>
    <row r="600" spans="5:15">
      <c r="E600" s="681"/>
      <c r="O600" s="782"/>
    </row>
    <row r="601" spans="5:15">
      <c r="E601" s="681"/>
      <c r="O601" s="782"/>
    </row>
    <row r="602" spans="5:15">
      <c r="E602" s="681"/>
      <c r="O602" s="782"/>
    </row>
    <row r="603" spans="5:15">
      <c r="E603" s="681"/>
      <c r="O603" s="782"/>
    </row>
    <row r="604" spans="5:15">
      <c r="E604" s="681"/>
      <c r="O604" s="782"/>
    </row>
    <row r="605" spans="5:15">
      <c r="E605" s="681"/>
      <c r="O605" s="782"/>
    </row>
    <row r="606" spans="5:15">
      <c r="E606" s="681"/>
      <c r="O606" s="782"/>
    </row>
    <row r="607" spans="5:15">
      <c r="E607" s="681"/>
      <c r="O607" s="782"/>
    </row>
    <row r="608" spans="5:15">
      <c r="E608" s="681"/>
      <c r="O608" s="782"/>
    </row>
    <row r="609" spans="5:15">
      <c r="E609" s="681"/>
      <c r="O609" s="782"/>
    </row>
    <row r="610" spans="5:15">
      <c r="E610" s="681"/>
      <c r="O610" s="782"/>
    </row>
    <row r="611" spans="5:15">
      <c r="E611" s="681"/>
      <c r="O611" s="782"/>
    </row>
    <row r="612" spans="5:15">
      <c r="E612" s="681"/>
      <c r="O612" s="782"/>
    </row>
    <row r="613" spans="5:15">
      <c r="E613" s="681"/>
      <c r="O613" s="782"/>
    </row>
    <row r="614" spans="5:15">
      <c r="E614" s="681"/>
      <c r="O614" s="782"/>
    </row>
    <row r="615" spans="5:15">
      <c r="E615" s="681"/>
      <c r="O615" s="782"/>
    </row>
    <row r="616" spans="5:15">
      <c r="E616" s="681"/>
      <c r="O616" s="782"/>
    </row>
    <row r="617" spans="5:15">
      <c r="E617" s="681"/>
      <c r="O617" s="782"/>
    </row>
    <row r="618" spans="5:15">
      <c r="E618" s="681"/>
      <c r="O618" s="782"/>
    </row>
    <row r="619" spans="5:15">
      <c r="E619" s="681"/>
      <c r="O619" s="782"/>
    </row>
    <row r="620" spans="5:15">
      <c r="E620" s="681"/>
      <c r="O620" s="782"/>
    </row>
    <row r="621" spans="5:15">
      <c r="E621" s="681"/>
      <c r="O621" s="782"/>
    </row>
    <row r="622" spans="5:15">
      <c r="E622" s="681"/>
      <c r="O622" s="782"/>
    </row>
    <row r="623" spans="5:15">
      <c r="E623" s="681"/>
      <c r="O623" s="782"/>
    </row>
    <row r="624" spans="5:15">
      <c r="E624" s="681"/>
      <c r="O624" s="782"/>
    </row>
    <row r="625" spans="5:15">
      <c r="E625" s="681"/>
      <c r="O625" s="782"/>
    </row>
    <row r="626" spans="5:15">
      <c r="E626" s="681"/>
      <c r="O626" s="782"/>
    </row>
    <row r="627" spans="5:15">
      <c r="E627" s="681"/>
      <c r="O627" s="782"/>
    </row>
    <row r="628" spans="5:15">
      <c r="E628" s="681"/>
      <c r="O628" s="782"/>
    </row>
    <row r="629" spans="5:15">
      <c r="E629" s="681"/>
      <c r="O629" s="782"/>
    </row>
    <row r="630" spans="5:15">
      <c r="E630" s="681"/>
      <c r="O630" s="782"/>
    </row>
    <row r="631" spans="5:15">
      <c r="E631" s="681"/>
      <c r="O631" s="782"/>
    </row>
    <row r="632" spans="5:15">
      <c r="E632" s="681"/>
      <c r="O632" s="782"/>
    </row>
    <row r="633" spans="5:15">
      <c r="E633" s="681"/>
      <c r="O633" s="782"/>
    </row>
    <row r="634" spans="5:15">
      <c r="E634" s="681"/>
      <c r="O634" s="782"/>
    </row>
    <row r="635" spans="5:15">
      <c r="E635" s="681"/>
      <c r="O635" s="782"/>
    </row>
    <row r="636" spans="5:15">
      <c r="E636" s="681"/>
      <c r="O636" s="782"/>
    </row>
    <row r="637" spans="5:15">
      <c r="E637" s="681"/>
      <c r="O637" s="782"/>
    </row>
    <row r="638" spans="5:15">
      <c r="E638" s="681"/>
      <c r="O638" s="782"/>
    </row>
    <row r="639" spans="5:15">
      <c r="E639" s="681"/>
      <c r="O639" s="782"/>
    </row>
    <row r="640" spans="5:15">
      <c r="E640" s="681"/>
      <c r="O640" s="782"/>
    </row>
    <row r="641" spans="5:15">
      <c r="E641" s="681"/>
      <c r="O641" s="782"/>
    </row>
  </sheetData>
  <mergeCells count="161">
    <mergeCell ref="M141:M143"/>
    <mergeCell ref="M150:M152"/>
    <mergeCell ref="M163:M165"/>
    <mergeCell ref="M172:M174"/>
    <mergeCell ref="N132:N134"/>
    <mergeCell ref="C133:C134"/>
    <mergeCell ref="C39:C43"/>
    <mergeCell ref="O37:O43"/>
    <mergeCell ref="O44:O48"/>
    <mergeCell ref="C47:C48"/>
    <mergeCell ref="N44:N48"/>
    <mergeCell ref="O85:O87"/>
    <mergeCell ref="O79:O84"/>
    <mergeCell ref="O88:O94"/>
    <mergeCell ref="O95:O99"/>
    <mergeCell ref="N119:N121"/>
    <mergeCell ref="C120:C121"/>
    <mergeCell ref="O100:O112"/>
    <mergeCell ref="O113:O121"/>
    <mergeCell ref="M85:M87"/>
    <mergeCell ref="M95:M99"/>
    <mergeCell ref="M110:M112"/>
    <mergeCell ref="M119:M121"/>
    <mergeCell ref="M132:M134"/>
    <mergeCell ref="A88:A99"/>
    <mergeCell ref="C90:C94"/>
    <mergeCell ref="N95:N99"/>
    <mergeCell ref="A100:A112"/>
    <mergeCell ref="N110:N112"/>
    <mergeCell ref="C111:C112"/>
    <mergeCell ref="A113:A121"/>
    <mergeCell ref="C115:C118"/>
    <mergeCell ref="M32:M36"/>
    <mergeCell ref="M44:M48"/>
    <mergeCell ref="C45:C46"/>
    <mergeCell ref="C33:C34"/>
    <mergeCell ref="C57:C58"/>
    <mergeCell ref="A122:A134"/>
    <mergeCell ref="O122:O134"/>
    <mergeCell ref="C124:C129"/>
    <mergeCell ref="C102:C109"/>
    <mergeCell ref="C77:C78"/>
    <mergeCell ref="N76:N78"/>
    <mergeCell ref="O71:O75"/>
    <mergeCell ref="A49:A60"/>
    <mergeCell ref="O49:O55"/>
    <mergeCell ref="C51:C55"/>
    <mergeCell ref="N56:N60"/>
    <mergeCell ref="O56:O60"/>
    <mergeCell ref="C59:C60"/>
    <mergeCell ref="M56:M60"/>
    <mergeCell ref="M67:M69"/>
    <mergeCell ref="M76:M78"/>
    <mergeCell ref="C96:C99"/>
    <mergeCell ref="A61:A69"/>
    <mergeCell ref="O61:O66"/>
    <mergeCell ref="C63:C66"/>
    <mergeCell ref="N67:N69"/>
    <mergeCell ref="O67:O69"/>
    <mergeCell ref="C68:C69"/>
    <mergeCell ref="C72:C75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18:M24"/>
    <mergeCell ref="A79:A87"/>
    <mergeCell ref="C81:C84"/>
    <mergeCell ref="N85:N87"/>
    <mergeCell ref="C86:C87"/>
    <mergeCell ref="O25:O31"/>
    <mergeCell ref="O32:O36"/>
    <mergeCell ref="A70:A78"/>
    <mergeCell ref="N18:N24"/>
    <mergeCell ref="A25:A36"/>
    <mergeCell ref="C35:C36"/>
    <mergeCell ref="C27:C31"/>
    <mergeCell ref="N32:N36"/>
    <mergeCell ref="A37:A48"/>
    <mergeCell ref="O76:O78"/>
    <mergeCell ref="A258:O259"/>
    <mergeCell ref="A250:A256"/>
    <mergeCell ref="O250:O256"/>
    <mergeCell ref="C252:C253"/>
    <mergeCell ref="C255:C256"/>
    <mergeCell ref="N254:N256"/>
    <mergeCell ref="A242:A245"/>
    <mergeCell ref="A175:A187"/>
    <mergeCell ref="O175:O184"/>
    <mergeCell ref="C177:C184"/>
    <mergeCell ref="N185:N187"/>
    <mergeCell ref="O185:O187"/>
    <mergeCell ref="C186:C187"/>
    <mergeCell ref="A246:A249"/>
    <mergeCell ref="O246:O249"/>
    <mergeCell ref="C248:C249"/>
    <mergeCell ref="O242:O245"/>
    <mergeCell ref="C244:C245"/>
    <mergeCell ref="C235:C238"/>
    <mergeCell ref="O231:O241"/>
    <mergeCell ref="N239:N241"/>
    <mergeCell ref="M185:M187"/>
    <mergeCell ref="M239:M241"/>
    <mergeCell ref="M254:M256"/>
    <mergeCell ref="O163:O165"/>
    <mergeCell ref="C164:C165"/>
    <mergeCell ref="A166:A174"/>
    <mergeCell ref="O166:O171"/>
    <mergeCell ref="C168:C171"/>
    <mergeCell ref="N172:N174"/>
    <mergeCell ref="O172:O174"/>
    <mergeCell ref="C173:C174"/>
    <mergeCell ref="A135:A143"/>
    <mergeCell ref="C137:C140"/>
    <mergeCell ref="N141:N143"/>
    <mergeCell ref="C142:C143"/>
    <mergeCell ref="A144:A152"/>
    <mergeCell ref="C146:C149"/>
    <mergeCell ref="N150:N152"/>
    <mergeCell ref="C151:C152"/>
    <mergeCell ref="O135:O140"/>
    <mergeCell ref="O141:O143"/>
    <mergeCell ref="O144:O149"/>
    <mergeCell ref="O150:O152"/>
    <mergeCell ref="A153:A165"/>
    <mergeCell ref="O153:O162"/>
    <mergeCell ref="C155:C162"/>
    <mergeCell ref="N163:N165"/>
    <mergeCell ref="A188:A196"/>
    <mergeCell ref="O188:O193"/>
    <mergeCell ref="C190:C193"/>
    <mergeCell ref="M194:M196"/>
    <mergeCell ref="N194:N196"/>
    <mergeCell ref="O194:O196"/>
    <mergeCell ref="C195:C196"/>
    <mergeCell ref="A197:A208"/>
    <mergeCell ref="O197:O203"/>
    <mergeCell ref="C199:C203"/>
    <mergeCell ref="M204:M208"/>
    <mergeCell ref="N204:N208"/>
    <mergeCell ref="O204:O208"/>
    <mergeCell ref="C205:C208"/>
    <mergeCell ref="A218:A229"/>
    <mergeCell ref="A209:A217"/>
    <mergeCell ref="O209:O214"/>
    <mergeCell ref="C211:C214"/>
    <mergeCell ref="M215:M217"/>
    <mergeCell ref="N215:N217"/>
    <mergeCell ref="O215:O217"/>
    <mergeCell ref="C216:C217"/>
    <mergeCell ref="O218:O224"/>
    <mergeCell ref="C220:C224"/>
    <mergeCell ref="M225:M229"/>
    <mergeCell ref="N225:N229"/>
    <mergeCell ref="O225:O229"/>
    <mergeCell ref="C226:C229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57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4" manualBreakCount="4">
    <brk id="48" max="14" man="1"/>
    <brk id="87" max="14" man="1"/>
    <brk id="152" max="14" man="1"/>
    <brk id="2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2018-04-20T07:40:12Z</cp:lastPrinted>
  <dcterms:created xsi:type="dcterms:W3CDTF">2015-01-20T07:24:04Z</dcterms:created>
  <dcterms:modified xsi:type="dcterms:W3CDTF">2018-04-25T05:57:50Z</dcterms:modified>
</cp:coreProperties>
</file>