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965" windowWidth="20190" windowHeight="7155" tabRatio="983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  <sheet name="projekty U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'Tab. 6A -Drogi'!$A$12:$EK$554</definedName>
    <definedName name="_xlnm._FilterDatabase" localSheetId="2" hidden="1">'Tab. 6B Polit społ i rozwój prz'!#REF!</definedName>
    <definedName name="_xlnm._FilterDatabase" localSheetId="7" hidden="1">'Tab. 6G - Roln i ochrona środ.'!$A$4:$Y$177</definedName>
    <definedName name="_xlnm.Print_Area" localSheetId="1">'Tab. 6A -Drogi'!$A$1:$Y$663</definedName>
    <definedName name="_xlnm.Print_Area" localSheetId="2">'Tab. 6B Polit społ i rozwój prz'!$A$1:$Y$234</definedName>
    <definedName name="_xlnm.Print_Area" localSheetId="3">'Tab. 6C - Ochrona zdrowia'!$A$1:$Y$139</definedName>
    <definedName name="_xlnm.Print_Area" localSheetId="4">'Tab. 6D - Oświata'!$A$1:$Y$70</definedName>
    <definedName name="_xlnm.Print_Area" localSheetId="5">'Tab. 6E - Administracja'!$A$1:$Y$257</definedName>
    <definedName name="_xlnm.Print_Area" localSheetId="6">'Tab. 6F - Kultura'!$A$1:$Y$92</definedName>
    <definedName name="_xlnm.Print_Area" localSheetId="7">'Tab. 6G - Roln i ochrona środ.'!$A$1:$Y$222</definedName>
    <definedName name="_xlnm.Print_Area" localSheetId="8">'Tab. 6H - Kultura fiz. i turyst'!$A$1:$Y$163</definedName>
    <definedName name="_xlnm.Print_Area" localSheetId="0">'Tabela nr 6'!$A$1:$V$93</definedName>
    <definedName name="_xlnm.Print_Titles" localSheetId="1">'Tab. 6A -Drogi'!$5:$8</definedName>
    <definedName name="_xlnm.Print_Titles" localSheetId="2">'Tab. 6B Polit społ i rozwój prz'!$4:$7</definedName>
    <definedName name="_xlnm.Print_Titles" localSheetId="3">'Tab. 6C - Ochrona zdrowia'!$6:$9</definedName>
    <definedName name="_xlnm.Print_Titles" localSheetId="4">'Tab. 6D - Oświata'!$6:$9</definedName>
    <definedName name="_xlnm.Print_Titles" localSheetId="5">'Tab. 6E - Administracja'!$6:$9</definedName>
    <definedName name="_xlnm.Print_Titles" localSheetId="6">'Tab. 6F - Kultura'!$4:$7</definedName>
    <definedName name="_xlnm.Print_Titles" localSheetId="7">'Tab. 6G - Roln i ochrona środ.'!$5:$8</definedName>
    <definedName name="_xlnm.Print_Titles" localSheetId="8">'Tab. 6H - Kultura fiz. i turyst'!$4:$7</definedName>
    <definedName name="_xlnm.Print_Titles" localSheetId="9">'Tab.6I - Planow. przestrz.'!$5:$8</definedName>
  </definedNames>
  <calcPr calcId="145621"/>
</workbook>
</file>

<file path=xl/calcChain.xml><?xml version="1.0" encoding="utf-8"?>
<calcChain xmlns="http://schemas.openxmlformats.org/spreadsheetml/2006/main">
  <c r="Q366" i="2" l="1"/>
  <c r="Q96" i="9"/>
  <c r="Q79" i="8"/>
  <c r="Q35" i="2"/>
  <c r="Q380" i="2"/>
  <c r="P104" i="6" l="1"/>
  <c r="P94" i="6"/>
  <c r="P106" i="6"/>
  <c r="P96" i="6"/>
  <c r="X88" i="9" l="1"/>
  <c r="X29" i="6" l="1"/>
  <c r="P23" i="6" l="1"/>
  <c r="Q23" i="6"/>
  <c r="R23" i="6"/>
  <c r="S23" i="6"/>
  <c r="T23" i="6"/>
  <c r="U23" i="6"/>
  <c r="V23" i="6"/>
  <c r="W23" i="6"/>
  <c r="O23" i="6"/>
  <c r="M23" i="6"/>
  <c r="D23" i="6"/>
  <c r="P16" i="6"/>
  <c r="Q16" i="6"/>
  <c r="R16" i="6"/>
  <c r="S16" i="6"/>
  <c r="T16" i="6"/>
  <c r="U16" i="6"/>
  <c r="V16" i="6"/>
  <c r="W16" i="6"/>
  <c r="O16" i="6"/>
  <c r="M16" i="6"/>
  <c r="D16" i="6"/>
  <c r="Q29" i="6"/>
  <c r="R29" i="6"/>
  <c r="S29" i="6"/>
  <c r="T29" i="6"/>
  <c r="U29" i="6"/>
  <c r="V29" i="6"/>
  <c r="P29" i="6"/>
  <c r="D29" i="6"/>
  <c r="D30" i="6"/>
  <c r="E29" i="6"/>
  <c r="F29" i="6"/>
  <c r="G29" i="6"/>
  <c r="H29" i="6"/>
  <c r="I29" i="6"/>
  <c r="J29" i="6"/>
  <c r="K29" i="6"/>
  <c r="L29" i="6"/>
  <c r="M29" i="6"/>
  <c r="N29" i="6"/>
  <c r="O29" i="6"/>
  <c r="N33" i="6"/>
  <c r="O33" i="6"/>
  <c r="P33" i="6"/>
  <c r="Q33" i="6"/>
  <c r="R33" i="6"/>
  <c r="S33" i="6"/>
  <c r="T33" i="6"/>
  <c r="U33" i="6"/>
  <c r="V33" i="6"/>
  <c r="W33" i="6"/>
  <c r="M33" i="6"/>
  <c r="D33" i="6"/>
  <c r="D34" i="6"/>
  <c r="T227" i="1" l="1"/>
  <c r="U227" i="1" l="1"/>
  <c r="X106" i="9" l="1"/>
  <c r="P654" i="2" l="1"/>
  <c r="Q654" i="2"/>
  <c r="S134" i="6"/>
  <c r="Q61" i="3" l="1"/>
  <c r="P61" i="3"/>
  <c r="P60" i="3"/>
  <c r="Q56" i="3"/>
  <c r="P56" i="3"/>
  <c r="P55" i="3"/>
  <c r="Q66" i="3"/>
  <c r="P66" i="3"/>
  <c r="Q222" i="3" l="1"/>
  <c r="Q217" i="3"/>
  <c r="Q214" i="3"/>
  <c r="P222" i="3"/>
  <c r="P217" i="3"/>
  <c r="P214" i="3"/>
  <c r="R23" i="10" l="1"/>
  <c r="R22" i="10"/>
  <c r="R21" i="10"/>
  <c r="Q23" i="10"/>
  <c r="Q22" i="10"/>
  <c r="Q21" i="10"/>
  <c r="P23" i="10"/>
  <c r="P22" i="10"/>
  <c r="P21" i="10"/>
  <c r="O23" i="10"/>
  <c r="O22" i="10"/>
  <c r="O21" i="10"/>
  <c r="S20" i="10" l="1"/>
  <c r="T20" i="10"/>
  <c r="U20" i="10"/>
  <c r="K20" i="10"/>
  <c r="Q113" i="9" l="1"/>
  <c r="R110" i="9"/>
  <c r="R108" i="9"/>
  <c r="Q110" i="9"/>
  <c r="Q108" i="9"/>
  <c r="P108" i="9"/>
  <c r="Q99" i="9"/>
  <c r="P99" i="9"/>
  <c r="E23" i="6" l="1"/>
  <c r="F23" i="6"/>
  <c r="G23" i="6"/>
  <c r="H23" i="6"/>
  <c r="I23" i="6"/>
  <c r="J23" i="6"/>
  <c r="N23" i="6"/>
  <c r="M503" i="2"/>
  <c r="M495" i="2"/>
  <c r="Q658" i="2" l="1"/>
  <c r="P646" i="2"/>
  <c r="Q589" i="2"/>
  <c r="Q588" i="2" s="1"/>
  <c r="P590" i="2"/>
  <c r="Q570" i="2"/>
  <c r="P570" i="2"/>
  <c r="R333" i="2"/>
  <c r="Q333" i="2"/>
  <c r="P336" i="2"/>
  <c r="P333" i="2"/>
  <c r="Q437" i="2"/>
  <c r="Q435" i="2"/>
  <c r="P437" i="2"/>
  <c r="P435" i="2"/>
  <c r="Q407" i="2"/>
  <c r="Q405" i="2"/>
  <c r="P407" i="2"/>
  <c r="P405" i="2"/>
  <c r="D225" i="2"/>
  <c r="D226" i="2"/>
  <c r="D224" i="2"/>
  <c r="Q225" i="2"/>
  <c r="Q224" i="2" s="1"/>
  <c r="Q237" i="2"/>
  <c r="P237" i="2"/>
  <c r="P230" i="2"/>
  <c r="P226" i="2"/>
  <c r="Q114" i="2"/>
  <c r="P114" i="2"/>
  <c r="Q265" i="2"/>
  <c r="P265" i="2"/>
  <c r="P258" i="2"/>
  <c r="Q253" i="2"/>
  <c r="P253" i="2"/>
  <c r="Q249" i="2"/>
  <c r="P249" i="2"/>
  <c r="P244" i="2"/>
  <c r="P241" i="2"/>
  <c r="Q277" i="2"/>
  <c r="P277" i="2"/>
  <c r="Q272" i="2"/>
  <c r="P272" i="2"/>
  <c r="P269" i="2"/>
  <c r="Q100" i="2"/>
  <c r="P100" i="2"/>
  <c r="P39" i="13" l="1"/>
  <c r="P37" i="13"/>
  <c r="Q39" i="13"/>
  <c r="Q37" i="13"/>
  <c r="U19" i="10" l="1"/>
  <c r="T19" i="10"/>
  <c r="S19" i="10"/>
  <c r="X32" i="6"/>
  <c r="X30" i="6"/>
  <c r="M35" i="6"/>
  <c r="M34" i="6" s="1"/>
  <c r="K37" i="10" s="1"/>
  <c r="M32" i="6"/>
  <c r="M31" i="6" s="1"/>
  <c r="D35" i="6"/>
  <c r="D32" i="6"/>
  <c r="D31" i="6" s="1"/>
  <c r="U31" i="6"/>
  <c r="V31" i="6"/>
  <c r="U34" i="6"/>
  <c r="V34" i="6"/>
  <c r="W34" i="6"/>
  <c r="S37" i="10" l="1"/>
  <c r="U37" i="10"/>
  <c r="M28" i="6"/>
  <c r="K36" i="10" s="1"/>
  <c r="T37" i="10"/>
  <c r="D28" i="6"/>
  <c r="V28" i="6"/>
  <c r="U28" i="6"/>
  <c r="S36" i="10"/>
  <c r="R166" i="6"/>
  <c r="Q166" i="6"/>
  <c r="P166" i="6"/>
  <c r="R170" i="6"/>
  <c r="Q170" i="6"/>
  <c r="P170" i="6"/>
  <c r="R171" i="6"/>
  <c r="Q171" i="6"/>
  <c r="R177" i="6"/>
  <c r="Q177" i="6"/>
  <c r="P177" i="6"/>
  <c r="R178" i="6"/>
  <c r="Q178" i="6"/>
  <c r="T193" i="6"/>
  <c r="S237" i="6"/>
  <c r="T36" i="10" l="1"/>
  <c r="U36" i="10"/>
  <c r="P57" i="6"/>
  <c r="P55" i="6"/>
  <c r="P52" i="6"/>
  <c r="P50" i="6"/>
  <c r="T77" i="1" l="1"/>
  <c r="T78" i="1"/>
  <c r="T79" i="1"/>
  <c r="T80" i="1"/>
  <c r="T81" i="1"/>
  <c r="T83" i="1"/>
  <c r="T82" i="1" s="1"/>
  <c r="R77" i="1"/>
  <c r="S77" i="1"/>
  <c r="R78" i="1"/>
  <c r="S78" i="1"/>
  <c r="R79" i="1"/>
  <c r="S79" i="1"/>
  <c r="R80" i="1"/>
  <c r="S80" i="1"/>
  <c r="R81" i="1"/>
  <c r="S81" i="1"/>
  <c r="R83" i="1"/>
  <c r="R82" i="1" s="1"/>
  <c r="S83" i="1"/>
  <c r="S82" i="1" s="1"/>
  <c r="S76" i="1" l="1"/>
  <c r="R76" i="1"/>
  <c r="T76" i="1"/>
  <c r="T75" i="1" s="1"/>
  <c r="R75" i="1"/>
  <c r="S75" i="1"/>
  <c r="P609" i="2" l="1"/>
  <c r="P650" i="2"/>
  <c r="Q244" i="6" l="1"/>
  <c r="Q243" i="6" s="1"/>
  <c r="P245" i="6"/>
  <c r="Q173" i="3" l="1"/>
  <c r="Q170" i="3" s="1"/>
  <c r="Q164" i="3"/>
  <c r="Q168" i="3"/>
  <c r="Q165" i="3"/>
  <c r="S158" i="3"/>
  <c r="T158" i="3"/>
  <c r="S161" i="3"/>
  <c r="T161" i="3"/>
  <c r="R162" i="3"/>
  <c r="Q162" i="3"/>
  <c r="S156" i="3"/>
  <c r="T156" i="3"/>
  <c r="R157" i="3"/>
  <c r="Q157" i="3"/>
  <c r="P157" i="3"/>
  <c r="P162" i="3"/>
  <c r="S152" i="3"/>
  <c r="T152" i="3"/>
  <c r="S153" i="3"/>
  <c r="T153" i="3"/>
  <c r="R154" i="3"/>
  <c r="Q154" i="3"/>
  <c r="P154" i="3"/>
  <c r="F21" i="7" l="1"/>
  <c r="G21" i="7"/>
  <c r="H21" i="7"/>
  <c r="I21" i="7"/>
  <c r="J21" i="7"/>
  <c r="K21" i="7"/>
  <c r="L21" i="7"/>
  <c r="N21" i="7"/>
  <c r="O21" i="7"/>
  <c r="P21" i="7"/>
  <c r="Q21" i="7"/>
  <c r="R21" i="7"/>
  <c r="S21" i="7"/>
  <c r="T21" i="7"/>
  <c r="U21" i="7"/>
  <c r="V21" i="7"/>
  <c r="W21" i="7"/>
  <c r="U41" i="7"/>
  <c r="V41" i="7"/>
  <c r="U38" i="7"/>
  <c r="V38" i="7"/>
  <c r="U39" i="7"/>
  <c r="V39" i="7"/>
  <c r="U36" i="7"/>
  <c r="V36" i="7"/>
  <c r="U32" i="7"/>
  <c r="V32" i="7"/>
  <c r="U33" i="7"/>
  <c r="V33" i="7"/>
  <c r="X35" i="7"/>
  <c r="P35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30" i="7"/>
  <c r="R28" i="7"/>
  <c r="R29" i="7"/>
  <c r="M35" i="7"/>
  <c r="Q130" i="6" l="1"/>
  <c r="P130" i="6"/>
  <c r="Q127" i="6"/>
  <c r="P127" i="6"/>
  <c r="P126" i="6"/>
  <c r="Q123" i="6"/>
  <c r="Q122" i="6"/>
  <c r="Q118" i="6"/>
  <c r="P118" i="6"/>
  <c r="P117" i="6"/>
  <c r="T112" i="6"/>
  <c r="S112" i="6"/>
  <c r="R112" i="6"/>
  <c r="Q112" i="6"/>
  <c r="P112" i="6"/>
  <c r="Q109" i="6"/>
  <c r="P109" i="6"/>
  <c r="Q108" i="6"/>
  <c r="P108" i="6"/>
  <c r="P107" i="6"/>
  <c r="S105" i="6"/>
  <c r="P105" i="6"/>
  <c r="T104" i="6" l="1"/>
  <c r="S104" i="6"/>
  <c r="Q100" i="6"/>
  <c r="P100" i="6"/>
  <c r="Q99" i="6"/>
  <c r="P99" i="6"/>
  <c r="M229" i="6" l="1"/>
  <c r="D229" i="6" s="1"/>
  <c r="D228" i="6" s="1"/>
  <c r="R228" i="6"/>
  <c r="Q228" i="6"/>
  <c r="P228" i="6"/>
  <c r="O228" i="6"/>
  <c r="N228" i="6"/>
  <c r="L228" i="6"/>
  <c r="K228" i="6"/>
  <c r="J228" i="6"/>
  <c r="I228" i="6"/>
  <c r="H228" i="6"/>
  <c r="G228" i="6"/>
  <c r="F228" i="6"/>
  <c r="E228" i="6"/>
  <c r="Q226" i="6"/>
  <c r="M227" i="6"/>
  <c r="R226" i="6"/>
  <c r="P226" i="6"/>
  <c r="O226" i="6"/>
  <c r="N226" i="6"/>
  <c r="L226" i="6"/>
  <c r="K226" i="6"/>
  <c r="J226" i="6"/>
  <c r="I226" i="6"/>
  <c r="H226" i="6"/>
  <c r="G226" i="6"/>
  <c r="F226" i="6"/>
  <c r="E226" i="6"/>
  <c r="R225" i="6"/>
  <c r="P225" i="6"/>
  <c r="O225" i="6"/>
  <c r="N225" i="6"/>
  <c r="L225" i="6"/>
  <c r="K225" i="6"/>
  <c r="J225" i="6"/>
  <c r="I225" i="6"/>
  <c r="H225" i="6"/>
  <c r="G225" i="6"/>
  <c r="F225" i="6"/>
  <c r="E225" i="6"/>
  <c r="X224" i="6"/>
  <c r="X223" i="6" s="1"/>
  <c r="M224" i="6"/>
  <c r="D224" i="6" s="1"/>
  <c r="D223" i="6" s="1"/>
  <c r="R223" i="6"/>
  <c r="Q223" i="6"/>
  <c r="P223" i="6"/>
  <c r="O223" i="6"/>
  <c r="N223" i="6"/>
  <c r="M223" i="6"/>
  <c r="L223" i="6"/>
  <c r="K223" i="6"/>
  <c r="J223" i="6"/>
  <c r="I223" i="6"/>
  <c r="H223" i="6"/>
  <c r="G223" i="6"/>
  <c r="F223" i="6"/>
  <c r="E223" i="6"/>
  <c r="M222" i="6"/>
  <c r="M221" i="6" s="1"/>
  <c r="M220" i="6" s="1"/>
  <c r="R221" i="6"/>
  <c r="Q221" i="6"/>
  <c r="O221" i="6"/>
  <c r="N221" i="6"/>
  <c r="L221" i="6"/>
  <c r="K221" i="6"/>
  <c r="K220" i="6" s="1"/>
  <c r="J221" i="6"/>
  <c r="I221" i="6"/>
  <c r="H221" i="6"/>
  <c r="G221" i="6"/>
  <c r="G220" i="6" s="1"/>
  <c r="F221" i="6"/>
  <c r="E221" i="6"/>
  <c r="O220" i="6"/>
  <c r="N220" i="6"/>
  <c r="I220" i="6"/>
  <c r="E220" i="6"/>
  <c r="R218" i="6"/>
  <c r="Q218" i="6"/>
  <c r="P218" i="6"/>
  <c r="R216" i="6"/>
  <c r="Q216" i="6"/>
  <c r="P216" i="6"/>
  <c r="R213" i="6"/>
  <c r="Q213" i="6"/>
  <c r="P213" i="6"/>
  <c r="R211" i="6"/>
  <c r="Q211" i="6"/>
  <c r="P211" i="6"/>
  <c r="R210" i="6"/>
  <c r="Q210" i="6"/>
  <c r="P210" i="6"/>
  <c r="R209" i="6"/>
  <c r="P209" i="6"/>
  <c r="F220" i="6" l="1"/>
  <c r="H220" i="6"/>
  <c r="J220" i="6"/>
  <c r="L220" i="6"/>
  <c r="R220" i="6"/>
  <c r="X16" i="6"/>
  <c r="Q220" i="6"/>
  <c r="Q225" i="6"/>
  <c r="D222" i="6"/>
  <c r="X222" i="6"/>
  <c r="D227" i="6"/>
  <c r="D226" i="6" s="1"/>
  <c r="D225" i="6" s="1"/>
  <c r="X221" i="6"/>
  <c r="X220" i="6" s="1"/>
  <c r="P221" i="6"/>
  <c r="M226" i="6"/>
  <c r="M228" i="6"/>
  <c r="P220" i="6" l="1"/>
  <c r="D221" i="6"/>
  <c r="D220" i="6" s="1"/>
  <c r="M225" i="6"/>
  <c r="D662" i="2" l="1"/>
  <c r="P52" i="4" l="1"/>
  <c r="P50" i="4"/>
  <c r="P47" i="4"/>
  <c r="P45" i="4"/>
  <c r="R149" i="8" l="1"/>
  <c r="R146" i="8"/>
  <c r="R143" i="8"/>
  <c r="R141" i="8"/>
  <c r="Q149" i="8"/>
  <c r="Q146" i="8"/>
  <c r="Q143" i="8"/>
  <c r="Q141" i="8"/>
  <c r="O562" i="2" l="1"/>
  <c r="P56" i="4" l="1"/>
  <c r="P57" i="4"/>
  <c r="P240" i="2" l="1"/>
  <c r="M240" i="2"/>
  <c r="E240" i="2"/>
  <c r="F240" i="2"/>
  <c r="G240" i="2"/>
  <c r="H240" i="2"/>
  <c r="I240" i="2"/>
  <c r="J240" i="2"/>
  <c r="K240" i="2"/>
  <c r="L240" i="2"/>
  <c r="P174" i="3" l="1"/>
  <c r="P169" i="3"/>
  <c r="P166" i="3"/>
  <c r="W23" i="3" l="1"/>
  <c r="V23" i="3"/>
  <c r="U23" i="3"/>
  <c r="T23" i="3"/>
  <c r="S23" i="3"/>
  <c r="R23" i="3"/>
  <c r="Q23" i="3"/>
  <c r="P23" i="3"/>
  <c r="O23" i="3"/>
  <c r="O17" i="3"/>
  <c r="W10" i="3"/>
  <c r="V10" i="3"/>
  <c r="U10" i="3"/>
  <c r="T10" i="3"/>
  <c r="S10" i="3"/>
  <c r="R10" i="3"/>
  <c r="Q10" i="3"/>
  <c r="O10" i="3"/>
  <c r="M10" i="3"/>
  <c r="E227" i="3"/>
  <c r="M227" i="3"/>
  <c r="D227" i="3" s="1"/>
  <c r="X227" i="3"/>
  <c r="O234" i="3"/>
  <c r="O233" i="3" s="1"/>
  <c r="K234" i="3"/>
  <c r="E234" i="3"/>
  <c r="M234" i="3" s="1"/>
  <c r="W233" i="3"/>
  <c r="V233" i="3"/>
  <c r="U233" i="3"/>
  <c r="T233" i="3"/>
  <c r="S233" i="3"/>
  <c r="R233" i="3"/>
  <c r="Q233" i="3"/>
  <c r="P233" i="3"/>
  <c r="N233" i="3"/>
  <c r="L233" i="3"/>
  <c r="K233" i="3"/>
  <c r="J233" i="3"/>
  <c r="I233" i="3"/>
  <c r="H233" i="3"/>
  <c r="G233" i="3"/>
  <c r="F233" i="3"/>
  <c r="E233" i="3"/>
  <c r="E232" i="3"/>
  <c r="M232" i="3" s="1"/>
  <c r="W231" i="3"/>
  <c r="V231" i="3"/>
  <c r="V230" i="3" s="1"/>
  <c r="U231" i="3"/>
  <c r="U230" i="3" s="1"/>
  <c r="T231" i="3"/>
  <c r="S231" i="3"/>
  <c r="R231" i="3"/>
  <c r="Q231" i="3"/>
  <c r="Q230" i="3" s="1"/>
  <c r="P231" i="3"/>
  <c r="O231" i="3"/>
  <c r="N231" i="3"/>
  <c r="L231" i="3"/>
  <c r="K231" i="3"/>
  <c r="K230" i="3" s="1"/>
  <c r="J231" i="3"/>
  <c r="I231" i="3"/>
  <c r="I230" i="3" s="1"/>
  <c r="H231" i="3"/>
  <c r="G231" i="3"/>
  <c r="G230" i="3" s="1"/>
  <c r="F231" i="3"/>
  <c r="E231" i="3"/>
  <c r="E230" i="3" s="1"/>
  <c r="S230" i="3"/>
  <c r="L230" i="3"/>
  <c r="J230" i="3"/>
  <c r="H230" i="3"/>
  <c r="F230" i="3"/>
  <c r="X229" i="3"/>
  <c r="X228" i="3" s="1"/>
  <c r="E229" i="3"/>
  <c r="M229" i="3" s="1"/>
  <c r="W228" i="3"/>
  <c r="V228" i="3"/>
  <c r="U228" i="3"/>
  <c r="T228" i="3"/>
  <c r="S228" i="3"/>
  <c r="R228" i="3"/>
  <c r="Q228" i="3"/>
  <c r="P228" i="3"/>
  <c r="O228" i="3"/>
  <c r="N228" i="3"/>
  <c r="L228" i="3"/>
  <c r="K228" i="3"/>
  <c r="J228" i="3"/>
  <c r="I228" i="3"/>
  <c r="H228" i="3"/>
  <c r="G228" i="3"/>
  <c r="F228" i="3"/>
  <c r="E228" i="3"/>
  <c r="X226" i="3"/>
  <c r="X225" i="3" s="1"/>
  <c r="O225" i="3"/>
  <c r="O224" i="3" s="1"/>
  <c r="E226" i="3"/>
  <c r="M226" i="3" s="1"/>
  <c r="W225" i="3"/>
  <c r="V225" i="3"/>
  <c r="V224" i="3" s="1"/>
  <c r="U225" i="3"/>
  <c r="U224" i="3" s="1"/>
  <c r="T225" i="3"/>
  <c r="T224" i="3" s="1"/>
  <c r="S225" i="3"/>
  <c r="S224" i="3" s="1"/>
  <c r="R225" i="3"/>
  <c r="R224" i="3" s="1"/>
  <c r="Q225" i="3"/>
  <c r="P225" i="3"/>
  <c r="P224" i="3" s="1"/>
  <c r="N225" i="3"/>
  <c r="N224" i="3" s="1"/>
  <c r="L225" i="3"/>
  <c r="L224" i="3" s="1"/>
  <c r="K225" i="3"/>
  <c r="K224" i="3" s="1"/>
  <c r="J225" i="3"/>
  <c r="J224" i="3" s="1"/>
  <c r="I225" i="3"/>
  <c r="H225" i="3"/>
  <c r="H224" i="3" s="1"/>
  <c r="G225" i="3"/>
  <c r="G224" i="3" s="1"/>
  <c r="F225" i="3"/>
  <c r="F224" i="3" s="1"/>
  <c r="W224" i="3"/>
  <c r="I224" i="3"/>
  <c r="R99" i="6"/>
  <c r="Q224" i="3" l="1"/>
  <c r="N230" i="3"/>
  <c r="P230" i="3"/>
  <c r="R230" i="3"/>
  <c r="T230" i="3"/>
  <c r="O230" i="3"/>
  <c r="D229" i="3"/>
  <c r="D228" i="3" s="1"/>
  <c r="M228" i="3"/>
  <c r="D232" i="3"/>
  <c r="D231" i="3" s="1"/>
  <c r="M231" i="3"/>
  <c r="X224" i="3"/>
  <c r="W230" i="3"/>
  <c r="D226" i="3"/>
  <c r="D225" i="3" s="1"/>
  <c r="D224" i="3" s="1"/>
  <c r="M225" i="3"/>
  <c r="M224" i="3" s="1"/>
  <c r="D234" i="3"/>
  <c r="D233" i="3" s="1"/>
  <c r="D230" i="3" s="1"/>
  <c r="M233" i="3"/>
  <c r="M230" i="3" s="1"/>
  <c r="E225" i="3"/>
  <c r="E224" i="3" s="1"/>
  <c r="R109" i="6" l="1"/>
  <c r="R108" i="6"/>
  <c r="R100" i="6"/>
  <c r="L92" i="2" l="1"/>
  <c r="L96" i="2"/>
  <c r="K96" i="2"/>
  <c r="K89" i="2"/>
  <c r="K85" i="2"/>
  <c r="K84" i="2"/>
  <c r="Q99" i="2" l="1"/>
  <c r="Q98" i="2" s="1"/>
  <c r="P84" i="2"/>
  <c r="Q113" i="2"/>
  <c r="Q112" i="2" s="1"/>
  <c r="Q258" i="2"/>
  <c r="Q146" i="2"/>
  <c r="Q145" i="2" s="1"/>
  <c r="P147" i="2"/>
  <c r="D179" i="2"/>
  <c r="Q178" i="2"/>
  <c r="Q177" i="2" s="1"/>
  <c r="P179" i="2"/>
  <c r="Q190" i="2"/>
  <c r="Q189" i="2" s="1"/>
  <c r="P191" i="2"/>
  <c r="D170" i="2"/>
  <c r="Q169" i="2"/>
  <c r="Q168" i="2" s="1"/>
  <c r="P170" i="2"/>
  <c r="Q320" i="2"/>
  <c r="Q317" i="2"/>
  <c r="P320" i="2"/>
  <c r="P317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E245" i="2"/>
  <c r="F245" i="2"/>
  <c r="G245" i="2"/>
  <c r="H245" i="2"/>
  <c r="I245" i="2"/>
  <c r="J245" i="2"/>
  <c r="K245" i="2"/>
  <c r="L245" i="2"/>
  <c r="M245" i="2"/>
  <c r="N245" i="2"/>
  <c r="O245" i="2"/>
  <c r="D242" i="2"/>
  <c r="D247" i="2"/>
  <c r="D246" i="2" s="1"/>
  <c r="E246" i="2"/>
  <c r="F246" i="2"/>
  <c r="G246" i="2"/>
  <c r="H246" i="2"/>
  <c r="I246" i="2"/>
  <c r="J246" i="2"/>
  <c r="K246" i="2"/>
  <c r="L246" i="2"/>
  <c r="N246" i="2"/>
  <c r="O246" i="2"/>
  <c r="P246" i="2"/>
  <c r="Q246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X242" i="2"/>
  <c r="Q284" i="2"/>
  <c r="Q281" i="2"/>
  <c r="P284" i="2"/>
  <c r="P281" i="2"/>
  <c r="P159" i="2"/>
  <c r="Q296" i="2"/>
  <c r="Q293" i="2"/>
  <c r="P296" i="2"/>
  <c r="P293" i="2"/>
  <c r="Q308" i="2" l="1"/>
  <c r="Q305" i="2"/>
  <c r="P308" i="2"/>
  <c r="P305" i="2"/>
  <c r="P9" i="9" l="1"/>
  <c r="R9" i="9"/>
  <c r="D9" i="9"/>
  <c r="R13" i="9"/>
  <c r="Q13" i="9"/>
  <c r="P13" i="9"/>
  <c r="R15" i="9"/>
  <c r="Q15" i="9"/>
  <c r="P15" i="9"/>
  <c r="R19" i="9"/>
  <c r="Q19" i="9"/>
  <c r="P19" i="9"/>
  <c r="D140" i="9"/>
  <c r="D137" i="9"/>
  <c r="X133" i="9"/>
  <c r="P133" i="9"/>
  <c r="D135" i="9"/>
  <c r="R133" i="9"/>
  <c r="R134" i="9"/>
  <c r="R136" i="9"/>
  <c r="Q133" i="9"/>
  <c r="Q134" i="9"/>
  <c r="Q136" i="9"/>
  <c r="P136" i="9"/>
  <c r="R124" i="9"/>
  <c r="R125" i="9"/>
  <c r="R127" i="9"/>
  <c r="M140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X137" i="9"/>
  <c r="M137" i="9"/>
  <c r="D136" i="9" s="1"/>
  <c r="X136" i="9"/>
  <c r="O136" i="9"/>
  <c r="O133" i="9" s="1"/>
  <c r="N136" i="9"/>
  <c r="L136" i="9"/>
  <c r="K136" i="9"/>
  <c r="J136" i="9"/>
  <c r="I136" i="9"/>
  <c r="H136" i="9"/>
  <c r="G136" i="9"/>
  <c r="F136" i="9"/>
  <c r="E136" i="9"/>
  <c r="X135" i="9"/>
  <c r="X134" i="9" s="1"/>
  <c r="P134" i="9"/>
  <c r="O134" i="9"/>
  <c r="N134" i="9"/>
  <c r="M134" i="9"/>
  <c r="L134" i="9"/>
  <c r="K134" i="9"/>
  <c r="D134" i="9"/>
  <c r="W133" i="9"/>
  <c r="V133" i="9"/>
  <c r="U133" i="9"/>
  <c r="T133" i="9"/>
  <c r="S133" i="9"/>
  <c r="N133" i="9"/>
  <c r="L133" i="9"/>
  <c r="K133" i="9"/>
  <c r="J133" i="9"/>
  <c r="I133" i="9"/>
  <c r="H133" i="9"/>
  <c r="G133" i="9"/>
  <c r="F133" i="9"/>
  <c r="E133" i="9"/>
  <c r="M131" i="9"/>
  <c r="W130" i="9"/>
  <c r="V130" i="9"/>
  <c r="U130" i="9"/>
  <c r="T130" i="9"/>
  <c r="S130" i="9"/>
  <c r="R130" i="9"/>
  <c r="Q130" i="9"/>
  <c r="Q129" i="9" s="1"/>
  <c r="P130" i="9"/>
  <c r="O130" i="9"/>
  <c r="O129" i="9" s="1"/>
  <c r="N130" i="9"/>
  <c r="M130" i="9"/>
  <c r="L130" i="9"/>
  <c r="K130" i="9"/>
  <c r="J130" i="9"/>
  <c r="I130" i="9"/>
  <c r="D130" i="9" s="1"/>
  <c r="H130" i="9"/>
  <c r="G130" i="9"/>
  <c r="F130" i="9"/>
  <c r="E130" i="9"/>
  <c r="W129" i="9"/>
  <c r="V129" i="9"/>
  <c r="U129" i="9"/>
  <c r="T129" i="9"/>
  <c r="S129" i="9"/>
  <c r="R129" i="9"/>
  <c r="P129" i="9"/>
  <c r="N129" i="9"/>
  <c r="M129" i="9"/>
  <c r="L129" i="9"/>
  <c r="K129" i="9"/>
  <c r="J129" i="9"/>
  <c r="I129" i="9"/>
  <c r="H129" i="9"/>
  <c r="G129" i="9"/>
  <c r="F129" i="9"/>
  <c r="E129" i="9"/>
  <c r="X128" i="9"/>
  <c r="N128" i="9"/>
  <c r="X127" i="9"/>
  <c r="O127" i="9"/>
  <c r="N127" i="9"/>
  <c r="L127" i="9"/>
  <c r="J127" i="9"/>
  <c r="I127" i="9"/>
  <c r="H127" i="9"/>
  <c r="G127" i="9"/>
  <c r="F127" i="9"/>
  <c r="E127" i="9"/>
  <c r="X126" i="9"/>
  <c r="X125" i="9" s="1"/>
  <c r="P125" i="9"/>
  <c r="P124" i="9" s="1"/>
  <c r="O125" i="9"/>
  <c r="N125" i="9"/>
  <c r="N124" i="9" s="1"/>
  <c r="L125" i="9"/>
  <c r="L124" i="9" s="1"/>
  <c r="K125" i="9"/>
  <c r="W124" i="9"/>
  <c r="V124" i="9"/>
  <c r="U124" i="9"/>
  <c r="T124" i="9"/>
  <c r="S124" i="9"/>
  <c r="Q124" i="9"/>
  <c r="J124" i="9"/>
  <c r="I124" i="9"/>
  <c r="H124" i="9"/>
  <c r="G124" i="9"/>
  <c r="F124" i="9"/>
  <c r="E124" i="9"/>
  <c r="D90" i="9"/>
  <c r="P88" i="9"/>
  <c r="X90" i="9"/>
  <c r="X89" i="9" s="1"/>
  <c r="K90" i="9"/>
  <c r="K89" i="9" s="1"/>
  <c r="P89" i="9"/>
  <c r="O89" i="9"/>
  <c r="N89" i="9"/>
  <c r="L89" i="9"/>
  <c r="O124" i="9" l="1"/>
  <c r="X124" i="9"/>
  <c r="M125" i="9"/>
  <c r="D126" i="9"/>
  <c r="D125" i="9" s="1"/>
  <c r="D129" i="9"/>
  <c r="D131" i="9"/>
  <c r="D133" i="9"/>
  <c r="D128" i="9"/>
  <c r="D127" i="9" s="1"/>
  <c r="M127" i="9"/>
  <c r="M124" i="9" s="1"/>
  <c r="K127" i="9"/>
  <c r="M136" i="9"/>
  <c r="M133" i="9" s="1"/>
  <c r="M89" i="9"/>
  <c r="D89" i="9"/>
  <c r="P617" i="2"/>
  <c r="D124" i="9" l="1"/>
  <c r="K124" i="9"/>
  <c r="R554" i="2"/>
  <c r="Q554" i="2"/>
  <c r="P554" i="2"/>
  <c r="E542" i="2" l="1"/>
  <c r="F542" i="2"/>
  <c r="G542" i="2"/>
  <c r="H542" i="2"/>
  <c r="I542" i="2"/>
  <c r="J542" i="2"/>
  <c r="K542" i="2"/>
  <c r="L542" i="2"/>
  <c r="N542" i="2"/>
  <c r="P542" i="2"/>
  <c r="Q542" i="2"/>
  <c r="R542" i="2"/>
  <c r="S542" i="2"/>
  <c r="T542" i="2"/>
  <c r="U542" i="2"/>
  <c r="V542" i="2"/>
  <c r="W542" i="2"/>
  <c r="U537" i="2"/>
  <c r="V537" i="2"/>
  <c r="W537" i="2"/>
  <c r="U538" i="2"/>
  <c r="V538" i="2"/>
  <c r="W538" i="2"/>
  <c r="P562" i="2" l="1"/>
  <c r="Q561" i="2"/>
  <c r="Q560" i="2" s="1"/>
  <c r="S378" i="2"/>
  <c r="S375" i="2"/>
  <c r="T375" i="2"/>
  <c r="T374" i="2" s="1"/>
  <c r="T378" i="2"/>
  <c r="R379" i="2"/>
  <c r="Q379" i="2"/>
  <c r="N376" i="2"/>
  <c r="S368" i="2"/>
  <c r="S372" i="2"/>
  <c r="T372" i="2"/>
  <c r="R373" i="2"/>
  <c r="Q373" i="2"/>
  <c r="S367" i="2"/>
  <c r="T368" i="2"/>
  <c r="R370" i="2"/>
  <c r="Q370" i="2"/>
  <c r="X370" i="2" s="1"/>
  <c r="R369" i="2"/>
  <c r="Q369" i="2"/>
  <c r="S374" i="2" l="1"/>
  <c r="T367" i="2"/>
  <c r="U541" i="2" l="1"/>
  <c r="V541" i="2"/>
  <c r="W541" i="2"/>
  <c r="T661" i="2"/>
  <c r="S661" i="2"/>
  <c r="R661" i="2"/>
  <c r="Q661" i="2"/>
  <c r="T660" i="2"/>
  <c r="S660" i="2"/>
  <c r="R660" i="2"/>
  <c r="Q660" i="2"/>
  <c r="R657" i="2"/>
  <c r="R656" i="2" s="1"/>
  <c r="S657" i="2"/>
  <c r="S656" i="2" s="1"/>
  <c r="T657" i="2"/>
  <c r="T656" i="2" s="1"/>
  <c r="X662" i="2"/>
  <c r="X661" i="2" s="1"/>
  <c r="X660" i="2" s="1"/>
  <c r="P661" i="2"/>
  <c r="O661" i="2"/>
  <c r="N661" i="2"/>
  <c r="M661" i="2"/>
  <c r="L661" i="2"/>
  <c r="D661" i="2"/>
  <c r="P660" i="2"/>
  <c r="O660" i="2"/>
  <c r="N660" i="2"/>
  <c r="M660" i="2"/>
  <c r="L660" i="2"/>
  <c r="D660" i="2"/>
  <c r="X658" i="2"/>
  <c r="X657" i="2" s="1"/>
  <c r="X656" i="2" s="1"/>
  <c r="D658" i="2"/>
  <c r="D657" i="2" s="1"/>
  <c r="D656" i="2" s="1"/>
  <c r="Q657" i="2"/>
  <c r="Q656" i="2" s="1"/>
  <c r="P657" i="2"/>
  <c r="O657" i="2"/>
  <c r="O656" i="2" s="1"/>
  <c r="N657" i="2"/>
  <c r="M657" i="2"/>
  <c r="M656" i="2" s="1"/>
  <c r="L657" i="2"/>
  <c r="P656" i="2"/>
  <c r="N656" i="2"/>
  <c r="L656" i="2"/>
  <c r="T569" i="2"/>
  <c r="T568" i="2" s="1"/>
  <c r="S646" i="2"/>
  <c r="R646" i="2"/>
  <c r="Q646" i="2"/>
  <c r="S634" i="2"/>
  <c r="R634" i="2"/>
  <c r="Q634" i="2"/>
  <c r="S626" i="2"/>
  <c r="R626" i="2"/>
  <c r="Q626" i="2"/>
  <c r="R570" i="2"/>
  <c r="P642" i="2"/>
  <c r="P637" i="2"/>
  <c r="P636" i="2" s="1"/>
  <c r="P634" i="2"/>
  <c r="P629" i="2"/>
  <c r="P628" i="2" s="1"/>
  <c r="P626" i="2"/>
  <c r="Q428" i="2"/>
  <c r="P428" i="2"/>
  <c r="Q426" i="2"/>
  <c r="P426" i="2"/>
  <c r="Q417" i="2"/>
  <c r="P417" i="2"/>
  <c r="Q414" i="2"/>
  <c r="P414" i="2"/>
  <c r="Z660" i="2" l="1"/>
  <c r="Z656" i="2"/>
  <c r="T34" i="3" l="1"/>
  <c r="S34" i="3"/>
  <c r="R34" i="3"/>
  <c r="Q34" i="3"/>
  <c r="P34" i="3"/>
  <c r="T42" i="3"/>
  <c r="S42" i="3"/>
  <c r="R42" i="3"/>
  <c r="Q42" i="3"/>
  <c r="P42" i="3"/>
  <c r="T43" i="3"/>
  <c r="S43" i="3"/>
  <c r="R43" i="3"/>
  <c r="Q43" i="3"/>
  <c r="P43" i="3"/>
  <c r="X37" i="3"/>
  <c r="X36" i="3"/>
  <c r="X66" i="13"/>
  <c r="X65" i="13"/>
  <c r="X60" i="13"/>
  <c r="X59" i="13"/>
  <c r="T57" i="13"/>
  <c r="S57" i="13"/>
  <c r="R57" i="13"/>
  <c r="Q57" i="13"/>
  <c r="P57" i="13"/>
  <c r="T60" i="13"/>
  <c r="S60" i="13"/>
  <c r="R60" i="13"/>
  <c r="Q60" i="13"/>
  <c r="P60" i="13"/>
  <c r="T66" i="13"/>
  <c r="S66" i="13"/>
  <c r="R66" i="13"/>
  <c r="Q66" i="13"/>
  <c r="P66" i="13"/>
  <c r="T65" i="13"/>
  <c r="T63" i="13" s="1"/>
  <c r="S65" i="13"/>
  <c r="S63" i="13" s="1"/>
  <c r="R65" i="13"/>
  <c r="R63" i="13" s="1"/>
  <c r="P65" i="13"/>
  <c r="P63" i="13" s="1"/>
  <c r="Q65" i="13"/>
  <c r="Q63" i="13" s="1"/>
  <c r="T59" i="13"/>
  <c r="S59" i="13"/>
  <c r="R59" i="13"/>
  <c r="Q59" i="13"/>
  <c r="P59" i="13"/>
  <c r="X470" i="2"/>
  <c r="X469" i="2"/>
  <c r="X465" i="2"/>
  <c r="X43" i="3" l="1"/>
  <c r="X42" i="3"/>
  <c r="D42" i="5" l="1"/>
  <c r="U11" i="2" l="1"/>
  <c r="V11" i="2"/>
  <c r="W11" i="2"/>
  <c r="T16" i="3" l="1"/>
  <c r="T39" i="3"/>
  <c r="D49" i="3" l="1"/>
  <c r="D40" i="3"/>
  <c r="U33" i="3"/>
  <c r="X34" i="3"/>
  <c r="X40" i="3"/>
  <c r="U48" i="3"/>
  <c r="U45" i="3" s="1"/>
  <c r="T33" i="3"/>
  <c r="T32" i="3" l="1"/>
  <c r="U32" i="3"/>
  <c r="O12" i="4" l="1"/>
  <c r="N12" i="4"/>
  <c r="Q12" i="4"/>
  <c r="P12" i="4"/>
  <c r="Q17" i="4"/>
  <c r="P17" i="4"/>
  <c r="O17" i="4"/>
  <c r="Q19" i="4" l="1"/>
  <c r="N71" i="1" s="1"/>
  <c r="P19" i="4"/>
  <c r="M71" i="1" s="1"/>
  <c r="X134" i="4"/>
  <c r="X133" i="4" s="1"/>
  <c r="X132" i="4" s="1"/>
  <c r="M135" i="4"/>
  <c r="D135" i="4"/>
  <c r="D19" i="4" s="1"/>
  <c r="M134" i="4"/>
  <c r="W133" i="4"/>
  <c r="V133" i="4"/>
  <c r="U133" i="4"/>
  <c r="T133" i="4"/>
  <c r="S133" i="4"/>
  <c r="R133" i="4"/>
  <c r="Q133" i="4"/>
  <c r="Q132" i="4" s="1"/>
  <c r="P133" i="4"/>
  <c r="P132" i="4" s="1"/>
  <c r="O133" i="4"/>
  <c r="N133" i="4"/>
  <c r="M133" i="4"/>
  <c r="L133" i="4"/>
  <c r="K133" i="4"/>
  <c r="J133" i="4"/>
  <c r="I133" i="4"/>
  <c r="H133" i="4"/>
  <c r="G133" i="4"/>
  <c r="F133" i="4"/>
  <c r="E133" i="4"/>
  <c r="W132" i="4"/>
  <c r="V132" i="4"/>
  <c r="U132" i="4"/>
  <c r="T132" i="4"/>
  <c r="S132" i="4"/>
  <c r="R132" i="4"/>
  <c r="O132" i="4"/>
  <c r="N132" i="4"/>
  <c r="M132" i="4"/>
  <c r="L132" i="4"/>
  <c r="K132" i="4"/>
  <c r="J132" i="4"/>
  <c r="I132" i="4"/>
  <c r="H132" i="4"/>
  <c r="G132" i="4"/>
  <c r="F132" i="4"/>
  <c r="E132" i="4"/>
  <c r="D134" i="4" l="1"/>
  <c r="M12" i="4"/>
  <c r="M17" i="4"/>
  <c r="D133" i="4"/>
  <c r="D132" i="4" s="1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O15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M15" i="13"/>
  <c r="P15" i="13"/>
  <c r="Q15" i="13"/>
  <c r="R15" i="13"/>
  <c r="S15" i="13"/>
  <c r="T15" i="13"/>
  <c r="U15" i="13"/>
  <c r="V15" i="13"/>
  <c r="W15" i="13"/>
  <c r="D39" i="13"/>
  <c r="P41" i="13"/>
  <c r="Q41" i="13"/>
  <c r="R41" i="13"/>
  <c r="S41" i="13"/>
  <c r="T41" i="13"/>
  <c r="U41" i="13"/>
  <c r="P36" i="13"/>
  <c r="Q36" i="13"/>
  <c r="R36" i="13"/>
  <c r="S36" i="13"/>
  <c r="T36" i="13"/>
  <c r="P38" i="13"/>
  <c r="Q38" i="13"/>
  <c r="R38" i="13"/>
  <c r="S38" i="13"/>
  <c r="T38" i="13"/>
  <c r="N29" i="13"/>
  <c r="O29" i="13"/>
  <c r="N27" i="13"/>
  <c r="N26" i="13" s="1"/>
  <c r="O27" i="13"/>
  <c r="P32" i="13"/>
  <c r="R32" i="13"/>
  <c r="S32" i="13"/>
  <c r="T32" i="13"/>
  <c r="Q32" i="13"/>
  <c r="D30" i="13"/>
  <c r="D28" i="13"/>
  <c r="Q29" i="13"/>
  <c r="R29" i="13"/>
  <c r="S29" i="13"/>
  <c r="Q27" i="13"/>
  <c r="R27" i="13"/>
  <c r="S27" i="13"/>
  <c r="Q26" i="13"/>
  <c r="S26" i="13"/>
  <c r="P29" i="13"/>
  <c r="P27" i="13"/>
  <c r="X110" i="9"/>
  <c r="X109" i="9" s="1"/>
  <c r="E19" i="9"/>
  <c r="F19" i="9"/>
  <c r="G19" i="9"/>
  <c r="H19" i="9"/>
  <c r="I19" i="9"/>
  <c r="J19" i="9"/>
  <c r="L19" i="9"/>
  <c r="N19" i="9"/>
  <c r="S19" i="9"/>
  <c r="T19" i="9"/>
  <c r="U19" i="9"/>
  <c r="V19" i="9"/>
  <c r="W19" i="9"/>
  <c r="E15" i="9"/>
  <c r="F15" i="9"/>
  <c r="G15" i="9"/>
  <c r="H15" i="9"/>
  <c r="I15" i="9"/>
  <c r="J15" i="9"/>
  <c r="L15" i="9"/>
  <c r="S15" i="9"/>
  <c r="T15" i="9"/>
  <c r="U15" i="9"/>
  <c r="V15" i="9"/>
  <c r="W15" i="9"/>
  <c r="E13" i="9"/>
  <c r="F13" i="9"/>
  <c r="G13" i="9"/>
  <c r="H13" i="9"/>
  <c r="I13" i="9"/>
  <c r="J13" i="9"/>
  <c r="L13" i="9"/>
  <c r="N13" i="9"/>
  <c r="S13" i="9"/>
  <c r="T13" i="9"/>
  <c r="U13" i="9"/>
  <c r="V13" i="9"/>
  <c r="W13" i="9"/>
  <c r="D113" i="9"/>
  <c r="D19" i="9" s="1"/>
  <c r="S112" i="9"/>
  <c r="M111" i="9"/>
  <c r="M112" i="9"/>
  <c r="N109" i="9"/>
  <c r="O109" i="9"/>
  <c r="P109" i="9"/>
  <c r="M109" i="9"/>
  <c r="R112" i="9"/>
  <c r="D110" i="9"/>
  <c r="R109" i="9"/>
  <c r="X108" i="9"/>
  <c r="X107" i="9" s="1"/>
  <c r="O108" i="9"/>
  <c r="D108" i="9" s="1"/>
  <c r="D107" i="9" s="1"/>
  <c r="R107" i="9"/>
  <c r="Q107" i="9"/>
  <c r="P107" i="9"/>
  <c r="O107" i="9"/>
  <c r="N107" i="9"/>
  <c r="M107" i="9"/>
  <c r="L107" i="9"/>
  <c r="R100" i="9"/>
  <c r="Q100" i="9"/>
  <c r="P98" i="9"/>
  <c r="Q98" i="9"/>
  <c r="R98" i="9"/>
  <c r="S98" i="9"/>
  <c r="D109" i="9" l="1"/>
  <c r="D15" i="9"/>
  <c r="Q97" i="9"/>
  <c r="P97" i="9"/>
  <c r="P10" i="9" s="1"/>
  <c r="R97" i="9"/>
  <c r="P106" i="9"/>
  <c r="N106" i="9"/>
  <c r="O106" i="9"/>
  <c r="M106" i="9"/>
  <c r="R106" i="9"/>
  <c r="R10" i="9" s="1"/>
  <c r="S111" i="9"/>
  <c r="R111" i="9"/>
  <c r="T31" i="13"/>
  <c r="R31" i="13"/>
  <c r="O26" i="13"/>
  <c r="P35" i="13"/>
  <c r="T35" i="13"/>
  <c r="R35" i="13"/>
  <c r="P26" i="13"/>
  <c r="R26" i="13"/>
  <c r="S31" i="13"/>
  <c r="Q31" i="13"/>
  <c r="S35" i="13"/>
  <c r="Q35" i="13"/>
  <c r="U40" i="13"/>
  <c r="S40" i="13"/>
  <c r="Q40" i="13"/>
  <c r="P31" i="13"/>
  <c r="T40" i="13"/>
  <c r="R40" i="13"/>
  <c r="P40" i="13"/>
  <c r="D106" i="9"/>
  <c r="X82" i="8" l="1"/>
  <c r="X84" i="8"/>
  <c r="O86" i="13"/>
  <c r="O68" i="13"/>
  <c r="O67" i="13" s="1"/>
  <c r="O21" i="13"/>
  <c r="S48" i="3" l="1"/>
  <c r="R32" i="10"/>
  <c r="S32" i="10"/>
  <c r="T32" i="10"/>
  <c r="U32" i="10"/>
  <c r="S33" i="10"/>
  <c r="T33" i="10"/>
  <c r="U33" i="10"/>
  <c r="K33" i="10"/>
  <c r="K32" i="10"/>
  <c r="Q119" i="9"/>
  <c r="J115" i="9"/>
  <c r="H115" i="9"/>
  <c r="F115" i="9"/>
  <c r="E118" i="9"/>
  <c r="E115" i="9" s="1"/>
  <c r="F118" i="9"/>
  <c r="G118" i="9"/>
  <c r="G115" i="9" s="1"/>
  <c r="H118" i="9"/>
  <c r="I118" i="9"/>
  <c r="I115" i="9" s="1"/>
  <c r="J118" i="9"/>
  <c r="K118" i="9"/>
  <c r="K115" i="9" s="1"/>
  <c r="L118" i="9"/>
  <c r="N118" i="9"/>
  <c r="O118" i="9"/>
  <c r="P118" i="9"/>
  <c r="Q118" i="9"/>
  <c r="R118" i="9"/>
  <c r="S118" i="9"/>
  <c r="T118" i="9"/>
  <c r="U118" i="9"/>
  <c r="V118" i="9"/>
  <c r="W118" i="9"/>
  <c r="P116" i="9"/>
  <c r="Q116" i="9"/>
  <c r="R116" i="9"/>
  <c r="S116" i="9"/>
  <c r="T116" i="9"/>
  <c r="S45" i="3" l="1"/>
  <c r="Q115" i="9"/>
  <c r="P115" i="9"/>
  <c r="T115" i="9"/>
  <c r="V115" i="9"/>
  <c r="S115" i="9"/>
  <c r="U115" i="9"/>
  <c r="W115" i="9"/>
  <c r="X15" i="9"/>
  <c r="R115" i="9"/>
  <c r="F38" i="2"/>
  <c r="H38" i="2"/>
  <c r="S38" i="2"/>
  <c r="T38" i="2"/>
  <c r="U38" i="2"/>
  <c r="V38" i="2"/>
  <c r="W38" i="2"/>
  <c r="Q328" i="2"/>
  <c r="P329" i="2"/>
  <c r="X329" i="2" s="1"/>
  <c r="X328" i="2" s="1"/>
  <c r="X327" i="2" s="1"/>
  <c r="O329" i="2"/>
  <c r="N329" i="2"/>
  <c r="L329" i="2"/>
  <c r="I329" i="2"/>
  <c r="E329" i="2"/>
  <c r="O328" i="2"/>
  <c r="N328" i="2"/>
  <c r="L328" i="2"/>
  <c r="K328" i="2"/>
  <c r="K327" i="2" s="1"/>
  <c r="J328" i="2"/>
  <c r="I328" i="2"/>
  <c r="I327" i="2" s="1"/>
  <c r="H328" i="2"/>
  <c r="G328" i="2"/>
  <c r="G327" i="2" s="1"/>
  <c r="F328" i="2"/>
  <c r="E328" i="2"/>
  <c r="E327" i="2" s="1"/>
  <c r="O327" i="2"/>
  <c r="L327" i="2"/>
  <c r="J327" i="2"/>
  <c r="H327" i="2"/>
  <c r="F327" i="2"/>
  <c r="P328" i="2" l="1"/>
  <c r="N327" i="2"/>
  <c r="P327" i="2"/>
  <c r="M329" i="2"/>
  <c r="M328" i="2" s="1"/>
  <c r="Q327" i="2"/>
  <c r="D329" i="2"/>
  <c r="D328" i="2" s="1"/>
  <c r="D327" i="2" s="1"/>
  <c r="N244" i="2"/>
  <c r="N241" i="2"/>
  <c r="X255" i="2"/>
  <c r="D262" i="2"/>
  <c r="Q252" i="2"/>
  <c r="P252" i="2"/>
  <c r="O258" i="2"/>
  <c r="O253" i="2"/>
  <c r="O252" i="2" s="1"/>
  <c r="N258" i="2"/>
  <c r="N253" i="2"/>
  <c r="N252" i="2" s="1"/>
  <c r="R281" i="2"/>
  <c r="R38" i="2" s="1"/>
  <c r="R289" i="2"/>
  <c r="R284" i="2"/>
  <c r="Q289" i="2"/>
  <c r="Q269" i="2"/>
  <c r="O230" i="2"/>
  <c r="O226" i="2"/>
  <c r="N230" i="2"/>
  <c r="N226" i="2"/>
  <c r="M327" i="2" l="1"/>
  <c r="O81" i="7" l="1"/>
  <c r="D61" i="3" l="1"/>
  <c r="D60" i="3"/>
  <c r="D55" i="3"/>
  <c r="Q59" i="3"/>
  <c r="Q17" i="3" s="1"/>
  <c r="R59" i="3"/>
  <c r="R17" i="3" s="1"/>
  <c r="S59" i="3"/>
  <c r="S17" i="3" s="1"/>
  <c r="T59" i="3"/>
  <c r="T17" i="3" s="1"/>
  <c r="U59" i="3"/>
  <c r="U17" i="3" s="1"/>
  <c r="V59" i="3"/>
  <c r="V17" i="3" s="1"/>
  <c r="W59" i="3"/>
  <c r="W17" i="3" s="1"/>
  <c r="P59" i="3"/>
  <c r="P17" i="3" s="1"/>
  <c r="M59" i="3"/>
  <c r="M58" i="3" s="1"/>
  <c r="D56" i="3"/>
  <c r="P54" i="3"/>
  <c r="P13" i="3" s="1"/>
  <c r="Q54" i="3"/>
  <c r="Q13" i="3" s="1"/>
  <c r="R54" i="3"/>
  <c r="R13" i="3" s="1"/>
  <c r="S54" i="3"/>
  <c r="S13" i="3" s="1"/>
  <c r="T54" i="3"/>
  <c r="T13" i="3" s="1"/>
  <c r="U54" i="3"/>
  <c r="U13" i="3" s="1"/>
  <c r="V54" i="3"/>
  <c r="V13" i="3" s="1"/>
  <c r="W54" i="3"/>
  <c r="W13" i="3" s="1"/>
  <c r="O54" i="3"/>
  <c r="O13" i="3" s="1"/>
  <c r="E65" i="3"/>
  <c r="F65" i="3"/>
  <c r="G65" i="3"/>
  <c r="H65" i="3"/>
  <c r="I65" i="3"/>
  <c r="J65" i="3"/>
  <c r="K65" i="3"/>
  <c r="L65" i="3"/>
  <c r="N65" i="3"/>
  <c r="O65" i="3"/>
  <c r="P65" i="3"/>
  <c r="Q65" i="3"/>
  <c r="R65" i="3"/>
  <c r="S65" i="3"/>
  <c r="T65" i="3"/>
  <c r="U65" i="3"/>
  <c r="V65" i="3"/>
  <c r="W65" i="3"/>
  <c r="E63" i="3"/>
  <c r="F63" i="3"/>
  <c r="G63" i="3"/>
  <c r="H63" i="3"/>
  <c r="I63" i="3"/>
  <c r="J63" i="3"/>
  <c r="K63" i="3"/>
  <c r="L63" i="3"/>
  <c r="N63" i="3"/>
  <c r="O63" i="3"/>
  <c r="P63" i="3"/>
  <c r="Q63" i="3"/>
  <c r="R63" i="3"/>
  <c r="S63" i="3"/>
  <c r="T63" i="3"/>
  <c r="U63" i="3"/>
  <c r="V63" i="3"/>
  <c r="W63" i="3"/>
  <c r="E62" i="3"/>
  <c r="F62" i="3"/>
  <c r="G62" i="3"/>
  <c r="H62" i="3"/>
  <c r="I62" i="3"/>
  <c r="J62" i="3"/>
  <c r="K62" i="3"/>
  <c r="L62" i="3"/>
  <c r="N62" i="3"/>
  <c r="O62" i="3"/>
  <c r="P62" i="3"/>
  <c r="Q62" i="3"/>
  <c r="R62" i="3"/>
  <c r="S62" i="3"/>
  <c r="T62" i="3"/>
  <c r="U62" i="3"/>
  <c r="V62" i="3"/>
  <c r="W62" i="3"/>
  <c r="E58" i="3"/>
  <c r="F58" i="3"/>
  <c r="G58" i="3"/>
  <c r="H58" i="3"/>
  <c r="I58" i="3"/>
  <c r="J58" i="3"/>
  <c r="K58" i="3"/>
  <c r="L58" i="3"/>
  <c r="N58" i="3"/>
  <c r="O58" i="3"/>
  <c r="P58" i="3"/>
  <c r="R58" i="3"/>
  <c r="T58" i="3"/>
  <c r="V58" i="3"/>
  <c r="F53" i="3"/>
  <c r="G53" i="3"/>
  <c r="H53" i="3"/>
  <c r="I53" i="3"/>
  <c r="J53" i="3"/>
  <c r="K53" i="3"/>
  <c r="L53" i="3"/>
  <c r="N53" i="3"/>
  <c r="O53" i="3"/>
  <c r="S53" i="3"/>
  <c r="U53" i="3"/>
  <c r="W53" i="3"/>
  <c r="V53" i="3" l="1"/>
  <c r="T53" i="3"/>
  <c r="R53" i="3"/>
  <c r="W58" i="3"/>
  <c r="U58" i="3"/>
  <c r="S58" i="3"/>
  <c r="Q58" i="3"/>
  <c r="D59" i="3"/>
  <c r="P53" i="3"/>
  <c r="T52" i="3"/>
  <c r="N52" i="3"/>
  <c r="Q53" i="3"/>
  <c r="W52" i="3"/>
  <c r="U52" i="3"/>
  <c r="S52" i="3"/>
  <c r="Q52" i="3"/>
  <c r="O52" i="3"/>
  <c r="P84" i="8"/>
  <c r="Q84" i="8"/>
  <c r="Q82" i="8"/>
  <c r="P82" i="8"/>
  <c r="R83" i="8"/>
  <c r="S83" i="8"/>
  <c r="R81" i="8"/>
  <c r="R80" i="8" s="1"/>
  <c r="S81" i="8"/>
  <c r="S80" i="8" s="1"/>
  <c r="S88" i="8"/>
  <c r="S86" i="8"/>
  <c r="S85" i="8" s="1"/>
  <c r="R89" i="8"/>
  <c r="R87" i="8"/>
  <c r="Q87" i="8"/>
  <c r="P89" i="8"/>
  <c r="P87" i="8"/>
  <c r="R52" i="3" l="1"/>
  <c r="V52" i="3"/>
  <c r="P52" i="3"/>
  <c r="Q154" i="9"/>
  <c r="R154" i="9"/>
  <c r="S154" i="9"/>
  <c r="S464" i="2" l="1"/>
  <c r="R464" i="2"/>
  <c r="Q464" i="2"/>
  <c r="P464" i="2"/>
  <c r="X464" i="2" s="1"/>
  <c r="P462" i="2" l="1"/>
  <c r="Q462" i="2" l="1"/>
  <c r="W16" i="3" l="1"/>
  <c r="V16" i="3"/>
  <c r="U16" i="3"/>
  <c r="S16" i="3"/>
  <c r="R16" i="3"/>
  <c r="Q16" i="3"/>
  <c r="P16" i="3"/>
  <c r="O16" i="3"/>
  <c r="W22" i="3"/>
  <c r="V22" i="3"/>
  <c r="U22" i="3"/>
  <c r="T22" i="3"/>
  <c r="S22" i="3"/>
  <c r="R22" i="3"/>
  <c r="Q22" i="3"/>
  <c r="P22" i="3"/>
  <c r="O22" i="3"/>
  <c r="P33" i="3"/>
  <c r="Q33" i="3"/>
  <c r="R33" i="3"/>
  <c r="S33" i="3"/>
  <c r="O33" i="3"/>
  <c r="D22" i="3"/>
  <c r="P48" i="3"/>
  <c r="Q48" i="3"/>
  <c r="R48" i="3"/>
  <c r="Q33" i="10"/>
  <c r="T48" i="3"/>
  <c r="O48" i="3"/>
  <c r="D16" i="3"/>
  <c r="P39" i="3"/>
  <c r="Q39" i="3"/>
  <c r="R39" i="3"/>
  <c r="S39" i="3"/>
  <c r="O39" i="3"/>
  <c r="T45" i="3" l="1"/>
  <c r="R33" i="10" s="1"/>
  <c r="R45" i="3"/>
  <c r="P33" i="10" s="1"/>
  <c r="P45" i="3"/>
  <c r="N33" i="10" s="1"/>
  <c r="X16" i="3"/>
  <c r="Q45" i="3"/>
  <c r="O33" i="10" s="1"/>
  <c r="R32" i="3"/>
  <c r="P32" i="3"/>
  <c r="S32" i="3"/>
  <c r="Q32" i="3"/>
  <c r="P32" i="10" l="1"/>
  <c r="Q32" i="10"/>
  <c r="O32" i="10"/>
  <c r="N32" i="10"/>
  <c r="S609" i="2"/>
  <c r="R609" i="2"/>
  <c r="Q609" i="2"/>
  <c r="U547" i="2"/>
  <c r="V547" i="2"/>
  <c r="W547" i="2"/>
  <c r="T617" i="2"/>
  <c r="T547" i="2" s="1"/>
  <c r="S617" i="2"/>
  <c r="S547" i="2" s="1"/>
  <c r="T616" i="2"/>
  <c r="S616" i="2"/>
  <c r="T615" i="2"/>
  <c r="S615" i="2"/>
  <c r="R617" i="2"/>
  <c r="Q617" i="2"/>
  <c r="P618" i="2"/>
  <c r="P614" i="2"/>
  <c r="T613" i="2"/>
  <c r="T541" i="2" s="1"/>
  <c r="S613" i="2"/>
  <c r="R613" i="2"/>
  <c r="Q613" i="2"/>
  <c r="X613" i="2" l="1"/>
  <c r="S608" i="2"/>
  <c r="S607" i="2" s="1"/>
  <c r="S541" i="2"/>
  <c r="Q80" i="1"/>
  <c r="P80" i="1"/>
  <c r="P353" i="2"/>
  <c r="N351" i="2"/>
  <c r="P348" i="2"/>
  <c r="P346" i="2"/>
  <c r="N348" i="2"/>
  <c r="N345" i="2"/>
  <c r="X18" i="13" l="1"/>
  <c r="X15" i="13"/>
  <c r="X57" i="13"/>
  <c r="X61" i="13"/>
  <c r="O68" i="6" l="1"/>
  <c r="O66" i="6"/>
  <c r="O63" i="6"/>
  <c r="O61" i="6"/>
  <c r="O57" i="6"/>
  <c r="O55" i="6"/>
  <c r="O52" i="6"/>
  <c r="O50" i="6"/>
  <c r="P249" i="6" l="1"/>
  <c r="O249" i="6"/>
  <c r="D11" i="5" l="1"/>
  <c r="S569" i="2" l="1"/>
  <c r="S568" i="2" s="1"/>
  <c r="S633" i="2"/>
  <c r="S632" i="2" s="1"/>
  <c r="H541" i="2" l="1"/>
  <c r="G541" i="2"/>
  <c r="F541" i="2"/>
  <c r="R654" i="2"/>
  <c r="X654" i="2" s="1"/>
  <c r="X653" i="2" s="1"/>
  <c r="X652" i="2" s="1"/>
  <c r="M653" i="2"/>
  <c r="M652" i="2" s="1"/>
  <c r="Q653" i="2"/>
  <c r="Q652" i="2" s="1"/>
  <c r="P653" i="2"/>
  <c r="P652" i="2" s="1"/>
  <c r="O653" i="2"/>
  <c r="N653" i="2"/>
  <c r="L653" i="2"/>
  <c r="O652" i="2"/>
  <c r="N652" i="2"/>
  <c r="L652" i="2"/>
  <c r="S645" i="2"/>
  <c r="S644" i="2" s="1"/>
  <c r="R642" i="2"/>
  <c r="Q642" i="2"/>
  <c r="O642" i="2"/>
  <c r="X646" i="2"/>
  <c r="X645" i="2" s="1"/>
  <c r="X644" i="2" s="1"/>
  <c r="M645" i="2"/>
  <c r="M644" i="2" s="1"/>
  <c r="R645" i="2"/>
  <c r="Q645" i="2"/>
  <c r="P645" i="2"/>
  <c r="P644" i="2" s="1"/>
  <c r="O645" i="2"/>
  <c r="N645" i="2"/>
  <c r="N644" i="2" s="1"/>
  <c r="L645" i="2"/>
  <c r="L644" i="2" s="1"/>
  <c r="R644" i="2"/>
  <c r="Q644" i="2"/>
  <c r="O644" i="2"/>
  <c r="S625" i="2"/>
  <c r="S624" i="2" s="1"/>
  <c r="O630" i="2"/>
  <c r="O627" i="2"/>
  <c r="O626" i="2"/>
  <c r="F52" i="2"/>
  <c r="G52" i="2"/>
  <c r="H52" i="2"/>
  <c r="Q52" i="2"/>
  <c r="R52" i="2"/>
  <c r="S52" i="2"/>
  <c r="T52" i="2"/>
  <c r="U52" i="2"/>
  <c r="V52" i="2"/>
  <c r="W52" i="2"/>
  <c r="F43" i="2"/>
  <c r="Q43" i="2"/>
  <c r="R43" i="2"/>
  <c r="S43" i="2"/>
  <c r="T43" i="2"/>
  <c r="U43" i="2"/>
  <c r="V43" i="2"/>
  <c r="W43" i="2"/>
  <c r="X446" i="2"/>
  <c r="X437" i="2"/>
  <c r="X428" i="2"/>
  <c r="X417" i="2"/>
  <c r="F391" i="2"/>
  <c r="G391" i="2"/>
  <c r="H391" i="2"/>
  <c r="I391" i="2"/>
  <c r="J391" i="2"/>
  <c r="K391" i="2"/>
  <c r="L391" i="2"/>
  <c r="N391" i="2"/>
  <c r="O391" i="2"/>
  <c r="R391" i="2"/>
  <c r="S391" i="2"/>
  <c r="T391" i="2"/>
  <c r="U391" i="2"/>
  <c r="V391" i="2"/>
  <c r="W391" i="2"/>
  <c r="E389" i="2"/>
  <c r="E388" i="2" s="1"/>
  <c r="F389" i="2"/>
  <c r="F388" i="2" s="1"/>
  <c r="G389" i="2"/>
  <c r="G388" i="2" s="1"/>
  <c r="H389" i="2"/>
  <c r="H388" i="2" s="1"/>
  <c r="I389" i="2"/>
  <c r="I388" i="2" s="1"/>
  <c r="J389" i="2"/>
  <c r="J388" i="2" s="1"/>
  <c r="K389" i="2"/>
  <c r="K388" i="2" s="1"/>
  <c r="L389" i="2"/>
  <c r="L388" i="2" s="1"/>
  <c r="N389" i="2"/>
  <c r="O389" i="2"/>
  <c r="P389" i="2"/>
  <c r="Q389" i="2"/>
  <c r="R389" i="2"/>
  <c r="S389" i="2"/>
  <c r="T389" i="2"/>
  <c r="U389" i="2"/>
  <c r="V389" i="2"/>
  <c r="W389" i="2"/>
  <c r="F386" i="2"/>
  <c r="G386" i="2"/>
  <c r="H386" i="2"/>
  <c r="I386" i="2"/>
  <c r="J386" i="2"/>
  <c r="K386" i="2"/>
  <c r="L386" i="2"/>
  <c r="N386" i="2"/>
  <c r="O386" i="2"/>
  <c r="T386" i="2"/>
  <c r="U386" i="2"/>
  <c r="V386" i="2"/>
  <c r="W386" i="2"/>
  <c r="E384" i="2"/>
  <c r="F384" i="2"/>
  <c r="G384" i="2"/>
  <c r="H384" i="2"/>
  <c r="I384" i="2"/>
  <c r="J384" i="2"/>
  <c r="K384" i="2"/>
  <c r="L384" i="2"/>
  <c r="N384" i="2"/>
  <c r="O384" i="2"/>
  <c r="P384" i="2"/>
  <c r="Q384" i="2"/>
  <c r="R384" i="2"/>
  <c r="S384" i="2"/>
  <c r="T384" i="2"/>
  <c r="U384" i="2"/>
  <c r="V384" i="2"/>
  <c r="W384" i="2"/>
  <c r="F383" i="2"/>
  <c r="F382" i="2" s="1"/>
  <c r="G383" i="2"/>
  <c r="G382" i="2" s="1"/>
  <c r="H383" i="2"/>
  <c r="H382" i="2" s="1"/>
  <c r="I383" i="2"/>
  <c r="I382" i="2" s="1"/>
  <c r="J383" i="2"/>
  <c r="J382" i="2" s="1"/>
  <c r="K383" i="2"/>
  <c r="K382" i="2" s="1"/>
  <c r="O383" i="2"/>
  <c r="T383" i="2"/>
  <c r="U383" i="2"/>
  <c r="V383" i="2"/>
  <c r="W383" i="2"/>
  <c r="E325" i="2"/>
  <c r="M325" i="2" s="1"/>
  <c r="R324" i="2"/>
  <c r="Q324" i="2"/>
  <c r="P324" i="2"/>
  <c r="O324" i="2"/>
  <c r="N324" i="2"/>
  <c r="L324" i="2"/>
  <c r="K324" i="2"/>
  <c r="J324" i="2"/>
  <c r="I324" i="2"/>
  <c r="H324" i="2"/>
  <c r="G324" i="2"/>
  <c r="F324" i="2"/>
  <c r="E324" i="2"/>
  <c r="E323" i="2"/>
  <c r="D323" i="2"/>
  <c r="D322" i="2" s="1"/>
  <c r="P322" i="2"/>
  <c r="O322" i="2"/>
  <c r="O321" i="2" s="1"/>
  <c r="N322" i="2"/>
  <c r="M322" i="2"/>
  <c r="L322" i="2"/>
  <c r="K322" i="2"/>
  <c r="K321" i="2" s="1"/>
  <c r="J322" i="2"/>
  <c r="I322" i="2"/>
  <c r="H322" i="2"/>
  <c r="G322" i="2"/>
  <c r="F322" i="2"/>
  <c r="E322" i="2"/>
  <c r="Q321" i="2"/>
  <c r="P321" i="2"/>
  <c r="N321" i="2"/>
  <c r="L321" i="2"/>
  <c r="J321" i="2"/>
  <c r="I321" i="2"/>
  <c r="H321" i="2"/>
  <c r="G321" i="2"/>
  <c r="F321" i="2"/>
  <c r="E321" i="2"/>
  <c r="X320" i="2"/>
  <c r="X319" i="2" s="1"/>
  <c r="O320" i="2"/>
  <c r="M320" i="2"/>
  <c r="R319" i="2"/>
  <c r="Q319" i="2"/>
  <c r="P319" i="2"/>
  <c r="N319" i="2"/>
  <c r="L319" i="2"/>
  <c r="K319" i="2"/>
  <c r="J319" i="2"/>
  <c r="I319" i="2"/>
  <c r="H319" i="2"/>
  <c r="G319" i="2"/>
  <c r="F319" i="2"/>
  <c r="E319" i="2"/>
  <c r="D318" i="2"/>
  <c r="X317" i="2"/>
  <c r="X316" i="2" s="1"/>
  <c r="O317" i="2"/>
  <c r="O316" i="2" s="1"/>
  <c r="M317" i="2"/>
  <c r="R316" i="2"/>
  <c r="Q316" i="2"/>
  <c r="P316" i="2"/>
  <c r="N316" i="2"/>
  <c r="M316" i="2"/>
  <c r="L316" i="2"/>
  <c r="K316" i="2"/>
  <c r="K315" i="2" s="1"/>
  <c r="J316" i="2"/>
  <c r="I316" i="2"/>
  <c r="I315" i="2" s="1"/>
  <c r="H316" i="2"/>
  <c r="G316" i="2"/>
  <c r="G315" i="2" s="1"/>
  <c r="F316" i="2"/>
  <c r="E316" i="2"/>
  <c r="E315" i="2" s="1"/>
  <c r="Q315" i="2"/>
  <c r="N315" i="2"/>
  <c r="L315" i="2"/>
  <c r="J315" i="2"/>
  <c r="H315" i="2"/>
  <c r="F315" i="2"/>
  <c r="E313" i="2"/>
  <c r="M313" i="2" s="1"/>
  <c r="R312" i="2"/>
  <c r="Q312" i="2"/>
  <c r="P312" i="2"/>
  <c r="O312" i="2"/>
  <c r="N312" i="2"/>
  <c r="L312" i="2"/>
  <c r="K312" i="2"/>
  <c r="J312" i="2"/>
  <c r="I312" i="2"/>
  <c r="H312" i="2"/>
  <c r="G312" i="2"/>
  <c r="F312" i="2"/>
  <c r="E311" i="2"/>
  <c r="E310" i="2" s="1"/>
  <c r="D311" i="2"/>
  <c r="D310" i="2" s="1"/>
  <c r="P310" i="2"/>
  <c r="P309" i="2" s="1"/>
  <c r="O310" i="2"/>
  <c r="N310" i="2"/>
  <c r="M310" i="2"/>
  <c r="L310" i="2"/>
  <c r="L309" i="2" s="1"/>
  <c r="K310" i="2"/>
  <c r="J310" i="2"/>
  <c r="J309" i="2" s="1"/>
  <c r="I310" i="2"/>
  <c r="H310" i="2"/>
  <c r="H309" i="2" s="1"/>
  <c r="G310" i="2"/>
  <c r="F310" i="2"/>
  <c r="F309" i="2" s="1"/>
  <c r="Q309" i="2"/>
  <c r="N309" i="2"/>
  <c r="K309" i="2"/>
  <c r="I309" i="2"/>
  <c r="X308" i="2"/>
  <c r="X307" i="2" s="1"/>
  <c r="O308" i="2"/>
  <c r="O307" i="2" s="1"/>
  <c r="M308" i="2"/>
  <c r="R307" i="2"/>
  <c r="Q307" i="2"/>
  <c r="P307" i="2"/>
  <c r="N307" i="2"/>
  <c r="L307" i="2"/>
  <c r="K307" i="2"/>
  <c r="J307" i="2"/>
  <c r="I307" i="2"/>
  <c r="H307" i="2"/>
  <c r="G307" i="2"/>
  <c r="F307" i="2"/>
  <c r="E307" i="2"/>
  <c r="D306" i="2"/>
  <c r="X305" i="2"/>
  <c r="X304" i="2" s="1"/>
  <c r="O305" i="2"/>
  <c r="O304" i="2" s="1"/>
  <c r="M305" i="2"/>
  <c r="M304" i="2" s="1"/>
  <c r="R304" i="2"/>
  <c r="Q304" i="2"/>
  <c r="P304" i="2"/>
  <c r="N304" i="2"/>
  <c r="L304" i="2"/>
  <c r="K304" i="2"/>
  <c r="J304" i="2"/>
  <c r="I304" i="2"/>
  <c r="H304" i="2"/>
  <c r="G304" i="2"/>
  <c r="F304" i="2"/>
  <c r="E304" i="2"/>
  <c r="R303" i="2"/>
  <c r="L303" i="2"/>
  <c r="K303" i="2"/>
  <c r="J303" i="2"/>
  <c r="I303" i="2"/>
  <c r="H303" i="2"/>
  <c r="G303" i="2"/>
  <c r="F303" i="2"/>
  <c r="E303" i="2"/>
  <c r="E301" i="2"/>
  <c r="M301" i="2" s="1"/>
  <c r="R300" i="2"/>
  <c r="Q300" i="2"/>
  <c r="P300" i="2"/>
  <c r="O300" i="2"/>
  <c r="N300" i="2"/>
  <c r="L300" i="2"/>
  <c r="K300" i="2"/>
  <c r="J300" i="2"/>
  <c r="I300" i="2"/>
  <c r="H300" i="2"/>
  <c r="G300" i="2"/>
  <c r="F300" i="2"/>
  <c r="E299" i="2"/>
  <c r="E298" i="2" s="1"/>
  <c r="D299" i="2"/>
  <c r="P298" i="2"/>
  <c r="O298" i="2"/>
  <c r="N298" i="2"/>
  <c r="M298" i="2"/>
  <c r="L298" i="2"/>
  <c r="K298" i="2"/>
  <c r="J298" i="2"/>
  <c r="I298" i="2"/>
  <c r="I297" i="2" s="1"/>
  <c r="H298" i="2"/>
  <c r="G298" i="2"/>
  <c r="F298" i="2"/>
  <c r="D298" i="2"/>
  <c r="R297" i="2"/>
  <c r="P297" i="2"/>
  <c r="N297" i="2"/>
  <c r="K297" i="2"/>
  <c r="G297" i="2"/>
  <c r="X296" i="2"/>
  <c r="X295" i="2" s="1"/>
  <c r="O296" i="2"/>
  <c r="O295" i="2" s="1"/>
  <c r="M296" i="2"/>
  <c r="R295" i="2"/>
  <c r="Q295" i="2"/>
  <c r="P295" i="2"/>
  <c r="N295" i="2"/>
  <c r="M295" i="2"/>
  <c r="L295" i="2"/>
  <c r="K295" i="2"/>
  <c r="J295" i="2"/>
  <c r="I295" i="2"/>
  <c r="H295" i="2"/>
  <c r="G295" i="2"/>
  <c r="F295" i="2"/>
  <c r="E295" i="2"/>
  <c r="D294" i="2"/>
  <c r="X293" i="2"/>
  <c r="X292" i="2" s="1"/>
  <c r="O293" i="2"/>
  <c r="O292" i="2" s="1"/>
  <c r="M293" i="2"/>
  <c r="R292" i="2"/>
  <c r="Q292" i="2"/>
  <c r="P292" i="2"/>
  <c r="N292" i="2"/>
  <c r="L292" i="2"/>
  <c r="L291" i="2" s="1"/>
  <c r="K292" i="2"/>
  <c r="J292" i="2"/>
  <c r="I292" i="2"/>
  <c r="H292" i="2"/>
  <c r="H291" i="2" s="1"/>
  <c r="G292" i="2"/>
  <c r="F292" i="2"/>
  <c r="F291" i="2" s="1"/>
  <c r="E292" i="2"/>
  <c r="J291" i="2"/>
  <c r="R288" i="2"/>
  <c r="R283" i="2"/>
  <c r="R280" i="2"/>
  <c r="E289" i="2"/>
  <c r="M289" i="2" s="1"/>
  <c r="Q288" i="2"/>
  <c r="P288" i="2"/>
  <c r="O288" i="2"/>
  <c r="N288" i="2"/>
  <c r="L288" i="2"/>
  <c r="K288" i="2"/>
  <c r="J288" i="2"/>
  <c r="I288" i="2"/>
  <c r="H288" i="2"/>
  <c r="G288" i="2"/>
  <c r="F288" i="2"/>
  <c r="E288" i="2"/>
  <c r="E287" i="2"/>
  <c r="E286" i="2" s="1"/>
  <c r="D287" i="2"/>
  <c r="D286" i="2" s="1"/>
  <c r="P286" i="2"/>
  <c r="O286" i="2"/>
  <c r="N286" i="2"/>
  <c r="M286" i="2"/>
  <c r="L286" i="2"/>
  <c r="K286" i="2"/>
  <c r="J286" i="2"/>
  <c r="I286" i="2"/>
  <c r="I285" i="2" s="1"/>
  <c r="H286" i="2"/>
  <c r="G286" i="2"/>
  <c r="G285" i="2" s="1"/>
  <c r="F286" i="2"/>
  <c r="K285" i="2"/>
  <c r="X284" i="2"/>
  <c r="X283" i="2" s="1"/>
  <c r="O284" i="2"/>
  <c r="M284" i="2"/>
  <c r="Q283" i="2"/>
  <c r="P283" i="2"/>
  <c r="O283" i="2"/>
  <c r="N283" i="2"/>
  <c r="L283" i="2"/>
  <c r="K283" i="2"/>
  <c r="J283" i="2"/>
  <c r="I283" i="2"/>
  <c r="H283" i="2"/>
  <c r="G283" i="2"/>
  <c r="F283" i="2"/>
  <c r="E283" i="2"/>
  <c r="D282" i="2"/>
  <c r="X281" i="2"/>
  <c r="X280" i="2" s="1"/>
  <c r="O281" i="2"/>
  <c r="M281" i="2"/>
  <c r="Q280" i="2"/>
  <c r="P280" i="2"/>
  <c r="O280" i="2"/>
  <c r="N280" i="2"/>
  <c r="L280" i="2"/>
  <c r="L279" i="2" s="1"/>
  <c r="K280" i="2"/>
  <c r="K279" i="2" s="1"/>
  <c r="J280" i="2"/>
  <c r="J279" i="2" s="1"/>
  <c r="I280" i="2"/>
  <c r="H280" i="2"/>
  <c r="H279" i="2" s="1"/>
  <c r="G280" i="2"/>
  <c r="G279" i="2" s="1"/>
  <c r="F280" i="2"/>
  <c r="F279" i="2" s="1"/>
  <c r="E280" i="2"/>
  <c r="E279" i="2" s="1"/>
  <c r="Q279" i="2"/>
  <c r="I279" i="2"/>
  <c r="G117" i="2"/>
  <c r="G115" i="2"/>
  <c r="G114" i="2"/>
  <c r="G38" i="2" s="1"/>
  <c r="P122" i="2"/>
  <c r="P120" i="2"/>
  <c r="O122" i="2"/>
  <c r="O120" i="2"/>
  <c r="N117" i="2"/>
  <c r="N115" i="2"/>
  <c r="N114" i="2"/>
  <c r="L117" i="2"/>
  <c r="L115" i="2"/>
  <c r="L114" i="2"/>
  <c r="O175" i="2"/>
  <c r="N175" i="2"/>
  <c r="N172" i="2"/>
  <c r="N170" i="2"/>
  <c r="P458" i="2"/>
  <c r="E458" i="2"/>
  <c r="M458" i="2" s="1"/>
  <c r="T457" i="2"/>
  <c r="S457" i="2"/>
  <c r="R457" i="2"/>
  <c r="Q457" i="2"/>
  <c r="P457" i="2"/>
  <c r="O457" i="2"/>
  <c r="N457" i="2"/>
  <c r="L457" i="2"/>
  <c r="L456" i="2" s="1"/>
  <c r="K457" i="2"/>
  <c r="K456" i="2" s="1"/>
  <c r="J457" i="2"/>
  <c r="J456" i="2" s="1"/>
  <c r="I457" i="2"/>
  <c r="I456" i="2" s="1"/>
  <c r="H457" i="2"/>
  <c r="H456" i="2" s="1"/>
  <c r="G457" i="2"/>
  <c r="G456" i="2" s="1"/>
  <c r="F457" i="2"/>
  <c r="F456" i="2" s="1"/>
  <c r="T456" i="2"/>
  <c r="Q456" i="2"/>
  <c r="X455" i="2"/>
  <c r="E455" i="2"/>
  <c r="M455" i="2" s="1"/>
  <c r="X454" i="2"/>
  <c r="S454" i="2"/>
  <c r="R454" i="2"/>
  <c r="Q454" i="2"/>
  <c r="P454" i="2"/>
  <c r="O454" i="2"/>
  <c r="N454" i="2"/>
  <c r="L454" i="2"/>
  <c r="K454" i="2"/>
  <c r="J454" i="2"/>
  <c r="I454" i="2"/>
  <c r="H454" i="2"/>
  <c r="G454" i="2"/>
  <c r="F454" i="2"/>
  <c r="X453" i="2"/>
  <c r="N453" i="2"/>
  <c r="N452" i="2" s="1"/>
  <c r="L453" i="2"/>
  <c r="L452" i="2" s="1"/>
  <c r="E453" i="2"/>
  <c r="E452" i="2" s="1"/>
  <c r="X452" i="2"/>
  <c r="X451" i="2" s="1"/>
  <c r="S452" i="2"/>
  <c r="R452" i="2"/>
  <c r="Q452" i="2"/>
  <c r="P452" i="2"/>
  <c r="O452" i="2"/>
  <c r="K452" i="2"/>
  <c r="K451" i="2" s="1"/>
  <c r="J452" i="2"/>
  <c r="I452" i="2"/>
  <c r="I451" i="2" s="1"/>
  <c r="H452" i="2"/>
  <c r="H451" i="2" s="1"/>
  <c r="G452" i="2"/>
  <c r="G451" i="2" s="1"/>
  <c r="F452" i="2"/>
  <c r="F451" i="2" s="1"/>
  <c r="J451" i="2"/>
  <c r="T448" i="2"/>
  <c r="R448" i="2"/>
  <c r="S448" i="2"/>
  <c r="R445" i="2"/>
  <c r="S445" i="2"/>
  <c r="R443" i="2"/>
  <c r="S443" i="2"/>
  <c r="P449" i="2"/>
  <c r="P448" i="2" s="1"/>
  <c r="E449" i="2"/>
  <c r="M449" i="2" s="1"/>
  <c r="Q448" i="2"/>
  <c r="O448" i="2"/>
  <c r="N448" i="2"/>
  <c r="L448" i="2"/>
  <c r="L447" i="2" s="1"/>
  <c r="K448" i="2"/>
  <c r="K447" i="2" s="1"/>
  <c r="J448" i="2"/>
  <c r="J447" i="2" s="1"/>
  <c r="I448" i="2"/>
  <c r="I447" i="2" s="1"/>
  <c r="H448" i="2"/>
  <c r="H447" i="2" s="1"/>
  <c r="G448" i="2"/>
  <c r="G447" i="2" s="1"/>
  <c r="F448" i="2"/>
  <c r="F447" i="2" s="1"/>
  <c r="O447" i="2"/>
  <c r="E446" i="2"/>
  <c r="M446" i="2" s="1"/>
  <c r="X445" i="2"/>
  <c r="Q445" i="2"/>
  <c r="P445" i="2"/>
  <c r="O445" i="2"/>
  <c r="N445" i="2"/>
  <c r="L445" i="2"/>
  <c r="K445" i="2"/>
  <c r="J445" i="2"/>
  <c r="I445" i="2"/>
  <c r="H445" i="2"/>
  <c r="G445" i="2"/>
  <c r="F445" i="2"/>
  <c r="X444" i="2"/>
  <c r="N444" i="2"/>
  <c r="N443" i="2" s="1"/>
  <c r="L444" i="2"/>
  <c r="L443" i="2" s="1"/>
  <c r="L442" i="2" s="1"/>
  <c r="E444" i="2"/>
  <c r="X443" i="2"/>
  <c r="Q443" i="2"/>
  <c r="P443" i="2"/>
  <c r="O443" i="2"/>
  <c r="K443" i="2"/>
  <c r="K442" i="2" s="1"/>
  <c r="J443" i="2"/>
  <c r="I443" i="2"/>
  <c r="I442" i="2" s="1"/>
  <c r="H443" i="2"/>
  <c r="H442" i="2" s="1"/>
  <c r="G443" i="2"/>
  <c r="G442" i="2" s="1"/>
  <c r="F443" i="2"/>
  <c r="F442" i="2" s="1"/>
  <c r="E443" i="2"/>
  <c r="J442" i="2"/>
  <c r="P440" i="2"/>
  <c r="E440" i="2"/>
  <c r="M440" i="2" s="1"/>
  <c r="R439" i="2"/>
  <c r="Q439" i="2"/>
  <c r="P439" i="2"/>
  <c r="O439" i="2"/>
  <c r="N439" i="2"/>
  <c r="L439" i="2"/>
  <c r="L438" i="2" s="1"/>
  <c r="K439" i="2"/>
  <c r="J439" i="2"/>
  <c r="J438" i="2" s="1"/>
  <c r="I439" i="2"/>
  <c r="I438" i="2" s="1"/>
  <c r="H439" i="2"/>
  <c r="H438" i="2" s="1"/>
  <c r="G439" i="2"/>
  <c r="G438" i="2" s="1"/>
  <c r="F439" i="2"/>
  <c r="F438" i="2" s="1"/>
  <c r="K438" i="2"/>
  <c r="X436" i="2"/>
  <c r="E437" i="2"/>
  <c r="M437" i="2" s="1"/>
  <c r="Q436" i="2"/>
  <c r="P436" i="2"/>
  <c r="O436" i="2"/>
  <c r="N436" i="2"/>
  <c r="L436" i="2"/>
  <c r="K436" i="2"/>
  <c r="J436" i="2"/>
  <c r="I436" i="2"/>
  <c r="H436" i="2"/>
  <c r="G436" i="2"/>
  <c r="F436" i="2"/>
  <c r="X435" i="2"/>
  <c r="X434" i="2" s="1"/>
  <c r="N435" i="2"/>
  <c r="N434" i="2" s="1"/>
  <c r="L435" i="2"/>
  <c r="L434" i="2" s="1"/>
  <c r="E435" i="2"/>
  <c r="Q434" i="2"/>
  <c r="P434" i="2"/>
  <c r="O434" i="2"/>
  <c r="K434" i="2"/>
  <c r="J434" i="2"/>
  <c r="I434" i="2"/>
  <c r="H434" i="2"/>
  <c r="H433" i="2" s="1"/>
  <c r="G434" i="2"/>
  <c r="F434" i="2"/>
  <c r="F433" i="2" s="1"/>
  <c r="E434" i="2"/>
  <c r="J433" i="2"/>
  <c r="P431" i="2"/>
  <c r="E431" i="2"/>
  <c r="M431" i="2" s="1"/>
  <c r="R430" i="2"/>
  <c r="R429" i="2" s="1"/>
  <c r="Q430" i="2"/>
  <c r="Q429" i="2" s="1"/>
  <c r="P430" i="2"/>
  <c r="O430" i="2"/>
  <c r="O429" i="2" s="1"/>
  <c r="N430" i="2"/>
  <c r="L430" i="2"/>
  <c r="L429" i="2" s="1"/>
  <c r="K430" i="2"/>
  <c r="J430" i="2"/>
  <c r="J429" i="2" s="1"/>
  <c r="I430" i="2"/>
  <c r="I429" i="2" s="1"/>
  <c r="H430" i="2"/>
  <c r="H429" i="2" s="1"/>
  <c r="G430" i="2"/>
  <c r="G429" i="2" s="1"/>
  <c r="F430" i="2"/>
  <c r="F429" i="2" s="1"/>
  <c r="P429" i="2"/>
  <c r="N429" i="2"/>
  <c r="K429" i="2"/>
  <c r="X427" i="2"/>
  <c r="E428" i="2"/>
  <c r="M428" i="2" s="1"/>
  <c r="Q427" i="2"/>
  <c r="P427" i="2"/>
  <c r="O427" i="2"/>
  <c r="N427" i="2"/>
  <c r="L427" i="2"/>
  <c r="K427" i="2"/>
  <c r="J427" i="2"/>
  <c r="I427" i="2"/>
  <c r="H427" i="2"/>
  <c r="G427" i="2"/>
  <c r="F427" i="2"/>
  <c r="X426" i="2"/>
  <c r="X425" i="2" s="1"/>
  <c r="N426" i="2"/>
  <c r="L426" i="2"/>
  <c r="E426" i="2"/>
  <c r="E425" i="2" s="1"/>
  <c r="Q425" i="2"/>
  <c r="P425" i="2"/>
  <c r="O425" i="2"/>
  <c r="N425" i="2"/>
  <c r="L425" i="2"/>
  <c r="K425" i="2"/>
  <c r="J425" i="2"/>
  <c r="I425" i="2"/>
  <c r="H425" i="2"/>
  <c r="G425" i="2"/>
  <c r="F425" i="2"/>
  <c r="F424" i="2" l="1"/>
  <c r="H424" i="2"/>
  <c r="J424" i="2"/>
  <c r="L424" i="2"/>
  <c r="G424" i="2"/>
  <c r="I424" i="2"/>
  <c r="K424" i="2"/>
  <c r="G433" i="2"/>
  <c r="I433" i="2"/>
  <c r="K433" i="2"/>
  <c r="E448" i="2"/>
  <c r="E447" i="2" s="1"/>
  <c r="O424" i="2"/>
  <c r="O433" i="2"/>
  <c r="O442" i="2"/>
  <c r="Q442" i="2"/>
  <c r="M444" i="2"/>
  <c r="N442" i="2"/>
  <c r="R442" i="2"/>
  <c r="P451" i="2"/>
  <c r="O279" i="2"/>
  <c r="P291" i="2"/>
  <c r="R291" i="2"/>
  <c r="Q297" i="2"/>
  <c r="N303" i="2"/>
  <c r="Q303" i="2"/>
  <c r="M435" i="2"/>
  <c r="N433" i="2"/>
  <c r="P442" i="2"/>
  <c r="S442" i="2"/>
  <c r="O451" i="2"/>
  <c r="Q451" i="2"/>
  <c r="S451" i="2"/>
  <c r="Q285" i="2"/>
  <c r="R285" i="2"/>
  <c r="N291" i="2"/>
  <c r="P303" i="2"/>
  <c r="G309" i="2"/>
  <c r="R309" i="2"/>
  <c r="P315" i="2"/>
  <c r="R315" i="2"/>
  <c r="O319" i="2"/>
  <c r="R321" i="2"/>
  <c r="N438" i="2"/>
  <c r="P438" i="2"/>
  <c r="R438" i="2"/>
  <c r="S447" i="2"/>
  <c r="T447" i="2"/>
  <c r="O456" i="2"/>
  <c r="S456" i="2"/>
  <c r="O438" i="2"/>
  <c r="Q438" i="2"/>
  <c r="N447" i="2"/>
  <c r="Q447" i="2"/>
  <c r="P447" i="2"/>
  <c r="R447" i="2"/>
  <c r="N456" i="2"/>
  <c r="P456" i="2"/>
  <c r="R456" i="2"/>
  <c r="Q433" i="2"/>
  <c r="P433" i="2"/>
  <c r="D293" i="2"/>
  <c r="D292" i="2" s="1"/>
  <c r="F297" i="2"/>
  <c r="H297" i="2"/>
  <c r="N424" i="2"/>
  <c r="L433" i="2"/>
  <c r="J297" i="2"/>
  <c r="D296" i="2"/>
  <c r="D295" i="2" s="1"/>
  <c r="L297" i="2"/>
  <c r="E430" i="2"/>
  <c r="E429" i="2" s="1"/>
  <c r="O315" i="2"/>
  <c r="O297" i="2"/>
  <c r="D320" i="2"/>
  <c r="D319" i="2" s="1"/>
  <c r="L451" i="2"/>
  <c r="D284" i="2"/>
  <c r="D283" i="2" s="1"/>
  <c r="E285" i="2"/>
  <c r="O285" i="2"/>
  <c r="E291" i="2"/>
  <c r="G291" i="2"/>
  <c r="I291" i="2"/>
  <c r="K291" i="2"/>
  <c r="M292" i="2"/>
  <c r="E300" i="2"/>
  <c r="E297" i="2" s="1"/>
  <c r="O303" i="2"/>
  <c r="D308" i="2"/>
  <c r="D307" i="2" s="1"/>
  <c r="O309" i="2"/>
  <c r="E312" i="2"/>
  <c r="E309" i="2" s="1"/>
  <c r="M319" i="2"/>
  <c r="M315" i="2" s="1"/>
  <c r="D449" i="2"/>
  <c r="N451" i="2"/>
  <c r="E457" i="2"/>
  <c r="E456" i="2" s="1"/>
  <c r="N279" i="2"/>
  <c r="P279" i="2"/>
  <c r="D281" i="2"/>
  <c r="D280" i="2" s="1"/>
  <c r="M283" i="2"/>
  <c r="Q291" i="2"/>
  <c r="O291" i="2"/>
  <c r="D305" i="2"/>
  <c r="D304" i="2" s="1"/>
  <c r="M307" i="2"/>
  <c r="D317" i="2"/>
  <c r="D316" i="2" s="1"/>
  <c r="R653" i="2"/>
  <c r="R652" i="2" s="1"/>
  <c r="X384" i="2"/>
  <c r="D654" i="2"/>
  <c r="D653" i="2" s="1"/>
  <c r="D652" i="2" s="1"/>
  <c r="Z644" i="2"/>
  <c r="D646" i="2"/>
  <c r="D645" i="2" s="1"/>
  <c r="D644" i="2" s="1"/>
  <c r="M288" i="2"/>
  <c r="D289" i="2"/>
  <c r="D288" i="2" s="1"/>
  <c r="D285" i="2" s="1"/>
  <c r="D301" i="2"/>
  <c r="D300" i="2" s="1"/>
  <c r="D297" i="2" s="1"/>
  <c r="M300" i="2"/>
  <c r="M453" i="2"/>
  <c r="N285" i="2"/>
  <c r="P285" i="2"/>
  <c r="R451" i="2"/>
  <c r="F285" i="2"/>
  <c r="H285" i="2"/>
  <c r="J285" i="2"/>
  <c r="L285" i="2"/>
  <c r="X315" i="2"/>
  <c r="D325" i="2"/>
  <c r="D324" i="2" s="1"/>
  <c r="D321" i="2" s="1"/>
  <c r="M324" i="2"/>
  <c r="X303" i="2"/>
  <c r="D313" i="2"/>
  <c r="D312" i="2" s="1"/>
  <c r="D309" i="2" s="1"/>
  <c r="M312" i="2"/>
  <c r="X291" i="2"/>
  <c r="R279" i="2"/>
  <c r="X279" i="2"/>
  <c r="M280" i="2"/>
  <c r="D453" i="2"/>
  <c r="D452" i="2" s="1"/>
  <c r="M452" i="2"/>
  <c r="D455" i="2"/>
  <c r="D454" i="2" s="1"/>
  <c r="M454" i="2"/>
  <c r="D458" i="2"/>
  <c r="D457" i="2" s="1"/>
  <c r="D456" i="2" s="1"/>
  <c r="M457" i="2"/>
  <c r="E454" i="2"/>
  <c r="E451" i="2" s="1"/>
  <c r="X442" i="2"/>
  <c r="D444" i="2"/>
  <c r="D443" i="2" s="1"/>
  <c r="M443" i="2"/>
  <c r="D446" i="2"/>
  <c r="D445" i="2" s="1"/>
  <c r="M445" i="2"/>
  <c r="D448" i="2"/>
  <c r="D447" i="2" s="1"/>
  <c r="M448" i="2"/>
  <c r="E445" i="2"/>
  <c r="E442" i="2" s="1"/>
  <c r="X433" i="2"/>
  <c r="D435" i="2"/>
  <c r="D434" i="2" s="1"/>
  <c r="M434" i="2"/>
  <c r="D437" i="2"/>
  <c r="D436" i="2" s="1"/>
  <c r="M436" i="2"/>
  <c r="E433" i="2"/>
  <c r="D440" i="2"/>
  <c r="D439" i="2" s="1"/>
  <c r="D438" i="2" s="1"/>
  <c r="M439" i="2"/>
  <c r="E436" i="2"/>
  <c r="E439" i="2"/>
  <c r="E438" i="2" s="1"/>
  <c r="Q424" i="2"/>
  <c r="X424" i="2"/>
  <c r="P424" i="2"/>
  <c r="D428" i="2"/>
  <c r="D427" i="2" s="1"/>
  <c r="M427" i="2"/>
  <c r="D431" i="2"/>
  <c r="D430" i="2" s="1"/>
  <c r="D429" i="2" s="1"/>
  <c r="M430" i="2"/>
  <c r="M429" i="2" s="1"/>
  <c r="M426" i="2"/>
  <c r="E427" i="2"/>
  <c r="E424" i="2" s="1"/>
  <c r="D315" i="2" l="1"/>
  <c r="D279" i="2"/>
  <c r="D291" i="2"/>
  <c r="D303" i="2"/>
  <c r="M279" i="2"/>
  <c r="M309" i="2"/>
  <c r="M285" i="2"/>
  <c r="M291" i="2"/>
  <c r="M321" i="2"/>
  <c r="M297" i="2"/>
  <c r="M303" i="2"/>
  <c r="M447" i="2"/>
  <c r="M456" i="2"/>
  <c r="M438" i="2"/>
  <c r="Z652" i="2"/>
  <c r="M451" i="2"/>
  <c r="D451" i="2"/>
  <c r="M442" i="2"/>
  <c r="D442" i="2"/>
  <c r="D433" i="2"/>
  <c r="M433" i="2"/>
  <c r="D426" i="2"/>
  <c r="D425" i="2" s="1"/>
  <c r="D424" i="2" s="1"/>
  <c r="M425" i="2"/>
  <c r="M415" i="2"/>
  <c r="M384" i="2" s="1"/>
  <c r="N414" i="2"/>
  <c r="N413" i="2" s="1"/>
  <c r="M420" i="2"/>
  <c r="L419" i="2"/>
  <c r="K419" i="2"/>
  <c r="J419" i="2"/>
  <c r="I419" i="2"/>
  <c r="H419" i="2"/>
  <c r="G419" i="2"/>
  <c r="F419" i="2"/>
  <c r="E419" i="2"/>
  <c r="O413" i="2"/>
  <c r="P413" i="2"/>
  <c r="Q413" i="2"/>
  <c r="R413" i="2"/>
  <c r="E414" i="2"/>
  <c r="M414" i="2" s="1"/>
  <c r="L413" i="2"/>
  <c r="K413" i="2"/>
  <c r="J413" i="2"/>
  <c r="I413" i="2"/>
  <c r="H413" i="2"/>
  <c r="G413" i="2"/>
  <c r="F413" i="2"/>
  <c r="E413" i="2"/>
  <c r="N419" i="2"/>
  <c r="X415" i="2"/>
  <c r="P422" i="2"/>
  <c r="E422" i="2"/>
  <c r="M422" i="2" s="1"/>
  <c r="R421" i="2"/>
  <c r="Q421" i="2"/>
  <c r="P421" i="2"/>
  <c r="O421" i="2"/>
  <c r="N421" i="2"/>
  <c r="L421" i="2"/>
  <c r="K421" i="2"/>
  <c r="J421" i="2"/>
  <c r="I421" i="2"/>
  <c r="H421" i="2"/>
  <c r="G421" i="2"/>
  <c r="F421" i="2"/>
  <c r="E417" i="2"/>
  <c r="M417" i="2" s="1"/>
  <c r="X416" i="2"/>
  <c r="Q416" i="2"/>
  <c r="P416" i="2"/>
  <c r="O416" i="2"/>
  <c r="N416" i="2"/>
  <c r="L416" i="2"/>
  <c r="K416" i="2"/>
  <c r="J416" i="2"/>
  <c r="I416" i="2"/>
  <c r="H416" i="2"/>
  <c r="G416" i="2"/>
  <c r="F416" i="2"/>
  <c r="X414" i="2"/>
  <c r="X413" i="2" s="1"/>
  <c r="R409" i="2"/>
  <c r="Q410" i="2"/>
  <c r="P410" i="2"/>
  <c r="Q406" i="2"/>
  <c r="Q404" i="2"/>
  <c r="L585" i="2"/>
  <c r="L584" i="2" s="1"/>
  <c r="M582" i="2"/>
  <c r="M583" i="2"/>
  <c r="D415" i="2" l="1"/>
  <c r="D384" i="2" s="1"/>
  <c r="O418" i="2"/>
  <c r="Q418" i="2"/>
  <c r="R412" i="2"/>
  <c r="P418" i="2"/>
  <c r="R418" i="2"/>
  <c r="M424" i="2"/>
  <c r="R408" i="2"/>
  <c r="P391" i="2"/>
  <c r="E416" i="2"/>
  <c r="E421" i="2"/>
  <c r="N418" i="2"/>
  <c r="F412" i="2"/>
  <c r="H412" i="2"/>
  <c r="J412" i="2"/>
  <c r="L412" i="2"/>
  <c r="Q412" i="2"/>
  <c r="O412" i="2"/>
  <c r="F418" i="2"/>
  <c r="H418" i="2"/>
  <c r="J418" i="2"/>
  <c r="L418" i="2"/>
  <c r="N412" i="2"/>
  <c r="Q391" i="2"/>
  <c r="E412" i="2"/>
  <c r="G412" i="2"/>
  <c r="I412" i="2"/>
  <c r="K412" i="2"/>
  <c r="D414" i="2"/>
  <c r="M413" i="2"/>
  <c r="P412" i="2"/>
  <c r="E418" i="2"/>
  <c r="G418" i="2"/>
  <c r="I418" i="2"/>
  <c r="K418" i="2"/>
  <c r="D420" i="2"/>
  <c r="M389" i="2"/>
  <c r="M388" i="2" s="1"/>
  <c r="X412" i="2"/>
  <c r="D417" i="2"/>
  <c r="D416" i="2" s="1"/>
  <c r="M416" i="2"/>
  <c r="D422" i="2"/>
  <c r="D421" i="2" s="1"/>
  <c r="M421" i="2"/>
  <c r="Q403" i="2"/>
  <c r="M419" i="2"/>
  <c r="M418" i="2" s="1"/>
  <c r="D413" i="2"/>
  <c r="R547" i="2"/>
  <c r="Q547" i="2"/>
  <c r="P547" i="2"/>
  <c r="P604" i="2"/>
  <c r="P603" i="2" s="1"/>
  <c r="M605" i="2"/>
  <c r="D605" i="2" s="1"/>
  <c r="D604" i="2" s="1"/>
  <c r="D603" i="2" s="1"/>
  <c r="N604" i="2"/>
  <c r="N603" i="2" s="1"/>
  <c r="L604" i="2"/>
  <c r="L603" i="2" s="1"/>
  <c r="K604" i="2"/>
  <c r="J604" i="2"/>
  <c r="J603" i="2" s="1"/>
  <c r="I604" i="2"/>
  <c r="H604" i="2"/>
  <c r="H603" i="2" s="1"/>
  <c r="G604" i="2"/>
  <c r="F604" i="2"/>
  <c r="F603" i="2" s="1"/>
  <c r="E604" i="2"/>
  <c r="K603" i="2"/>
  <c r="I603" i="2"/>
  <c r="G603" i="2"/>
  <c r="E603" i="2"/>
  <c r="D412" i="2" l="1"/>
  <c r="D419" i="2"/>
  <c r="D418" i="2" s="1"/>
  <c r="D389" i="2"/>
  <c r="D388" i="2" s="1"/>
  <c r="M412" i="2"/>
  <c r="M604" i="2"/>
  <c r="M603" i="2" s="1"/>
  <c r="D82" i="3"/>
  <c r="D83" i="3"/>
  <c r="T148" i="8" l="1"/>
  <c r="U148" i="8"/>
  <c r="V148" i="8"/>
  <c r="W148" i="8"/>
  <c r="T145" i="8"/>
  <c r="T144" i="8" s="1"/>
  <c r="U145" i="8"/>
  <c r="U144" i="8" s="1"/>
  <c r="V145" i="8"/>
  <c r="W145" i="8"/>
  <c r="W144" i="8" s="1"/>
  <c r="T142" i="8"/>
  <c r="U142" i="8"/>
  <c r="V142" i="8"/>
  <c r="W142" i="8"/>
  <c r="T139" i="8"/>
  <c r="T138" i="8" s="1"/>
  <c r="U139" i="8"/>
  <c r="U138" i="8" s="1"/>
  <c r="V139" i="8"/>
  <c r="V138" i="8" s="1"/>
  <c r="W139" i="8"/>
  <c r="M38" i="3"/>
  <c r="M44" i="3"/>
  <c r="M17" i="3" s="1"/>
  <c r="M47" i="3"/>
  <c r="W138" i="8" l="1"/>
  <c r="V144" i="8"/>
  <c r="M50" i="8" l="1"/>
  <c r="D42" i="13" l="1"/>
  <c r="R203" i="6"/>
  <c r="D201" i="6"/>
  <c r="M17" i="5"/>
  <c r="M15" i="5"/>
  <c r="F17" i="5"/>
  <c r="G17" i="5"/>
  <c r="H17" i="5"/>
  <c r="I17" i="5"/>
  <c r="J17" i="5"/>
  <c r="K17" i="5"/>
  <c r="L17" i="5"/>
  <c r="N17" i="5"/>
  <c r="O17" i="5"/>
  <c r="P17" i="5"/>
  <c r="Q17" i="5"/>
  <c r="R17" i="5"/>
  <c r="S17" i="5"/>
  <c r="T17" i="5"/>
  <c r="U17" i="5"/>
  <c r="V17" i="5"/>
  <c r="W17" i="5"/>
  <c r="F20" i="5"/>
  <c r="G20" i="5"/>
  <c r="H20" i="5"/>
  <c r="I20" i="5"/>
  <c r="J20" i="5"/>
  <c r="K20" i="5"/>
  <c r="L20" i="5"/>
  <c r="N20" i="5"/>
  <c r="O20" i="5"/>
  <c r="P20" i="5"/>
  <c r="Q20" i="5"/>
  <c r="R20" i="5"/>
  <c r="S20" i="5"/>
  <c r="T20" i="5"/>
  <c r="U20" i="5"/>
  <c r="V20" i="5"/>
  <c r="W20" i="5"/>
  <c r="D15" i="5"/>
  <c r="X63" i="13"/>
  <c r="R23" i="1" l="1"/>
  <c r="J23" i="1"/>
  <c r="O13" i="13"/>
  <c r="W13" i="13"/>
  <c r="V13" i="13"/>
  <c r="U13" i="13"/>
  <c r="T13" i="13"/>
  <c r="S13" i="13"/>
  <c r="R13" i="13"/>
  <c r="Q13" i="13"/>
  <c r="W21" i="13"/>
  <c r="W20" i="13" s="1"/>
  <c r="O20" i="13"/>
  <c r="N21" i="13"/>
  <c r="N20" i="13" s="1"/>
  <c r="P21" i="13"/>
  <c r="P20" i="13" s="1"/>
  <c r="Q21" i="13"/>
  <c r="R21" i="13"/>
  <c r="S21" i="13"/>
  <c r="S20" i="13" s="1"/>
  <c r="T21" i="13"/>
  <c r="U21" i="13"/>
  <c r="U20" i="13" s="1"/>
  <c r="V21" i="13"/>
  <c r="V20" i="13" s="1"/>
  <c r="M21" i="13"/>
  <c r="D21" i="13" s="1"/>
  <c r="U10" i="13"/>
  <c r="V10" i="13"/>
  <c r="W10" i="13"/>
  <c r="X56" i="13"/>
  <c r="X62" i="13"/>
  <c r="O56" i="13"/>
  <c r="D57" i="13"/>
  <c r="D61" i="13"/>
  <c r="Q56" i="13"/>
  <c r="R56" i="13"/>
  <c r="S56" i="13"/>
  <c r="T56" i="13"/>
  <c r="P56" i="13"/>
  <c r="D71" i="13"/>
  <c r="D69" i="13"/>
  <c r="D68" i="13" s="1"/>
  <c r="U68" i="13"/>
  <c r="U70" i="13"/>
  <c r="D63" i="13"/>
  <c r="P62" i="13"/>
  <c r="Q62" i="13"/>
  <c r="R62" i="13"/>
  <c r="S62" i="13"/>
  <c r="T62" i="13"/>
  <c r="O62" i="13"/>
  <c r="Q68" i="13"/>
  <c r="R68" i="13"/>
  <c r="S68" i="13"/>
  <c r="T68" i="13"/>
  <c r="P68" i="13"/>
  <c r="P67" i="13" s="1"/>
  <c r="D70" i="13"/>
  <c r="Q70" i="13"/>
  <c r="R70" i="13"/>
  <c r="S70" i="13"/>
  <c r="T70" i="13"/>
  <c r="S67" i="13" l="1"/>
  <c r="D56" i="13"/>
  <c r="D15" i="13"/>
  <c r="M20" i="13"/>
  <c r="R67" i="13"/>
  <c r="O55" i="13"/>
  <c r="T55" i="13"/>
  <c r="S55" i="13"/>
  <c r="R55" i="13"/>
  <c r="Q55" i="13"/>
  <c r="D62" i="13"/>
  <c r="D55" i="13" s="1"/>
  <c r="D18" i="13"/>
  <c r="P55" i="13"/>
  <c r="X14" i="13"/>
  <c r="X13" i="13" s="1"/>
  <c r="P13" i="13"/>
  <c r="V23" i="1"/>
  <c r="U23" i="1"/>
  <c r="D20" i="13"/>
  <c r="T20" i="13"/>
  <c r="R20" i="13"/>
  <c r="Q20" i="13"/>
  <c r="X55" i="13"/>
  <c r="Q67" i="13"/>
  <c r="T67" i="13"/>
  <c r="U67" i="13"/>
  <c r="D67" i="13"/>
  <c r="T10" i="13" l="1"/>
  <c r="S10" i="13"/>
  <c r="R10" i="13"/>
  <c r="Q10" i="13"/>
  <c r="P10" i="13"/>
  <c r="O99" i="4"/>
  <c r="O102" i="4"/>
  <c r="R152" i="6" l="1"/>
  <c r="Q152" i="6"/>
  <c r="P152" i="6"/>
  <c r="R156" i="6"/>
  <c r="Q156" i="6"/>
  <c r="P156" i="6"/>
  <c r="R162" i="6"/>
  <c r="Q162" i="6"/>
  <c r="P162" i="6"/>
  <c r="P176" i="6"/>
  <c r="T185" i="6"/>
  <c r="S185" i="6"/>
  <c r="R185" i="6"/>
  <c r="T189" i="6"/>
  <c r="S189" i="6"/>
  <c r="R189" i="6"/>
  <c r="R193" i="6"/>
  <c r="T197" i="6"/>
  <c r="S197" i="6"/>
  <c r="T204" i="6"/>
  <c r="S204" i="6"/>
  <c r="P146" i="6" l="1"/>
  <c r="P42" i="5"/>
  <c r="P37" i="5"/>
  <c r="D65" i="5"/>
  <c r="D66" i="5"/>
  <c r="D67" i="5"/>
  <c r="Q69" i="5"/>
  <c r="Q68" i="5" s="1"/>
  <c r="D70" i="5"/>
  <c r="D69" i="5" s="1"/>
  <c r="D68" i="5" s="1"/>
  <c r="X65" i="5"/>
  <c r="X66" i="5"/>
  <c r="X67" i="5"/>
  <c r="Q65" i="5"/>
  <c r="P65" i="5"/>
  <c r="Q66" i="5"/>
  <c r="P66" i="5"/>
  <c r="P68" i="5"/>
  <c r="P69" i="5"/>
  <c r="O503" i="2" l="1"/>
  <c r="N503" i="2"/>
  <c r="O106" i="4" l="1"/>
  <c r="P108" i="4"/>
  <c r="P110" i="4"/>
  <c r="O110" i="4"/>
  <c r="P113" i="4"/>
  <c r="P115" i="4"/>
  <c r="O115" i="4"/>
  <c r="M43" i="4"/>
  <c r="O45" i="4"/>
  <c r="O47" i="4"/>
  <c r="O50" i="4"/>
  <c r="O52" i="4"/>
  <c r="M52" i="4"/>
  <c r="M81" i="7" l="1"/>
  <c r="D469" i="2" l="1"/>
  <c r="D470" i="2"/>
  <c r="P467" i="2"/>
  <c r="P386" i="2" s="1"/>
  <c r="S467" i="2"/>
  <c r="S386" i="2" s="1"/>
  <c r="R467" i="2"/>
  <c r="R386" i="2" s="1"/>
  <c r="Q467" i="2"/>
  <c r="Q386" i="2" s="1"/>
  <c r="P383" i="2"/>
  <c r="S462" i="2"/>
  <c r="S383" i="2" s="1"/>
  <c r="R462" i="2"/>
  <c r="Q383" i="2"/>
  <c r="D465" i="2"/>
  <c r="D464" i="2"/>
  <c r="R383" i="2" l="1"/>
  <c r="D462" i="2"/>
  <c r="D461" i="2" s="1"/>
  <c r="X383" i="2"/>
  <c r="D467" i="2"/>
  <c r="P461" i="2"/>
  <c r="K187" i="8"/>
  <c r="L187" i="8"/>
  <c r="K188" i="8"/>
  <c r="L188" i="8"/>
  <c r="K193" i="8"/>
  <c r="L193" i="8"/>
  <c r="K194" i="8"/>
  <c r="L194" i="8"/>
  <c r="Z120" i="4" l="1"/>
  <c r="W86" i="1" s="1"/>
  <c r="O638" i="2"/>
  <c r="E208" i="6"/>
  <c r="F208" i="6"/>
  <c r="G208" i="6"/>
  <c r="H208" i="6"/>
  <c r="I208" i="6"/>
  <c r="J208" i="6"/>
  <c r="K208" i="6"/>
  <c r="L208" i="6"/>
  <c r="N208" i="6"/>
  <c r="O208" i="6"/>
  <c r="P208" i="6"/>
  <c r="Q208" i="6"/>
  <c r="R208" i="6"/>
  <c r="X373" i="2"/>
  <c r="X372" i="2" s="1"/>
  <c r="X369" i="2"/>
  <c r="X360" i="2"/>
  <c r="X359" i="2" s="1"/>
  <c r="X358" i="2"/>
  <c r="X356" i="2" s="1"/>
  <c r="X355" i="2" s="1"/>
  <c r="X368" i="2" l="1"/>
  <c r="X367" i="2" s="1"/>
  <c r="X209" i="6" l="1"/>
  <c r="D211" i="6"/>
  <c r="D209" i="6"/>
  <c r="E284" i="6"/>
  <c r="F284" i="6"/>
  <c r="G284" i="6"/>
  <c r="H284" i="6"/>
  <c r="I284" i="6"/>
  <c r="J284" i="6"/>
  <c r="K284" i="6"/>
  <c r="L284" i="6"/>
  <c r="M284" i="6"/>
  <c r="M287" i="6" s="1"/>
  <c r="N284" i="6"/>
  <c r="N287" i="6" s="1"/>
  <c r="O284" i="6"/>
  <c r="V283" i="6"/>
  <c r="V282" i="6"/>
  <c r="U283" i="6"/>
  <c r="U282" i="6"/>
  <c r="T283" i="6"/>
  <c r="T282" i="6"/>
  <c r="S283" i="6"/>
  <c r="S282" i="6"/>
  <c r="R283" i="6"/>
  <c r="R282" i="6"/>
  <c r="Q283" i="6"/>
  <c r="Q282" i="6"/>
  <c r="P283" i="6"/>
  <c r="P282" i="6"/>
  <c r="M218" i="6"/>
  <c r="D218" i="6" s="1"/>
  <c r="D217" i="6" s="1"/>
  <c r="R217" i="6"/>
  <c r="Q217" i="6"/>
  <c r="P217" i="6"/>
  <c r="O217" i="6"/>
  <c r="N217" i="6"/>
  <c r="L217" i="6"/>
  <c r="K217" i="6"/>
  <c r="J217" i="6"/>
  <c r="I217" i="6"/>
  <c r="H217" i="6"/>
  <c r="G217" i="6"/>
  <c r="F217" i="6"/>
  <c r="E217" i="6"/>
  <c r="M216" i="6"/>
  <c r="D216" i="6" s="1"/>
  <c r="D215" i="6" s="1"/>
  <c r="D214" i="6" s="1"/>
  <c r="R215" i="6"/>
  <c r="Q215" i="6"/>
  <c r="Q214" i="6" s="1"/>
  <c r="P215" i="6"/>
  <c r="P214" i="6" s="1"/>
  <c r="O215" i="6"/>
  <c r="O214" i="6" s="1"/>
  <c r="N215" i="6"/>
  <c r="M215" i="6"/>
  <c r="L215" i="6"/>
  <c r="L214" i="6" s="1"/>
  <c r="K215" i="6"/>
  <c r="J215" i="6"/>
  <c r="I215" i="6"/>
  <c r="H215" i="6"/>
  <c r="G215" i="6"/>
  <c r="F215" i="6"/>
  <c r="E215" i="6"/>
  <c r="R214" i="6"/>
  <c r="N214" i="6"/>
  <c r="X213" i="6"/>
  <c r="X212" i="6" s="1"/>
  <c r="M213" i="6"/>
  <c r="D213" i="6" s="1"/>
  <c r="R212" i="6"/>
  <c r="Q212" i="6"/>
  <c r="P212" i="6"/>
  <c r="O212" i="6"/>
  <c r="N212" i="6"/>
  <c r="L212" i="6"/>
  <c r="L207" i="6" s="1"/>
  <c r="K212" i="6"/>
  <c r="K207" i="6" s="1"/>
  <c r="J212" i="6"/>
  <c r="J207" i="6" s="1"/>
  <c r="I212" i="6"/>
  <c r="I207" i="6" s="1"/>
  <c r="H212" i="6"/>
  <c r="H207" i="6" s="1"/>
  <c r="G212" i="6"/>
  <c r="G207" i="6" s="1"/>
  <c r="F212" i="6"/>
  <c r="F207" i="6" s="1"/>
  <c r="E212" i="6"/>
  <c r="E207" i="6" s="1"/>
  <c r="X210" i="6"/>
  <c r="M210" i="6"/>
  <c r="P207" i="6" l="1"/>
  <c r="E214" i="6"/>
  <c r="G214" i="6"/>
  <c r="I214" i="6"/>
  <c r="K214" i="6"/>
  <c r="F214" i="6"/>
  <c r="H214" i="6"/>
  <c r="J214" i="6"/>
  <c r="M212" i="6"/>
  <c r="D210" i="6"/>
  <c r="O207" i="6"/>
  <c r="N207" i="6"/>
  <c r="R207" i="6"/>
  <c r="Q207" i="6"/>
  <c r="D212" i="6"/>
  <c r="X208" i="6"/>
  <c r="X207" i="6" s="1"/>
  <c r="M208" i="6"/>
  <c r="D208" i="6"/>
  <c r="Q284" i="6"/>
  <c r="R284" i="6"/>
  <c r="S284" i="6"/>
  <c r="T284" i="6"/>
  <c r="U284" i="6"/>
  <c r="P284" i="6"/>
  <c r="V284" i="6"/>
  <c r="M217" i="6"/>
  <c r="M207" i="6" l="1"/>
  <c r="Q206" i="6"/>
  <c r="D207" i="6"/>
  <c r="M214" i="6"/>
  <c r="E13" i="7"/>
  <c r="F13" i="7"/>
  <c r="G13" i="7"/>
  <c r="H13" i="7"/>
  <c r="I13" i="7"/>
  <c r="J13" i="7"/>
  <c r="K13" i="7"/>
  <c r="L13" i="7"/>
  <c r="N13" i="7"/>
  <c r="O13" i="7"/>
  <c r="J81" i="7"/>
  <c r="D82" i="7"/>
  <c r="F13" i="3"/>
  <c r="G13" i="3"/>
  <c r="H13" i="3"/>
  <c r="I13" i="3"/>
  <c r="J13" i="3"/>
  <c r="K13" i="3"/>
  <c r="L13" i="3"/>
  <c r="N13" i="3"/>
  <c r="X178" i="3"/>
  <c r="X467" i="2" l="1"/>
  <c r="X466" i="2" s="1"/>
  <c r="X462" i="2"/>
  <c r="D466" i="2"/>
  <c r="D473" i="2"/>
  <c r="Q461" i="2"/>
  <c r="R461" i="2"/>
  <c r="S461" i="2"/>
  <c r="Q466" i="2"/>
  <c r="R466" i="2"/>
  <c r="S466" i="2"/>
  <c r="P466" i="2"/>
  <c r="R472" i="2"/>
  <c r="S472" i="2"/>
  <c r="Q472" i="2"/>
  <c r="Q471" i="2" l="1"/>
  <c r="R471" i="2"/>
  <c r="S471" i="2"/>
  <c r="P460" i="2"/>
  <c r="Q460" i="2"/>
  <c r="R460" i="2"/>
  <c r="Z473" i="2"/>
  <c r="S460" i="2"/>
  <c r="X461" i="2"/>
  <c r="X460" i="2" s="1"/>
  <c r="D460" i="2"/>
  <c r="D471" i="2"/>
  <c r="D472" i="2"/>
  <c r="O217" i="3"/>
  <c r="O214" i="3"/>
  <c r="O162" i="3"/>
  <c r="O157" i="3"/>
  <c r="O154" i="3"/>
  <c r="O87" i="8" l="1"/>
  <c r="O84" i="8"/>
  <c r="O82" i="8"/>
  <c r="P76" i="8"/>
  <c r="O76" i="8"/>
  <c r="P73" i="8"/>
  <c r="O73" i="8"/>
  <c r="P72" i="8"/>
  <c r="P71" i="8"/>
  <c r="O71" i="8"/>
  <c r="E49" i="2"/>
  <c r="F49" i="2"/>
  <c r="G49" i="2"/>
  <c r="H49" i="2"/>
  <c r="I49" i="2"/>
  <c r="J49" i="2"/>
  <c r="K49" i="2"/>
  <c r="L49" i="2"/>
  <c r="N49" i="2"/>
  <c r="O49" i="2"/>
  <c r="P49" i="2"/>
  <c r="Q49" i="2"/>
  <c r="R49" i="2"/>
  <c r="S49" i="2"/>
  <c r="T49" i="2"/>
  <c r="U49" i="2"/>
  <c r="V49" i="2"/>
  <c r="W49" i="2"/>
  <c r="E41" i="2"/>
  <c r="F41" i="2"/>
  <c r="G41" i="2"/>
  <c r="H41" i="2"/>
  <c r="I41" i="2"/>
  <c r="J41" i="2"/>
  <c r="K41" i="2"/>
  <c r="L41" i="2"/>
  <c r="N41" i="2"/>
  <c r="O41" i="2"/>
  <c r="P41" i="2"/>
  <c r="Q41" i="2"/>
  <c r="R41" i="2"/>
  <c r="S41" i="2"/>
  <c r="T41" i="2"/>
  <c r="U41" i="2"/>
  <c r="V41" i="2"/>
  <c r="W41" i="2"/>
  <c r="Q378" i="2"/>
  <c r="R378" i="2"/>
  <c r="M376" i="2"/>
  <c r="D376" i="2" s="1"/>
  <c r="D370" i="2"/>
  <c r="Q372" i="2"/>
  <c r="R372" i="2"/>
  <c r="F375" i="2"/>
  <c r="G375" i="2"/>
  <c r="H375" i="2"/>
  <c r="I375" i="2"/>
  <c r="J375" i="2"/>
  <c r="K375" i="2"/>
  <c r="L375" i="2"/>
  <c r="N375" i="2"/>
  <c r="O375" i="2"/>
  <c r="P375" i="2"/>
  <c r="Q375" i="2"/>
  <c r="Q374" i="2" s="1"/>
  <c r="R375" i="2"/>
  <c r="F368" i="2"/>
  <c r="G368" i="2"/>
  <c r="H368" i="2"/>
  <c r="I368" i="2"/>
  <c r="J368" i="2"/>
  <c r="K368" i="2"/>
  <c r="L368" i="2"/>
  <c r="N368" i="2"/>
  <c r="O368" i="2"/>
  <c r="P368" i="2"/>
  <c r="Q368" i="2"/>
  <c r="R368" i="2"/>
  <c r="Q364" i="2"/>
  <c r="E362" i="2"/>
  <c r="F362" i="2"/>
  <c r="G362" i="2"/>
  <c r="H362" i="2"/>
  <c r="I362" i="2"/>
  <c r="J362" i="2"/>
  <c r="K362" i="2"/>
  <c r="L362" i="2"/>
  <c r="M362" i="2"/>
  <c r="N362" i="2"/>
  <c r="O362" i="2"/>
  <c r="P362" i="2"/>
  <c r="Q362" i="2"/>
  <c r="P356" i="2"/>
  <c r="O356" i="2"/>
  <c r="N356" i="2"/>
  <c r="M356" i="2"/>
  <c r="K356" i="2"/>
  <c r="J356" i="2"/>
  <c r="I356" i="2"/>
  <c r="H356" i="2"/>
  <c r="G356" i="2"/>
  <c r="F356" i="2"/>
  <c r="Q356" i="2"/>
  <c r="Q359" i="2"/>
  <c r="D363" i="2"/>
  <c r="D362" i="2" s="1"/>
  <c r="D358" i="2"/>
  <c r="D357" i="2"/>
  <c r="Q361" i="2"/>
  <c r="O114" i="2"/>
  <c r="K52" i="2"/>
  <c r="K92" i="2"/>
  <c r="O84" i="2"/>
  <c r="P196" i="2"/>
  <c r="O196" i="2"/>
  <c r="O193" i="2"/>
  <c r="O191" i="2"/>
  <c r="N193" i="2"/>
  <c r="N191" i="2"/>
  <c r="O272" i="2"/>
  <c r="O269" i="2"/>
  <c r="O100" i="2"/>
  <c r="O159" i="2"/>
  <c r="Q367" i="2" l="1"/>
  <c r="Q355" i="2"/>
  <c r="X41" i="2"/>
  <c r="R374" i="2"/>
  <c r="R367" i="2"/>
  <c r="D356" i="2"/>
  <c r="O635" i="2"/>
  <c r="O542" i="2" s="1"/>
  <c r="O634" i="2"/>
  <c r="O650" i="2"/>
  <c r="R335" i="2"/>
  <c r="R332" i="2"/>
  <c r="O570" i="2"/>
  <c r="Q38" i="2" l="1"/>
  <c r="R331" i="2"/>
  <c r="O222" i="3"/>
  <c r="R130" i="6"/>
  <c r="O130" i="6"/>
  <c r="R127" i="6"/>
  <c r="O127" i="6"/>
  <c r="O126" i="6"/>
  <c r="R118" i="6"/>
  <c r="O118" i="6"/>
  <c r="O117" i="6"/>
  <c r="O112" i="6"/>
  <c r="O109" i="6"/>
  <c r="O108" i="6"/>
  <c r="Q106" i="6"/>
  <c r="O106" i="6"/>
  <c r="Q105" i="6"/>
  <c r="O105" i="6"/>
  <c r="Q104" i="6"/>
  <c r="O104" i="6"/>
  <c r="O100" i="6"/>
  <c r="O99" i="6"/>
  <c r="Q96" i="6"/>
  <c r="O96" i="6"/>
  <c r="O60" i="5" l="1"/>
  <c r="P60" i="5"/>
  <c r="O149" i="8" l="1"/>
  <c r="O146" i="8"/>
  <c r="O143" i="8"/>
  <c r="O141" i="8"/>
  <c r="D185" i="6" l="1"/>
  <c r="D174" i="6" l="1"/>
  <c r="X185" i="6"/>
  <c r="R192" i="6"/>
  <c r="S192" i="6"/>
  <c r="Q192" i="6"/>
  <c r="X574" i="2" l="1"/>
  <c r="O574" i="2"/>
  <c r="N192" i="6" l="1"/>
  <c r="O192" i="6"/>
  <c r="P192" i="6"/>
  <c r="T192" i="6"/>
  <c r="U192" i="6"/>
  <c r="V192" i="6"/>
  <c r="W192" i="6"/>
  <c r="M192" i="6"/>
  <c r="D194" i="6"/>
  <c r="N200" i="6"/>
  <c r="O200" i="6"/>
  <c r="P200" i="6"/>
  <c r="Q200" i="6"/>
  <c r="R200" i="6"/>
  <c r="S200" i="6"/>
  <c r="T200" i="6"/>
  <c r="U200" i="6"/>
  <c r="V200" i="6"/>
  <c r="W200" i="6"/>
  <c r="M200" i="6"/>
  <c r="X192" i="6" l="1"/>
  <c r="E180" i="6" l="1"/>
  <c r="F180" i="6"/>
  <c r="G180" i="6"/>
  <c r="H180" i="6"/>
  <c r="I180" i="6"/>
  <c r="J180" i="6"/>
  <c r="K180" i="6"/>
  <c r="L180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T134" i="6"/>
  <c r="U134" i="6"/>
  <c r="V134" i="6"/>
  <c r="W134" i="6"/>
  <c r="E135" i="6"/>
  <c r="F135" i="6"/>
  <c r="G135" i="6"/>
  <c r="H135" i="6"/>
  <c r="I135" i="6"/>
  <c r="J135" i="6"/>
  <c r="K135" i="6"/>
  <c r="L135" i="6"/>
  <c r="M135" i="6"/>
  <c r="M17" i="6" s="1"/>
  <c r="N135" i="6"/>
  <c r="N17" i="6" s="1"/>
  <c r="O135" i="6"/>
  <c r="O17" i="6" s="1"/>
  <c r="P135" i="6"/>
  <c r="P17" i="6" s="1"/>
  <c r="Q135" i="6"/>
  <c r="R135" i="6"/>
  <c r="S135" i="6"/>
  <c r="T135" i="6"/>
  <c r="T17" i="6" s="1"/>
  <c r="U135" i="6"/>
  <c r="U17" i="6" s="1"/>
  <c r="V135" i="6"/>
  <c r="V17" i="6" s="1"/>
  <c r="W135" i="6"/>
  <c r="W17" i="6" s="1"/>
  <c r="E138" i="6"/>
  <c r="F138" i="6"/>
  <c r="G138" i="6"/>
  <c r="H138" i="6"/>
  <c r="I138" i="6"/>
  <c r="J138" i="6"/>
  <c r="K138" i="6"/>
  <c r="L138" i="6"/>
  <c r="M138" i="6"/>
  <c r="M285" i="6" s="1"/>
  <c r="M288" i="6" s="1"/>
  <c r="N138" i="6"/>
  <c r="N285" i="6" s="1"/>
  <c r="N288" i="6" s="1"/>
  <c r="O138" i="6"/>
  <c r="O285" i="6" s="1"/>
  <c r="P138" i="6"/>
  <c r="P285" i="6" s="1"/>
  <c r="Q138" i="6"/>
  <c r="Q285" i="6" s="1"/>
  <c r="R138" i="6"/>
  <c r="R285" i="6" s="1"/>
  <c r="S138" i="6"/>
  <c r="S285" i="6" s="1"/>
  <c r="T138" i="6"/>
  <c r="T285" i="6" s="1"/>
  <c r="U138" i="6"/>
  <c r="U285" i="6" s="1"/>
  <c r="V138" i="6"/>
  <c r="V285" i="6" s="1"/>
  <c r="W138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E143" i="6"/>
  <c r="F143" i="6"/>
  <c r="G143" i="6"/>
  <c r="H143" i="6"/>
  <c r="I143" i="6"/>
  <c r="J143" i="6"/>
  <c r="K143" i="6"/>
  <c r="L143" i="6"/>
  <c r="M143" i="6"/>
  <c r="N143" i="6"/>
  <c r="N142" i="6" s="1"/>
  <c r="O143" i="6"/>
  <c r="P143" i="6"/>
  <c r="Q143" i="6"/>
  <c r="Q142" i="6" s="1"/>
  <c r="R143" i="6"/>
  <c r="S143" i="6"/>
  <c r="T143" i="6"/>
  <c r="U143" i="6"/>
  <c r="U142" i="6" s="1"/>
  <c r="V143" i="6"/>
  <c r="W143" i="6"/>
  <c r="E146" i="6"/>
  <c r="F146" i="6"/>
  <c r="G146" i="6"/>
  <c r="H146" i="6"/>
  <c r="I146" i="6"/>
  <c r="J146" i="6"/>
  <c r="K146" i="6"/>
  <c r="L146" i="6"/>
  <c r="M146" i="6"/>
  <c r="N146" i="6"/>
  <c r="O146" i="6"/>
  <c r="Q146" i="6"/>
  <c r="R146" i="6"/>
  <c r="S146" i="6"/>
  <c r="T146" i="6"/>
  <c r="U146" i="6"/>
  <c r="V146" i="6"/>
  <c r="W146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N151" i="6"/>
  <c r="O151" i="6"/>
  <c r="P151" i="6"/>
  <c r="Q151" i="6"/>
  <c r="R151" i="6"/>
  <c r="S151" i="6"/>
  <c r="T151" i="6"/>
  <c r="U151" i="6"/>
  <c r="V151" i="6"/>
  <c r="W151" i="6"/>
  <c r="M151" i="6"/>
  <c r="X152" i="6"/>
  <c r="X153" i="6"/>
  <c r="X156" i="6"/>
  <c r="N155" i="6"/>
  <c r="N154" i="6" s="1"/>
  <c r="O155" i="6"/>
  <c r="P155" i="6"/>
  <c r="P154" i="6" s="1"/>
  <c r="Q155" i="6"/>
  <c r="Q154" i="6" s="1"/>
  <c r="Q150" i="6" s="1"/>
  <c r="R155" i="6"/>
  <c r="R154" i="6" s="1"/>
  <c r="S155" i="6"/>
  <c r="S154" i="6" s="1"/>
  <c r="S150" i="6" s="1"/>
  <c r="T155" i="6"/>
  <c r="T154" i="6" s="1"/>
  <c r="U155" i="6"/>
  <c r="U154" i="6" s="1"/>
  <c r="U150" i="6" s="1"/>
  <c r="V155" i="6"/>
  <c r="V154" i="6" s="1"/>
  <c r="W155" i="6"/>
  <c r="W154" i="6" s="1"/>
  <c r="W150" i="6" s="1"/>
  <c r="M155" i="6"/>
  <c r="M154" i="6" s="1"/>
  <c r="D152" i="6"/>
  <c r="D153" i="6"/>
  <c r="D156" i="6"/>
  <c r="N158" i="6"/>
  <c r="O158" i="6"/>
  <c r="P158" i="6"/>
  <c r="Q158" i="6"/>
  <c r="R158" i="6"/>
  <c r="S158" i="6"/>
  <c r="T158" i="6"/>
  <c r="U158" i="6"/>
  <c r="V158" i="6"/>
  <c r="W158" i="6"/>
  <c r="M158" i="6"/>
  <c r="D159" i="6"/>
  <c r="N161" i="6"/>
  <c r="O161" i="6"/>
  <c r="P161" i="6"/>
  <c r="Q161" i="6"/>
  <c r="R161" i="6"/>
  <c r="S161" i="6"/>
  <c r="T161" i="6"/>
  <c r="U161" i="6"/>
  <c r="V161" i="6"/>
  <c r="W161" i="6"/>
  <c r="M161" i="6"/>
  <c r="D162" i="6"/>
  <c r="N165" i="6"/>
  <c r="O165" i="6"/>
  <c r="P165" i="6"/>
  <c r="Q165" i="6"/>
  <c r="R165" i="6"/>
  <c r="S165" i="6"/>
  <c r="T165" i="6"/>
  <c r="U165" i="6"/>
  <c r="V165" i="6"/>
  <c r="W165" i="6"/>
  <c r="M165" i="6"/>
  <c r="X166" i="6"/>
  <c r="X167" i="6"/>
  <c r="X170" i="6"/>
  <c r="X171" i="6"/>
  <c r="N169" i="6"/>
  <c r="N168" i="6" s="1"/>
  <c r="O169" i="6"/>
  <c r="O168" i="6" s="1"/>
  <c r="P169" i="6"/>
  <c r="P168" i="6" s="1"/>
  <c r="Q169" i="6"/>
  <c r="Q168" i="6" s="1"/>
  <c r="R169" i="6"/>
  <c r="R168" i="6" s="1"/>
  <c r="S169" i="6"/>
  <c r="S168" i="6" s="1"/>
  <c r="T169" i="6"/>
  <c r="T168" i="6" s="1"/>
  <c r="U169" i="6"/>
  <c r="U168" i="6" s="1"/>
  <c r="V169" i="6"/>
  <c r="V168" i="6" s="1"/>
  <c r="W169" i="6"/>
  <c r="W168" i="6" s="1"/>
  <c r="M169" i="6"/>
  <c r="M168" i="6" s="1"/>
  <c r="D171" i="6"/>
  <c r="D139" i="6" s="1"/>
  <c r="D170" i="6"/>
  <c r="D167" i="6"/>
  <c r="D166" i="6"/>
  <c r="E172" i="6"/>
  <c r="F172" i="6"/>
  <c r="G172" i="6"/>
  <c r="H172" i="6"/>
  <c r="I172" i="6"/>
  <c r="J172" i="6"/>
  <c r="K172" i="6"/>
  <c r="L172" i="6"/>
  <c r="N173" i="6"/>
  <c r="O173" i="6"/>
  <c r="P173" i="6"/>
  <c r="Q173" i="6"/>
  <c r="R173" i="6"/>
  <c r="S173" i="6"/>
  <c r="T173" i="6"/>
  <c r="U173" i="6"/>
  <c r="V173" i="6"/>
  <c r="W173" i="6"/>
  <c r="M173" i="6"/>
  <c r="N176" i="6"/>
  <c r="N175" i="6" s="1"/>
  <c r="O176" i="6"/>
  <c r="O175" i="6" s="1"/>
  <c r="P175" i="6"/>
  <c r="Q176" i="6"/>
  <c r="Q175" i="6" s="1"/>
  <c r="R176" i="6"/>
  <c r="R175" i="6" s="1"/>
  <c r="S176" i="6"/>
  <c r="S175" i="6" s="1"/>
  <c r="T176" i="6"/>
  <c r="T175" i="6" s="1"/>
  <c r="U176" i="6"/>
  <c r="U175" i="6" s="1"/>
  <c r="V176" i="6"/>
  <c r="V175" i="6" s="1"/>
  <c r="W176" i="6"/>
  <c r="W175" i="6" s="1"/>
  <c r="M176" i="6"/>
  <c r="D177" i="6"/>
  <c r="D178" i="6"/>
  <c r="D147" i="6" s="1"/>
  <c r="N181" i="6"/>
  <c r="O181" i="6"/>
  <c r="P181" i="6"/>
  <c r="Q181" i="6"/>
  <c r="R181" i="6"/>
  <c r="S181" i="6"/>
  <c r="T181" i="6"/>
  <c r="U181" i="6"/>
  <c r="V181" i="6"/>
  <c r="W181" i="6"/>
  <c r="M181" i="6"/>
  <c r="D182" i="6"/>
  <c r="X182" i="6"/>
  <c r="N184" i="6"/>
  <c r="N183" i="6" s="1"/>
  <c r="O184" i="6"/>
  <c r="O183" i="6" s="1"/>
  <c r="P184" i="6"/>
  <c r="P183" i="6" s="1"/>
  <c r="Q184" i="6"/>
  <c r="R184" i="6"/>
  <c r="R183" i="6" s="1"/>
  <c r="S184" i="6"/>
  <c r="S183" i="6" s="1"/>
  <c r="T184" i="6"/>
  <c r="T183" i="6" s="1"/>
  <c r="U184" i="6"/>
  <c r="U183" i="6" s="1"/>
  <c r="V184" i="6"/>
  <c r="V183" i="6" s="1"/>
  <c r="W184" i="6"/>
  <c r="W183" i="6" s="1"/>
  <c r="M184" i="6"/>
  <c r="M183" i="6" s="1"/>
  <c r="E186" i="6"/>
  <c r="F186" i="6"/>
  <c r="G186" i="6"/>
  <c r="H186" i="6"/>
  <c r="I186" i="6"/>
  <c r="J186" i="6"/>
  <c r="K186" i="6"/>
  <c r="L186" i="6"/>
  <c r="N188" i="6"/>
  <c r="N187" i="6" s="1"/>
  <c r="O188" i="6"/>
  <c r="O187" i="6" s="1"/>
  <c r="O186" i="6" s="1"/>
  <c r="P188" i="6"/>
  <c r="P187" i="6" s="1"/>
  <c r="P186" i="6" s="1"/>
  <c r="Q188" i="6"/>
  <c r="R188" i="6"/>
  <c r="R187" i="6" s="1"/>
  <c r="R186" i="6" s="1"/>
  <c r="S188" i="6"/>
  <c r="S187" i="6" s="1"/>
  <c r="S186" i="6" s="1"/>
  <c r="T188" i="6"/>
  <c r="T187" i="6" s="1"/>
  <c r="T186" i="6" s="1"/>
  <c r="U188" i="6"/>
  <c r="U187" i="6" s="1"/>
  <c r="U186" i="6" s="1"/>
  <c r="V188" i="6"/>
  <c r="V187" i="6" s="1"/>
  <c r="V186" i="6" s="1"/>
  <c r="W188" i="6"/>
  <c r="W187" i="6" s="1"/>
  <c r="W186" i="6" s="1"/>
  <c r="M188" i="6"/>
  <c r="Q187" i="6"/>
  <c r="Q186" i="6" s="1"/>
  <c r="D189" i="6"/>
  <c r="X193" i="6"/>
  <c r="X194" i="6"/>
  <c r="D193" i="6"/>
  <c r="D204" i="6"/>
  <c r="D205" i="6"/>
  <c r="D148" i="6" s="1"/>
  <c r="X197" i="6"/>
  <c r="X198" i="6"/>
  <c r="D197" i="6"/>
  <c r="D198" i="6"/>
  <c r="D140" i="6" s="1"/>
  <c r="E196" i="6"/>
  <c r="E195" i="6" s="1"/>
  <c r="E191" i="6" s="1"/>
  <c r="F196" i="6"/>
  <c r="F195" i="6" s="1"/>
  <c r="F191" i="6" s="1"/>
  <c r="G196" i="6"/>
  <c r="G195" i="6" s="1"/>
  <c r="G191" i="6" s="1"/>
  <c r="H196" i="6"/>
  <c r="H195" i="6" s="1"/>
  <c r="H191" i="6" s="1"/>
  <c r="I196" i="6"/>
  <c r="I195" i="6" s="1"/>
  <c r="I191" i="6" s="1"/>
  <c r="J196" i="6"/>
  <c r="J195" i="6" s="1"/>
  <c r="J191" i="6" s="1"/>
  <c r="K196" i="6"/>
  <c r="K195" i="6" s="1"/>
  <c r="K191" i="6" s="1"/>
  <c r="L196" i="6"/>
  <c r="L195" i="6" s="1"/>
  <c r="L191" i="6" s="1"/>
  <c r="M196" i="6"/>
  <c r="M195" i="6" s="1"/>
  <c r="N196" i="6"/>
  <c r="N195" i="6" s="1"/>
  <c r="O196" i="6"/>
  <c r="O195" i="6" s="1"/>
  <c r="P196" i="6"/>
  <c r="P195" i="6" s="1"/>
  <c r="P191" i="6" s="1"/>
  <c r="Q196" i="6"/>
  <c r="Q195" i="6" s="1"/>
  <c r="R196" i="6"/>
  <c r="R195" i="6" s="1"/>
  <c r="S196" i="6"/>
  <c r="S195" i="6" s="1"/>
  <c r="T196" i="6"/>
  <c r="T195" i="6" s="1"/>
  <c r="T191" i="6" s="1"/>
  <c r="U196" i="6"/>
  <c r="U195" i="6" s="1"/>
  <c r="V196" i="6"/>
  <c r="V195" i="6" s="1"/>
  <c r="W196" i="6"/>
  <c r="W195" i="6" s="1"/>
  <c r="E200" i="6"/>
  <c r="F200" i="6"/>
  <c r="G200" i="6"/>
  <c r="H200" i="6"/>
  <c r="I200" i="6"/>
  <c r="J200" i="6"/>
  <c r="K200" i="6"/>
  <c r="L200" i="6"/>
  <c r="E203" i="6"/>
  <c r="E145" i="6" s="1"/>
  <c r="E26" i="6" s="1"/>
  <c r="F203" i="6"/>
  <c r="F145" i="6" s="1"/>
  <c r="F26" i="6" s="1"/>
  <c r="G203" i="6"/>
  <c r="G145" i="6" s="1"/>
  <c r="G26" i="6" s="1"/>
  <c r="H203" i="6"/>
  <c r="H145" i="6" s="1"/>
  <c r="I203" i="6"/>
  <c r="I145" i="6" s="1"/>
  <c r="I26" i="6" s="1"/>
  <c r="J203" i="6"/>
  <c r="J145" i="6" s="1"/>
  <c r="J26" i="6" s="1"/>
  <c r="K203" i="6"/>
  <c r="K145" i="6" s="1"/>
  <c r="L203" i="6"/>
  <c r="L145" i="6" s="1"/>
  <c r="M203" i="6"/>
  <c r="N203" i="6"/>
  <c r="O203" i="6"/>
  <c r="P203" i="6"/>
  <c r="Q203" i="6"/>
  <c r="S203" i="6"/>
  <c r="T203" i="6"/>
  <c r="U203" i="6"/>
  <c r="V203" i="6"/>
  <c r="V202" i="6" s="1"/>
  <c r="W203" i="6"/>
  <c r="W202" i="6" s="1"/>
  <c r="W199" i="6" s="1"/>
  <c r="D282" i="6" l="1"/>
  <c r="X282" i="6" s="1"/>
  <c r="P145" i="6"/>
  <c r="M202" i="6"/>
  <c r="D203" i="6"/>
  <c r="X139" i="6"/>
  <c r="D283" i="6"/>
  <c r="X283" i="6" s="1"/>
  <c r="D135" i="6"/>
  <c r="D17" i="6" s="1"/>
  <c r="X151" i="6"/>
  <c r="N137" i="6"/>
  <c r="N136" i="6" s="1"/>
  <c r="L137" i="6"/>
  <c r="L136" i="6" s="1"/>
  <c r="J137" i="6"/>
  <c r="J136" i="6" s="1"/>
  <c r="H137" i="6"/>
  <c r="H136" i="6" s="1"/>
  <c r="F137" i="6"/>
  <c r="F136" i="6" s="1"/>
  <c r="M187" i="6"/>
  <c r="M186" i="6" s="1"/>
  <c r="D188" i="6"/>
  <c r="D146" i="6"/>
  <c r="W145" i="6"/>
  <c r="U145" i="6"/>
  <c r="S145" i="6"/>
  <c r="S26" i="6" s="1"/>
  <c r="Q145" i="6"/>
  <c r="Q26" i="6" s="1"/>
  <c r="O145" i="6"/>
  <c r="T145" i="6"/>
  <c r="T26" i="6" s="1"/>
  <c r="R145" i="6"/>
  <c r="R26" i="6" s="1"/>
  <c r="N145" i="6"/>
  <c r="M145" i="6"/>
  <c r="D161" i="6"/>
  <c r="V160" i="6"/>
  <c r="V157" i="6" s="1"/>
  <c r="V145" i="6"/>
  <c r="L202" i="6"/>
  <c r="L144" i="6"/>
  <c r="J202" i="6"/>
  <c r="J199" i="6" s="1"/>
  <c r="H202" i="6"/>
  <c r="H144" i="6"/>
  <c r="F202" i="6"/>
  <c r="J144" i="6"/>
  <c r="F144" i="6"/>
  <c r="K202" i="6"/>
  <c r="K199" i="6" s="1"/>
  <c r="K144" i="6"/>
  <c r="I202" i="6"/>
  <c r="I199" i="6" s="1"/>
  <c r="I144" i="6"/>
  <c r="G202" i="6"/>
  <c r="G199" i="6" s="1"/>
  <c r="G144" i="6"/>
  <c r="E202" i="6"/>
  <c r="E199" i="6" s="1"/>
  <c r="E144" i="6"/>
  <c r="T160" i="6"/>
  <c r="T157" i="6" s="1"/>
  <c r="R160" i="6"/>
  <c r="R157" i="6" s="1"/>
  <c r="P160" i="6"/>
  <c r="P157" i="6" s="1"/>
  <c r="N160" i="6"/>
  <c r="N157" i="6" s="1"/>
  <c r="D284" i="6"/>
  <c r="D158" i="6"/>
  <c r="V164" i="6"/>
  <c r="T164" i="6"/>
  <c r="R164" i="6"/>
  <c r="P164" i="6"/>
  <c r="W133" i="6"/>
  <c r="U133" i="6"/>
  <c r="O133" i="6"/>
  <c r="M133" i="6"/>
  <c r="W180" i="6"/>
  <c r="S180" i="6"/>
  <c r="O180" i="6"/>
  <c r="W172" i="6"/>
  <c r="U172" i="6"/>
  <c r="S172" i="6"/>
  <c r="Q172" i="6"/>
  <c r="O172" i="6"/>
  <c r="K137" i="6"/>
  <c r="K136" i="6" s="1"/>
  <c r="I137" i="6"/>
  <c r="I136" i="6" s="1"/>
  <c r="G137" i="6"/>
  <c r="G136" i="6" s="1"/>
  <c r="E137" i="6"/>
  <c r="E136" i="6" s="1"/>
  <c r="V133" i="6"/>
  <c r="T133" i="6"/>
  <c r="P133" i="6"/>
  <c r="T137" i="6"/>
  <c r="W137" i="6"/>
  <c r="V137" i="6"/>
  <c r="U137" i="6"/>
  <c r="P137" i="6"/>
  <c r="O137" i="6"/>
  <c r="Q183" i="6"/>
  <c r="X183" i="6" s="1"/>
  <c r="D184" i="6"/>
  <c r="Q137" i="6"/>
  <c r="S17" i="6"/>
  <c r="S133" i="6"/>
  <c r="R17" i="6"/>
  <c r="R133" i="6"/>
  <c r="Q17" i="6"/>
  <c r="Q133" i="6"/>
  <c r="S137" i="6"/>
  <c r="R137" i="6"/>
  <c r="W24" i="6"/>
  <c r="W142" i="6"/>
  <c r="S24" i="6"/>
  <c r="S142" i="6"/>
  <c r="O24" i="6"/>
  <c r="O142" i="6"/>
  <c r="M24" i="6"/>
  <c r="M142" i="6"/>
  <c r="V24" i="6"/>
  <c r="V142" i="6"/>
  <c r="T24" i="6"/>
  <c r="T142" i="6"/>
  <c r="R24" i="6"/>
  <c r="R142" i="6"/>
  <c r="P24" i="6"/>
  <c r="P142" i="6"/>
  <c r="X168" i="6"/>
  <c r="N164" i="6"/>
  <c r="D143" i="6"/>
  <c r="D142" i="6" s="1"/>
  <c r="D200" i="6"/>
  <c r="X181" i="6"/>
  <c r="D195" i="6"/>
  <c r="U202" i="6"/>
  <c r="U199" i="6" s="1"/>
  <c r="Q202" i="6"/>
  <c r="Q199" i="6" s="1"/>
  <c r="V199" i="6"/>
  <c r="L199" i="6"/>
  <c r="H199" i="6"/>
  <c r="F199" i="6"/>
  <c r="D187" i="6"/>
  <c r="D186" i="6" s="1"/>
  <c r="N186" i="6"/>
  <c r="W164" i="6"/>
  <c r="U164" i="6"/>
  <c r="S164" i="6"/>
  <c r="Q164" i="6"/>
  <c r="U144" i="6"/>
  <c r="S144" i="6"/>
  <c r="W160" i="6"/>
  <c r="W157" i="6" s="1"/>
  <c r="S160" i="6"/>
  <c r="S157" i="6" s="1"/>
  <c r="O160" i="6"/>
  <c r="K142" i="6"/>
  <c r="I142" i="6"/>
  <c r="G142" i="6"/>
  <c r="E142" i="6"/>
  <c r="Q24" i="6"/>
  <c r="S202" i="6"/>
  <c r="S199" i="6" s="1"/>
  <c r="O202" i="6"/>
  <c r="O199" i="6" s="1"/>
  <c r="D196" i="6"/>
  <c r="D173" i="6"/>
  <c r="U160" i="6"/>
  <c r="Q160" i="6"/>
  <c r="L142" i="6"/>
  <c r="J142" i="6"/>
  <c r="H142" i="6"/>
  <c r="F142" i="6"/>
  <c r="F141" i="6" s="1"/>
  <c r="U24" i="6"/>
  <c r="V191" i="6"/>
  <c r="R191" i="6"/>
  <c r="N191" i="6"/>
  <c r="M199" i="6"/>
  <c r="W191" i="6"/>
  <c r="U191" i="6"/>
  <c r="S191" i="6"/>
  <c r="Q191" i="6"/>
  <c r="O191" i="6"/>
  <c r="D183" i="6"/>
  <c r="M180" i="6"/>
  <c r="D181" i="6"/>
  <c r="V180" i="6"/>
  <c r="T180" i="6"/>
  <c r="R180" i="6"/>
  <c r="P180" i="6"/>
  <c r="N180" i="6"/>
  <c r="D176" i="6"/>
  <c r="M175" i="6"/>
  <c r="D175" i="6" s="1"/>
  <c r="D172" i="6" s="1"/>
  <c r="V172" i="6"/>
  <c r="T172" i="6"/>
  <c r="R172" i="6"/>
  <c r="P172" i="6"/>
  <c r="N172" i="6"/>
  <c r="M172" i="6"/>
  <c r="O164" i="6"/>
  <c r="X165" i="6"/>
  <c r="D165" i="6"/>
  <c r="M164" i="6"/>
  <c r="M150" i="6"/>
  <c r="D151" i="6"/>
  <c r="V150" i="6"/>
  <c r="T150" i="6"/>
  <c r="R150" i="6"/>
  <c r="P150" i="6"/>
  <c r="N150" i="6"/>
  <c r="T202" i="6"/>
  <c r="T199" i="6" s="1"/>
  <c r="R202" i="6"/>
  <c r="R199" i="6" s="1"/>
  <c r="P202" i="6"/>
  <c r="P199" i="6" s="1"/>
  <c r="N202" i="6"/>
  <c r="X195" i="6"/>
  <c r="X191" i="6" s="1"/>
  <c r="M191" i="6"/>
  <c r="D192" i="6"/>
  <c r="U180" i="6"/>
  <c r="Q180" i="6"/>
  <c r="D168" i="6"/>
  <c r="X169" i="6"/>
  <c r="M160" i="6"/>
  <c r="U157" i="6"/>
  <c r="Q157" i="6"/>
  <c r="O157" i="6"/>
  <c r="D134" i="6"/>
  <c r="D155" i="6"/>
  <c r="X155" i="6"/>
  <c r="O154" i="6"/>
  <c r="O150" i="6" s="1"/>
  <c r="N144" i="6"/>
  <c r="X134" i="6"/>
  <c r="X196" i="6"/>
  <c r="X184" i="6"/>
  <c r="D169" i="6"/>
  <c r="M137" i="6"/>
  <c r="X140" i="6"/>
  <c r="X138" i="6"/>
  <c r="X135" i="6"/>
  <c r="N132" i="6"/>
  <c r="O554" i="2"/>
  <c r="O609" i="2"/>
  <c r="O617" i="2"/>
  <c r="O618" i="2"/>
  <c r="O613" i="2"/>
  <c r="O614" i="2"/>
  <c r="X346" i="2"/>
  <c r="X345" i="2"/>
  <c r="M351" i="2"/>
  <c r="M346" i="2"/>
  <c r="M41" i="2" s="1"/>
  <c r="F344" i="2"/>
  <c r="G344" i="2"/>
  <c r="H344" i="2"/>
  <c r="J344" i="2"/>
  <c r="K344" i="2"/>
  <c r="L344" i="2"/>
  <c r="N344" i="2"/>
  <c r="O344" i="2"/>
  <c r="P344" i="2"/>
  <c r="P212" i="2"/>
  <c r="P52" i="2" s="1"/>
  <c r="P209" i="2"/>
  <c r="P43" i="2" s="1"/>
  <c r="E350" i="2"/>
  <c r="F350" i="2"/>
  <c r="G350" i="2"/>
  <c r="H350" i="2"/>
  <c r="I350" i="2"/>
  <c r="J350" i="2"/>
  <c r="K350" i="2"/>
  <c r="L350" i="2"/>
  <c r="N350" i="2"/>
  <c r="O350" i="2"/>
  <c r="P350" i="2"/>
  <c r="X348" i="2"/>
  <c r="X347" i="2" s="1"/>
  <c r="J141" i="6" l="1"/>
  <c r="O144" i="6"/>
  <c r="X164" i="6"/>
  <c r="X284" i="6"/>
  <c r="N141" i="6"/>
  <c r="U141" i="6"/>
  <c r="M144" i="6"/>
  <c r="R144" i="6"/>
  <c r="Q144" i="6"/>
  <c r="P144" i="6"/>
  <c r="M141" i="6"/>
  <c r="O141" i="6"/>
  <c r="D202" i="6"/>
  <c r="I141" i="6"/>
  <c r="D145" i="6"/>
  <c r="G141" i="6"/>
  <c r="K141" i="6"/>
  <c r="H141" i="6"/>
  <c r="L141" i="6"/>
  <c r="E141" i="6"/>
  <c r="V144" i="6"/>
  <c r="W144" i="6"/>
  <c r="T144" i="6"/>
  <c r="V136" i="6"/>
  <c r="M136" i="6"/>
  <c r="O136" i="6"/>
  <c r="U136" i="6"/>
  <c r="W136" i="6"/>
  <c r="Z188" i="6"/>
  <c r="D346" i="2"/>
  <c r="D41" i="2" s="1"/>
  <c r="D351" i="2"/>
  <c r="D49" i="2" s="1"/>
  <c r="M49" i="2"/>
  <c r="M350" i="2"/>
  <c r="X344" i="2"/>
  <c r="X343" i="2" s="1"/>
  <c r="X180" i="6"/>
  <c r="D191" i="6"/>
  <c r="Q136" i="6"/>
  <c r="S136" i="6"/>
  <c r="T136" i="6"/>
  <c r="R136" i="6"/>
  <c r="D24" i="6"/>
  <c r="R141" i="6"/>
  <c r="D164" i="6"/>
  <c r="S141" i="6"/>
  <c r="X136" i="6"/>
  <c r="P136" i="6"/>
  <c r="V31" i="1"/>
  <c r="X137" i="6"/>
  <c r="D180" i="6"/>
  <c r="D138" i="6" s="1"/>
  <c r="X17" i="6"/>
  <c r="X133" i="6"/>
  <c r="D133" i="6"/>
  <c r="X154" i="6"/>
  <c r="M157" i="6"/>
  <c r="D157" i="6" s="1"/>
  <c r="D160" i="6"/>
  <c r="D154" i="6"/>
  <c r="X150" i="6"/>
  <c r="D150" i="6"/>
  <c r="N199" i="6"/>
  <c r="P77" i="6"/>
  <c r="P79" i="6"/>
  <c r="P26" i="6" s="1"/>
  <c r="O72" i="6"/>
  <c r="O74" i="6"/>
  <c r="O77" i="6"/>
  <c r="O79" i="6"/>
  <c r="M132" i="6" l="1"/>
  <c r="P141" i="6"/>
  <c r="D137" i="6"/>
  <c r="D136" i="6" s="1"/>
  <c r="D132" i="6" s="1"/>
  <c r="D285" i="6"/>
  <c r="X285" i="6" s="1"/>
  <c r="W141" i="6"/>
  <c r="R132" i="6"/>
  <c r="S132" i="6"/>
  <c r="U132" i="6"/>
  <c r="T141" i="6"/>
  <c r="V141" i="6"/>
  <c r="Q141" i="6"/>
  <c r="P132" i="6"/>
  <c r="T132" i="6"/>
  <c r="Q132" i="6"/>
  <c r="W132" i="6"/>
  <c r="O132" i="6"/>
  <c r="V132" i="6"/>
  <c r="D144" i="6"/>
  <c r="D141" i="6" s="1"/>
  <c r="D350" i="2"/>
  <c r="L581" i="2"/>
  <c r="L580" i="2" s="1"/>
  <c r="X132" i="6" l="1"/>
  <c r="K81" i="9"/>
  <c r="K80" i="9" s="1"/>
  <c r="K83" i="9"/>
  <c r="K15" i="9" l="1"/>
  <c r="K13" i="9"/>
  <c r="M81" i="9"/>
  <c r="M13" i="9" s="1"/>
  <c r="X60" i="5"/>
  <c r="X59" i="5" s="1"/>
  <c r="X58" i="5" s="1"/>
  <c r="X144" i="4" l="1"/>
  <c r="X130" i="4" l="1"/>
  <c r="D130" i="4" s="1"/>
  <c r="D15" i="4" s="1"/>
  <c r="X128" i="4" l="1"/>
  <c r="X127" i="4" s="1"/>
  <c r="W78" i="13" l="1"/>
  <c r="W77" i="13" s="1"/>
  <c r="W76" i="13" s="1"/>
  <c r="V78" i="13"/>
  <c r="V77" i="13" s="1"/>
  <c r="V76" i="13" s="1"/>
  <c r="U78" i="13"/>
  <c r="U77" i="13" s="1"/>
  <c r="U76" i="13" s="1"/>
  <c r="W74" i="13"/>
  <c r="W73" i="13" s="1"/>
  <c r="V74" i="13"/>
  <c r="V73" i="13" s="1"/>
  <c r="U74" i="13"/>
  <c r="U73" i="13" s="1"/>
  <c r="T74" i="13"/>
  <c r="S85" i="13"/>
  <c r="S84" i="13" s="1"/>
  <c r="S74" i="13" s="1"/>
  <c r="S73" i="13" s="1"/>
  <c r="R85" i="13"/>
  <c r="R84" i="13" s="1"/>
  <c r="Q85" i="13"/>
  <c r="Q84" i="13" s="1"/>
  <c r="Q74" i="13" s="1"/>
  <c r="Q73" i="13" s="1"/>
  <c r="M86" i="13"/>
  <c r="X86" i="13"/>
  <c r="X85" i="13" s="1"/>
  <c r="X84" i="13" s="1"/>
  <c r="N85" i="13"/>
  <c r="N84" i="13" s="1"/>
  <c r="L85" i="13"/>
  <c r="L84" i="13" s="1"/>
  <c r="J85" i="13"/>
  <c r="J84" i="13" s="1"/>
  <c r="P85" i="13"/>
  <c r="O85" i="13"/>
  <c r="O84" i="13" s="1"/>
  <c r="O74" i="13" s="1"/>
  <c r="O73" i="13" s="1"/>
  <c r="K85" i="13"/>
  <c r="K84" i="13" s="1"/>
  <c r="K75" i="13" s="1"/>
  <c r="I85" i="13"/>
  <c r="I84" i="13" s="1"/>
  <c r="I75" i="13" s="1"/>
  <c r="H85" i="13"/>
  <c r="G85" i="13"/>
  <c r="G84" i="13" s="1"/>
  <c r="G75" i="13" s="1"/>
  <c r="F85" i="13"/>
  <c r="F84" i="13" s="1"/>
  <c r="F75" i="13" s="1"/>
  <c r="E85" i="13"/>
  <c r="E84" i="13" s="1"/>
  <c r="E75" i="13" s="1"/>
  <c r="P84" i="13"/>
  <c r="P74" i="13" s="1"/>
  <c r="H84" i="13"/>
  <c r="T82" i="13"/>
  <c r="S82" i="13"/>
  <c r="S81" i="13" s="1"/>
  <c r="S80" i="13" s="1"/>
  <c r="R82" i="13"/>
  <c r="Q82" i="13"/>
  <c r="Q81" i="13" s="1"/>
  <c r="Q80" i="13" s="1"/>
  <c r="P82" i="13"/>
  <c r="O82" i="13"/>
  <c r="O81" i="13" s="1"/>
  <c r="O80" i="13" s="1"/>
  <c r="N82" i="13"/>
  <c r="M82" i="13"/>
  <c r="M81" i="13" s="1"/>
  <c r="M80" i="13" s="1"/>
  <c r="L82" i="13"/>
  <c r="K82" i="13"/>
  <c r="K81" i="13" s="1"/>
  <c r="K80" i="13" s="1"/>
  <c r="J82" i="13"/>
  <c r="I82" i="13"/>
  <c r="I81" i="13" s="1"/>
  <c r="I80" i="13" s="1"/>
  <c r="H82" i="13"/>
  <c r="G82" i="13"/>
  <c r="G81" i="13" s="1"/>
  <c r="G80" i="13" s="1"/>
  <c r="F82" i="13"/>
  <c r="E82" i="13"/>
  <c r="E81" i="13" s="1"/>
  <c r="E80" i="13" s="1"/>
  <c r="D82" i="13"/>
  <c r="T81" i="13"/>
  <c r="T80" i="13" s="1"/>
  <c r="R81" i="13"/>
  <c r="R80" i="13" s="1"/>
  <c r="P81" i="13"/>
  <c r="P80" i="13" s="1"/>
  <c r="N81" i="13"/>
  <c r="N80" i="13" s="1"/>
  <c r="L81" i="13"/>
  <c r="L80" i="13" s="1"/>
  <c r="J81" i="13"/>
  <c r="J80" i="13" s="1"/>
  <c r="H81" i="13"/>
  <c r="H80" i="13" s="1"/>
  <c r="F81" i="13"/>
  <c r="F80" i="13" s="1"/>
  <c r="D81" i="13"/>
  <c r="D80" i="13" s="1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D79" i="13"/>
  <c r="T78" i="13"/>
  <c r="T77" i="13" s="1"/>
  <c r="T76" i="13" s="1"/>
  <c r="S78" i="13"/>
  <c r="S77" i="13" s="1"/>
  <c r="R78" i="13"/>
  <c r="R77" i="13" s="1"/>
  <c r="R76" i="13" s="1"/>
  <c r="Q78" i="13"/>
  <c r="Q77" i="13" s="1"/>
  <c r="P78" i="13"/>
  <c r="O78" i="13"/>
  <c r="M78" i="13"/>
  <c r="M77" i="13" s="1"/>
  <c r="M76" i="13" s="1"/>
  <c r="K78" i="13"/>
  <c r="K77" i="13" s="1"/>
  <c r="I78" i="13"/>
  <c r="I77" i="13" s="1"/>
  <c r="I76" i="13" s="1"/>
  <c r="H78" i="13"/>
  <c r="G78" i="13"/>
  <c r="G77" i="13" s="1"/>
  <c r="G76" i="13" s="1"/>
  <c r="F78" i="13"/>
  <c r="E78" i="13"/>
  <c r="E77" i="13" s="1"/>
  <c r="E76" i="13" s="1"/>
  <c r="H77" i="13"/>
  <c r="H76" i="13" s="1"/>
  <c r="F77" i="13"/>
  <c r="F76" i="13" s="1"/>
  <c r="S76" i="13"/>
  <c r="Q76" i="13"/>
  <c r="K76" i="13"/>
  <c r="N75" i="13"/>
  <c r="L75" i="13"/>
  <c r="J75" i="13"/>
  <c r="J73" i="13" s="1"/>
  <c r="H75" i="13"/>
  <c r="N74" i="13"/>
  <c r="L74" i="13"/>
  <c r="K74" i="13"/>
  <c r="K73" i="13" s="1"/>
  <c r="J74" i="13"/>
  <c r="I74" i="13"/>
  <c r="I73" i="13" s="1"/>
  <c r="H74" i="13"/>
  <c r="H73" i="13" s="1"/>
  <c r="G74" i="13"/>
  <c r="G73" i="13" s="1"/>
  <c r="F74" i="13"/>
  <c r="E74" i="13"/>
  <c r="E73" i="13" s="1"/>
  <c r="T73" i="13"/>
  <c r="N73" i="13"/>
  <c r="O77" i="13" l="1"/>
  <c r="O76" i="13" s="1"/>
  <c r="F73" i="13"/>
  <c r="L73" i="13"/>
  <c r="X79" i="13"/>
  <c r="R74" i="13"/>
  <c r="R73" i="13" s="1"/>
  <c r="X75" i="13"/>
  <c r="X78" i="13"/>
  <c r="P73" i="13"/>
  <c r="P77" i="13"/>
  <c r="P76" i="13" s="1"/>
  <c r="D86" i="13"/>
  <c r="M85" i="13"/>
  <c r="M84" i="13" s="1"/>
  <c r="X74" i="13"/>
  <c r="X73" i="13" s="1"/>
  <c r="J78" i="13"/>
  <c r="J77" i="13" s="1"/>
  <c r="J76" i="13" s="1"/>
  <c r="L78" i="13"/>
  <c r="L77" i="13" s="1"/>
  <c r="L76" i="13" s="1"/>
  <c r="N78" i="13"/>
  <c r="N77" i="13" s="1"/>
  <c r="N76" i="13" s="1"/>
  <c r="X77" i="13" l="1"/>
  <c r="X76" i="13" s="1"/>
  <c r="M74" i="13"/>
  <c r="M73" i="13" s="1"/>
  <c r="D85" i="13"/>
  <c r="D84" i="13" s="1"/>
  <c r="D78" i="13"/>
  <c r="D77" i="13" s="1"/>
  <c r="D76" i="13" s="1"/>
  <c r="P35" i="5"/>
  <c r="O35" i="5"/>
  <c r="O37" i="5"/>
  <c r="R42" i="5"/>
  <c r="O42" i="5"/>
  <c r="O34" i="5"/>
  <c r="P34" i="5"/>
  <c r="Q34" i="5"/>
  <c r="R34" i="5"/>
  <c r="S34" i="5"/>
  <c r="P36" i="5"/>
  <c r="Q36" i="5"/>
  <c r="R36" i="5"/>
  <c r="S36" i="5"/>
  <c r="O36" i="5"/>
  <c r="O39" i="5"/>
  <c r="P39" i="5"/>
  <c r="Q39" i="5"/>
  <c r="R39" i="5"/>
  <c r="D74" i="13" l="1"/>
  <c r="D73" i="13" s="1"/>
  <c r="R33" i="5"/>
  <c r="S33" i="5"/>
  <c r="Q33" i="5"/>
  <c r="P33" i="5"/>
  <c r="O33" i="5"/>
  <c r="O86" i="9" l="1"/>
  <c r="N83" i="9"/>
  <c r="M83" i="9" s="1"/>
  <c r="O83" i="9" l="1"/>
  <c r="O15" i="9" s="1"/>
  <c r="P80" i="9" l="1"/>
  <c r="D81" i="9"/>
  <c r="X81" i="9"/>
  <c r="X80" i="9" s="1"/>
  <c r="O80" i="9"/>
  <c r="N80" i="9"/>
  <c r="L80" i="9"/>
  <c r="P79" i="9" l="1"/>
  <c r="D80" i="9"/>
  <c r="M80" i="9"/>
  <c r="P612" i="2" l="1"/>
  <c r="P611" i="2" s="1"/>
  <c r="AD144" i="4" l="1"/>
  <c r="AA144" i="4" l="1"/>
  <c r="Z144" i="4"/>
  <c r="Y144" i="4"/>
  <c r="M234" i="2" l="1"/>
  <c r="P74" i="4" l="1"/>
  <c r="M103" i="5" l="1"/>
  <c r="M101" i="5"/>
  <c r="D29" i="9" l="1"/>
  <c r="M112" i="3" l="1"/>
  <c r="D60" i="5"/>
  <c r="M63" i="5"/>
  <c r="D63" i="5" l="1"/>
  <c r="O70" i="4"/>
  <c r="O72" i="4"/>
  <c r="O75" i="4"/>
  <c r="O77" i="4"/>
  <c r="P105" i="4"/>
  <c r="P109" i="4"/>
  <c r="P112" i="4"/>
  <c r="O108" i="4"/>
  <c r="O113" i="4"/>
  <c r="P104" i="4" l="1"/>
  <c r="W533" i="2" l="1"/>
  <c r="W532" i="2" s="1"/>
  <c r="V533" i="2"/>
  <c r="U533" i="2"/>
  <c r="U532" i="2" s="1"/>
  <c r="V532" i="2"/>
  <c r="W530" i="2"/>
  <c r="V530" i="2"/>
  <c r="U530" i="2"/>
  <c r="W528" i="2"/>
  <c r="V528" i="2"/>
  <c r="U528" i="2"/>
  <c r="V527" i="2" l="1"/>
  <c r="V10" i="2" s="1"/>
  <c r="U527" i="2"/>
  <c r="U10" i="2" s="1"/>
  <c r="W527" i="2"/>
  <c r="W10" i="2" s="1"/>
  <c r="O35" i="6"/>
  <c r="O26" i="6" s="1"/>
  <c r="O32" i="6"/>
  <c r="U549" i="2" l="1"/>
  <c r="V549" i="2"/>
  <c r="W549" i="2"/>
  <c r="U548" i="2"/>
  <c r="V548" i="2"/>
  <c r="W548" i="2"/>
  <c r="U543" i="2"/>
  <c r="V543" i="2"/>
  <c r="W543" i="2"/>
  <c r="U540" i="2"/>
  <c r="U539" i="2" s="1"/>
  <c r="W540" i="2"/>
  <c r="W539" i="2" s="1"/>
  <c r="V540" i="2"/>
  <c r="V539" i="2" s="1"/>
  <c r="W248" i="6"/>
  <c r="W247" i="6" s="1"/>
  <c r="V248" i="6"/>
  <c r="V247" i="6" s="1"/>
  <c r="U248" i="6"/>
  <c r="U247" i="6" s="1"/>
  <c r="W256" i="6"/>
  <c r="W255" i="6" s="1"/>
  <c r="T102" i="1" s="1"/>
  <c r="V256" i="6"/>
  <c r="U256" i="6"/>
  <c r="V255" i="6"/>
  <c r="S102" i="1" s="1"/>
  <c r="U255" i="6"/>
  <c r="R102" i="1" s="1"/>
  <c r="W252" i="6"/>
  <c r="W251" i="6" s="1"/>
  <c r="V252" i="6"/>
  <c r="U252" i="6"/>
  <c r="U251" i="6" s="1"/>
  <c r="V251" i="6"/>
  <c r="O245" i="6"/>
  <c r="O56" i="4"/>
  <c r="O11" i="4"/>
  <c r="O15" i="4"/>
  <c r="W101" i="4"/>
  <c r="V101" i="4"/>
  <c r="V100" i="4" s="1"/>
  <c r="U101" i="4"/>
  <c r="W100" i="4"/>
  <c r="U100" i="4"/>
  <c r="W98" i="4"/>
  <c r="V98" i="4"/>
  <c r="U98" i="4"/>
  <c r="W95" i="4"/>
  <c r="W94" i="4" s="1"/>
  <c r="V95" i="4"/>
  <c r="U95" i="4"/>
  <c r="U94" i="4" s="1"/>
  <c r="V94" i="4"/>
  <c r="W114" i="4"/>
  <c r="W111" i="4" s="1"/>
  <c r="V114" i="4"/>
  <c r="U114" i="4"/>
  <c r="U111" i="4" s="1"/>
  <c r="V111" i="4"/>
  <c r="W109" i="4"/>
  <c r="V109" i="4"/>
  <c r="U109" i="4"/>
  <c r="U104" i="4" s="1"/>
  <c r="W105" i="4"/>
  <c r="V105" i="4"/>
  <c r="V104" i="4" s="1"/>
  <c r="U105" i="4"/>
  <c r="W104" i="4"/>
  <c r="W123" i="4"/>
  <c r="W122" i="4" s="1"/>
  <c r="V123" i="4"/>
  <c r="U123" i="4"/>
  <c r="U122" i="4" s="1"/>
  <c r="V122" i="4"/>
  <c r="D127" i="4"/>
  <c r="D128" i="4"/>
  <c r="U128" i="4"/>
  <c r="U127" i="4" s="1"/>
  <c r="V128" i="4"/>
  <c r="V127" i="4" s="1"/>
  <c r="W128" i="4"/>
  <c r="W127" i="4" s="1"/>
  <c r="T128" i="4"/>
  <c r="T127" i="4" s="1"/>
  <c r="S128" i="4"/>
  <c r="R128" i="4"/>
  <c r="R127" i="4" s="1"/>
  <c r="Q128" i="4"/>
  <c r="Q127" i="4" s="1"/>
  <c r="P128" i="4"/>
  <c r="P127" i="4" s="1"/>
  <c r="S127" i="4"/>
  <c r="W51" i="4"/>
  <c r="V51" i="4"/>
  <c r="U51" i="4"/>
  <c r="W49" i="4"/>
  <c r="V49" i="4"/>
  <c r="U49" i="4"/>
  <c r="W48" i="4"/>
  <c r="V48" i="4"/>
  <c r="U48" i="4"/>
  <c r="W46" i="4"/>
  <c r="V46" i="4"/>
  <c r="U46" i="4"/>
  <c r="W42" i="4"/>
  <c r="V42" i="4"/>
  <c r="U42" i="4"/>
  <c r="W41" i="4"/>
  <c r="V41" i="4"/>
  <c r="U41" i="4"/>
  <c r="W63" i="4"/>
  <c r="W62" i="4" s="1"/>
  <c r="V63" i="4"/>
  <c r="U63" i="4"/>
  <c r="U62" i="4" s="1"/>
  <c r="V62" i="4"/>
  <c r="W55" i="4"/>
  <c r="W54" i="4" s="1"/>
  <c r="V55" i="4"/>
  <c r="U55" i="4"/>
  <c r="U54" i="4" s="1"/>
  <c r="V54" i="4"/>
  <c r="W71" i="4"/>
  <c r="V71" i="4"/>
  <c r="U71" i="4"/>
  <c r="W68" i="4"/>
  <c r="V68" i="4"/>
  <c r="U68" i="4"/>
  <c r="W67" i="4"/>
  <c r="V67" i="4"/>
  <c r="U67" i="4"/>
  <c r="W76" i="4"/>
  <c r="V76" i="4"/>
  <c r="U76" i="4"/>
  <c r="W74" i="4"/>
  <c r="V74" i="4"/>
  <c r="U74" i="4"/>
  <c r="W73" i="4"/>
  <c r="V73" i="4"/>
  <c r="U73" i="4"/>
  <c r="W80" i="4"/>
  <c r="W79" i="4" s="1"/>
  <c r="V80" i="4"/>
  <c r="U80" i="4"/>
  <c r="V79" i="4"/>
  <c r="U79" i="4"/>
  <c r="N585" i="2"/>
  <c r="N584" i="2" s="1"/>
  <c r="O581" i="2"/>
  <c r="O580" i="2" s="1"/>
  <c r="D583" i="2"/>
  <c r="O585" i="2"/>
  <c r="O584" i="2" s="1"/>
  <c r="K585" i="2"/>
  <c r="K584" i="2" s="1"/>
  <c r="J585" i="2"/>
  <c r="J584" i="2" s="1"/>
  <c r="J581" i="2"/>
  <c r="J580" i="2" s="1"/>
  <c r="W546" i="2" l="1"/>
  <c r="W545" i="2" s="1"/>
  <c r="V546" i="2"/>
  <c r="V545" i="2" s="1"/>
  <c r="U546" i="2"/>
  <c r="U545" i="2" s="1"/>
  <c r="U536" i="2"/>
  <c r="V536" i="2"/>
  <c r="K581" i="2"/>
  <c r="K580" i="2" s="1"/>
  <c r="D582" i="2"/>
  <c r="N581" i="2"/>
  <c r="N580" i="2" s="1"/>
  <c r="M586" i="2"/>
  <c r="W536" i="2"/>
  <c r="M581" i="2" l="1"/>
  <c r="M580" i="2" s="1"/>
  <c r="M585" i="2"/>
  <c r="M584" i="2" s="1"/>
  <c r="D586" i="2"/>
  <c r="U34" i="5"/>
  <c r="V34" i="5"/>
  <c r="W34" i="5"/>
  <c r="W33" i="5" s="1"/>
  <c r="U36" i="5"/>
  <c r="V36" i="5"/>
  <c r="W36" i="5"/>
  <c r="U41" i="5"/>
  <c r="U38" i="5" s="1"/>
  <c r="V41" i="5"/>
  <c r="V38" i="5" s="1"/>
  <c r="W41" i="5"/>
  <c r="W38" i="5" s="1"/>
  <c r="U45" i="5"/>
  <c r="V45" i="5"/>
  <c r="W45" i="5"/>
  <c r="U48" i="5"/>
  <c r="U47" i="5" s="1"/>
  <c r="V48" i="5"/>
  <c r="V47" i="5" s="1"/>
  <c r="W48" i="5"/>
  <c r="W47" i="5" s="1"/>
  <c r="U52" i="5"/>
  <c r="U51" i="5" s="1"/>
  <c r="V52" i="5"/>
  <c r="V51" i="5" s="1"/>
  <c r="W52" i="5"/>
  <c r="W51" i="5" s="1"/>
  <c r="U55" i="5"/>
  <c r="V55" i="5"/>
  <c r="W55" i="5"/>
  <c r="U75" i="5"/>
  <c r="U73" i="5" s="1"/>
  <c r="V75" i="5"/>
  <c r="V73" i="5" s="1"/>
  <c r="W75" i="5"/>
  <c r="W73" i="5" s="1"/>
  <c r="U81" i="5"/>
  <c r="V81" i="5"/>
  <c r="W81" i="5"/>
  <c r="U77" i="5"/>
  <c r="U76" i="5" s="1"/>
  <c r="V77" i="5"/>
  <c r="W77" i="5"/>
  <c r="W76" i="5" s="1"/>
  <c r="U87" i="5"/>
  <c r="U83" i="5" s="1"/>
  <c r="V87" i="5"/>
  <c r="V83" i="5" s="1"/>
  <c r="W87" i="5"/>
  <c r="W83" i="5" s="1"/>
  <c r="U99" i="5"/>
  <c r="V99" i="5"/>
  <c r="W99" i="5"/>
  <c r="U105" i="5"/>
  <c r="V105" i="5"/>
  <c r="W105" i="5"/>
  <c r="U112" i="5"/>
  <c r="U111" i="5" s="1"/>
  <c r="V112" i="5"/>
  <c r="V111" i="5" s="1"/>
  <c r="W112" i="5"/>
  <c r="W111" i="5" s="1"/>
  <c r="U59" i="5"/>
  <c r="V59" i="5"/>
  <c r="W59" i="5"/>
  <c r="U62" i="5"/>
  <c r="U61" i="5" s="1"/>
  <c r="V62" i="5"/>
  <c r="V61" i="5" s="1"/>
  <c r="W62" i="5"/>
  <c r="W61" i="5" s="1"/>
  <c r="E63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T61" i="5"/>
  <c r="S61" i="5"/>
  <c r="R61" i="5"/>
  <c r="D61" i="5"/>
  <c r="E60" i="5"/>
  <c r="T59" i="5"/>
  <c r="S59" i="5"/>
  <c r="R59" i="5"/>
  <c r="Q59" i="5"/>
  <c r="P59" i="5"/>
  <c r="O59" i="5"/>
  <c r="N59" i="5"/>
  <c r="M59" i="5"/>
  <c r="L59" i="5"/>
  <c r="L58" i="5" s="1"/>
  <c r="K59" i="5"/>
  <c r="J59" i="5"/>
  <c r="J58" i="5" s="1"/>
  <c r="I59" i="5"/>
  <c r="H59" i="5"/>
  <c r="H58" i="5" s="1"/>
  <c r="G59" i="5"/>
  <c r="F59" i="5"/>
  <c r="F58" i="5" s="1"/>
  <c r="D59" i="5"/>
  <c r="T58" i="5"/>
  <c r="S58" i="5"/>
  <c r="R58" i="5"/>
  <c r="Q58" i="5"/>
  <c r="P58" i="5"/>
  <c r="O58" i="5"/>
  <c r="N58" i="5"/>
  <c r="M58" i="5"/>
  <c r="K58" i="5"/>
  <c r="I58" i="5"/>
  <c r="G58" i="5"/>
  <c r="D58" i="5"/>
  <c r="F75" i="5"/>
  <c r="F73" i="5" s="1"/>
  <c r="G75" i="5"/>
  <c r="G73" i="5" s="1"/>
  <c r="H75" i="5"/>
  <c r="H73" i="5" s="1"/>
  <c r="K75" i="5"/>
  <c r="K73" i="5" s="1"/>
  <c r="P75" i="5"/>
  <c r="P73" i="5" s="1"/>
  <c r="Q75" i="5"/>
  <c r="Q73" i="5" s="1"/>
  <c r="R75" i="5"/>
  <c r="R73" i="5" s="1"/>
  <c r="S75" i="5"/>
  <c r="S73" i="5" s="1"/>
  <c r="T75" i="5"/>
  <c r="T73" i="5" s="1"/>
  <c r="X17" i="5" l="1"/>
  <c r="U58" i="5"/>
  <c r="V44" i="5"/>
  <c r="U33" i="5"/>
  <c r="E59" i="5"/>
  <c r="E58" i="5" s="1"/>
  <c r="V33" i="5"/>
  <c r="V58" i="5"/>
  <c r="W44" i="5"/>
  <c r="U44" i="5"/>
  <c r="W58" i="5"/>
  <c r="V76" i="5"/>
  <c r="D117" i="9"/>
  <c r="D116" i="9" s="1"/>
  <c r="X117" i="9"/>
  <c r="X116" i="9"/>
  <c r="N116" i="9"/>
  <c r="M116" i="9"/>
  <c r="L116" i="9"/>
  <c r="L115" i="9" s="1"/>
  <c r="O99" i="9"/>
  <c r="O13" i="9" s="1"/>
  <c r="N115" i="9" l="1"/>
  <c r="O116" i="9"/>
  <c r="O115" i="9" l="1"/>
  <c r="T151" i="9"/>
  <c r="U151" i="9"/>
  <c r="U150" i="9" s="1"/>
  <c r="U149" i="9" s="1"/>
  <c r="V151" i="9"/>
  <c r="V150" i="9" s="1"/>
  <c r="V149" i="9" s="1"/>
  <c r="W151" i="9"/>
  <c r="W150" i="9" s="1"/>
  <c r="W149" i="9" s="1"/>
  <c r="S151" i="9"/>
  <c r="P79" i="1" s="1"/>
  <c r="U153" i="9"/>
  <c r="V153" i="9"/>
  <c r="W153" i="9"/>
  <c r="U121" i="9"/>
  <c r="V121" i="9"/>
  <c r="W121" i="9"/>
  <c r="U88" i="9"/>
  <c r="V88" i="9"/>
  <c r="W88" i="9"/>
  <c r="U94" i="9"/>
  <c r="U93" i="9" s="1"/>
  <c r="V94" i="9"/>
  <c r="V93" i="9" s="1"/>
  <c r="W94" i="9"/>
  <c r="W93" i="9" s="1"/>
  <c r="U79" i="9"/>
  <c r="V79" i="9"/>
  <c r="W79" i="9"/>
  <c r="U85" i="9"/>
  <c r="U84" i="9" s="1"/>
  <c r="V85" i="9"/>
  <c r="V84" i="9" s="1"/>
  <c r="W85" i="9"/>
  <c r="W84" i="9" s="1"/>
  <c r="U72" i="9"/>
  <c r="V72" i="9"/>
  <c r="W72" i="9"/>
  <c r="U76" i="9"/>
  <c r="U75" i="9" s="1"/>
  <c r="V76" i="9"/>
  <c r="V75" i="9" s="1"/>
  <c r="W76" i="9"/>
  <c r="W75" i="9" s="1"/>
  <c r="U65" i="9"/>
  <c r="V65" i="9"/>
  <c r="W65" i="9"/>
  <c r="U69" i="9"/>
  <c r="U68" i="9" s="1"/>
  <c r="V69" i="9"/>
  <c r="V68" i="9" s="1"/>
  <c r="W69" i="9"/>
  <c r="W68" i="9" s="1"/>
  <c r="U59" i="9"/>
  <c r="U56" i="9" s="1"/>
  <c r="V59" i="9"/>
  <c r="V56" i="9" s="1"/>
  <c r="W59" i="9"/>
  <c r="W56" i="9" s="1"/>
  <c r="U62" i="9"/>
  <c r="U61" i="9" s="1"/>
  <c r="V62" i="9"/>
  <c r="V61" i="9" s="1"/>
  <c r="W62" i="9"/>
  <c r="W61" i="9" s="1"/>
  <c r="U49" i="9"/>
  <c r="V49" i="9"/>
  <c r="W49" i="9"/>
  <c r="U53" i="9"/>
  <c r="U52" i="9" s="1"/>
  <c r="V53" i="9"/>
  <c r="V52" i="9" s="1"/>
  <c r="W53" i="9"/>
  <c r="W52" i="9" s="1"/>
  <c r="U41" i="9"/>
  <c r="V41" i="9"/>
  <c r="W41" i="9"/>
  <c r="U43" i="9"/>
  <c r="V43" i="9"/>
  <c r="W43" i="9"/>
  <c r="U46" i="9"/>
  <c r="U45" i="9" s="1"/>
  <c r="V46" i="9"/>
  <c r="V45" i="9" s="1"/>
  <c r="W46" i="9"/>
  <c r="W45" i="9" s="1"/>
  <c r="U37" i="9"/>
  <c r="U36" i="9" s="1"/>
  <c r="V37" i="9"/>
  <c r="V36" i="9" s="1"/>
  <c r="W37" i="9"/>
  <c r="W36" i="9" s="1"/>
  <c r="U32" i="9"/>
  <c r="V32" i="9"/>
  <c r="W32" i="9"/>
  <c r="U34" i="9"/>
  <c r="V34" i="9"/>
  <c r="W34" i="9"/>
  <c r="U28" i="9"/>
  <c r="U27" i="9" s="1"/>
  <c r="V28" i="9"/>
  <c r="V27" i="9" s="1"/>
  <c r="W28" i="9"/>
  <c r="W27" i="9" s="1"/>
  <c r="U23" i="9"/>
  <c r="V23" i="9"/>
  <c r="W23" i="9"/>
  <c r="U25" i="9"/>
  <c r="V25" i="9"/>
  <c r="W25" i="9"/>
  <c r="U35" i="10" l="1"/>
  <c r="T35" i="10"/>
  <c r="T150" i="9"/>
  <c r="T149" i="9" s="1"/>
  <c r="Q79" i="1"/>
  <c r="S35" i="10"/>
  <c r="V120" i="9"/>
  <c r="W120" i="9"/>
  <c r="U120" i="9"/>
  <c r="V40" i="9"/>
  <c r="W40" i="9"/>
  <c r="U40" i="9"/>
  <c r="W31" i="9"/>
  <c r="V31" i="9"/>
  <c r="U31" i="9"/>
  <c r="W22" i="9"/>
  <c r="U34" i="10" s="1"/>
  <c r="U22" i="9"/>
  <c r="S34" i="10" s="1"/>
  <c r="V22" i="9"/>
  <c r="T34" i="10" s="1"/>
  <c r="L70" i="7"/>
  <c r="D198" i="3"/>
  <c r="O197" i="3"/>
  <c r="N197" i="3"/>
  <c r="L197" i="3"/>
  <c r="K197" i="3"/>
  <c r="J197" i="3"/>
  <c r="I197" i="3"/>
  <c r="H197" i="3"/>
  <c r="G197" i="3"/>
  <c r="F197" i="3"/>
  <c r="E197" i="3"/>
  <c r="E196" i="3"/>
  <c r="D196" i="3" s="1"/>
  <c r="D195" i="3" s="1"/>
  <c r="O195" i="3"/>
  <c r="N195" i="3"/>
  <c r="M195" i="3"/>
  <c r="L195" i="3"/>
  <c r="L194" i="3" s="1"/>
  <c r="K195" i="3"/>
  <c r="J195" i="3"/>
  <c r="J194" i="3" s="1"/>
  <c r="I195" i="3"/>
  <c r="H195" i="3"/>
  <c r="G195" i="3"/>
  <c r="F195" i="3"/>
  <c r="K194" i="3"/>
  <c r="I194" i="3"/>
  <c r="H194" i="3"/>
  <c r="G194" i="3"/>
  <c r="F194" i="3"/>
  <c r="E193" i="3"/>
  <c r="O192" i="3"/>
  <c r="N192" i="3"/>
  <c r="L192" i="3"/>
  <c r="K192" i="3"/>
  <c r="J192" i="3"/>
  <c r="I192" i="3"/>
  <c r="H192" i="3"/>
  <c r="G192" i="3"/>
  <c r="F192" i="3"/>
  <c r="E192" i="3"/>
  <c r="E191" i="3"/>
  <c r="D191" i="3" s="1"/>
  <c r="E190" i="3"/>
  <c r="D190" i="3" s="1"/>
  <c r="O189" i="3"/>
  <c r="N189" i="3"/>
  <c r="M189" i="3"/>
  <c r="L189" i="3"/>
  <c r="L188" i="3" s="1"/>
  <c r="K189" i="3"/>
  <c r="J189" i="3"/>
  <c r="I189" i="3"/>
  <c r="H189" i="3"/>
  <c r="H188" i="3" s="1"/>
  <c r="G189" i="3"/>
  <c r="F189" i="3"/>
  <c r="N188" i="3"/>
  <c r="J188" i="3"/>
  <c r="F188" i="3"/>
  <c r="J185" i="3"/>
  <c r="E186" i="3"/>
  <c r="E185" i="3" s="1"/>
  <c r="O185" i="3"/>
  <c r="N185" i="3"/>
  <c r="L185" i="3"/>
  <c r="K185" i="3"/>
  <c r="I185" i="3"/>
  <c r="H185" i="3"/>
  <c r="H182" i="3" s="1"/>
  <c r="G185" i="3"/>
  <c r="F185" i="3"/>
  <c r="N183" i="3"/>
  <c r="K183" i="3"/>
  <c r="K182" i="3" s="1"/>
  <c r="J183" i="3"/>
  <c r="E184" i="3"/>
  <c r="O183" i="3"/>
  <c r="I183" i="3"/>
  <c r="H183" i="3"/>
  <c r="G183" i="3"/>
  <c r="F183" i="3"/>
  <c r="E183" i="3"/>
  <c r="E181" i="3"/>
  <c r="O180" i="3"/>
  <c r="N180" i="3"/>
  <c r="L180" i="3"/>
  <c r="K180" i="3"/>
  <c r="J180" i="3"/>
  <c r="I180" i="3"/>
  <c r="H180" i="3"/>
  <c r="G180" i="3"/>
  <c r="F180" i="3"/>
  <c r="E180" i="3"/>
  <c r="E179" i="3"/>
  <c r="E178" i="3"/>
  <c r="O177" i="3"/>
  <c r="N177" i="3"/>
  <c r="L177" i="3"/>
  <c r="K177" i="3"/>
  <c r="J177" i="3"/>
  <c r="I177" i="3"/>
  <c r="H177" i="3"/>
  <c r="G177" i="3"/>
  <c r="F177" i="3"/>
  <c r="E177" i="3"/>
  <c r="O176" i="3"/>
  <c r="N176" i="3"/>
  <c r="L176" i="3"/>
  <c r="K176" i="3"/>
  <c r="J176" i="3"/>
  <c r="I176" i="3"/>
  <c r="H176" i="3"/>
  <c r="G176" i="3"/>
  <c r="F176" i="3"/>
  <c r="E176" i="3"/>
  <c r="U21" i="3"/>
  <c r="V21" i="3"/>
  <c r="W21" i="3"/>
  <c r="U20" i="3"/>
  <c r="V20" i="3"/>
  <c r="W20" i="3"/>
  <c r="U15" i="3"/>
  <c r="V15" i="3"/>
  <c r="W15" i="3"/>
  <c r="U14" i="3"/>
  <c r="V14" i="3"/>
  <c r="W14" i="3"/>
  <c r="T21" i="3"/>
  <c r="S21" i="3"/>
  <c r="R21" i="3"/>
  <c r="Q21" i="3"/>
  <c r="I23" i="3"/>
  <c r="I21" i="3" s="1"/>
  <c r="T20" i="3"/>
  <c r="T19" i="3" s="1"/>
  <c r="S20" i="3"/>
  <c r="R20" i="3"/>
  <c r="R19" i="3" s="1"/>
  <c r="Q20" i="3"/>
  <c r="Q19" i="3" s="1"/>
  <c r="P20" i="3"/>
  <c r="P19" i="3" s="1"/>
  <c r="K20" i="3"/>
  <c r="K19" i="3" s="1"/>
  <c r="H20" i="3"/>
  <c r="H19" i="3" s="1"/>
  <c r="G20" i="3"/>
  <c r="G19" i="3" s="1"/>
  <c r="F20" i="3"/>
  <c r="F19" i="3" s="1"/>
  <c r="S19" i="3"/>
  <c r="T15" i="3"/>
  <c r="S15" i="3"/>
  <c r="R15" i="3"/>
  <c r="Q15" i="3"/>
  <c r="I17" i="3"/>
  <c r="I15" i="3" s="1"/>
  <c r="T14" i="3"/>
  <c r="S14" i="3"/>
  <c r="R14" i="3"/>
  <c r="Q14" i="3"/>
  <c r="Q12" i="3" s="1"/>
  <c r="P14" i="3"/>
  <c r="K14" i="3"/>
  <c r="K12" i="3" s="1"/>
  <c r="H14" i="3"/>
  <c r="G14" i="3"/>
  <c r="F14" i="3"/>
  <c r="S12" i="3"/>
  <c r="O113" i="3"/>
  <c r="D114" i="3"/>
  <c r="D113" i="3" s="1"/>
  <c r="P113" i="3"/>
  <c r="N113" i="3"/>
  <c r="L113" i="3"/>
  <c r="D112" i="3"/>
  <c r="P111" i="3"/>
  <c r="O111" i="3"/>
  <c r="N111" i="3"/>
  <c r="M111" i="3"/>
  <c r="L111" i="3"/>
  <c r="D111" i="3"/>
  <c r="P108" i="3"/>
  <c r="O108" i="3"/>
  <c r="L108" i="3"/>
  <c r="D107" i="3"/>
  <c r="O105" i="3"/>
  <c r="D106" i="3"/>
  <c r="D105" i="3" s="1"/>
  <c r="P105" i="3"/>
  <c r="P104" i="3" s="1"/>
  <c r="L105" i="3"/>
  <c r="L104" i="3" s="1"/>
  <c r="P21" i="3"/>
  <c r="O161" i="3"/>
  <c r="M162" i="3"/>
  <c r="R161" i="3"/>
  <c r="Q161" i="3"/>
  <c r="P161" i="3"/>
  <c r="N161" i="3"/>
  <c r="M161" i="3"/>
  <c r="L161" i="3"/>
  <c r="K161" i="3"/>
  <c r="J161" i="3"/>
  <c r="I161" i="3"/>
  <c r="H161" i="3"/>
  <c r="G161" i="3"/>
  <c r="F161" i="3"/>
  <c r="E161" i="3"/>
  <c r="R159" i="3"/>
  <c r="Q159" i="3"/>
  <c r="Q158" i="3" s="1"/>
  <c r="P159" i="3"/>
  <c r="O159" i="3"/>
  <c r="N159" i="3"/>
  <c r="M159" i="3"/>
  <c r="M158" i="3" s="1"/>
  <c r="L159" i="3"/>
  <c r="K159" i="3"/>
  <c r="K158" i="3" s="1"/>
  <c r="J159" i="3"/>
  <c r="I159" i="3"/>
  <c r="I158" i="3" s="1"/>
  <c r="H159" i="3"/>
  <c r="G159" i="3"/>
  <c r="G158" i="3" s="1"/>
  <c r="F159" i="3"/>
  <c r="E159" i="3"/>
  <c r="E158" i="3" s="1"/>
  <c r="D159" i="3"/>
  <c r="R158" i="3"/>
  <c r="N158" i="3"/>
  <c r="L158" i="3"/>
  <c r="J158" i="3"/>
  <c r="H158" i="3"/>
  <c r="F158" i="3"/>
  <c r="P15" i="3"/>
  <c r="M157" i="3"/>
  <c r="D157" i="3" s="1"/>
  <c r="D156" i="3" s="1"/>
  <c r="R156" i="3"/>
  <c r="Q156" i="3"/>
  <c r="O156" i="3"/>
  <c r="N156" i="3"/>
  <c r="M156" i="3"/>
  <c r="L156" i="3"/>
  <c r="K156" i="3"/>
  <c r="J156" i="3"/>
  <c r="I156" i="3"/>
  <c r="H156" i="3"/>
  <c r="G156" i="3"/>
  <c r="F156" i="3"/>
  <c r="E156" i="3"/>
  <c r="P153" i="3"/>
  <c r="M154" i="3"/>
  <c r="R153" i="3"/>
  <c r="Q153" i="3"/>
  <c r="O153" i="3"/>
  <c r="N153" i="3"/>
  <c r="L153" i="3"/>
  <c r="L152" i="3" s="1"/>
  <c r="K153" i="3"/>
  <c r="K152" i="3" s="1"/>
  <c r="J153" i="3"/>
  <c r="J152" i="3" s="1"/>
  <c r="I153" i="3"/>
  <c r="H153" i="3"/>
  <c r="H152" i="3" s="1"/>
  <c r="G153" i="3"/>
  <c r="G152" i="3" s="1"/>
  <c r="F153" i="3"/>
  <c r="F152" i="3" s="1"/>
  <c r="E153" i="3"/>
  <c r="N152" i="3"/>
  <c r="I152" i="3"/>
  <c r="E152" i="3"/>
  <c r="M174" i="3"/>
  <c r="P173" i="3"/>
  <c r="O173" i="3"/>
  <c r="N173" i="3"/>
  <c r="L173" i="3"/>
  <c r="K173" i="3"/>
  <c r="J173" i="3"/>
  <c r="I173" i="3"/>
  <c r="H173" i="3"/>
  <c r="G173" i="3"/>
  <c r="F173" i="3"/>
  <c r="E173" i="3"/>
  <c r="P171" i="3"/>
  <c r="O171" i="3"/>
  <c r="N171" i="3"/>
  <c r="M171" i="3"/>
  <c r="L171" i="3"/>
  <c r="L170" i="3" s="1"/>
  <c r="K171" i="3"/>
  <c r="K170" i="3" s="1"/>
  <c r="J171" i="3"/>
  <c r="J170" i="3" s="1"/>
  <c r="I171" i="3"/>
  <c r="I170" i="3" s="1"/>
  <c r="H171" i="3"/>
  <c r="G171" i="3"/>
  <c r="G170" i="3" s="1"/>
  <c r="F171" i="3"/>
  <c r="F170" i="3" s="1"/>
  <c r="E171" i="3"/>
  <c r="E170" i="3" s="1"/>
  <c r="D171" i="3"/>
  <c r="H170" i="3"/>
  <c r="M169" i="3"/>
  <c r="D169" i="3" s="1"/>
  <c r="D168" i="3" s="1"/>
  <c r="P168" i="3"/>
  <c r="O168" i="3"/>
  <c r="N168" i="3"/>
  <c r="L168" i="3"/>
  <c r="K168" i="3"/>
  <c r="K164" i="3" s="1"/>
  <c r="J168" i="3"/>
  <c r="I168" i="3"/>
  <c r="H168" i="3"/>
  <c r="G168" i="3"/>
  <c r="F168" i="3"/>
  <c r="E168" i="3"/>
  <c r="M166" i="3"/>
  <c r="P165" i="3"/>
  <c r="O165" i="3"/>
  <c r="N165" i="3"/>
  <c r="L165" i="3"/>
  <c r="K165" i="3"/>
  <c r="J165" i="3"/>
  <c r="I165" i="3"/>
  <c r="H165" i="3"/>
  <c r="G165" i="3"/>
  <c r="F165" i="3"/>
  <c r="E165" i="3"/>
  <c r="X169" i="3"/>
  <c r="X168" i="3" s="1"/>
  <c r="X167" i="3"/>
  <c r="X166" i="3"/>
  <c r="E164" i="3" l="1"/>
  <c r="G164" i="3"/>
  <c r="I164" i="3"/>
  <c r="N170" i="3"/>
  <c r="R152" i="3"/>
  <c r="P158" i="3"/>
  <c r="F182" i="3"/>
  <c r="E189" i="3"/>
  <c r="E188" i="3" s="1"/>
  <c r="G188" i="3"/>
  <c r="I188" i="3"/>
  <c r="K188" i="3"/>
  <c r="E195" i="3"/>
  <c r="E194" i="3" s="1"/>
  <c r="O194" i="3"/>
  <c r="N164" i="3"/>
  <c r="P164" i="3"/>
  <c r="Q152" i="3"/>
  <c r="O152" i="3"/>
  <c r="Q11" i="3"/>
  <c r="F164" i="3"/>
  <c r="H164" i="3"/>
  <c r="J164" i="3"/>
  <c r="L164" i="3"/>
  <c r="T18" i="3"/>
  <c r="S18" i="3"/>
  <c r="X165" i="3"/>
  <c r="X164" i="3" s="1"/>
  <c r="G182" i="3"/>
  <c r="I182" i="3"/>
  <c r="D189" i="3"/>
  <c r="N194" i="3"/>
  <c r="M168" i="3"/>
  <c r="O158" i="3"/>
  <c r="P170" i="3"/>
  <c r="E182" i="3"/>
  <c r="N182" i="3"/>
  <c r="D178" i="3"/>
  <c r="O188" i="3"/>
  <c r="O182" i="3"/>
  <c r="R18" i="3"/>
  <c r="O104" i="3"/>
  <c r="Q18" i="3"/>
  <c r="D154" i="3"/>
  <c r="D153" i="3" s="1"/>
  <c r="D152" i="3" s="1"/>
  <c r="N24" i="10"/>
  <c r="P24" i="10"/>
  <c r="D162" i="3"/>
  <c r="N105" i="3"/>
  <c r="P18" i="3"/>
  <c r="D179" i="3"/>
  <c r="D177" i="3" s="1"/>
  <c r="D181" i="3"/>
  <c r="D186" i="3"/>
  <c r="D193" i="3"/>
  <c r="O164" i="3"/>
  <c r="D166" i="3"/>
  <c r="D165" i="3" s="1"/>
  <c r="D164" i="3" s="1"/>
  <c r="D10" i="3" s="1"/>
  <c r="D174" i="3"/>
  <c r="D173" i="3" s="1"/>
  <c r="D170" i="3" s="1"/>
  <c r="P156" i="3"/>
  <c r="N108" i="3"/>
  <c r="N104" i="3" s="1"/>
  <c r="N110" i="3"/>
  <c r="J182" i="3"/>
  <c r="D184" i="3"/>
  <c r="P12" i="3"/>
  <c r="P11" i="3" s="1"/>
  <c r="R12" i="3"/>
  <c r="R11" i="3" s="1"/>
  <c r="T12" i="3"/>
  <c r="T11" i="3" s="1"/>
  <c r="O110" i="3"/>
  <c r="L110" i="3"/>
  <c r="P110" i="3"/>
  <c r="D110" i="3"/>
  <c r="M197" i="3"/>
  <c r="M194" i="3" s="1"/>
  <c r="D197" i="3"/>
  <c r="D194" i="3" s="1"/>
  <c r="D192" i="3"/>
  <c r="D188" i="3" s="1"/>
  <c r="M192" i="3"/>
  <c r="M188" i="3" s="1"/>
  <c r="M177" i="3"/>
  <c r="M180" i="3"/>
  <c r="M183" i="3"/>
  <c r="M185" i="3"/>
  <c r="L183" i="3"/>
  <c r="L182" i="3" s="1"/>
  <c r="S11" i="3"/>
  <c r="M105" i="3"/>
  <c r="M113" i="3"/>
  <c r="M110" i="3" s="1"/>
  <c r="M153" i="3"/>
  <c r="O170" i="3"/>
  <c r="M24" i="10" s="1"/>
  <c r="O24" i="10"/>
  <c r="M165" i="3"/>
  <c r="M173" i="3"/>
  <c r="P10" i="3" l="1"/>
  <c r="D161" i="3"/>
  <c r="D158" i="3" s="1"/>
  <c r="M164" i="3"/>
  <c r="M23" i="10"/>
  <c r="M170" i="3"/>
  <c r="M152" i="3"/>
  <c r="P152" i="3"/>
  <c r="D109" i="3"/>
  <c r="D108" i="3" s="1"/>
  <c r="D104" i="3" s="1"/>
  <c r="M108" i="3"/>
  <c r="M104" i="3" s="1"/>
  <c r="M182" i="3"/>
  <c r="D185" i="3"/>
  <c r="D183" i="3"/>
  <c r="D180" i="3"/>
  <c r="D176" i="3" s="1"/>
  <c r="M176" i="3"/>
  <c r="N23" i="10" l="1"/>
  <c r="D182" i="3"/>
  <c r="X609" i="2" l="1"/>
  <c r="O100" i="8"/>
  <c r="O98" i="8"/>
  <c r="O94" i="8"/>
  <c r="O92" i="8"/>
  <c r="P195" i="2"/>
  <c r="P194" i="2" s="1"/>
  <c r="O195" i="2"/>
  <c r="O194" i="2" s="1"/>
  <c r="P192" i="2"/>
  <c r="O192" i="2"/>
  <c r="P190" i="2"/>
  <c r="O190" i="2"/>
  <c r="O97" i="8" l="1"/>
  <c r="O91" i="8"/>
  <c r="P189" i="2"/>
  <c r="O189" i="2"/>
  <c r="S39" i="10"/>
  <c r="T39" i="10"/>
  <c r="U39" i="10"/>
  <c r="S38" i="10"/>
  <c r="T38" i="10"/>
  <c r="U38" i="10"/>
  <c r="V27" i="10"/>
  <c r="R14" i="10" l="1"/>
  <c r="S14" i="10"/>
  <c r="T14" i="10"/>
  <c r="U14" i="10"/>
  <c r="R13" i="10"/>
  <c r="S13" i="10"/>
  <c r="T13" i="10"/>
  <c r="U13" i="10"/>
  <c r="S30" i="10"/>
  <c r="S25" i="10" s="1"/>
  <c r="T30" i="10"/>
  <c r="T25" i="10" s="1"/>
  <c r="U30" i="10"/>
  <c r="U25" i="10" s="1"/>
  <c r="S31" i="10"/>
  <c r="S26" i="10" s="1"/>
  <c r="T31" i="10"/>
  <c r="T26" i="10" s="1"/>
  <c r="U31" i="10"/>
  <c r="U26" i="10" s="1"/>
  <c r="S23" i="10"/>
  <c r="T23" i="10"/>
  <c r="U23" i="10"/>
  <c r="S24" i="10"/>
  <c r="T24" i="10"/>
  <c r="U24" i="10"/>
  <c r="S21" i="10"/>
  <c r="T21" i="10"/>
  <c r="U21" i="10"/>
  <c r="S22" i="10"/>
  <c r="T22" i="10"/>
  <c r="U22" i="10"/>
  <c r="P17" i="10"/>
  <c r="Q17" i="10"/>
  <c r="R17" i="10"/>
  <c r="S17" i="10"/>
  <c r="T17" i="10"/>
  <c r="U17" i="10"/>
  <c r="Q18" i="10"/>
  <c r="R18" i="10"/>
  <c r="S18" i="10"/>
  <c r="T18" i="10"/>
  <c r="U18" i="10"/>
  <c r="P15" i="10"/>
  <c r="Q15" i="10"/>
  <c r="R15" i="10"/>
  <c r="S15" i="10"/>
  <c r="T15" i="10"/>
  <c r="U15" i="10"/>
  <c r="P16" i="10"/>
  <c r="Q16" i="10"/>
  <c r="R16" i="10"/>
  <c r="S16" i="10"/>
  <c r="T16" i="10"/>
  <c r="U16" i="10"/>
  <c r="R180" i="1" l="1"/>
  <c r="S180" i="1"/>
  <c r="T180" i="1"/>
  <c r="R164" i="1"/>
  <c r="S164" i="1"/>
  <c r="T164" i="1"/>
  <c r="R167" i="1"/>
  <c r="S167" i="1"/>
  <c r="T167" i="1"/>
  <c r="R152" i="1"/>
  <c r="S152" i="1"/>
  <c r="T152" i="1"/>
  <c r="R140" i="1"/>
  <c r="R202" i="1" s="1"/>
  <c r="S140" i="1"/>
  <c r="S202" i="1" s="1"/>
  <c r="T140" i="1"/>
  <c r="T202" i="1" s="1"/>
  <c r="K152" i="1" l="1"/>
  <c r="K164" i="1"/>
  <c r="K167" i="1"/>
  <c r="K180" i="1"/>
  <c r="O71" i="1"/>
  <c r="P71" i="1"/>
  <c r="Q71" i="1"/>
  <c r="R71" i="1"/>
  <c r="S71" i="1"/>
  <c r="T71" i="1"/>
  <c r="R72" i="1"/>
  <c r="S72" i="1"/>
  <c r="T72" i="1"/>
  <c r="S86" i="1"/>
  <c r="M81" i="1"/>
  <c r="N81" i="1"/>
  <c r="O81" i="1"/>
  <c r="P81" i="1"/>
  <c r="Q81" i="1"/>
  <c r="R86" i="1"/>
  <c r="T86" i="1"/>
  <c r="B102" i="1"/>
  <c r="F102" i="1"/>
  <c r="G102" i="1"/>
  <c r="H102" i="1"/>
  <c r="B152" i="1"/>
  <c r="C152" i="1"/>
  <c r="D152" i="1"/>
  <c r="E152" i="1"/>
  <c r="F152" i="1"/>
  <c r="G152" i="1"/>
  <c r="H152" i="1"/>
  <c r="I152" i="1"/>
  <c r="J152" i="1"/>
  <c r="L152" i="1"/>
  <c r="M152" i="1"/>
  <c r="N152" i="1"/>
  <c r="O152" i="1"/>
  <c r="P152" i="1"/>
  <c r="Q152" i="1"/>
  <c r="B164" i="1"/>
  <c r="C164" i="1"/>
  <c r="D164" i="1"/>
  <c r="E164" i="1"/>
  <c r="F164" i="1"/>
  <c r="G164" i="1"/>
  <c r="H164" i="1"/>
  <c r="I164" i="1"/>
  <c r="J164" i="1"/>
  <c r="L164" i="1"/>
  <c r="M164" i="1"/>
  <c r="N164" i="1"/>
  <c r="O164" i="1"/>
  <c r="P164" i="1"/>
  <c r="Q164" i="1"/>
  <c r="U164" i="1"/>
  <c r="C165" i="1"/>
  <c r="E165" i="1"/>
  <c r="G165" i="1"/>
  <c r="I165" i="1"/>
  <c r="B167" i="1"/>
  <c r="C167" i="1"/>
  <c r="D167" i="1"/>
  <c r="E167" i="1"/>
  <c r="F167" i="1"/>
  <c r="G167" i="1"/>
  <c r="H167" i="1"/>
  <c r="I167" i="1"/>
  <c r="J167" i="1"/>
  <c r="L167" i="1"/>
  <c r="M167" i="1"/>
  <c r="N167" i="1"/>
  <c r="O167" i="1"/>
  <c r="P167" i="1"/>
  <c r="Q167" i="1"/>
  <c r="B180" i="1"/>
  <c r="C180" i="1"/>
  <c r="D180" i="1"/>
  <c r="E180" i="1"/>
  <c r="F180" i="1"/>
  <c r="G180" i="1"/>
  <c r="H180" i="1"/>
  <c r="I180" i="1"/>
  <c r="J180" i="1"/>
  <c r="L180" i="1"/>
  <c r="M180" i="1"/>
  <c r="N180" i="1"/>
  <c r="O180" i="1"/>
  <c r="P180" i="1"/>
  <c r="Q180" i="1"/>
  <c r="U180" i="1"/>
  <c r="X92" i="4"/>
  <c r="U11" i="5"/>
  <c r="V11" i="5"/>
  <c r="W11" i="5"/>
  <c r="J165" i="1" l="1"/>
  <c r="H165" i="1"/>
  <c r="F165" i="1"/>
  <c r="D165" i="1"/>
  <c r="B165" i="1"/>
  <c r="Q165" i="1"/>
  <c r="O165" i="1"/>
  <c r="M165" i="1"/>
  <c r="K165" i="1"/>
  <c r="P165" i="1"/>
  <c r="N165" i="1"/>
  <c r="L165" i="1"/>
  <c r="V10" i="5"/>
  <c r="W10" i="5"/>
  <c r="U10" i="5"/>
  <c r="U152" i="1"/>
  <c r="U165" i="1" s="1"/>
  <c r="U167" i="1"/>
  <c r="X119" i="4"/>
  <c r="W120" i="4"/>
  <c r="W118" i="4" s="1"/>
  <c r="W117" i="4" s="1"/>
  <c r="V120" i="4"/>
  <c r="U120" i="4"/>
  <c r="V118" i="4" l="1"/>
  <c r="V117" i="4" s="1"/>
  <c r="V144" i="4"/>
  <c r="V15" i="4"/>
  <c r="S65" i="1" s="1"/>
  <c r="V11" i="4"/>
  <c r="U118" i="4"/>
  <c r="U117" i="4" s="1"/>
  <c r="U144" i="4"/>
  <c r="U11" i="4"/>
  <c r="U15" i="4"/>
  <c r="R65" i="1" s="1"/>
  <c r="W144" i="4"/>
  <c r="W11" i="4"/>
  <c r="W15" i="4"/>
  <c r="T65" i="1" s="1"/>
  <c r="X217" i="3"/>
  <c r="X214" i="3"/>
  <c r="W129" i="6"/>
  <c r="W128" i="6" s="1"/>
  <c r="V129" i="6"/>
  <c r="V128" i="6" s="1"/>
  <c r="U129" i="6"/>
  <c r="U128" i="6" s="1"/>
  <c r="X127" i="6"/>
  <c r="X126" i="6"/>
  <c r="X125" i="6"/>
  <c r="X124" i="6"/>
  <c r="X123" i="6"/>
  <c r="X122" i="6"/>
  <c r="D123" i="6"/>
  <c r="D122" i="6"/>
  <c r="W120" i="6"/>
  <c r="V120" i="6"/>
  <c r="U120" i="6"/>
  <c r="D118" i="6"/>
  <c r="D117" i="6"/>
  <c r="W116" i="6"/>
  <c r="W115" i="6" s="1"/>
  <c r="V116" i="6"/>
  <c r="V115" i="6" s="1"/>
  <c r="U116" i="6"/>
  <c r="U115" i="6" s="1"/>
  <c r="W112" i="6"/>
  <c r="W26" i="6" s="1"/>
  <c r="V112" i="6"/>
  <c r="V26" i="6" s="1"/>
  <c r="U112" i="6"/>
  <c r="U26" i="6" s="1"/>
  <c r="D109" i="6"/>
  <c r="D108" i="6"/>
  <c r="D107" i="6"/>
  <c r="D105" i="6"/>
  <c r="W102" i="6"/>
  <c r="W20" i="6" s="1"/>
  <c r="V102" i="6"/>
  <c r="U102" i="6"/>
  <c r="U20" i="6" s="1"/>
  <c r="X109" i="6"/>
  <c r="X108" i="6"/>
  <c r="X107" i="6"/>
  <c r="X105" i="6"/>
  <c r="W98" i="6"/>
  <c r="V98" i="6"/>
  <c r="V18" i="6" s="1"/>
  <c r="U98" i="6"/>
  <c r="D100" i="6"/>
  <c r="D99" i="6"/>
  <c r="W92" i="6"/>
  <c r="W15" i="6" s="1"/>
  <c r="V92" i="6"/>
  <c r="V15" i="6" s="1"/>
  <c r="U92" i="6"/>
  <c r="U15" i="6" s="1"/>
  <c r="U18" i="6" l="1"/>
  <c r="W18" i="6"/>
  <c r="V20" i="6"/>
  <c r="U111" i="6"/>
  <c r="U110" i="6" s="1"/>
  <c r="W111" i="6"/>
  <c r="W110" i="6" s="1"/>
  <c r="V273" i="6"/>
  <c r="V101" i="6"/>
  <c r="U273" i="6"/>
  <c r="U101" i="6"/>
  <c r="W101" i="6"/>
  <c r="V111" i="6"/>
  <c r="V110" i="6" s="1"/>
  <c r="U119" i="6"/>
  <c r="U274" i="6"/>
  <c r="W119" i="6"/>
  <c r="W274" i="6"/>
  <c r="V119" i="6"/>
  <c r="V274" i="6"/>
  <c r="W91" i="6"/>
  <c r="W90" i="6" s="1"/>
  <c r="W273" i="6"/>
  <c r="V91" i="6"/>
  <c r="U91" i="6"/>
  <c r="U90" i="6" s="1"/>
  <c r="D33" i="13"/>
  <c r="D24" i="13" s="1"/>
  <c r="U11" i="13"/>
  <c r="V11" i="13"/>
  <c r="W11" i="13"/>
  <c r="U16" i="13"/>
  <c r="V16" i="13"/>
  <c r="L98" i="9"/>
  <c r="V276" i="6" l="1"/>
  <c r="V287" i="6" s="1"/>
  <c r="W276" i="6"/>
  <c r="W287" i="6" s="1"/>
  <c r="U276" i="6"/>
  <c r="U287" i="6" s="1"/>
  <c r="W11" i="6"/>
  <c r="U11" i="6"/>
  <c r="V114" i="6"/>
  <c r="V12" i="6" s="1"/>
  <c r="W114" i="6"/>
  <c r="U7" i="10" s="1"/>
  <c r="U114" i="6"/>
  <c r="S7" i="10" s="1"/>
  <c r="V90" i="6"/>
  <c r="T7" i="10" s="1"/>
  <c r="W16" i="13"/>
  <c r="W12" i="13" s="1"/>
  <c r="W22" i="13"/>
  <c r="W19" i="13" s="1"/>
  <c r="U22" i="13"/>
  <c r="U19" i="13" s="1"/>
  <c r="V22" i="13"/>
  <c r="V19" i="13" s="1"/>
  <c r="V9" i="13"/>
  <c r="W9" i="13"/>
  <c r="U9" i="13"/>
  <c r="V12" i="13"/>
  <c r="U12" i="13"/>
  <c r="U277" i="6" l="1"/>
  <c r="U288" i="6" s="1"/>
  <c r="U12" i="6"/>
  <c r="W277" i="6"/>
  <c r="W288" i="6" s="1"/>
  <c r="W12" i="6"/>
  <c r="V277" i="6"/>
  <c r="V288" i="6" s="1"/>
  <c r="V11" i="6"/>
  <c r="D83" i="9"/>
  <c r="D77" i="9"/>
  <c r="D54" i="9"/>
  <c r="D51" i="9"/>
  <c r="D38" i="9"/>
  <c r="D35" i="9"/>
  <c r="D33" i="9"/>
  <c r="D26" i="9"/>
  <c r="M122" i="9"/>
  <c r="D122" i="9" s="1"/>
  <c r="M119" i="9"/>
  <c r="M104" i="9"/>
  <c r="D104" i="9" s="1"/>
  <c r="D103" i="9" s="1"/>
  <c r="D102" i="9" s="1"/>
  <c r="D99" i="9"/>
  <c r="D13" i="9" s="1"/>
  <c r="M95" i="9"/>
  <c r="D95" i="9" s="1"/>
  <c r="M92" i="9"/>
  <c r="M86" i="9"/>
  <c r="D24" i="9"/>
  <c r="U143" i="9"/>
  <c r="R60" i="1" s="1"/>
  <c r="V143" i="9"/>
  <c r="S60" i="1" s="1"/>
  <c r="W143" i="9"/>
  <c r="T60" i="1" s="1"/>
  <c r="U144" i="9"/>
  <c r="V144" i="9"/>
  <c r="W144" i="9"/>
  <c r="U147" i="9"/>
  <c r="R66" i="1" s="1"/>
  <c r="V147" i="9"/>
  <c r="S66" i="1" s="1"/>
  <c r="W147" i="9"/>
  <c r="T66" i="1" s="1"/>
  <c r="U148" i="9"/>
  <c r="V148" i="9"/>
  <c r="W148" i="9"/>
  <c r="U9" i="9"/>
  <c r="V9" i="9"/>
  <c r="W9" i="9"/>
  <c r="U10" i="9"/>
  <c r="V10" i="9"/>
  <c r="W10" i="9"/>
  <c r="U12" i="9"/>
  <c r="V12" i="9"/>
  <c r="W12" i="9"/>
  <c r="U14" i="9"/>
  <c r="V14" i="9"/>
  <c r="W14" i="9"/>
  <c r="D92" i="9" l="1"/>
  <c r="M15" i="9"/>
  <c r="D119" i="9"/>
  <c r="M118" i="9"/>
  <c r="D86" i="9"/>
  <c r="M19" i="9"/>
  <c r="V18" i="9"/>
  <c r="V17" i="9" s="1"/>
  <c r="W18" i="9"/>
  <c r="W17" i="9" s="1"/>
  <c r="U18" i="9"/>
  <c r="U17" i="9" s="1"/>
  <c r="W8" i="9"/>
  <c r="U8" i="9"/>
  <c r="V8" i="9"/>
  <c r="V146" i="9"/>
  <c r="V145" i="9" s="1"/>
  <c r="V142" i="9"/>
  <c r="W146" i="9"/>
  <c r="W145" i="9" s="1"/>
  <c r="U146" i="9"/>
  <c r="U145" i="9" s="1"/>
  <c r="W142" i="9"/>
  <c r="U142" i="9"/>
  <c r="V11" i="9"/>
  <c r="W11" i="9"/>
  <c r="U11" i="9"/>
  <c r="U10" i="7"/>
  <c r="U8" i="7" s="1"/>
  <c r="V10" i="7"/>
  <c r="V8" i="7" s="1"/>
  <c r="W10" i="7"/>
  <c r="W8" i="7" s="1"/>
  <c r="U13" i="7"/>
  <c r="V13" i="7"/>
  <c r="W13" i="7"/>
  <c r="U14" i="7"/>
  <c r="V14" i="7"/>
  <c r="W14" i="7"/>
  <c r="U16" i="7"/>
  <c r="U15" i="7" s="1"/>
  <c r="V16" i="7"/>
  <c r="V15" i="7" s="1"/>
  <c r="W16" i="7"/>
  <c r="W15" i="7" s="1"/>
  <c r="U18" i="7"/>
  <c r="V18" i="7"/>
  <c r="W18" i="7"/>
  <c r="U20" i="7"/>
  <c r="V20" i="7"/>
  <c r="W20" i="7"/>
  <c r="D70" i="7"/>
  <c r="D59" i="7"/>
  <c r="D97" i="6"/>
  <c r="D95" i="6"/>
  <c r="D94" i="6"/>
  <c r="D93" i="6"/>
  <c r="X254" i="6"/>
  <c r="M130" i="6"/>
  <c r="M112" i="6"/>
  <c r="M68" i="6"/>
  <c r="D68" i="6" s="1"/>
  <c r="M66" i="6"/>
  <c r="D66" i="6" s="1"/>
  <c r="M63" i="6"/>
  <c r="M61" i="6"/>
  <c r="D61" i="6" s="1"/>
  <c r="D60" i="6" s="1"/>
  <c r="M57" i="6"/>
  <c r="M55" i="6"/>
  <c r="M52" i="6"/>
  <c r="D52" i="6" s="1"/>
  <c r="M50" i="6"/>
  <c r="R25" i="1"/>
  <c r="S25" i="1"/>
  <c r="T25" i="1"/>
  <c r="U19" i="6"/>
  <c r="V19" i="6"/>
  <c r="W19" i="6"/>
  <c r="U22" i="6"/>
  <c r="V22" i="6"/>
  <c r="W22" i="6"/>
  <c r="U25" i="6"/>
  <c r="V25" i="6"/>
  <c r="W25" i="6"/>
  <c r="M53" i="5"/>
  <c r="U12" i="4"/>
  <c r="R61" i="1" s="1"/>
  <c r="V12" i="4"/>
  <c r="S61" i="1" s="1"/>
  <c r="W12" i="4"/>
  <c r="T61" i="1" s="1"/>
  <c r="U16" i="4"/>
  <c r="R67" i="1" s="1"/>
  <c r="V16" i="4"/>
  <c r="S67" i="1" s="1"/>
  <c r="W16" i="4"/>
  <c r="T67" i="1" s="1"/>
  <c r="U17" i="4"/>
  <c r="R68" i="1" s="1"/>
  <c r="R123" i="1" s="1"/>
  <c r="R185" i="1" s="1"/>
  <c r="V17" i="4"/>
  <c r="S68" i="1" s="1"/>
  <c r="S123" i="1" s="1"/>
  <c r="S185" i="1" s="1"/>
  <c r="W17" i="4"/>
  <c r="T68" i="1" s="1"/>
  <c r="U18" i="4"/>
  <c r="R70" i="1" s="1"/>
  <c r="V18" i="4"/>
  <c r="S70" i="1" s="1"/>
  <c r="W18" i="4"/>
  <c r="T70" i="1" s="1"/>
  <c r="U20" i="4"/>
  <c r="R69" i="1" s="1"/>
  <c r="V20" i="4"/>
  <c r="S69" i="1" s="1"/>
  <c r="W20" i="4"/>
  <c r="T69" i="1" s="1"/>
  <c r="U22" i="4"/>
  <c r="V22" i="4"/>
  <c r="W22" i="4"/>
  <c r="U25" i="4"/>
  <c r="V25" i="4"/>
  <c r="W25" i="4"/>
  <c r="U26" i="4"/>
  <c r="V26" i="4"/>
  <c r="W26" i="4"/>
  <c r="U28" i="4"/>
  <c r="U27" i="4" s="1"/>
  <c r="V28" i="4"/>
  <c r="V27" i="4" s="1"/>
  <c r="W28" i="4"/>
  <c r="W27" i="4" s="1"/>
  <c r="X82" i="4"/>
  <c r="X87" i="4"/>
  <c r="U90" i="4"/>
  <c r="U89" i="4" s="1"/>
  <c r="V90" i="4"/>
  <c r="V89" i="4" s="1"/>
  <c r="W90" i="4"/>
  <c r="W89" i="4" s="1"/>
  <c r="X125" i="4"/>
  <c r="M56" i="5"/>
  <c r="D56" i="5" s="1"/>
  <c r="D49" i="5"/>
  <c r="D53" i="5"/>
  <c r="U15" i="5"/>
  <c r="V15" i="5"/>
  <c r="W15" i="5"/>
  <c r="V21" i="6" l="1"/>
  <c r="D63" i="6"/>
  <c r="M115" i="9"/>
  <c r="D130" i="6"/>
  <c r="D57" i="6"/>
  <c r="W21" i="6"/>
  <c r="U21" i="6"/>
  <c r="D50" i="6"/>
  <c r="D55" i="6"/>
  <c r="T123" i="1"/>
  <c r="T185" i="1" s="1"/>
  <c r="V14" i="6"/>
  <c r="V13" i="6" s="1"/>
  <c r="W14" i="6"/>
  <c r="U14" i="6"/>
  <c r="V12" i="7"/>
  <c r="V17" i="7"/>
  <c r="W12" i="7"/>
  <c r="U12" i="7"/>
  <c r="W21" i="4"/>
  <c r="T74" i="1"/>
  <c r="T73" i="1" s="1"/>
  <c r="U21" i="4"/>
  <c r="R74" i="1"/>
  <c r="R73" i="1" s="1"/>
  <c r="S64" i="1"/>
  <c r="S59" i="1"/>
  <c r="W24" i="4"/>
  <c r="V21" i="4"/>
  <c r="S74" i="1"/>
  <c r="S73" i="1" s="1"/>
  <c r="T64" i="1"/>
  <c r="T63" i="1" s="1"/>
  <c r="T85" i="1" s="1"/>
  <c r="R64" i="1"/>
  <c r="T59" i="1"/>
  <c r="R59" i="1"/>
  <c r="W16" i="5"/>
  <c r="U16" i="5"/>
  <c r="V14" i="5"/>
  <c r="V16" i="5"/>
  <c r="W14" i="5"/>
  <c r="W13" i="5" s="1"/>
  <c r="U14" i="5"/>
  <c r="U19" i="5"/>
  <c r="U18" i="5" s="1"/>
  <c r="V19" i="5"/>
  <c r="V18" i="5" s="1"/>
  <c r="W19" i="5"/>
  <c r="W18" i="5" s="1"/>
  <c r="U24" i="4"/>
  <c r="W14" i="4"/>
  <c r="W13" i="4" s="1"/>
  <c r="U14" i="4"/>
  <c r="U13" i="4" s="1"/>
  <c r="W10" i="4"/>
  <c r="U10" i="4"/>
  <c r="V24" i="4"/>
  <c r="V14" i="4"/>
  <c r="V10" i="4"/>
  <c r="W13" i="6"/>
  <c r="U13" i="6"/>
  <c r="W10" i="6"/>
  <c r="U10" i="6"/>
  <c r="V10" i="6"/>
  <c r="W11" i="7"/>
  <c r="U11" i="7"/>
  <c r="W17" i="7"/>
  <c r="U17" i="7"/>
  <c r="V11" i="7"/>
  <c r="W23" i="4"/>
  <c r="U23" i="4"/>
  <c r="U13" i="5"/>
  <c r="M125" i="4"/>
  <c r="M124" i="4"/>
  <c r="E76" i="4"/>
  <c r="F76" i="4"/>
  <c r="G76" i="4"/>
  <c r="H76" i="4"/>
  <c r="I76" i="4"/>
  <c r="J76" i="4"/>
  <c r="K76" i="4"/>
  <c r="L76" i="4"/>
  <c r="E73" i="4"/>
  <c r="F73" i="4"/>
  <c r="G73" i="4"/>
  <c r="H73" i="4"/>
  <c r="I73" i="4"/>
  <c r="J73" i="4"/>
  <c r="K73" i="4"/>
  <c r="L73" i="4"/>
  <c r="E74" i="4"/>
  <c r="F74" i="4"/>
  <c r="G74" i="4"/>
  <c r="H74" i="4"/>
  <c r="I74" i="4"/>
  <c r="J74" i="4"/>
  <c r="K74" i="4"/>
  <c r="L74" i="4"/>
  <c r="E71" i="4"/>
  <c r="F71" i="4"/>
  <c r="G71" i="4"/>
  <c r="H71" i="4"/>
  <c r="I71" i="4"/>
  <c r="J71" i="4"/>
  <c r="K71" i="4"/>
  <c r="L71" i="4"/>
  <c r="E68" i="4"/>
  <c r="E67" i="4" s="1"/>
  <c r="F68" i="4"/>
  <c r="F67" i="4" s="1"/>
  <c r="G68" i="4"/>
  <c r="G67" i="4" s="1"/>
  <c r="H68" i="4"/>
  <c r="H67" i="4" s="1"/>
  <c r="I68" i="4"/>
  <c r="I67" i="4" s="1"/>
  <c r="J68" i="4"/>
  <c r="J67" i="4" s="1"/>
  <c r="K68" i="4"/>
  <c r="K67" i="4" s="1"/>
  <c r="L68" i="4"/>
  <c r="L67" i="4" s="1"/>
  <c r="M113" i="4"/>
  <c r="M108" i="4"/>
  <c r="M107" i="4"/>
  <c r="M97" i="4"/>
  <c r="M92" i="4"/>
  <c r="M91" i="4"/>
  <c r="M87" i="4"/>
  <c r="M86" i="4"/>
  <c r="M82" i="4"/>
  <c r="M81" i="4"/>
  <c r="M56" i="4"/>
  <c r="M50" i="4"/>
  <c r="M45" i="4"/>
  <c r="D125" i="4"/>
  <c r="D124" i="4"/>
  <c r="D113" i="4"/>
  <c r="D108" i="4"/>
  <c r="D107" i="4"/>
  <c r="D97" i="4"/>
  <c r="D92" i="4"/>
  <c r="D91" i="4"/>
  <c r="D87" i="4"/>
  <c r="D86" i="4"/>
  <c r="D82" i="4"/>
  <c r="D81" i="4"/>
  <c r="D56" i="4"/>
  <c r="D52" i="4"/>
  <c r="D50" i="4"/>
  <c r="D45" i="4"/>
  <c r="D43" i="4"/>
  <c r="U19" i="3"/>
  <c r="V19" i="3"/>
  <c r="W19" i="3"/>
  <c r="U221" i="3"/>
  <c r="V221" i="3"/>
  <c r="W221" i="3"/>
  <c r="U219" i="3"/>
  <c r="V219" i="3"/>
  <c r="W219" i="3"/>
  <c r="V218" i="3"/>
  <c r="U216" i="3"/>
  <c r="V216" i="3"/>
  <c r="W216" i="3"/>
  <c r="U213" i="3"/>
  <c r="V213" i="3"/>
  <c r="W213" i="3"/>
  <c r="W10" i="8"/>
  <c r="W11" i="8"/>
  <c r="W14" i="8"/>
  <c r="W15" i="8"/>
  <c r="W16" i="8"/>
  <c r="T20" i="1" s="1"/>
  <c r="W17" i="8"/>
  <c r="W19" i="8"/>
  <c r="T27" i="1" s="1"/>
  <c r="W20" i="8"/>
  <c r="W21" i="8"/>
  <c r="T30" i="1" s="1"/>
  <c r="W22" i="8"/>
  <c r="W25" i="8"/>
  <c r="W26" i="8"/>
  <c r="T36" i="1" s="1"/>
  <c r="W27" i="8"/>
  <c r="W28" i="8"/>
  <c r="T35" i="1" s="1"/>
  <c r="T136" i="1" s="1"/>
  <c r="T198" i="1" s="1"/>
  <c r="W31" i="8"/>
  <c r="W32" i="8"/>
  <c r="T44" i="1" s="1"/>
  <c r="T142" i="1" s="1"/>
  <c r="T204" i="1" s="1"/>
  <c r="W33" i="8"/>
  <c r="U10" i="8"/>
  <c r="V10" i="8"/>
  <c r="U11" i="8"/>
  <c r="V11" i="8"/>
  <c r="U14" i="8"/>
  <c r="V14" i="8"/>
  <c r="U15" i="8"/>
  <c r="V15" i="8"/>
  <c r="U16" i="8"/>
  <c r="R20" i="1" s="1"/>
  <c r="R125" i="1" s="1"/>
  <c r="R191" i="1" s="1"/>
  <c r="V16" i="8"/>
  <c r="S20" i="1" s="1"/>
  <c r="S125" i="1" s="1"/>
  <c r="S191" i="1" s="1"/>
  <c r="U17" i="8"/>
  <c r="V17" i="8"/>
  <c r="U19" i="8"/>
  <c r="R27" i="1" s="1"/>
  <c r="V19" i="8"/>
  <c r="S27" i="1" s="1"/>
  <c r="U20" i="8"/>
  <c r="V20" i="8"/>
  <c r="U21" i="8"/>
  <c r="R30" i="1" s="1"/>
  <c r="R130" i="1" s="1"/>
  <c r="R192" i="1" s="1"/>
  <c r="V21" i="8"/>
  <c r="S30" i="1" s="1"/>
  <c r="S130" i="1" s="1"/>
  <c r="S192" i="1" s="1"/>
  <c r="U22" i="8"/>
  <c r="V22" i="8"/>
  <c r="U25" i="8"/>
  <c r="V25" i="8"/>
  <c r="U26" i="8"/>
  <c r="R36" i="1" s="1"/>
  <c r="R141" i="1" s="1"/>
  <c r="R203" i="1" s="1"/>
  <c r="V26" i="8"/>
  <c r="S36" i="1" s="1"/>
  <c r="S141" i="1" s="1"/>
  <c r="S203" i="1" s="1"/>
  <c r="U27" i="8"/>
  <c r="V27" i="8"/>
  <c r="U28" i="8"/>
  <c r="R136" i="1" s="1"/>
  <c r="R198" i="1" s="1"/>
  <c r="V28" i="8"/>
  <c r="S35" i="1" s="1"/>
  <c r="S136" i="1" s="1"/>
  <c r="S198" i="1" s="1"/>
  <c r="U31" i="8"/>
  <c r="V31" i="8"/>
  <c r="U32" i="8"/>
  <c r="R44" i="1" s="1"/>
  <c r="R142" i="1" s="1"/>
  <c r="R204" i="1" s="1"/>
  <c r="V32" i="8"/>
  <c r="S44" i="1" s="1"/>
  <c r="S142" i="1" s="1"/>
  <c r="S204" i="1" s="1"/>
  <c r="U33" i="8"/>
  <c r="V33" i="8"/>
  <c r="D221" i="8"/>
  <c r="D217" i="8"/>
  <c r="M149" i="8"/>
  <c r="M146" i="8"/>
  <c r="M143" i="8"/>
  <c r="M141" i="8"/>
  <c r="M140" i="8"/>
  <c r="M121" i="8"/>
  <c r="D121" i="8" s="1"/>
  <c r="M67" i="8"/>
  <c r="D67" i="8" s="1"/>
  <c r="M64" i="8"/>
  <c r="D64" i="8" s="1"/>
  <c r="M60" i="8"/>
  <c r="D60" i="8" s="1"/>
  <c r="M57" i="8"/>
  <c r="D57" i="8" s="1"/>
  <c r="M52" i="8"/>
  <c r="D52" i="8" s="1"/>
  <c r="M48" i="8"/>
  <c r="D48" i="8" s="1"/>
  <c r="M41" i="8"/>
  <c r="D41" i="8" s="1"/>
  <c r="M602" i="2"/>
  <c r="D602" i="2" s="1"/>
  <c r="U382" i="2"/>
  <c r="V382" i="2"/>
  <c r="W382" i="2"/>
  <c r="U385" i="2"/>
  <c r="V385" i="2"/>
  <c r="W385" i="2"/>
  <c r="U390" i="2"/>
  <c r="V390" i="2"/>
  <c r="W390" i="2"/>
  <c r="U477" i="2"/>
  <c r="V477" i="2"/>
  <c r="W477" i="2"/>
  <c r="U478" i="2"/>
  <c r="U15" i="2" s="1"/>
  <c r="V478" i="2"/>
  <c r="V15" i="2" s="1"/>
  <c r="W478" i="2"/>
  <c r="W15" i="2" s="1"/>
  <c r="U479" i="2"/>
  <c r="U17" i="2" s="1"/>
  <c r="V479" i="2"/>
  <c r="V17" i="2" s="1"/>
  <c r="W479" i="2"/>
  <c r="W17" i="2" s="1"/>
  <c r="U481" i="2"/>
  <c r="V481" i="2"/>
  <c r="W481" i="2"/>
  <c r="U482" i="2"/>
  <c r="U22" i="2" s="1"/>
  <c r="R28" i="1" s="1"/>
  <c r="R131" i="1" s="1"/>
  <c r="R193" i="1" s="1"/>
  <c r="V482" i="2"/>
  <c r="V22" i="2" s="1"/>
  <c r="S28" i="1" s="1"/>
  <c r="S131" i="1" s="1"/>
  <c r="S193" i="1" s="1"/>
  <c r="W482" i="2"/>
  <c r="W22" i="2" s="1"/>
  <c r="T28" i="1" s="1"/>
  <c r="U485" i="2"/>
  <c r="U25" i="2" s="1"/>
  <c r="V485" i="2"/>
  <c r="V25" i="2" s="1"/>
  <c r="W485" i="2"/>
  <c r="W25" i="2" s="1"/>
  <c r="U486" i="2"/>
  <c r="U27" i="2" s="1"/>
  <c r="R38" i="1" s="1"/>
  <c r="R139" i="1" s="1"/>
  <c r="V486" i="2"/>
  <c r="V27" i="2" s="1"/>
  <c r="W486" i="2"/>
  <c r="W27" i="2" s="1"/>
  <c r="T38" i="1" s="1"/>
  <c r="T139" i="1" s="1"/>
  <c r="U488" i="2"/>
  <c r="V488" i="2"/>
  <c r="W488" i="2"/>
  <c r="U489" i="2"/>
  <c r="U34" i="2" s="1"/>
  <c r="R43" i="1" s="1"/>
  <c r="R146" i="1" s="1"/>
  <c r="R208" i="1" s="1"/>
  <c r="V489" i="2"/>
  <c r="W489" i="2"/>
  <c r="W34" i="2" s="1"/>
  <c r="T43" i="1" s="1"/>
  <c r="T146" i="1" s="1"/>
  <c r="T208" i="1" s="1"/>
  <c r="U520" i="2"/>
  <c r="U519" i="2" s="1"/>
  <c r="V520" i="2"/>
  <c r="V519" i="2" s="1"/>
  <c r="W520" i="2"/>
  <c r="W519" i="2" s="1"/>
  <c r="U522" i="2"/>
  <c r="U521" i="2" s="1"/>
  <c r="V522" i="2"/>
  <c r="V521" i="2" s="1"/>
  <c r="W522" i="2"/>
  <c r="W521" i="2" s="1"/>
  <c r="U525" i="2"/>
  <c r="U524" i="2" s="1"/>
  <c r="U523" i="2" s="1"/>
  <c r="S41" i="10" s="1"/>
  <c r="V525" i="2"/>
  <c r="V524" i="2" s="1"/>
  <c r="V523" i="2" s="1"/>
  <c r="T41" i="10" s="1"/>
  <c r="W525" i="2"/>
  <c r="W524" i="2" s="1"/>
  <c r="W523" i="2" s="1"/>
  <c r="U41" i="10" s="1"/>
  <c r="W40" i="2"/>
  <c r="W18" i="2" s="1"/>
  <c r="T24" i="1" s="1"/>
  <c r="W42" i="2"/>
  <c r="W46" i="2"/>
  <c r="W47" i="2"/>
  <c r="W28" i="2" s="1"/>
  <c r="T39" i="1" s="1"/>
  <c r="T143" i="1" s="1"/>
  <c r="T205" i="1" s="1"/>
  <c r="W48" i="2"/>
  <c r="W51" i="2"/>
  <c r="W31" i="2" s="1"/>
  <c r="U40" i="2"/>
  <c r="U18" i="2" s="1"/>
  <c r="R24" i="1" s="1"/>
  <c r="R129" i="1" s="1"/>
  <c r="R190" i="1" s="1"/>
  <c r="V40" i="2"/>
  <c r="V18" i="2" s="1"/>
  <c r="S24" i="1" s="1"/>
  <c r="S129" i="1" s="1"/>
  <c r="S190" i="1" s="1"/>
  <c r="U42" i="2"/>
  <c r="V42" i="2"/>
  <c r="U46" i="2"/>
  <c r="U26" i="2" s="1"/>
  <c r="V46" i="2"/>
  <c r="V26" i="2" s="1"/>
  <c r="U47" i="2"/>
  <c r="V47" i="2"/>
  <c r="V28" i="2" s="1"/>
  <c r="S39" i="1" s="1"/>
  <c r="S143" i="1" s="1"/>
  <c r="S205" i="1" s="1"/>
  <c r="U48" i="2"/>
  <c r="U29" i="2" s="1"/>
  <c r="R40" i="1" s="1"/>
  <c r="R144" i="1" s="1"/>
  <c r="R206" i="1" s="1"/>
  <c r="V48" i="2"/>
  <c r="V29" i="2" s="1"/>
  <c r="S40" i="1" s="1"/>
  <c r="S144" i="1" s="1"/>
  <c r="S206" i="1" s="1"/>
  <c r="U51" i="2"/>
  <c r="U31" i="2" s="1"/>
  <c r="V51" i="2"/>
  <c r="V31" i="2" s="1"/>
  <c r="U33" i="2"/>
  <c r="R46" i="1" s="1"/>
  <c r="V33" i="2"/>
  <c r="S46" i="1" s="1"/>
  <c r="U28" i="2"/>
  <c r="R39" i="1" s="1"/>
  <c r="R143" i="1" s="1"/>
  <c r="R205" i="1" s="1"/>
  <c r="W29" i="2"/>
  <c r="T40" i="1" s="1"/>
  <c r="T144" i="1" s="1"/>
  <c r="T206" i="1" s="1"/>
  <c r="V34" i="2"/>
  <c r="S43" i="1" s="1"/>
  <c r="S146" i="1" s="1"/>
  <c r="S208" i="1" s="1"/>
  <c r="M650" i="2"/>
  <c r="M638" i="2"/>
  <c r="D638" i="2" s="1"/>
  <c r="M635" i="2"/>
  <c r="D635" i="2" s="1"/>
  <c r="M630" i="2"/>
  <c r="D630" i="2" s="1"/>
  <c r="M627" i="2"/>
  <c r="M617" i="2"/>
  <c r="D617" i="2" s="1"/>
  <c r="D547" i="2" s="1"/>
  <c r="D598" i="2"/>
  <c r="M595" i="2"/>
  <c r="D595" i="2" s="1"/>
  <c r="M554" i="2"/>
  <c r="D531" i="2"/>
  <c r="D522" i="2" s="1"/>
  <c r="M501" i="2"/>
  <c r="M494" i="2"/>
  <c r="M272" i="2"/>
  <c r="D272" i="2" s="1"/>
  <c r="M269" i="2"/>
  <c r="D269" i="2" s="1"/>
  <c r="M265" i="2"/>
  <c r="D265" i="2" s="1"/>
  <c r="M253" i="2"/>
  <c r="M180" i="2"/>
  <c r="D180" i="2" s="1"/>
  <c r="N120" i="2"/>
  <c r="E115" i="2"/>
  <c r="M93" i="2"/>
  <c r="D93" i="2" s="1"/>
  <c r="M86" i="2"/>
  <c r="D86" i="2" s="1"/>
  <c r="M233" i="2"/>
  <c r="D233" i="2" s="1"/>
  <c r="D234" i="2"/>
  <c r="T201" i="1" l="1"/>
  <c r="R201" i="1"/>
  <c r="R63" i="1"/>
  <c r="R85" i="1" s="1"/>
  <c r="R106" i="1" s="1"/>
  <c r="S63" i="1"/>
  <c r="S85" i="1" s="1"/>
  <c r="S106" i="1" s="1"/>
  <c r="D627" i="2"/>
  <c r="D542" i="2" s="1"/>
  <c r="M542" i="2"/>
  <c r="R103" i="1"/>
  <c r="R101" i="1" s="1"/>
  <c r="R100" i="1" s="1"/>
  <c r="T103" i="1"/>
  <c r="T101" i="1" s="1"/>
  <c r="T100" i="1" s="1"/>
  <c r="S103" i="1"/>
  <c r="S101" i="1" s="1"/>
  <c r="S100" i="1" s="1"/>
  <c r="U20" i="2"/>
  <c r="R29" i="1" s="1"/>
  <c r="R128" i="1" s="1"/>
  <c r="R189" i="1" s="1"/>
  <c r="D253" i="2"/>
  <c r="M252" i="2"/>
  <c r="U16" i="2"/>
  <c r="R21" i="1" s="1"/>
  <c r="R126" i="1" s="1"/>
  <c r="R187" i="1" s="1"/>
  <c r="W26" i="2"/>
  <c r="T37" i="1" s="1"/>
  <c r="T138" i="1" s="1"/>
  <c r="T200" i="1" s="1"/>
  <c r="W387" i="2"/>
  <c r="U29" i="10" s="1"/>
  <c r="U387" i="2"/>
  <c r="S29" i="10" s="1"/>
  <c r="R34" i="1"/>
  <c r="R137" i="1" s="1"/>
  <c r="R199" i="1" s="1"/>
  <c r="R19" i="1"/>
  <c r="R124" i="1" s="1"/>
  <c r="R186" i="1" s="1"/>
  <c r="T19" i="1"/>
  <c r="V16" i="2"/>
  <c r="S21" i="1" s="1"/>
  <c r="S126" i="1" s="1"/>
  <c r="S187" i="1" s="1"/>
  <c r="W16" i="2"/>
  <c r="T21" i="1" s="1"/>
  <c r="T126" i="1" s="1"/>
  <c r="T187" i="1" s="1"/>
  <c r="V387" i="2"/>
  <c r="T29" i="10" s="1"/>
  <c r="S34" i="1"/>
  <c r="S137" i="1" s="1"/>
  <c r="S199" i="1" s="1"/>
  <c r="S19" i="1"/>
  <c r="S124" i="1" s="1"/>
  <c r="S186" i="1" s="1"/>
  <c r="T34" i="1"/>
  <c r="T137" i="1" s="1"/>
  <c r="T199" i="1" s="1"/>
  <c r="S38" i="1"/>
  <c r="S139" i="1" s="1"/>
  <c r="S22" i="1"/>
  <c r="S127" i="1" s="1"/>
  <c r="S188" i="1" s="1"/>
  <c r="T22" i="1"/>
  <c r="T127" i="1" s="1"/>
  <c r="T188" i="1" s="1"/>
  <c r="R22" i="1"/>
  <c r="R127" i="1" s="1"/>
  <c r="R188" i="1" s="1"/>
  <c r="T129" i="1"/>
  <c r="T190" i="1" s="1"/>
  <c r="T131" i="1"/>
  <c r="T193" i="1" s="1"/>
  <c r="T130" i="1"/>
  <c r="T192" i="1" s="1"/>
  <c r="T125" i="1"/>
  <c r="T191" i="1" s="1"/>
  <c r="W33" i="2"/>
  <c r="T46" i="1" s="1"/>
  <c r="U14" i="2"/>
  <c r="R18" i="1" s="1"/>
  <c r="R122" i="1" s="1"/>
  <c r="R184" i="1" s="1"/>
  <c r="V32" i="2"/>
  <c r="V21" i="2"/>
  <c r="S31" i="1" s="1"/>
  <c r="S132" i="1" s="1"/>
  <c r="S194" i="1" s="1"/>
  <c r="W20" i="2"/>
  <c r="R51" i="1"/>
  <c r="V14" i="2"/>
  <c r="V13" i="2" s="1"/>
  <c r="W14" i="2"/>
  <c r="T18" i="1" s="1"/>
  <c r="W32" i="2"/>
  <c r="T45" i="1" s="1"/>
  <c r="U32" i="2"/>
  <c r="R45" i="1" s="1"/>
  <c r="W21" i="2"/>
  <c r="U21" i="2"/>
  <c r="R31" i="1" s="1"/>
  <c r="R132" i="1" s="1"/>
  <c r="R194" i="1" s="1"/>
  <c r="V20" i="2"/>
  <c r="S29" i="1" s="1"/>
  <c r="W50" i="2"/>
  <c r="S37" i="1"/>
  <c r="S138" i="1" s="1"/>
  <c r="S200" i="1" s="1"/>
  <c r="V45" i="2"/>
  <c r="V37" i="2"/>
  <c r="V36" i="2" s="1"/>
  <c r="W45" i="2"/>
  <c r="W37" i="2"/>
  <c r="W36" i="2" s="1"/>
  <c r="R37" i="1"/>
  <c r="R138" i="1" s="1"/>
  <c r="R200" i="1" s="1"/>
  <c r="U45" i="2"/>
  <c r="U37" i="2"/>
  <c r="U36" i="2" s="1"/>
  <c r="S51" i="1"/>
  <c r="W218" i="3"/>
  <c r="U218" i="3"/>
  <c r="V13" i="4"/>
  <c r="V23" i="4"/>
  <c r="V13" i="5"/>
  <c r="T106" i="1"/>
  <c r="V12" i="3"/>
  <c r="W12" i="3"/>
  <c r="W11" i="3" s="1"/>
  <c r="U12" i="3"/>
  <c r="V9" i="2"/>
  <c r="V518" i="2"/>
  <c r="T40" i="10" s="1"/>
  <c r="V487" i="2"/>
  <c r="V484" i="2"/>
  <c r="V480" i="2"/>
  <c r="W476" i="2"/>
  <c r="U476" i="2"/>
  <c r="V381" i="2"/>
  <c r="T28" i="10" s="1"/>
  <c r="S14" i="1"/>
  <c r="S90" i="1" s="1"/>
  <c r="W9" i="2"/>
  <c r="U9" i="2"/>
  <c r="W487" i="2"/>
  <c r="U487" i="2"/>
  <c r="W484" i="2"/>
  <c r="W483" i="2" s="1"/>
  <c r="U12" i="10" s="1"/>
  <c r="U484" i="2"/>
  <c r="U483" i="2" s="1"/>
  <c r="S12" i="10" s="1"/>
  <c r="W480" i="2"/>
  <c r="U480" i="2"/>
  <c r="V476" i="2"/>
  <c r="R14" i="1"/>
  <c r="R90" i="1" s="1"/>
  <c r="T14" i="1"/>
  <c r="W9" i="8"/>
  <c r="T141" i="1"/>
  <c r="T203" i="1" s="1"/>
  <c r="W212" i="3"/>
  <c r="V212" i="3"/>
  <c r="U212" i="3"/>
  <c r="W18" i="3"/>
  <c r="T98" i="1" s="1"/>
  <c r="U18" i="3"/>
  <c r="R98" i="1" s="1"/>
  <c r="V11" i="3"/>
  <c r="V18" i="3"/>
  <c r="S98" i="1" s="1"/>
  <c r="U11" i="3"/>
  <c r="U30" i="8"/>
  <c r="U24" i="8"/>
  <c r="U18" i="8"/>
  <c r="U13" i="8"/>
  <c r="U9" i="8"/>
  <c r="W18" i="8"/>
  <c r="V30" i="8"/>
  <c r="V24" i="8"/>
  <c r="V18" i="8"/>
  <c r="V13" i="8"/>
  <c r="V9" i="8"/>
  <c r="W30" i="8"/>
  <c r="W24" i="8"/>
  <c r="W13" i="8"/>
  <c r="W12" i="8" s="1"/>
  <c r="W381" i="2"/>
  <c r="U28" i="10" s="1"/>
  <c r="U381" i="2"/>
  <c r="S28" i="10" s="1"/>
  <c r="W518" i="2"/>
  <c r="U40" i="10" s="1"/>
  <c r="U518" i="2"/>
  <c r="S40" i="10" s="1"/>
  <c r="U50" i="2"/>
  <c r="V50" i="2"/>
  <c r="V44" i="2" s="1"/>
  <c r="T8" i="10" s="1"/>
  <c r="S201" i="1" l="1"/>
  <c r="W24" i="2"/>
  <c r="T29" i="1"/>
  <c r="T128" i="1" s="1"/>
  <c r="T189" i="1" s="1"/>
  <c r="V30" i="2"/>
  <c r="S45" i="1"/>
  <c r="S145" i="1" s="1"/>
  <c r="S207" i="1" s="1"/>
  <c r="W44" i="2"/>
  <c r="U8" i="10" s="1"/>
  <c r="T43" i="10"/>
  <c r="S43" i="10"/>
  <c r="T145" i="1"/>
  <c r="T207" i="1" s="1"/>
  <c r="R145" i="1"/>
  <c r="R207" i="1" s="1"/>
  <c r="V23" i="8"/>
  <c r="V12" i="8"/>
  <c r="U12" i="8"/>
  <c r="U23" i="8"/>
  <c r="T51" i="1"/>
  <c r="T52" i="1" s="1"/>
  <c r="V19" i="2"/>
  <c r="V12" i="2" s="1"/>
  <c r="U13" i="2"/>
  <c r="T124" i="1"/>
  <c r="T186" i="1" s="1"/>
  <c r="T122" i="1"/>
  <c r="T184" i="1" s="1"/>
  <c r="T90" i="1"/>
  <c r="W13" i="2"/>
  <c r="U24" i="2"/>
  <c r="U30" i="2"/>
  <c r="V475" i="2"/>
  <c r="U19" i="2"/>
  <c r="U12" i="2" s="1"/>
  <c r="U475" i="2"/>
  <c r="W19" i="2"/>
  <c r="W475" i="2"/>
  <c r="W12" i="2"/>
  <c r="W30" i="2"/>
  <c r="W23" i="2" s="1"/>
  <c r="T99" i="1" s="1"/>
  <c r="S18" i="1"/>
  <c r="S17" i="1" s="1"/>
  <c r="S128" i="1"/>
  <c r="S189" i="1" s="1"/>
  <c r="T31" i="1"/>
  <c r="S33" i="1"/>
  <c r="U43" i="10"/>
  <c r="T33" i="1"/>
  <c r="V483" i="2"/>
  <c r="T12" i="10" s="1"/>
  <c r="V24" i="2"/>
  <c r="V23" i="2" s="1"/>
  <c r="S99" i="1" s="1"/>
  <c r="R33" i="1"/>
  <c r="U44" i="2"/>
  <c r="S8" i="10" s="1"/>
  <c r="R92" i="1"/>
  <c r="S92" i="1"/>
  <c r="T92" i="1"/>
  <c r="R147" i="1"/>
  <c r="R52" i="1"/>
  <c r="T147" i="1"/>
  <c r="S147" i="1"/>
  <c r="S209" i="1" s="1"/>
  <c r="S52" i="1"/>
  <c r="T17" i="1"/>
  <c r="R41" i="1"/>
  <c r="R195" i="1"/>
  <c r="R26" i="1"/>
  <c r="R17" i="1"/>
  <c r="V9" i="3"/>
  <c r="V8" i="3" s="1"/>
  <c r="U9" i="3"/>
  <c r="U8" i="3" s="1"/>
  <c r="W9" i="3"/>
  <c r="W23" i="8"/>
  <c r="R133" i="1"/>
  <c r="S148" i="1" l="1"/>
  <c r="T209" i="1"/>
  <c r="T148" i="1"/>
  <c r="R209" i="1"/>
  <c r="R210" i="1" s="1"/>
  <c r="R148" i="1"/>
  <c r="R16" i="1"/>
  <c r="S41" i="1"/>
  <c r="S210" i="1"/>
  <c r="R32" i="1"/>
  <c r="R49" i="1" s="1"/>
  <c r="S47" i="10" s="1"/>
  <c r="U44" i="10"/>
  <c r="T41" i="1"/>
  <c r="T210" i="1"/>
  <c r="S93" i="1"/>
  <c r="T93" i="1"/>
  <c r="W8" i="3"/>
  <c r="T13" i="1"/>
  <c r="T89" i="1" s="1"/>
  <c r="T88" i="1" s="1"/>
  <c r="S13" i="1"/>
  <c r="S12" i="1" s="1"/>
  <c r="T132" i="1"/>
  <c r="T133" i="1" s="1"/>
  <c r="U23" i="2"/>
  <c r="R99" i="1" s="1"/>
  <c r="S26" i="1"/>
  <c r="S32" i="1"/>
  <c r="S49" i="1" s="1"/>
  <c r="S91" i="1" s="1"/>
  <c r="T44" i="10"/>
  <c r="S122" i="1"/>
  <c r="S184" i="1" s="1"/>
  <c r="S195" i="1" s="1"/>
  <c r="T97" i="1"/>
  <c r="T26" i="1"/>
  <c r="T16" i="1" s="1"/>
  <c r="T194" i="1"/>
  <c r="T195" i="1" s="1"/>
  <c r="T32" i="1"/>
  <c r="T49" i="1" s="1"/>
  <c r="U47" i="10" s="1"/>
  <c r="S44" i="10"/>
  <c r="R13" i="1"/>
  <c r="R89" i="1" s="1"/>
  <c r="R88" i="1" s="1"/>
  <c r="R134" i="1" s="1"/>
  <c r="R48" i="1"/>
  <c r="R121" i="1" s="1"/>
  <c r="T134" i="1" l="1"/>
  <c r="S149" i="1"/>
  <c r="S16" i="1"/>
  <c r="S48" i="1" s="1"/>
  <c r="U50" i="10"/>
  <c r="S97" i="1"/>
  <c r="S96" i="1" s="1"/>
  <c r="S89" i="1"/>
  <c r="S88" i="1" s="1"/>
  <c r="T12" i="1"/>
  <c r="R93" i="1"/>
  <c r="T48" i="1"/>
  <c r="T121" i="1" s="1"/>
  <c r="T183" i="1" s="1"/>
  <c r="S107" i="1"/>
  <c r="T107" i="1"/>
  <c r="S133" i="1"/>
  <c r="S134" i="1" s="1"/>
  <c r="T135" i="1"/>
  <c r="T197" i="1" s="1"/>
  <c r="T91" i="1"/>
  <c r="T94" i="1" s="1"/>
  <c r="S46" i="10"/>
  <c r="S49" i="10" s="1"/>
  <c r="R12" i="1"/>
  <c r="S50" i="10"/>
  <c r="R91" i="1"/>
  <c r="R149" i="1" s="1"/>
  <c r="R135" i="1"/>
  <c r="R212" i="1" s="1"/>
  <c r="R213" i="1" s="1"/>
  <c r="R183" i="1"/>
  <c r="R196" i="1"/>
  <c r="S135" i="1"/>
  <c r="S197" i="1" s="1"/>
  <c r="S94" i="1"/>
  <c r="T47" i="10"/>
  <c r="T50" i="10" s="1"/>
  <c r="T96" i="1"/>
  <c r="T149" i="1" l="1"/>
  <c r="T46" i="10"/>
  <c r="T49" i="10" s="1"/>
  <c r="S121" i="1"/>
  <c r="S196" i="1" s="1"/>
  <c r="S104" i="1"/>
  <c r="T196" i="1"/>
  <c r="U46" i="10"/>
  <c r="U49" i="10" s="1"/>
  <c r="R94" i="1"/>
  <c r="R97" i="1"/>
  <c r="R96" i="1" s="1"/>
  <c r="R107" i="1"/>
  <c r="T212" i="1"/>
  <c r="T213" i="1" s="1"/>
  <c r="D112" i="6"/>
  <c r="T104" i="1"/>
  <c r="R197" i="1"/>
  <c r="S212" i="1"/>
  <c r="S213" i="1" s="1"/>
  <c r="R219" i="3"/>
  <c r="S219" i="3"/>
  <c r="T219" i="3"/>
  <c r="R221" i="3"/>
  <c r="S221" i="3"/>
  <c r="T221" i="3"/>
  <c r="R216" i="3"/>
  <c r="S216" i="3"/>
  <c r="T216" i="3"/>
  <c r="R213" i="3"/>
  <c r="S213" i="3"/>
  <c r="T213" i="3"/>
  <c r="S183" i="1" l="1"/>
  <c r="R104" i="1"/>
  <c r="S212" i="3"/>
  <c r="T218" i="3"/>
  <c r="R218" i="3"/>
  <c r="S218" i="3"/>
  <c r="T212" i="3"/>
  <c r="R212" i="3"/>
  <c r="X85" i="6" l="1"/>
  <c r="E102" i="6" l="1"/>
  <c r="F102" i="6"/>
  <c r="G102" i="6"/>
  <c r="H102" i="6"/>
  <c r="I102" i="6"/>
  <c r="J102" i="6"/>
  <c r="K102" i="6"/>
  <c r="L102" i="6"/>
  <c r="N102" i="6"/>
  <c r="E120" i="6"/>
  <c r="F120" i="6"/>
  <c r="G120" i="6"/>
  <c r="G119" i="6" s="1"/>
  <c r="H120" i="6"/>
  <c r="H119" i="6" s="1"/>
  <c r="I120" i="6"/>
  <c r="I119" i="6" s="1"/>
  <c r="J120" i="6"/>
  <c r="K120" i="6"/>
  <c r="K119" i="6" s="1"/>
  <c r="L120" i="6"/>
  <c r="L119" i="6" s="1"/>
  <c r="N120" i="6"/>
  <c r="O120" i="6"/>
  <c r="P120" i="6"/>
  <c r="Q120" i="6"/>
  <c r="R120" i="6"/>
  <c r="S120" i="6"/>
  <c r="T120" i="6"/>
  <c r="D127" i="6"/>
  <c r="D126" i="6"/>
  <c r="D125" i="6"/>
  <c r="D124" i="6"/>
  <c r="M125" i="6"/>
  <c r="J119" i="6"/>
  <c r="F119" i="6"/>
  <c r="X116" i="6"/>
  <c r="X115" i="6" s="1"/>
  <c r="T116" i="6"/>
  <c r="T115" i="6" s="1"/>
  <c r="S116" i="6"/>
  <c r="S115" i="6" s="1"/>
  <c r="R116" i="6"/>
  <c r="R115" i="6" s="1"/>
  <c r="Q116" i="6"/>
  <c r="Q115" i="6" s="1"/>
  <c r="P116" i="6"/>
  <c r="P115" i="6" s="1"/>
  <c r="O116" i="6"/>
  <c r="O115" i="6" s="1"/>
  <c r="N116" i="6"/>
  <c r="N115" i="6" s="1"/>
  <c r="L116" i="6"/>
  <c r="L115" i="6" s="1"/>
  <c r="K116" i="6"/>
  <c r="K115" i="6" s="1"/>
  <c r="J116" i="6"/>
  <c r="J115" i="6" s="1"/>
  <c r="I116" i="6"/>
  <c r="I115" i="6" s="1"/>
  <c r="H116" i="6"/>
  <c r="H115" i="6" s="1"/>
  <c r="G116" i="6"/>
  <c r="G115" i="6" s="1"/>
  <c r="F116" i="6"/>
  <c r="F115" i="6" s="1"/>
  <c r="E116" i="6"/>
  <c r="T106" i="6"/>
  <c r="S106" i="6"/>
  <c r="R106" i="6"/>
  <c r="E92" i="6"/>
  <c r="E15" i="6" s="1"/>
  <c r="F92" i="6"/>
  <c r="F15" i="6" s="1"/>
  <c r="G92" i="6"/>
  <c r="G15" i="6" s="1"/>
  <c r="H92" i="6"/>
  <c r="H15" i="6" s="1"/>
  <c r="I92" i="6"/>
  <c r="I15" i="6" s="1"/>
  <c r="J92" i="6"/>
  <c r="K92" i="6"/>
  <c r="K15" i="6" s="1"/>
  <c r="L92" i="6"/>
  <c r="L15" i="6" s="1"/>
  <c r="N92" i="6"/>
  <c r="X98" i="6"/>
  <c r="E98" i="6"/>
  <c r="F98" i="6"/>
  <c r="G98" i="6"/>
  <c r="H98" i="6"/>
  <c r="I98" i="6"/>
  <c r="J98" i="6"/>
  <c r="K98" i="6"/>
  <c r="L98" i="6"/>
  <c r="N98" i="6"/>
  <c r="O98" i="6"/>
  <c r="O18" i="6" s="1"/>
  <c r="P98" i="6"/>
  <c r="P18" i="6" s="1"/>
  <c r="Q98" i="6"/>
  <c r="Q18" i="6" s="1"/>
  <c r="R98" i="6"/>
  <c r="R18" i="6" s="1"/>
  <c r="S98" i="6"/>
  <c r="S18" i="6" s="1"/>
  <c r="T98" i="6"/>
  <c r="T18" i="6" s="1"/>
  <c r="X97" i="6"/>
  <c r="X95" i="6"/>
  <c r="X94" i="6"/>
  <c r="T96" i="6"/>
  <c r="S96" i="6"/>
  <c r="R96" i="6"/>
  <c r="T102" i="6" l="1"/>
  <c r="T20" i="6" s="1"/>
  <c r="R102" i="6"/>
  <c r="R20" i="6" s="1"/>
  <c r="S102" i="6"/>
  <c r="S20" i="6" s="1"/>
  <c r="S274" i="6"/>
  <c r="Q274" i="6"/>
  <c r="O274" i="6"/>
  <c r="H20" i="6"/>
  <c r="F20" i="6"/>
  <c r="I20" i="6"/>
  <c r="G20" i="6"/>
  <c r="E20" i="6"/>
  <c r="Q119" i="6"/>
  <c r="S119" i="6"/>
  <c r="P25" i="1"/>
  <c r="L25" i="1"/>
  <c r="X18" i="6"/>
  <c r="X96" i="6"/>
  <c r="X106" i="6"/>
  <c r="D96" i="6"/>
  <c r="O102" i="6"/>
  <c r="O20" i="6" s="1"/>
  <c r="D106" i="6"/>
  <c r="D104" i="6"/>
  <c r="X104" i="6"/>
  <c r="N25" i="1"/>
  <c r="O119" i="6"/>
  <c r="T119" i="6"/>
  <c r="T274" i="6"/>
  <c r="R119" i="6"/>
  <c r="R274" i="6"/>
  <c r="P119" i="6"/>
  <c r="P274" i="6"/>
  <c r="N119" i="6"/>
  <c r="N274" i="6"/>
  <c r="M92" i="6"/>
  <c r="M15" i="6" s="1"/>
  <c r="E119" i="6"/>
  <c r="M120" i="6"/>
  <c r="E18" i="6"/>
  <c r="M98" i="6"/>
  <c r="E115" i="6"/>
  <c r="E114" i="6" s="1"/>
  <c r="M116" i="6"/>
  <c r="X120" i="6"/>
  <c r="X119" i="6" s="1"/>
  <c r="X114" i="6" s="1"/>
  <c r="M102" i="6"/>
  <c r="E91" i="6"/>
  <c r="Q25" i="1"/>
  <c r="O25" i="1"/>
  <c r="M25" i="1"/>
  <c r="N18" i="6"/>
  <c r="K25" i="1" s="1"/>
  <c r="L18" i="6"/>
  <c r="J18" i="6"/>
  <c r="H18" i="6"/>
  <c r="F18" i="6"/>
  <c r="G114" i="6"/>
  <c r="I114" i="6"/>
  <c r="K114" i="6"/>
  <c r="Q114" i="6"/>
  <c r="K91" i="6"/>
  <c r="K18" i="6"/>
  <c r="I91" i="6"/>
  <c r="I18" i="6"/>
  <c r="G91" i="6"/>
  <c r="G18" i="6"/>
  <c r="P102" i="6"/>
  <c r="P20" i="6" s="1"/>
  <c r="Q102" i="6"/>
  <c r="Q20" i="6" s="1"/>
  <c r="F114" i="6"/>
  <c r="H114" i="6"/>
  <c r="J114" i="6"/>
  <c r="L114" i="6"/>
  <c r="T92" i="6"/>
  <c r="T15" i="6" s="1"/>
  <c r="R92" i="6"/>
  <c r="R15" i="6" s="1"/>
  <c r="P92" i="6"/>
  <c r="P15" i="6" s="1"/>
  <c r="N91" i="6"/>
  <c r="L91" i="6"/>
  <c r="J91" i="6"/>
  <c r="H91" i="6"/>
  <c r="F91" i="6"/>
  <c r="S92" i="6"/>
  <c r="S15" i="6" s="1"/>
  <c r="Q92" i="6"/>
  <c r="Q15" i="6" s="1"/>
  <c r="O92" i="6"/>
  <c r="O15" i="6" l="1"/>
  <c r="O114" i="6"/>
  <c r="S114" i="6"/>
  <c r="N114" i="6"/>
  <c r="P114" i="6"/>
  <c r="R114" i="6"/>
  <c r="T114" i="6"/>
  <c r="X92" i="6"/>
  <c r="D98" i="6"/>
  <c r="M18" i="6"/>
  <c r="R273" i="6"/>
  <c r="S273" i="6"/>
  <c r="T273" i="6"/>
  <c r="P273" i="6"/>
  <c r="D120" i="6"/>
  <c r="M274" i="6"/>
  <c r="M91" i="6"/>
  <c r="J25" i="1"/>
  <c r="U25" i="1" s="1"/>
  <c r="M273" i="6"/>
  <c r="Q273" i="6"/>
  <c r="O91" i="6"/>
  <c r="O273" i="6"/>
  <c r="M119" i="6"/>
  <c r="D102" i="6"/>
  <c r="D116" i="6"/>
  <c r="M115" i="6"/>
  <c r="D92" i="6"/>
  <c r="X91" i="6"/>
  <c r="X102" i="6"/>
  <c r="S91" i="6"/>
  <c r="R91" i="6"/>
  <c r="Q91" i="6"/>
  <c r="P91" i="6"/>
  <c r="T91" i="6"/>
  <c r="D269" i="6" l="1"/>
  <c r="D15" i="6"/>
  <c r="D101" i="6"/>
  <c r="D18" i="6"/>
  <c r="X25" i="1"/>
  <c r="Y25" i="1" s="1"/>
  <c r="M114" i="6"/>
  <c r="D274" i="6"/>
  <c r="X274" i="6" s="1"/>
  <c r="D119" i="6"/>
  <c r="D266" i="6" s="1"/>
  <c r="D273" i="6"/>
  <c r="X273" i="6" s="1"/>
  <c r="D91" i="6"/>
  <c r="D115" i="6"/>
  <c r="O129" i="6"/>
  <c r="O128" i="6" s="1"/>
  <c r="T129" i="6"/>
  <c r="T128" i="6" s="1"/>
  <c r="S129" i="6"/>
  <c r="R129" i="6"/>
  <c r="R128" i="6" s="1"/>
  <c r="Q129" i="6"/>
  <c r="Q128" i="6" s="1"/>
  <c r="P129" i="6"/>
  <c r="P128" i="6" s="1"/>
  <c r="N129" i="6"/>
  <c r="N128" i="6" s="1"/>
  <c r="L129" i="6"/>
  <c r="L128" i="6" s="1"/>
  <c r="J129" i="6"/>
  <c r="J128" i="6" s="1"/>
  <c r="I129" i="6"/>
  <c r="I128" i="6" s="1"/>
  <c r="H129" i="6"/>
  <c r="H128" i="6" s="1"/>
  <c r="G129" i="6"/>
  <c r="G128" i="6" s="1"/>
  <c r="F129" i="6"/>
  <c r="F128" i="6" s="1"/>
  <c r="E129" i="6"/>
  <c r="E128" i="6" s="1"/>
  <c r="S128" i="6"/>
  <c r="H112" i="6"/>
  <c r="H26" i="6" s="1"/>
  <c r="T111" i="6"/>
  <c r="T110" i="6" s="1"/>
  <c r="S111" i="6"/>
  <c r="R111" i="6"/>
  <c r="R110" i="6" s="1"/>
  <c r="Q111" i="6"/>
  <c r="Q110" i="6" s="1"/>
  <c r="P111" i="6"/>
  <c r="P110" i="6" s="1"/>
  <c r="O111" i="6"/>
  <c r="O110" i="6" s="1"/>
  <c r="O276" i="6" s="1"/>
  <c r="O287" i="6" s="1"/>
  <c r="N111" i="6"/>
  <c r="N110" i="6" s="1"/>
  <c r="L111" i="6"/>
  <c r="L110" i="6" s="1"/>
  <c r="K111" i="6"/>
  <c r="J111" i="6"/>
  <c r="J110" i="6" s="1"/>
  <c r="I111" i="6"/>
  <c r="I110" i="6" s="1"/>
  <c r="H111" i="6"/>
  <c r="H110" i="6" s="1"/>
  <c r="G111" i="6"/>
  <c r="G110" i="6" s="1"/>
  <c r="F111" i="6"/>
  <c r="F110" i="6" s="1"/>
  <c r="E111" i="6"/>
  <c r="E110" i="6" s="1"/>
  <c r="S110" i="6"/>
  <c r="K110" i="6"/>
  <c r="M107" i="6"/>
  <c r="L101" i="6"/>
  <c r="L90" i="6" s="1"/>
  <c r="X101" i="6"/>
  <c r="X90" i="6" s="1"/>
  <c r="K101" i="6"/>
  <c r="K90" i="6" s="1"/>
  <c r="J101" i="6"/>
  <c r="J90" i="6" s="1"/>
  <c r="I101" i="6"/>
  <c r="I90" i="6" s="1"/>
  <c r="H101" i="6"/>
  <c r="H90" i="6" s="1"/>
  <c r="G101" i="6"/>
  <c r="G90" i="6" s="1"/>
  <c r="F101" i="6"/>
  <c r="F90" i="6" s="1"/>
  <c r="E101" i="6"/>
  <c r="E90" i="6" s="1"/>
  <c r="T101" i="6"/>
  <c r="S101" i="6"/>
  <c r="R101" i="6"/>
  <c r="Q101" i="6"/>
  <c r="P101" i="6"/>
  <c r="S276" i="6" l="1"/>
  <c r="S287" i="6" s="1"/>
  <c r="R276" i="6"/>
  <c r="R287" i="6" s="1"/>
  <c r="T276" i="6"/>
  <c r="T287" i="6" s="1"/>
  <c r="P90" i="6"/>
  <c r="R90" i="6"/>
  <c r="P7" i="10" s="1"/>
  <c r="T90" i="6"/>
  <c r="R7" i="10" s="1"/>
  <c r="Q90" i="6"/>
  <c r="S90" i="6"/>
  <c r="Q7" i="10" s="1"/>
  <c r="D111" i="6"/>
  <c r="D110" i="6" s="1"/>
  <c r="N101" i="6"/>
  <c r="N90" i="6" s="1"/>
  <c r="M101" i="6"/>
  <c r="M111" i="6"/>
  <c r="M110" i="6" s="1"/>
  <c r="D129" i="6"/>
  <c r="D128" i="6" s="1"/>
  <c r="D262" i="6" s="1"/>
  <c r="M129" i="6"/>
  <c r="M128" i="6" s="1"/>
  <c r="D114" i="6"/>
  <c r="K129" i="6"/>
  <c r="K128" i="6" s="1"/>
  <c r="T277" i="6" l="1"/>
  <c r="T288" i="6" s="1"/>
  <c r="R277" i="6"/>
  <c r="R288" i="6" s="1"/>
  <c r="S277" i="6"/>
  <c r="S288" i="6" s="1"/>
  <c r="D261" i="6"/>
  <c r="D263" i="6" s="1"/>
  <c r="M90" i="6"/>
  <c r="O101" i="6"/>
  <c r="D265" i="6" s="1"/>
  <c r="D90" i="6"/>
  <c r="O90" i="6" l="1"/>
  <c r="O277" i="6" s="1"/>
  <c r="O288" i="6" s="1"/>
  <c r="D267" i="6"/>
  <c r="D271" i="6" s="1"/>
  <c r="T12" i="4" l="1"/>
  <c r="F12" i="4"/>
  <c r="G12" i="4"/>
  <c r="H12" i="4"/>
  <c r="I12" i="4"/>
  <c r="L12" i="4"/>
  <c r="R12" i="4"/>
  <c r="S12" i="4"/>
  <c r="X46" i="13"/>
  <c r="X45" i="13" s="1"/>
  <c r="X48" i="13"/>
  <c r="X47" i="13" s="1"/>
  <c r="X39" i="13"/>
  <c r="X38" i="13" s="1"/>
  <c r="X37" i="13"/>
  <c r="X36" i="13" s="1"/>
  <c r="X30" i="13"/>
  <c r="X29" i="13" s="1"/>
  <c r="X28" i="13"/>
  <c r="X27" i="13" s="1"/>
  <c r="X96" i="8"/>
  <c r="X121" i="8"/>
  <c r="X124" i="8"/>
  <c r="X123" i="8" s="1"/>
  <c r="X122" i="8"/>
  <c r="X120" i="8"/>
  <c r="X119" i="8" s="1"/>
  <c r="X187" i="8"/>
  <c r="X180" i="8"/>
  <c r="X217" i="8"/>
  <c r="X218" i="8"/>
  <c r="X216" i="8" s="1"/>
  <c r="X215" i="8" s="1"/>
  <c r="X188" i="8"/>
  <c r="X133" i="8"/>
  <c r="X132" i="8" s="1"/>
  <c r="X131" i="8" s="1"/>
  <c r="X110" i="8"/>
  <c r="X108" i="8" s="1"/>
  <c r="X109" i="8"/>
  <c r="X19" i="8" s="1"/>
  <c r="X107" i="8"/>
  <c r="X106" i="8"/>
  <c r="X95" i="8"/>
  <c r="X94" i="8" s="1"/>
  <c r="X93" i="8"/>
  <c r="X92" i="8" s="1"/>
  <c r="X43" i="8"/>
  <c r="X42" i="8"/>
  <c r="X41" i="8"/>
  <c r="X39" i="8"/>
  <c r="X38" i="8"/>
  <c r="X37" i="8"/>
  <c r="X36" i="7"/>
  <c r="X48" i="7"/>
  <c r="X60" i="7"/>
  <c r="X72" i="7"/>
  <c r="X84" i="7"/>
  <c r="X83" i="7"/>
  <c r="X81" i="7" s="1"/>
  <c r="X80" i="7" s="1"/>
  <c r="X71" i="7"/>
  <c r="X69" i="7" s="1"/>
  <c r="X68" i="7" s="1"/>
  <c r="X58" i="7"/>
  <c r="X57" i="7" s="1"/>
  <c r="X56" i="7" s="1"/>
  <c r="X46" i="7"/>
  <c r="X45" i="7" s="1"/>
  <c r="X44" i="7" s="1"/>
  <c r="X33" i="7"/>
  <c r="X32" i="7" s="1"/>
  <c r="X15" i="7"/>
  <c r="X253" i="6"/>
  <c r="X84" i="6"/>
  <c r="X83" i="6"/>
  <c r="X15" i="6" s="1"/>
  <c r="X74" i="6"/>
  <c r="X73" i="6" s="1"/>
  <c r="X72" i="6"/>
  <c r="X71" i="6" s="1"/>
  <c r="X63" i="6"/>
  <c r="X62" i="6" s="1"/>
  <c r="X61" i="6"/>
  <c r="X60" i="6" s="1"/>
  <c r="X52" i="6"/>
  <c r="X50" i="6"/>
  <c r="X49" i="6" s="1"/>
  <c r="X41" i="6"/>
  <c r="X39" i="6"/>
  <c r="X38" i="6" s="1"/>
  <c r="X37" i="6" s="1"/>
  <c r="X123" i="4"/>
  <c r="X122" i="4" s="1"/>
  <c r="X108" i="4"/>
  <c r="X107" i="4"/>
  <c r="X109" i="4"/>
  <c r="X98" i="4"/>
  <c r="X97" i="4"/>
  <c r="X95" i="4" s="1"/>
  <c r="X94" i="4" s="1"/>
  <c r="X90" i="4"/>
  <c r="X89" i="4" s="1"/>
  <c r="X85" i="4"/>
  <c r="X84" i="4" s="1"/>
  <c r="X80" i="4"/>
  <c r="X79" i="4" s="1"/>
  <c r="X70" i="4"/>
  <c r="X69" i="4"/>
  <c r="X59" i="4"/>
  <c r="X58" i="4"/>
  <c r="X57" i="4"/>
  <c r="X46" i="4"/>
  <c r="X45" i="4"/>
  <c r="X44" i="4"/>
  <c r="X20" i="4"/>
  <c r="X563" i="2"/>
  <c r="X498" i="2"/>
  <c r="X650" i="2"/>
  <c r="X649" i="2" s="1"/>
  <c r="X648" i="2" s="1"/>
  <c r="X635" i="2"/>
  <c r="X627" i="2"/>
  <c r="X542" i="2" s="1"/>
  <c r="X614" i="2"/>
  <c r="X608" i="2"/>
  <c r="X607" i="2" s="1"/>
  <c r="X602" i="2"/>
  <c r="X601" i="2" s="1"/>
  <c r="X600" i="2" s="1"/>
  <c r="X595" i="2"/>
  <c r="X594" i="2"/>
  <c r="X593" i="2" s="1"/>
  <c r="X592" i="2" s="1"/>
  <c r="X590" i="2"/>
  <c r="X589" i="2" s="1"/>
  <c r="X588" i="2" s="1"/>
  <c r="X583" i="2"/>
  <c r="X582" i="2"/>
  <c r="X573" i="2"/>
  <c r="X572" i="2" s="1"/>
  <c r="X562" i="2"/>
  <c r="X561" i="2" s="1"/>
  <c r="X560" i="2" s="1"/>
  <c r="X531" i="2"/>
  <c r="X530" i="2" s="1"/>
  <c r="X529" i="2"/>
  <c r="X528" i="2" s="1"/>
  <c r="X513" i="2"/>
  <c r="X512" i="2" s="1"/>
  <c r="X511" i="2"/>
  <c r="X510" i="2" s="1"/>
  <c r="X497" i="2"/>
  <c r="X493" i="2"/>
  <c r="X495" i="2"/>
  <c r="X494" i="2"/>
  <c r="X407" i="2"/>
  <c r="X406" i="2" s="1"/>
  <c r="X405" i="2"/>
  <c r="X404" i="2" s="1"/>
  <c r="X397" i="2"/>
  <c r="X396" i="2" s="1"/>
  <c r="X395" i="2"/>
  <c r="X394" i="2" s="1"/>
  <c r="X336" i="2"/>
  <c r="X335" i="2" s="1"/>
  <c r="X333" i="2"/>
  <c r="X332" i="2" s="1"/>
  <c r="X272" i="2"/>
  <c r="X271" i="2" s="1"/>
  <c r="X269" i="2"/>
  <c r="X268" i="2" s="1"/>
  <c r="X258" i="2"/>
  <c r="X256" i="2" s="1"/>
  <c r="X253" i="2"/>
  <c r="X252" i="2" s="1"/>
  <c r="X244" i="2"/>
  <c r="X243" i="2" s="1"/>
  <c r="X241" i="2"/>
  <c r="X230" i="2"/>
  <c r="X229" i="2" s="1"/>
  <c r="X226" i="2"/>
  <c r="X225" i="2" s="1"/>
  <c r="X218" i="2"/>
  <c r="X217" i="2" s="1"/>
  <c r="X202" i="2"/>
  <c r="X201" i="2" s="1"/>
  <c r="X200" i="2"/>
  <c r="X199" i="2" s="1"/>
  <c r="X193" i="2"/>
  <c r="X192" i="2" s="1"/>
  <c r="X191" i="2"/>
  <c r="X190" i="2" s="1"/>
  <c r="X182" i="2"/>
  <c r="X181" i="2" s="1"/>
  <c r="X180" i="2"/>
  <c r="X179" i="2"/>
  <c r="X172" i="2"/>
  <c r="X171" i="2" s="1"/>
  <c r="X170" i="2"/>
  <c r="X169" i="2" s="1"/>
  <c r="X161" i="2"/>
  <c r="X160" i="2" s="1"/>
  <c r="X159" i="2"/>
  <c r="X158" i="2" s="1"/>
  <c r="X150" i="2"/>
  <c r="X149" i="2" s="1"/>
  <c r="X148" i="2"/>
  <c r="X147" i="2"/>
  <c r="X128" i="2"/>
  <c r="X127" i="2" s="1"/>
  <c r="X126" i="2"/>
  <c r="X125" i="2" s="1"/>
  <c r="X117" i="2"/>
  <c r="X116" i="2" s="1"/>
  <c r="X115" i="2"/>
  <c r="X114" i="2"/>
  <c r="X104" i="2"/>
  <c r="X102" i="2" s="1"/>
  <c r="X101" i="2"/>
  <c r="X100" i="2"/>
  <c r="X89" i="2"/>
  <c r="X86" i="2"/>
  <c r="X85" i="2"/>
  <c r="X84" i="2"/>
  <c r="X60" i="2"/>
  <c r="X58" i="2" s="1"/>
  <c r="X57" i="2"/>
  <c r="X56" i="2"/>
  <c r="V136" i="1"/>
  <c r="V137" i="1"/>
  <c r="V138" i="1"/>
  <c r="V139" i="1"/>
  <c r="V140" i="1"/>
  <c r="V141" i="1"/>
  <c r="V142" i="1"/>
  <c r="V143" i="1"/>
  <c r="V144" i="1"/>
  <c r="V145" i="1"/>
  <c r="V146" i="1"/>
  <c r="V147" i="1"/>
  <c r="X240" i="2" l="1"/>
  <c r="X239" i="2" s="1"/>
  <c r="X51" i="6"/>
  <c r="X48" i="6" s="1"/>
  <c r="X20" i="6"/>
  <c r="X12" i="4"/>
  <c r="X251" i="2"/>
  <c r="X105" i="4"/>
  <c r="X104" i="4" s="1"/>
  <c r="X55" i="2"/>
  <c r="X331" i="2"/>
  <c r="X83" i="2"/>
  <c r="X40" i="8"/>
  <c r="X91" i="8"/>
  <c r="X105" i="8"/>
  <c r="X18" i="4"/>
  <c r="V148" i="1"/>
  <c r="V164" i="1"/>
  <c r="X42" i="4"/>
  <c r="X41" i="4" s="1"/>
  <c r="X55" i="4"/>
  <c r="X54" i="4" s="1"/>
  <c r="X35" i="13"/>
  <c r="X26" i="13"/>
  <c r="X44" i="13"/>
  <c r="X183" i="8"/>
  <c r="X182" i="8" s="1"/>
  <c r="X36" i="8"/>
  <c r="X35" i="8" s="1"/>
  <c r="X113" i="2"/>
  <c r="X112" i="2" s="1"/>
  <c r="X178" i="2"/>
  <c r="X177" i="2" s="1"/>
  <c r="X224" i="2"/>
  <c r="X393" i="2"/>
  <c r="X403" i="2"/>
  <c r="X492" i="2"/>
  <c r="X527" i="2"/>
  <c r="X496" i="2"/>
  <c r="X31" i="6"/>
  <c r="X28" i="6" s="1"/>
  <c r="V36" i="10" s="1"/>
  <c r="X82" i="6"/>
  <c r="X81" i="6" s="1"/>
  <c r="X252" i="6"/>
  <c r="X251" i="6" s="1"/>
  <c r="X70" i="6"/>
  <c r="X581" i="2"/>
  <c r="X580" i="2" s="1"/>
  <c r="X104" i="8"/>
  <c r="X59" i="6"/>
  <c r="X68" i="4"/>
  <c r="X67" i="4" s="1"/>
  <c r="X157" i="2"/>
  <c r="X168" i="2"/>
  <c r="X509" i="2"/>
  <c r="X124" i="2"/>
  <c r="X189" i="2"/>
  <c r="X99" i="2"/>
  <c r="X98" i="2" s="1"/>
  <c r="X267" i="2"/>
  <c r="X198" i="2"/>
  <c r="X54" i="2"/>
  <c r="V152" i="1"/>
  <c r="P141" i="8"/>
  <c r="P143" i="8"/>
  <c r="P146" i="8"/>
  <c r="P149" i="8"/>
  <c r="X12" i="6" l="1"/>
  <c r="V165" i="1"/>
  <c r="X11" i="6"/>
  <c r="X491" i="2"/>
  <c r="X83" i="9"/>
  <c r="X74" i="9"/>
  <c r="X67" i="9"/>
  <c r="X60" i="9"/>
  <c r="X42" i="9"/>
  <c r="X41" i="9" s="1"/>
  <c r="X159" i="9"/>
  <c r="X158" i="9" s="1"/>
  <c r="X157" i="9" s="1"/>
  <c r="X119" i="9"/>
  <c r="X118" i="9" s="1"/>
  <c r="X115" i="9" s="1"/>
  <c r="X101" i="9"/>
  <c r="X100" i="9" s="1"/>
  <c r="X99" i="9"/>
  <c r="X98" i="9" s="1"/>
  <c r="X92" i="9"/>
  <c r="X91" i="9"/>
  <c r="X82" i="9"/>
  <c r="X79" i="9" s="1"/>
  <c r="X73" i="9"/>
  <c r="X72" i="9" s="1"/>
  <c r="X66" i="9"/>
  <c r="X65" i="9" s="1"/>
  <c r="X51" i="9"/>
  <c r="X50" i="9" s="1"/>
  <c r="X49" i="9" s="1"/>
  <c r="X44" i="9"/>
  <c r="X43" i="9"/>
  <c r="X35" i="9"/>
  <c r="X34" i="9" s="1"/>
  <c r="X33" i="9"/>
  <c r="X32" i="9" s="1"/>
  <c r="X26" i="9"/>
  <c r="X25" i="9" s="1"/>
  <c r="X24" i="9"/>
  <c r="X23" i="9" s="1"/>
  <c r="X113" i="5"/>
  <c r="X112" i="5" s="1"/>
  <c r="X111" i="5" s="1"/>
  <c r="X53" i="5"/>
  <c r="X52" i="5" s="1"/>
  <c r="X51" i="5" s="1"/>
  <c r="X46" i="5"/>
  <c r="X45" i="5" s="1"/>
  <c r="X44" i="5" s="1"/>
  <c r="X37" i="5"/>
  <c r="X36" i="5" s="1"/>
  <c r="X35" i="5"/>
  <c r="X102" i="5"/>
  <c r="X101" i="5"/>
  <c r="X99" i="5" s="1"/>
  <c r="X98" i="5" s="1"/>
  <c r="X92" i="5"/>
  <c r="X91" i="5" s="1"/>
  <c r="X90" i="5" s="1"/>
  <c r="X74" i="5"/>
  <c r="X34" i="5"/>
  <c r="X12" i="5"/>
  <c r="X10" i="6" l="1"/>
  <c r="X97" i="9"/>
  <c r="X22" i="9"/>
  <c r="X31" i="9"/>
  <c r="X40" i="9"/>
  <c r="X147" i="9"/>
  <c r="X33" i="5"/>
  <c r="D102" i="3" l="1"/>
  <c r="X205" i="3"/>
  <c r="X204" i="3" s="1"/>
  <c r="X193" i="3"/>
  <c r="X181" i="3"/>
  <c r="X179" i="3"/>
  <c r="X157" i="3"/>
  <c r="X156" i="3" s="1"/>
  <c r="X154" i="3"/>
  <c r="X133" i="3"/>
  <c r="X130" i="3"/>
  <c r="X109" i="3"/>
  <c r="X106" i="3"/>
  <c r="X97" i="3"/>
  <c r="X95" i="3"/>
  <c r="X94" i="3"/>
  <c r="X85" i="3"/>
  <c r="X83" i="3"/>
  <c r="X82" i="3"/>
  <c r="X44" i="3"/>
  <c r="X39" i="3" s="1"/>
  <c r="X38" i="3"/>
  <c r="X33" i="3" s="1"/>
  <c r="X27" i="3"/>
  <c r="X26" i="3" s="1"/>
  <c r="X25" i="3" s="1"/>
  <c r="X216" i="3"/>
  <c r="X215" i="3"/>
  <c r="X203" i="3"/>
  <c r="X202" i="3"/>
  <c r="X192" i="3"/>
  <c r="X191" i="3"/>
  <c r="X180" i="3"/>
  <c r="X155" i="3"/>
  <c r="X145" i="3"/>
  <c r="X144" i="3" s="1"/>
  <c r="X143" i="3"/>
  <c r="X142" i="3"/>
  <c r="X132" i="3"/>
  <c r="X131" i="3"/>
  <c r="X129" i="3" s="1"/>
  <c r="X121" i="3"/>
  <c r="X120" i="3" s="1"/>
  <c r="X119" i="3"/>
  <c r="X117" i="3" s="1"/>
  <c r="X108" i="3"/>
  <c r="X107" i="3"/>
  <c r="X96" i="3"/>
  <c r="X84" i="3"/>
  <c r="X81" i="3" l="1"/>
  <c r="X80" i="3" s="1"/>
  <c r="X93" i="3"/>
  <c r="X153" i="3"/>
  <c r="X152" i="3" s="1"/>
  <c r="X141" i="3"/>
  <c r="X140" i="3" s="1"/>
  <c r="X201" i="3"/>
  <c r="X200" i="3" s="1"/>
  <c r="X116" i="3"/>
  <c r="X105" i="3"/>
  <c r="X104" i="3" s="1"/>
  <c r="X213" i="3"/>
  <c r="X212" i="3" s="1"/>
  <c r="X128" i="3"/>
  <c r="X92" i="3"/>
  <c r="X32" i="3"/>
  <c r="O590" i="2"/>
  <c r="P18" i="4"/>
  <c r="M70" i="1" s="1"/>
  <c r="Q18" i="4"/>
  <c r="N70" i="1" s="1"/>
  <c r="P25" i="4"/>
  <c r="O105" i="4"/>
  <c r="O112" i="4"/>
  <c r="D112" i="4"/>
  <c r="O541" i="2" l="1"/>
  <c r="D650" i="2"/>
  <c r="O179" i="2" l="1"/>
  <c r="M191" i="2"/>
  <c r="D191" i="2" s="1"/>
  <c r="M193" i="2"/>
  <c r="D193" i="2" s="1"/>
  <c r="O170" i="2"/>
  <c r="O166" i="2"/>
  <c r="N159" i="2"/>
  <c r="N161" i="2"/>
  <c r="P155" i="9" l="1"/>
  <c r="X155" i="9" s="1"/>
  <c r="X148" i="9" l="1"/>
  <c r="X146" i="9" s="1"/>
  <c r="X145" i="9" s="1"/>
  <c r="X154" i="9"/>
  <c r="X153" i="9" s="1"/>
  <c r="AA547" i="2"/>
  <c r="X25" i="7" l="1"/>
  <c r="O25" i="7"/>
  <c r="X24" i="7" l="1"/>
  <c r="X23" i="7" s="1"/>
  <c r="X10" i="7"/>
  <c r="X8" i="7" s="1"/>
  <c r="L226" i="2"/>
  <c r="M226" i="2" s="1"/>
  <c r="L241" i="2"/>
  <c r="O163" i="8" l="1"/>
  <c r="O160" i="8"/>
  <c r="O157" i="8"/>
  <c r="O155" i="8"/>
  <c r="X83" i="8" l="1"/>
  <c r="R88" i="8"/>
  <c r="O89" i="8"/>
  <c r="R86" i="8"/>
  <c r="R85" i="8" s="1"/>
  <c r="P18" i="10" s="1"/>
  <c r="X81" i="8" l="1"/>
  <c r="X80" i="8" s="1"/>
  <c r="O85" i="4" l="1"/>
  <c r="P16" i="4" l="1"/>
  <c r="Q16" i="4"/>
  <c r="R16" i="4"/>
  <c r="S16" i="4"/>
  <c r="T16" i="4"/>
  <c r="T120" i="4" l="1"/>
  <c r="S120" i="4"/>
  <c r="R120" i="4"/>
  <c r="Q120" i="4"/>
  <c r="P120" i="4"/>
  <c r="R144" i="4" l="1"/>
  <c r="R15" i="4"/>
  <c r="R11" i="4"/>
  <c r="Q144" i="4"/>
  <c r="Q11" i="4"/>
  <c r="Q15" i="4"/>
  <c r="S144" i="4"/>
  <c r="S11" i="4"/>
  <c r="S15" i="4"/>
  <c r="P144" i="4"/>
  <c r="P15" i="4"/>
  <c r="P11" i="4"/>
  <c r="X120" i="4"/>
  <c r="T144" i="4"/>
  <c r="T15" i="4"/>
  <c r="T11" i="4"/>
  <c r="X118" i="4"/>
  <c r="D120" i="4"/>
  <c r="L498" i="2"/>
  <c r="M498" i="2" s="1"/>
  <c r="D498" i="2" s="1"/>
  <c r="D482" i="2" s="1"/>
  <c r="L507" i="2"/>
  <c r="D11" i="4" l="1"/>
  <c r="AD145" i="4"/>
  <c r="AD146" i="4" s="1"/>
  <c r="X11" i="4"/>
  <c r="X15" i="4"/>
  <c r="X14" i="4" s="1"/>
  <c r="X13" i="4" s="1"/>
  <c r="X117" i="4"/>
  <c r="X10" i="4"/>
  <c r="M98" i="9" l="1"/>
  <c r="N98" i="9"/>
  <c r="O98" i="9"/>
  <c r="D98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T120" i="9"/>
  <c r="S120" i="9"/>
  <c r="Q120" i="9"/>
  <c r="P120" i="9"/>
  <c r="O120" i="9"/>
  <c r="N120" i="9"/>
  <c r="L120" i="9"/>
  <c r="K120" i="9"/>
  <c r="J120" i="9"/>
  <c r="I120" i="9"/>
  <c r="H120" i="9"/>
  <c r="G120" i="9"/>
  <c r="F120" i="9"/>
  <c r="E120" i="9"/>
  <c r="D118" i="9"/>
  <c r="M120" i="9" l="1"/>
  <c r="R120" i="9"/>
  <c r="D115" i="9"/>
  <c r="D120" i="9"/>
  <c r="D121" i="9"/>
  <c r="D91" i="9"/>
  <c r="D88" i="9" s="1"/>
  <c r="O91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G94" i="9"/>
  <c r="F94" i="9"/>
  <c r="E94" i="9"/>
  <c r="T93" i="9"/>
  <c r="S93" i="9"/>
  <c r="R93" i="9"/>
  <c r="Q93" i="9"/>
  <c r="P93" i="9"/>
  <c r="O93" i="9"/>
  <c r="N93" i="9"/>
  <c r="M93" i="9"/>
  <c r="L93" i="9"/>
  <c r="K93" i="9"/>
  <c r="J93" i="9"/>
  <c r="I93" i="9"/>
  <c r="H93" i="9"/>
  <c r="G93" i="9"/>
  <c r="F93" i="9"/>
  <c r="E93" i="9"/>
  <c r="N91" i="9"/>
  <c r="M91" i="9"/>
  <c r="L91" i="9"/>
  <c r="K91" i="9"/>
  <c r="J91" i="9"/>
  <c r="I91" i="9"/>
  <c r="H91" i="9"/>
  <c r="G91" i="9"/>
  <c r="F91" i="9"/>
  <c r="E91" i="9"/>
  <c r="T88" i="9"/>
  <c r="S88" i="9"/>
  <c r="R88" i="9"/>
  <c r="Q88" i="9"/>
  <c r="O88" i="9"/>
  <c r="N88" i="9"/>
  <c r="M88" i="9"/>
  <c r="L88" i="9"/>
  <c r="K88" i="9"/>
  <c r="J88" i="9"/>
  <c r="I88" i="9"/>
  <c r="H88" i="9"/>
  <c r="G88" i="9"/>
  <c r="F88" i="9"/>
  <c r="E88" i="9"/>
  <c r="O82" i="9"/>
  <c r="O79" i="9" l="1"/>
  <c r="D93" i="9"/>
  <c r="D94" i="9"/>
  <c r="E625" i="2" l="1"/>
  <c r="F625" i="2"/>
  <c r="G625" i="2"/>
  <c r="H625" i="2"/>
  <c r="I625" i="2"/>
  <c r="E633" i="2"/>
  <c r="F633" i="2"/>
  <c r="G633" i="2"/>
  <c r="H633" i="2"/>
  <c r="I633" i="2"/>
  <c r="J633" i="2"/>
  <c r="P541" i="2" l="1"/>
  <c r="X612" i="2"/>
  <c r="X611" i="2" s="1"/>
  <c r="T31" i="8" l="1"/>
  <c r="S31" i="8"/>
  <c r="T25" i="8"/>
  <c r="S25" i="8"/>
  <c r="N25" i="8"/>
  <c r="T22" i="8"/>
  <c r="T20" i="8"/>
  <c r="S20" i="8"/>
  <c r="T15" i="8"/>
  <c r="S15" i="8"/>
  <c r="N15" i="8"/>
  <c r="R541" i="2" l="1"/>
  <c r="Q541" i="2"/>
  <c r="O493" i="2"/>
  <c r="N493" i="2"/>
  <c r="M493" i="2" s="1"/>
  <c r="P504" i="2"/>
  <c r="I503" i="2"/>
  <c r="O504" i="2"/>
  <c r="O612" i="2"/>
  <c r="O611" i="2" s="1"/>
  <c r="O117" i="2"/>
  <c r="O115" i="2"/>
  <c r="L172" i="2"/>
  <c r="N187" i="2"/>
  <c r="N182" i="2"/>
  <c r="N43" i="2" s="1"/>
  <c r="N179" i="2"/>
  <c r="O200" i="2"/>
  <c r="O147" i="2"/>
  <c r="Q409" i="2"/>
  <c r="X541" i="2" l="1"/>
  <c r="O43" i="2"/>
  <c r="Q408" i="2"/>
  <c r="D503" i="2"/>
  <c r="D495" i="2"/>
  <c r="D479" i="2" s="1"/>
  <c r="D17" i="2" s="1"/>
  <c r="D554" i="2"/>
  <c r="D493" i="2"/>
  <c r="M497" i="2"/>
  <c r="D497" i="2" s="1"/>
  <c r="X554" i="2"/>
  <c r="X553" i="2" s="1"/>
  <c r="X552" i="2" s="1"/>
  <c r="X382" i="2"/>
  <c r="X386" i="2"/>
  <c r="X385" i="2" s="1"/>
  <c r="E410" i="2"/>
  <c r="M410" i="2" s="1"/>
  <c r="P409" i="2"/>
  <c r="O409" i="2"/>
  <c r="N409" i="2"/>
  <c r="N408" i="2" s="1"/>
  <c r="L409" i="2"/>
  <c r="L408" i="2" s="1"/>
  <c r="K409" i="2"/>
  <c r="K408" i="2" s="1"/>
  <c r="J409" i="2"/>
  <c r="J408" i="2" s="1"/>
  <c r="I409" i="2"/>
  <c r="I408" i="2" s="1"/>
  <c r="H409" i="2"/>
  <c r="H408" i="2" s="1"/>
  <c r="G409" i="2"/>
  <c r="G408" i="2" s="1"/>
  <c r="F409" i="2"/>
  <c r="F408" i="2" s="1"/>
  <c r="P408" i="2"/>
  <c r="E407" i="2"/>
  <c r="M407" i="2" s="1"/>
  <c r="P406" i="2"/>
  <c r="O406" i="2"/>
  <c r="N406" i="2"/>
  <c r="L406" i="2"/>
  <c r="K406" i="2"/>
  <c r="J406" i="2"/>
  <c r="I406" i="2"/>
  <c r="H406" i="2"/>
  <c r="G406" i="2"/>
  <c r="F406" i="2"/>
  <c r="N405" i="2"/>
  <c r="N404" i="2" s="1"/>
  <c r="N403" i="2" s="1"/>
  <c r="L405" i="2"/>
  <c r="L404" i="2" s="1"/>
  <c r="L403" i="2" s="1"/>
  <c r="E405" i="2"/>
  <c r="E404" i="2" s="1"/>
  <c r="P404" i="2"/>
  <c r="O404" i="2"/>
  <c r="K404" i="2"/>
  <c r="J404" i="2"/>
  <c r="I404" i="2"/>
  <c r="H404" i="2"/>
  <c r="G404" i="2"/>
  <c r="F404" i="2"/>
  <c r="O408" i="2" l="1"/>
  <c r="M386" i="2"/>
  <c r="D407" i="2"/>
  <c r="D406" i="2" s="1"/>
  <c r="H403" i="2"/>
  <c r="X381" i="2"/>
  <c r="G403" i="2"/>
  <c r="I403" i="2"/>
  <c r="K403" i="2"/>
  <c r="F403" i="2"/>
  <c r="P403" i="2"/>
  <c r="M405" i="2"/>
  <c r="E409" i="2"/>
  <c r="E408" i="2" s="1"/>
  <c r="D410" i="2"/>
  <c r="E406" i="2"/>
  <c r="E403" i="2" s="1"/>
  <c r="O403" i="2"/>
  <c r="J403" i="2"/>
  <c r="M406" i="2"/>
  <c r="T16" i="8"/>
  <c r="Q20" i="1" s="1"/>
  <c r="T26" i="8"/>
  <c r="Q36" i="1" s="1"/>
  <c r="T32" i="8"/>
  <c r="Q44" i="1" s="1"/>
  <c r="Q142" i="1" s="1"/>
  <c r="Q204" i="1" s="1"/>
  <c r="S32" i="8"/>
  <c r="P44" i="1" s="1"/>
  <c r="P142" i="1" s="1"/>
  <c r="P204" i="1" s="1"/>
  <c r="R32" i="8"/>
  <c r="O44" i="1" s="1"/>
  <c r="O142" i="1" s="1"/>
  <c r="O204" i="1" s="1"/>
  <c r="Q32" i="8"/>
  <c r="N44" i="1" s="1"/>
  <c r="N142" i="1" s="1"/>
  <c r="N204" i="1" s="1"/>
  <c r="P32" i="8"/>
  <c r="M44" i="1" s="1"/>
  <c r="M142" i="1" s="1"/>
  <c r="M204" i="1" s="1"/>
  <c r="O32" i="8"/>
  <c r="L44" i="1" s="1"/>
  <c r="L142" i="1" s="1"/>
  <c r="L204" i="1" s="1"/>
  <c r="S26" i="8"/>
  <c r="P36" i="1" s="1"/>
  <c r="R26" i="8"/>
  <c r="O36" i="1" s="1"/>
  <c r="O141" i="1" s="1"/>
  <c r="O203" i="1" s="1"/>
  <c r="Q26" i="8"/>
  <c r="N36" i="1" s="1"/>
  <c r="N141" i="1" s="1"/>
  <c r="N203" i="1" s="1"/>
  <c r="P26" i="8"/>
  <c r="M36" i="1" s="1"/>
  <c r="M141" i="1" s="1"/>
  <c r="M203" i="1" s="1"/>
  <c r="T21" i="8"/>
  <c r="Q30" i="1" s="1"/>
  <c r="S21" i="8"/>
  <c r="P30" i="1" s="1"/>
  <c r="P130" i="1" s="1"/>
  <c r="P192" i="1" s="1"/>
  <c r="R21" i="8"/>
  <c r="O30" i="1" s="1"/>
  <c r="O130" i="1" s="1"/>
  <c r="O192" i="1" s="1"/>
  <c r="Q21" i="8"/>
  <c r="N30" i="1" s="1"/>
  <c r="N130" i="1" s="1"/>
  <c r="N192" i="1" s="1"/>
  <c r="P21" i="8"/>
  <c r="M30" i="1" s="1"/>
  <c r="M130" i="1" s="1"/>
  <c r="M192" i="1" s="1"/>
  <c r="O21" i="8"/>
  <c r="L30" i="1" s="1"/>
  <c r="S16" i="8"/>
  <c r="P20" i="1" s="1"/>
  <c r="R16" i="8"/>
  <c r="O20" i="1" s="1"/>
  <c r="Q16" i="8"/>
  <c r="N20" i="1" s="1"/>
  <c r="P16" i="8"/>
  <c r="M20" i="1" s="1"/>
  <c r="D405" i="2" l="1"/>
  <c r="D404" i="2" s="1"/>
  <c r="D403" i="2" s="1"/>
  <c r="Q130" i="1"/>
  <c r="Q192" i="1" s="1"/>
  <c r="D409" i="2"/>
  <c r="D408" i="2" s="1"/>
  <c r="Z408" i="2" s="1"/>
  <c r="M404" i="2"/>
  <c r="M409" i="2"/>
  <c r="L130" i="1"/>
  <c r="L192" i="1" s="1"/>
  <c r="Q141" i="1"/>
  <c r="Q203" i="1" s="1"/>
  <c r="P141" i="1"/>
  <c r="P203" i="1" s="1"/>
  <c r="P548" i="2"/>
  <c r="M77" i="1" s="1"/>
  <c r="Q548" i="2"/>
  <c r="R548" i="2"/>
  <c r="S548" i="2"/>
  <c r="T548" i="2"/>
  <c r="O548" i="2"/>
  <c r="D637" i="2"/>
  <c r="D636" i="2" s="1"/>
  <c r="O637" i="2"/>
  <c r="O636" i="2" s="1"/>
  <c r="D629" i="2"/>
  <c r="D628" i="2" s="1"/>
  <c r="O629" i="2"/>
  <c r="O628" i="2" s="1"/>
  <c r="M403" i="2" l="1"/>
  <c r="M408" i="2"/>
  <c r="O633" i="2"/>
  <c r="D548" i="2"/>
  <c r="AA548" i="2" s="1"/>
  <c r="Z548" i="2" l="1"/>
  <c r="O625" i="2"/>
  <c r="O144" i="4" l="1"/>
  <c r="N574" i="2" l="1"/>
  <c r="D58" i="9" l="1"/>
  <c r="D57" i="9" s="1"/>
  <c r="M57" i="9"/>
  <c r="N57" i="9"/>
  <c r="O57" i="9"/>
  <c r="Q335" i="2" l="1"/>
  <c r="M338" i="2"/>
  <c r="Q340" i="2"/>
  <c r="Q332" i="2"/>
  <c r="P216" i="2"/>
  <c r="P38" i="2" s="1"/>
  <c r="N333" i="2"/>
  <c r="X38" i="2" l="1"/>
  <c r="M333" i="2"/>
  <c r="D333" i="2" s="1"/>
  <c r="X216" i="2"/>
  <c r="X215" i="2" s="1"/>
  <c r="X214" i="2" s="1"/>
  <c r="Q337" i="2"/>
  <c r="Q331" i="2"/>
  <c r="P163" i="8"/>
  <c r="P31" i="8" s="1"/>
  <c r="P160" i="8"/>
  <c r="P25" i="8" s="1"/>
  <c r="P157" i="8"/>
  <c r="P155" i="8"/>
  <c r="P154" i="8"/>
  <c r="X154" i="8" s="1"/>
  <c r="O154" i="8"/>
  <c r="S139" i="8"/>
  <c r="S142" i="8"/>
  <c r="S145" i="8"/>
  <c r="S148" i="8"/>
  <c r="O140" i="8"/>
  <c r="R140" i="8"/>
  <c r="Q140" i="8"/>
  <c r="P140" i="8"/>
  <c r="M332" i="2" l="1"/>
  <c r="R25" i="8"/>
  <c r="D146" i="8"/>
  <c r="R15" i="8"/>
  <c r="D141" i="8"/>
  <c r="X141" i="8"/>
  <c r="R20" i="8"/>
  <c r="X143" i="8"/>
  <c r="D143" i="8"/>
  <c r="R31" i="8"/>
  <c r="D149" i="8"/>
  <c r="S144" i="8"/>
  <c r="Q14" i="10" s="1"/>
  <c r="S138" i="8"/>
  <c r="Q13" i="10" s="1"/>
  <c r="X157" i="8"/>
  <c r="X156" i="8" s="1"/>
  <c r="P20" i="8"/>
  <c r="D140" i="8"/>
  <c r="D139" i="8" s="1"/>
  <c r="X140" i="8"/>
  <c r="Q15" i="8"/>
  <c r="X142" i="8"/>
  <c r="Q20" i="8"/>
  <c r="Q25" i="8"/>
  <c r="Q31" i="8"/>
  <c r="X155" i="8"/>
  <c r="X153" i="8" s="1"/>
  <c r="X152" i="8" s="1"/>
  <c r="P15" i="8"/>
  <c r="Q276" i="2"/>
  <c r="Q271" i="2"/>
  <c r="M274" i="2"/>
  <c r="M271" i="2"/>
  <c r="M268" i="2"/>
  <c r="Q268" i="2"/>
  <c r="D275" i="2"/>
  <c r="D46" i="2" s="1"/>
  <c r="D270" i="2"/>
  <c r="Q256" i="2"/>
  <c r="M259" i="2"/>
  <c r="Q260" i="2"/>
  <c r="Q263" i="2"/>
  <c r="D264" i="2"/>
  <c r="D261" i="2"/>
  <c r="D255" i="2"/>
  <c r="F252" i="2"/>
  <c r="G252" i="2"/>
  <c r="J252" i="2"/>
  <c r="K252" i="2"/>
  <c r="L252" i="2"/>
  <c r="Q248" i="2"/>
  <c r="Q245" i="2" s="1"/>
  <c r="X139" i="8" l="1"/>
  <c r="X138" i="8" s="1"/>
  <c r="Q259" i="2"/>
  <c r="X14" i="8"/>
  <c r="Q273" i="2"/>
  <c r="Q251" i="2"/>
  <c r="Q267" i="2"/>
  <c r="M267" i="2"/>
  <c r="N42" i="4" l="1"/>
  <c r="R17" i="8" l="1"/>
  <c r="S17" i="8"/>
  <c r="T17" i="8"/>
  <c r="S14" i="8"/>
  <c r="T14" i="8"/>
  <c r="O133" i="8" l="1"/>
  <c r="D118" i="4" l="1"/>
  <c r="P118" i="4" l="1"/>
  <c r="P117" i="4" s="1"/>
  <c r="Q118" i="4"/>
  <c r="R118" i="4"/>
  <c r="R117" i="4" s="1"/>
  <c r="S118" i="4"/>
  <c r="T118" i="4"/>
  <c r="T117" i="4" s="1"/>
  <c r="O118" i="4"/>
  <c r="O117" i="4" s="1"/>
  <c r="O142" i="4"/>
  <c r="T123" i="4"/>
  <c r="S123" i="4"/>
  <c r="R123" i="4"/>
  <c r="Q123" i="4"/>
  <c r="P123" i="4"/>
  <c r="O123" i="4"/>
  <c r="O122" i="4" s="1"/>
  <c r="N123" i="4"/>
  <c r="N122" i="4" s="1"/>
  <c r="M123" i="4"/>
  <c r="L123" i="4"/>
  <c r="K123" i="4"/>
  <c r="J123" i="4"/>
  <c r="I123" i="4"/>
  <c r="H123" i="4"/>
  <c r="G123" i="4"/>
  <c r="F123" i="4"/>
  <c r="E123" i="4"/>
  <c r="T122" i="4"/>
  <c r="S122" i="4"/>
  <c r="R122" i="4"/>
  <c r="Q122" i="4"/>
  <c r="P122" i="4"/>
  <c r="M122" i="4"/>
  <c r="L122" i="4"/>
  <c r="K122" i="4"/>
  <c r="J122" i="4"/>
  <c r="I122" i="4"/>
  <c r="H122" i="4"/>
  <c r="G122" i="4"/>
  <c r="F122" i="4"/>
  <c r="E122" i="4"/>
  <c r="S117" i="4"/>
  <c r="N118" i="4"/>
  <c r="N117" i="4" s="1"/>
  <c r="M118" i="4"/>
  <c r="M117" i="4" s="1"/>
  <c r="L118" i="4"/>
  <c r="K118" i="4"/>
  <c r="J118" i="4"/>
  <c r="I118" i="4"/>
  <c r="H118" i="4"/>
  <c r="G118" i="4"/>
  <c r="F118" i="4"/>
  <c r="E118" i="4"/>
  <c r="D117" i="4"/>
  <c r="Q117" i="4"/>
  <c r="L117" i="4"/>
  <c r="K117" i="4"/>
  <c r="J117" i="4"/>
  <c r="I117" i="4"/>
  <c r="H117" i="4"/>
  <c r="G117" i="4"/>
  <c r="F117" i="4"/>
  <c r="E117" i="4"/>
  <c r="D123" i="4" l="1"/>
  <c r="D122" i="4" s="1"/>
  <c r="D101" i="9" l="1"/>
  <c r="P601" i="2" l="1"/>
  <c r="P600" i="2" s="1"/>
  <c r="O601" i="2"/>
  <c r="O600" i="2" s="1"/>
  <c r="N601" i="2"/>
  <c r="N600" i="2" s="1"/>
  <c r="L601" i="2"/>
  <c r="L600" i="2" s="1"/>
  <c r="K601" i="2"/>
  <c r="K600" i="2" s="1"/>
  <c r="J601" i="2"/>
  <c r="J600" i="2" s="1"/>
  <c r="N642" i="2"/>
  <c r="N634" i="2"/>
  <c r="N633" i="2" s="1"/>
  <c r="N626" i="2"/>
  <c r="N625" i="2" s="1"/>
  <c r="N590" i="2"/>
  <c r="N570" i="2"/>
  <c r="M570" i="2" s="1"/>
  <c r="D570" i="2" s="1"/>
  <c r="Q625" i="2" l="1"/>
  <c r="P625" i="2"/>
  <c r="M601" i="2"/>
  <c r="M600" i="2" s="1"/>
  <c r="N106" i="4"/>
  <c r="M106" i="4" s="1"/>
  <c r="D106" i="4" s="1"/>
  <c r="N110" i="4"/>
  <c r="N115" i="4"/>
  <c r="M115" i="4" s="1"/>
  <c r="D115" i="4" s="1"/>
  <c r="O96" i="4"/>
  <c r="O16" i="4" s="1"/>
  <c r="N96" i="4"/>
  <c r="N99" i="4"/>
  <c r="N102" i="4"/>
  <c r="M102" i="4" l="1"/>
  <c r="D102" i="4" s="1"/>
  <c r="N16" i="4"/>
  <c r="M96" i="4"/>
  <c r="D601" i="2"/>
  <c r="D600" i="2" s="1"/>
  <c r="Q232" i="2"/>
  <c r="Q235" i="2"/>
  <c r="D96" i="4" l="1"/>
  <c r="M16" i="4"/>
  <c r="Q231" i="2"/>
  <c r="X16" i="5" l="1"/>
  <c r="F235" i="2"/>
  <c r="G235" i="2"/>
  <c r="H235" i="2"/>
  <c r="I235" i="2"/>
  <c r="J235" i="2"/>
  <c r="K235" i="2"/>
  <c r="L235" i="2"/>
  <c r="F229" i="2"/>
  <c r="G229" i="2"/>
  <c r="H229" i="2"/>
  <c r="I229" i="2"/>
  <c r="J229" i="2"/>
  <c r="K229" i="2"/>
  <c r="L229" i="2"/>
  <c r="N229" i="2"/>
  <c r="O229" i="2"/>
  <c r="P229" i="2"/>
  <c r="M225" i="2"/>
  <c r="D228" i="2"/>
  <c r="D227" i="2"/>
  <c r="L234" i="2" l="1"/>
  <c r="M232" i="2"/>
  <c r="L233" i="2"/>
  <c r="E56" i="5"/>
  <c r="D55" i="5"/>
  <c r="D54" i="5" s="1"/>
  <c r="T55" i="5"/>
  <c r="T54" i="5" s="1"/>
  <c r="S55" i="5"/>
  <c r="S54" i="5" s="1"/>
  <c r="R55" i="5"/>
  <c r="R54" i="5" s="1"/>
  <c r="Q55" i="5"/>
  <c r="Q54" i="5" s="1"/>
  <c r="P55" i="5"/>
  <c r="P54" i="5" s="1"/>
  <c r="O55" i="5"/>
  <c r="O54" i="5" s="1"/>
  <c r="N55" i="5"/>
  <c r="N54" i="5" s="1"/>
  <c r="M55" i="5"/>
  <c r="M54" i="5" s="1"/>
  <c r="L55" i="5"/>
  <c r="L54" i="5" s="1"/>
  <c r="K55" i="5"/>
  <c r="K54" i="5" s="1"/>
  <c r="J55" i="5"/>
  <c r="J54" i="5" s="1"/>
  <c r="I55" i="5"/>
  <c r="I54" i="5" s="1"/>
  <c r="H55" i="5"/>
  <c r="H54" i="5" s="1"/>
  <c r="G55" i="5"/>
  <c r="G54" i="5" s="1"/>
  <c r="F55" i="5"/>
  <c r="F54" i="5" s="1"/>
  <c r="E55" i="5"/>
  <c r="E54" i="5" s="1"/>
  <c r="D52" i="5"/>
  <c r="D51" i="5" s="1"/>
  <c r="E53" i="5"/>
  <c r="T52" i="5"/>
  <c r="S52" i="5"/>
  <c r="R52" i="5"/>
  <c r="Q52" i="5"/>
  <c r="Q51" i="5" s="1"/>
  <c r="P52" i="5"/>
  <c r="O52" i="5"/>
  <c r="N52" i="5"/>
  <c r="M52" i="5"/>
  <c r="L52" i="5"/>
  <c r="K52" i="5"/>
  <c r="J52" i="5"/>
  <c r="I52" i="5"/>
  <c r="H52" i="5"/>
  <c r="G52" i="5"/>
  <c r="F52" i="5"/>
  <c r="P51" i="5"/>
  <c r="O51" i="5"/>
  <c r="N51" i="5"/>
  <c r="M51" i="5"/>
  <c r="L51" i="5"/>
  <c r="K51" i="5"/>
  <c r="J51" i="5"/>
  <c r="I51" i="5"/>
  <c r="H51" i="5"/>
  <c r="G51" i="5"/>
  <c r="F51" i="5"/>
  <c r="I234" i="2" l="1"/>
  <c r="H234" i="2" s="1"/>
  <c r="G234" i="2" s="1"/>
  <c r="K234" i="2"/>
  <c r="E52" i="5"/>
  <c r="E51" i="5" s="1"/>
  <c r="L232" i="2"/>
  <c r="L231" i="2" s="1"/>
  <c r="F234" i="2" l="1"/>
  <c r="E234" i="2" s="1"/>
  <c r="K232" i="2"/>
  <c r="K231" i="2" s="1"/>
  <c r="O147" i="9"/>
  <c r="M147" i="9"/>
  <c r="P147" i="9"/>
  <c r="M66" i="1" s="1"/>
  <c r="Q147" i="9"/>
  <c r="N66" i="1" s="1"/>
  <c r="R147" i="9"/>
  <c r="O66" i="1" s="1"/>
  <c r="S147" i="9"/>
  <c r="P66" i="1" s="1"/>
  <c r="T147" i="9"/>
  <c r="Q66" i="1" s="1"/>
  <c r="N147" i="9"/>
  <c r="P151" i="9"/>
  <c r="M79" i="1" s="1"/>
  <c r="O151" i="9"/>
  <c r="Q153" i="9"/>
  <c r="R153" i="9"/>
  <c r="S153" i="9"/>
  <c r="T153" i="9"/>
  <c r="E154" i="9"/>
  <c r="E153" i="9" s="1"/>
  <c r="F154" i="9"/>
  <c r="F153" i="9" s="1"/>
  <c r="G154" i="9"/>
  <c r="G153" i="9" s="1"/>
  <c r="H154" i="9"/>
  <c r="H153" i="9" s="1"/>
  <c r="I154" i="9"/>
  <c r="I153" i="9" s="1"/>
  <c r="J154" i="9"/>
  <c r="J153" i="9" s="1"/>
  <c r="K154" i="9"/>
  <c r="K153" i="9" s="1"/>
  <c r="L154" i="9"/>
  <c r="L153" i="9" s="1"/>
  <c r="P154" i="9"/>
  <c r="P153" i="9" s="1"/>
  <c r="N155" i="9"/>
  <c r="O155" i="9"/>
  <c r="T158" i="9"/>
  <c r="T157" i="9" s="1"/>
  <c r="S158" i="9"/>
  <c r="R158" i="9"/>
  <c r="R157" i="9" s="1"/>
  <c r="Q158" i="9"/>
  <c r="Q157" i="9" s="1"/>
  <c r="P158" i="9"/>
  <c r="P157" i="9" s="1"/>
  <c r="M162" i="9"/>
  <c r="D162" i="9" s="1"/>
  <c r="T161" i="9"/>
  <c r="S161" i="9"/>
  <c r="R161" i="9"/>
  <c r="R151" i="9" s="1"/>
  <c r="O79" i="1" s="1"/>
  <c r="Q161" i="9"/>
  <c r="Q151" i="9" s="1"/>
  <c r="N79" i="1" s="1"/>
  <c r="P161" i="9"/>
  <c r="O161" i="9"/>
  <c r="O150" i="9" s="1"/>
  <c r="N161" i="9"/>
  <c r="N151" i="9" s="1"/>
  <c r="M161" i="9"/>
  <c r="M151" i="9" s="1"/>
  <c r="L161" i="9"/>
  <c r="L151" i="9" s="1"/>
  <c r="L150" i="9" s="1"/>
  <c r="L149" i="9" s="1"/>
  <c r="K161" i="9"/>
  <c r="K151" i="9" s="1"/>
  <c r="K150" i="9" s="1"/>
  <c r="K149" i="9" s="1"/>
  <c r="J161" i="9"/>
  <c r="J151" i="9" s="1"/>
  <c r="J150" i="9" s="1"/>
  <c r="J149" i="9" s="1"/>
  <c r="I161" i="9"/>
  <c r="I151" i="9" s="1"/>
  <c r="I150" i="9" s="1"/>
  <c r="I149" i="9" s="1"/>
  <c r="H161" i="9"/>
  <c r="H151" i="9" s="1"/>
  <c r="H150" i="9" s="1"/>
  <c r="H149" i="9" s="1"/>
  <c r="G161" i="9"/>
  <c r="G151" i="9" s="1"/>
  <c r="G150" i="9" s="1"/>
  <c r="G149" i="9" s="1"/>
  <c r="F161" i="9"/>
  <c r="F151" i="9" s="1"/>
  <c r="F150" i="9" s="1"/>
  <c r="F149" i="9" s="1"/>
  <c r="E161" i="9"/>
  <c r="E151" i="9" s="1"/>
  <c r="E150" i="9" s="1"/>
  <c r="E149" i="9" s="1"/>
  <c r="T160" i="9"/>
  <c r="S160" i="9"/>
  <c r="Q160" i="9"/>
  <c r="P160" i="9"/>
  <c r="O160" i="9"/>
  <c r="O149" i="9" s="1"/>
  <c r="N160" i="9"/>
  <c r="M160" i="9"/>
  <c r="L160" i="9"/>
  <c r="K160" i="9"/>
  <c r="J160" i="9"/>
  <c r="I160" i="9"/>
  <c r="H160" i="9"/>
  <c r="G160" i="9"/>
  <c r="F160" i="9"/>
  <c r="E160" i="9"/>
  <c r="D159" i="9"/>
  <c r="N158" i="9"/>
  <c r="N157" i="9" s="1"/>
  <c r="O158" i="9"/>
  <c r="O157" i="9" s="1"/>
  <c r="M158" i="9"/>
  <c r="M157" i="9" s="1"/>
  <c r="L158" i="9"/>
  <c r="L157" i="9" s="1"/>
  <c r="K158" i="9"/>
  <c r="K157" i="9" s="1"/>
  <c r="J158" i="9"/>
  <c r="J157" i="9" s="1"/>
  <c r="I158" i="9"/>
  <c r="H158" i="9"/>
  <c r="H157" i="9" s="1"/>
  <c r="G158" i="9"/>
  <c r="G157" i="9" s="1"/>
  <c r="F158" i="9"/>
  <c r="F157" i="9" s="1"/>
  <c r="E158" i="9"/>
  <c r="S157" i="9"/>
  <c r="I157" i="9"/>
  <c r="E157" i="9"/>
  <c r="N154" i="9" l="1"/>
  <c r="N153" i="9" s="1"/>
  <c r="M155" i="9"/>
  <c r="D155" i="9" s="1"/>
  <c r="D160" i="9"/>
  <c r="N143" i="9"/>
  <c r="P143" i="9"/>
  <c r="S143" i="9"/>
  <c r="Q143" i="9"/>
  <c r="D151" i="9"/>
  <c r="T143" i="9"/>
  <c r="R143" i="9"/>
  <c r="Q150" i="9"/>
  <c r="Q149" i="9" s="1"/>
  <c r="S150" i="9"/>
  <c r="S149" i="9" s="1"/>
  <c r="N148" i="9"/>
  <c r="N146" i="9" s="1"/>
  <c r="D147" i="9"/>
  <c r="V66" i="1"/>
  <c r="N150" i="9"/>
  <c r="N149" i="9" s="1"/>
  <c r="R150" i="9"/>
  <c r="R149" i="9" s="1"/>
  <c r="D161" i="9"/>
  <c r="P150" i="9"/>
  <c r="P149" i="9" s="1"/>
  <c r="J232" i="2"/>
  <c r="J231" i="2" s="1"/>
  <c r="I233" i="2"/>
  <c r="M150" i="9"/>
  <c r="O154" i="9"/>
  <c r="O153" i="9" s="1"/>
  <c r="O143" i="9" s="1"/>
  <c r="M154" i="9"/>
  <c r="D157" i="9"/>
  <c r="D158" i="9"/>
  <c r="M50" i="3"/>
  <c r="D44" i="3"/>
  <c r="D39" i="3" s="1"/>
  <c r="D143" i="9" l="1"/>
  <c r="X143" i="9"/>
  <c r="D38" i="3"/>
  <c r="D47" i="3"/>
  <c r="M148" i="9"/>
  <c r="M153" i="9"/>
  <c r="M143" i="9" s="1"/>
  <c r="M149" i="9"/>
  <c r="D149" i="9" s="1"/>
  <c r="D150" i="9"/>
  <c r="I232" i="2"/>
  <c r="I231" i="2" s="1"/>
  <c r="H233" i="2"/>
  <c r="D154" i="9" l="1"/>
  <c r="D153" i="9" s="1"/>
  <c r="D148" i="9"/>
  <c r="D146" i="9" s="1"/>
  <c r="D145" i="9" s="1"/>
  <c r="H232" i="2"/>
  <c r="H231" i="2" s="1"/>
  <c r="G233" i="2"/>
  <c r="G232" i="2" l="1"/>
  <c r="G231" i="2" s="1"/>
  <c r="F233" i="2"/>
  <c r="F232" i="2" l="1"/>
  <c r="F231" i="2" s="1"/>
  <c r="E233" i="2"/>
  <c r="E232" i="2" s="1"/>
  <c r="D501" i="2" l="1"/>
  <c r="D494" i="2"/>
  <c r="D478" i="2" s="1"/>
  <c r="D485" i="2" l="1"/>
  <c r="Z501" i="2"/>
  <c r="X209" i="2"/>
  <c r="X208" i="2" s="1"/>
  <c r="X207" i="2" s="1"/>
  <c r="O547" i="2" l="1"/>
  <c r="E616" i="2"/>
  <c r="F616" i="2"/>
  <c r="G616" i="2"/>
  <c r="H616" i="2"/>
  <c r="I616" i="2"/>
  <c r="J616" i="2"/>
  <c r="K616" i="2"/>
  <c r="N616" i="2"/>
  <c r="O616" i="2"/>
  <c r="P616" i="2"/>
  <c r="Q616" i="2"/>
  <c r="R616" i="2"/>
  <c r="R615" i="2" s="1"/>
  <c r="W32" i="10" l="1"/>
  <c r="G16" i="6" l="1"/>
  <c r="G14" i="6" s="1"/>
  <c r="G22" i="6"/>
  <c r="G25" i="6"/>
  <c r="F16" i="6"/>
  <c r="F14" i="6" s="1"/>
  <c r="F22" i="6"/>
  <c r="F25" i="6"/>
  <c r="F21" i="6" l="1"/>
  <c r="G21" i="6"/>
  <c r="G143" i="9"/>
  <c r="H143" i="9"/>
  <c r="F143" i="9"/>
  <c r="H10" i="7"/>
  <c r="G10" i="7"/>
  <c r="F10" i="7"/>
  <c r="H14" i="7"/>
  <c r="G14" i="7"/>
  <c r="F14" i="7"/>
  <c r="O105" i="5" l="1"/>
  <c r="O108" i="5"/>
  <c r="O104" i="5" l="1"/>
  <c r="P22" i="4"/>
  <c r="P21" i="4" s="1"/>
  <c r="Q22" i="4"/>
  <c r="R22" i="4"/>
  <c r="R21" i="4" s="1"/>
  <c r="S22" i="4"/>
  <c r="T22" i="4"/>
  <c r="X60" i="8"/>
  <c r="X21" i="8" s="1"/>
  <c r="X59" i="8"/>
  <c r="X57" i="8"/>
  <c r="X16" i="8" s="1"/>
  <c r="X56" i="8"/>
  <c r="T21" i="4" l="1"/>
  <c r="S21" i="4"/>
  <c r="Q21" i="4"/>
  <c r="X55" i="8"/>
  <c r="X15" i="8"/>
  <c r="X20" i="8"/>
  <c r="X58" i="8"/>
  <c r="T53" i="7"/>
  <c r="T51" i="7"/>
  <c r="T50" i="7"/>
  <c r="T48" i="7"/>
  <c r="T45" i="7"/>
  <c r="T44" i="7" s="1"/>
  <c r="S53" i="7"/>
  <c r="S51" i="7"/>
  <c r="S50" i="7" s="1"/>
  <c r="S48" i="7"/>
  <c r="S45" i="7"/>
  <c r="S44" i="7" s="1"/>
  <c r="T65" i="7"/>
  <c r="T63" i="7"/>
  <c r="T62" i="7" s="1"/>
  <c r="T60" i="7"/>
  <c r="T57" i="7"/>
  <c r="S65" i="7"/>
  <c r="S63" i="7"/>
  <c r="S62" i="7" s="1"/>
  <c r="S60" i="7"/>
  <c r="S57" i="7"/>
  <c r="S56" i="7" s="1"/>
  <c r="T89" i="7"/>
  <c r="T87" i="7"/>
  <c r="T86" i="7" s="1"/>
  <c r="T84" i="7"/>
  <c r="T81" i="7"/>
  <c r="S89" i="7"/>
  <c r="S87" i="7"/>
  <c r="S86" i="7" s="1"/>
  <c r="S84" i="7"/>
  <c r="S81" i="7"/>
  <c r="T77" i="7"/>
  <c r="T75" i="7"/>
  <c r="T72" i="7"/>
  <c r="T69" i="7"/>
  <c r="S77" i="7"/>
  <c r="S75" i="7"/>
  <c r="S72" i="7"/>
  <c r="S69" i="7"/>
  <c r="T36" i="7"/>
  <c r="T33" i="7"/>
  <c r="S36" i="7"/>
  <c r="S33" i="7"/>
  <c r="S32" i="7" s="1"/>
  <c r="T41" i="7"/>
  <c r="T39" i="7"/>
  <c r="S41" i="7"/>
  <c r="S39" i="7"/>
  <c r="S24" i="7"/>
  <c r="S23" i="7" s="1"/>
  <c r="T24" i="7"/>
  <c r="T23" i="7" s="1"/>
  <c r="P10" i="7"/>
  <c r="P8" i="7" s="1"/>
  <c r="Q10" i="7"/>
  <c r="Q8" i="7" s="1"/>
  <c r="R10" i="7"/>
  <c r="R8" i="7" s="1"/>
  <c r="S10" i="7"/>
  <c r="S8" i="7" s="1"/>
  <c r="T10" i="7"/>
  <c r="T8" i="7" s="1"/>
  <c r="P13" i="7"/>
  <c r="M67" i="1" s="1"/>
  <c r="Q13" i="7"/>
  <c r="N67" i="1" s="1"/>
  <c r="R13" i="7"/>
  <c r="O67" i="1" s="1"/>
  <c r="S13" i="7"/>
  <c r="P67" i="1" s="1"/>
  <c r="T13" i="7"/>
  <c r="Q67" i="1" s="1"/>
  <c r="P14" i="7"/>
  <c r="Q14" i="7"/>
  <c r="R14" i="7"/>
  <c r="S14" i="7"/>
  <c r="T14" i="7"/>
  <c r="P16" i="7"/>
  <c r="P15" i="7" s="1"/>
  <c r="Q16" i="7"/>
  <c r="Q15" i="7" s="1"/>
  <c r="R16" i="7"/>
  <c r="R15" i="7" s="1"/>
  <c r="S16" i="7"/>
  <c r="S15" i="7" s="1"/>
  <c r="T16" i="7"/>
  <c r="T15" i="7" s="1"/>
  <c r="O80" i="1"/>
  <c r="O140" i="1" s="1"/>
  <c r="O202" i="1" s="1"/>
  <c r="P20" i="7"/>
  <c r="Q20" i="7"/>
  <c r="R20" i="7"/>
  <c r="S20" i="7"/>
  <c r="T20" i="7"/>
  <c r="S10" i="8"/>
  <c r="T10" i="8"/>
  <c r="S11" i="8"/>
  <c r="T11" i="8"/>
  <c r="S13" i="8"/>
  <c r="T13" i="8"/>
  <c r="S19" i="8"/>
  <c r="P27" i="1" s="1"/>
  <c r="T19" i="8"/>
  <c r="Q27" i="1" s="1"/>
  <c r="S22" i="8"/>
  <c r="S27" i="8"/>
  <c r="T27" i="8"/>
  <c r="S28" i="8"/>
  <c r="P136" i="1" s="1"/>
  <c r="P198" i="1" s="1"/>
  <c r="T28" i="8"/>
  <c r="Q136" i="1" s="1"/>
  <c r="Q198" i="1" s="1"/>
  <c r="S33" i="8"/>
  <c r="T33" i="8"/>
  <c r="S38" i="7" l="1"/>
  <c r="S68" i="7"/>
  <c r="S74" i="7"/>
  <c r="T68" i="7"/>
  <c r="T74" i="7"/>
  <c r="S80" i="7"/>
  <c r="S18" i="7"/>
  <c r="P140" i="1"/>
  <c r="P202" i="1" s="1"/>
  <c r="Q18" i="7"/>
  <c r="Q74" i="1"/>
  <c r="T18" i="7"/>
  <c r="Q140" i="1"/>
  <c r="Q202" i="1" s="1"/>
  <c r="P18" i="7"/>
  <c r="P17" i="7" s="1"/>
  <c r="N74" i="1"/>
  <c r="N73" i="1" s="1"/>
  <c r="P74" i="1"/>
  <c r="P73" i="1" s="1"/>
  <c r="O74" i="1"/>
  <c r="O73" i="1" s="1"/>
  <c r="T30" i="8"/>
  <c r="S18" i="8"/>
  <c r="S12" i="8" s="1"/>
  <c r="T9" i="8"/>
  <c r="T32" i="7"/>
  <c r="Q12" i="7"/>
  <c r="T38" i="7"/>
  <c r="X14" i="7"/>
  <c r="X12" i="7" s="1"/>
  <c r="X11" i="7" s="1"/>
  <c r="R12" i="7"/>
  <c r="T80" i="7"/>
  <c r="T56" i="7"/>
  <c r="R18" i="7"/>
  <c r="R17" i="7" s="1"/>
  <c r="T24" i="8"/>
  <c r="X54" i="8"/>
  <c r="S9" i="8"/>
  <c r="P12" i="7"/>
  <c r="P11" i="7" s="1"/>
  <c r="T18" i="8"/>
  <c r="T12" i="8" s="1"/>
  <c r="S30" i="8"/>
  <c r="S24" i="8"/>
  <c r="T12" i="7"/>
  <c r="S12" i="7"/>
  <c r="S11" i="7" s="1"/>
  <c r="S17" i="7"/>
  <c r="Q17" i="7"/>
  <c r="T11" i="7"/>
  <c r="R11" i="7"/>
  <c r="T17" i="7"/>
  <c r="Q11" i="7"/>
  <c r="T23" i="8" l="1"/>
  <c r="Q73" i="1"/>
  <c r="S23" i="8"/>
  <c r="T11" i="13"/>
  <c r="S11" i="13"/>
  <c r="R11" i="13"/>
  <c r="S16" i="13"/>
  <c r="R16" i="13"/>
  <c r="Q16" i="13"/>
  <c r="Q12" i="13" s="1"/>
  <c r="P16" i="13"/>
  <c r="M45" i="13"/>
  <c r="T16" i="13" l="1"/>
  <c r="P22" i="13"/>
  <c r="P19" i="13" s="1"/>
  <c r="R22" i="13"/>
  <c r="R19" i="13" s="1"/>
  <c r="T22" i="13"/>
  <c r="T19" i="13" s="1"/>
  <c r="Q22" i="13"/>
  <c r="Q19" i="13" s="1"/>
  <c r="S22" i="13"/>
  <c r="S19" i="13" s="1"/>
  <c r="R9" i="13"/>
  <c r="S9" i="13"/>
  <c r="T9" i="13"/>
  <c r="R12" i="13"/>
  <c r="T12" i="13"/>
  <c r="M52" i="13"/>
  <c r="M49" i="13" s="1"/>
  <c r="S12" i="13"/>
  <c r="P12" i="13" l="1"/>
  <c r="G20" i="8"/>
  <c r="H20" i="8"/>
  <c r="E31" i="8"/>
  <c r="F31" i="8"/>
  <c r="G31" i="8"/>
  <c r="H31" i="8"/>
  <c r="F20" i="8" l="1"/>
  <c r="G14" i="8"/>
  <c r="M163" i="8" l="1"/>
  <c r="D163" i="8" s="1"/>
  <c r="M160" i="8"/>
  <c r="M157" i="8"/>
  <c r="M156" i="8" s="1"/>
  <c r="M155" i="8"/>
  <c r="M154" i="8"/>
  <c r="M153" i="8" s="1"/>
  <c r="D160" i="8"/>
  <c r="D157" i="8"/>
  <c r="D155" i="8"/>
  <c r="D154" i="8"/>
  <c r="M145" i="8"/>
  <c r="M139" i="8"/>
  <c r="M148" i="8"/>
  <c r="M142" i="8"/>
  <c r="M133" i="8"/>
  <c r="M132" i="8" s="1"/>
  <c r="M131" i="8" s="1"/>
  <c r="F100" i="8"/>
  <c r="G100" i="8"/>
  <c r="H100" i="8"/>
  <c r="F94" i="8"/>
  <c r="G94" i="8"/>
  <c r="H94" i="8"/>
  <c r="E94" i="8"/>
  <c r="M187" i="8"/>
  <c r="M193" i="8"/>
  <c r="M162" i="8" l="1"/>
  <c r="M159" i="8"/>
  <c r="M158" i="8" s="1"/>
  <c r="M152" i="8"/>
  <c r="M144" i="8"/>
  <c r="M138" i="8"/>
  <c r="M80" i="5"/>
  <c r="M48" i="5"/>
  <c r="M47" i="5" s="1"/>
  <c r="D31" i="5"/>
  <c r="D24" i="5"/>
  <c r="D26" i="5"/>
  <c r="M23" i="5"/>
  <c r="X24" i="5"/>
  <c r="X23" i="5" s="1"/>
  <c r="X26" i="5"/>
  <c r="X25" i="5" s="1"/>
  <c r="S51" i="5"/>
  <c r="T51" i="5"/>
  <c r="S15" i="5"/>
  <c r="T15" i="5"/>
  <c r="S16" i="5"/>
  <c r="T16" i="5"/>
  <c r="S19" i="5"/>
  <c r="S18" i="5" s="1"/>
  <c r="T19" i="5"/>
  <c r="T18" i="5" s="1"/>
  <c r="T30" i="5"/>
  <c r="S30" i="5"/>
  <c r="T28" i="5"/>
  <c r="S28" i="5"/>
  <c r="T27" i="5"/>
  <c r="S27" i="5"/>
  <c r="T25" i="5"/>
  <c r="S25" i="5"/>
  <c r="T23" i="5"/>
  <c r="S23" i="5"/>
  <c r="T22" i="5"/>
  <c r="S22" i="5"/>
  <c r="T34" i="5"/>
  <c r="T36" i="5"/>
  <c r="S41" i="5"/>
  <c r="S38" i="5" s="1"/>
  <c r="T41" i="5"/>
  <c r="T38" i="5" s="1"/>
  <c r="S45" i="5"/>
  <c r="T45" i="5"/>
  <c r="S48" i="5"/>
  <c r="S47" i="5" s="1"/>
  <c r="T48" i="5"/>
  <c r="T47" i="5" s="1"/>
  <c r="S79" i="5"/>
  <c r="S77" i="5" s="1"/>
  <c r="T79" i="5"/>
  <c r="T77" i="5" s="1"/>
  <c r="S81" i="5"/>
  <c r="T81" i="5"/>
  <c r="S87" i="5"/>
  <c r="T87" i="5"/>
  <c r="S84" i="5"/>
  <c r="T84" i="5"/>
  <c r="S83" i="5"/>
  <c r="T83" i="5"/>
  <c r="T105" i="5"/>
  <c r="S105" i="5"/>
  <c r="T99" i="5"/>
  <c r="S99" i="5"/>
  <c r="T112" i="5"/>
  <c r="S112" i="5"/>
  <c r="T111" i="5"/>
  <c r="S111" i="5"/>
  <c r="S18" i="9"/>
  <c r="T18" i="9"/>
  <c r="S17" i="9"/>
  <c r="T17" i="9"/>
  <c r="S14" i="9"/>
  <c r="T14" i="9"/>
  <c r="S12" i="9"/>
  <c r="T12" i="9"/>
  <c r="S11" i="9"/>
  <c r="T11" i="9"/>
  <c r="O25" i="9"/>
  <c r="O23" i="9"/>
  <c r="O22" i="9" s="1"/>
  <c r="T28" i="9"/>
  <c r="S28" i="9"/>
  <c r="S27" i="9" s="1"/>
  <c r="R28" i="9"/>
  <c r="Q28" i="9"/>
  <c r="Q27" i="9" s="1"/>
  <c r="P28" i="9"/>
  <c r="T27" i="9"/>
  <c r="R27" i="9"/>
  <c r="P27" i="9"/>
  <c r="T25" i="9"/>
  <c r="S25" i="9"/>
  <c r="R25" i="9"/>
  <c r="Q25" i="9"/>
  <c r="P25" i="9"/>
  <c r="T23" i="9"/>
  <c r="T22" i="9" s="1"/>
  <c r="S23" i="9"/>
  <c r="R23" i="9"/>
  <c r="R22" i="9" s="1"/>
  <c r="Q23" i="9"/>
  <c r="P23" i="9"/>
  <c r="P22" i="9" s="1"/>
  <c r="O34" i="9"/>
  <c r="O32" i="9"/>
  <c r="T46" i="9"/>
  <c r="T45" i="9" s="1"/>
  <c r="S46" i="9"/>
  <c r="S45" i="9" s="1"/>
  <c r="R46" i="9"/>
  <c r="R45" i="9" s="1"/>
  <c r="T43" i="9"/>
  <c r="S43" i="9"/>
  <c r="R43" i="9"/>
  <c r="T41" i="9"/>
  <c r="S41" i="9"/>
  <c r="R41" i="9"/>
  <c r="O50" i="9"/>
  <c r="O49" i="9" s="1"/>
  <c r="T53" i="9"/>
  <c r="T52" i="9" s="1"/>
  <c r="S53" i="9"/>
  <c r="S52" i="9" s="1"/>
  <c r="R53" i="9"/>
  <c r="R52" i="9" s="1"/>
  <c r="Q53" i="9"/>
  <c r="Q52" i="9" s="1"/>
  <c r="P53" i="9"/>
  <c r="P52" i="9" s="1"/>
  <c r="T50" i="9"/>
  <c r="T49" i="9" s="1"/>
  <c r="S50" i="9"/>
  <c r="S49" i="9" s="1"/>
  <c r="R50" i="9"/>
  <c r="R49" i="9" s="1"/>
  <c r="Q50" i="9"/>
  <c r="Q49" i="9" s="1"/>
  <c r="P50" i="9"/>
  <c r="P49" i="9" s="1"/>
  <c r="T62" i="9"/>
  <c r="T61" i="9" s="1"/>
  <c r="S62" i="9"/>
  <c r="S61" i="9" s="1"/>
  <c r="R62" i="9"/>
  <c r="R61" i="9" s="1"/>
  <c r="T59" i="9"/>
  <c r="T56" i="9" s="1"/>
  <c r="S59" i="9"/>
  <c r="R59" i="9"/>
  <c r="R56" i="9" s="1"/>
  <c r="S56" i="9"/>
  <c r="T69" i="9"/>
  <c r="T68" i="9" s="1"/>
  <c r="S69" i="9"/>
  <c r="R69" i="9"/>
  <c r="R68" i="9" s="1"/>
  <c r="S68" i="9"/>
  <c r="T65" i="9"/>
  <c r="S65" i="9"/>
  <c r="R65" i="9"/>
  <c r="T76" i="9"/>
  <c r="S76" i="9"/>
  <c r="S75" i="9" s="1"/>
  <c r="R76" i="9"/>
  <c r="T75" i="9"/>
  <c r="R75" i="9"/>
  <c r="T72" i="9"/>
  <c r="S72" i="9"/>
  <c r="R72" i="9"/>
  <c r="S142" i="9"/>
  <c r="T148" i="9"/>
  <c r="S148" i="9"/>
  <c r="S146" i="9" s="1"/>
  <c r="R148" i="9"/>
  <c r="S145" i="9"/>
  <c r="T144" i="9"/>
  <c r="R142" i="9"/>
  <c r="M103" i="9"/>
  <c r="M100" i="9"/>
  <c r="M97" i="9" s="1"/>
  <c r="S103" i="9"/>
  <c r="R103" i="9"/>
  <c r="Q103" i="9"/>
  <c r="P103" i="9"/>
  <c r="S102" i="9"/>
  <c r="S97" i="9"/>
  <c r="T85" i="9"/>
  <c r="T84" i="9" s="1"/>
  <c r="S85" i="9"/>
  <c r="R85" i="9"/>
  <c r="T79" i="9"/>
  <c r="S79" i="9"/>
  <c r="R79" i="9"/>
  <c r="M82" i="9"/>
  <c r="M76" i="9"/>
  <c r="M75" i="9" s="1"/>
  <c r="M69" i="9"/>
  <c r="M68" i="9" s="1"/>
  <c r="T37" i="9"/>
  <c r="T36" i="9" s="1"/>
  <c r="S37" i="9"/>
  <c r="S36" i="9" s="1"/>
  <c r="R37" i="9"/>
  <c r="R36" i="9" s="1"/>
  <c r="Q37" i="9"/>
  <c r="Q36" i="9" s="1"/>
  <c r="P37" i="9"/>
  <c r="P36" i="9" s="1"/>
  <c r="T34" i="9"/>
  <c r="S34" i="9"/>
  <c r="R34" i="9"/>
  <c r="Q34" i="9"/>
  <c r="P34" i="9"/>
  <c r="T32" i="9"/>
  <c r="S32" i="9"/>
  <c r="R32" i="9"/>
  <c r="Q32" i="9"/>
  <c r="P32" i="9"/>
  <c r="M37" i="9"/>
  <c r="M36" i="9" s="1"/>
  <c r="M79" i="9" l="1"/>
  <c r="T142" i="9"/>
  <c r="X144" i="9"/>
  <c r="Q102" i="9"/>
  <c r="P102" i="9"/>
  <c r="R102" i="9"/>
  <c r="M102" i="9"/>
  <c r="R35" i="10"/>
  <c r="R84" i="9"/>
  <c r="Q35" i="10"/>
  <c r="S84" i="9"/>
  <c r="P35" i="10"/>
  <c r="R40" i="9"/>
  <c r="T40" i="9"/>
  <c r="R34" i="10" s="1"/>
  <c r="T76" i="5"/>
  <c r="S76" i="5"/>
  <c r="Q22" i="9"/>
  <c r="R39" i="10"/>
  <c r="Q39" i="10"/>
  <c r="S14" i="5"/>
  <c r="S13" i="5" s="1"/>
  <c r="T31" i="9"/>
  <c r="T10" i="9" s="1"/>
  <c r="S40" i="9"/>
  <c r="X22" i="5"/>
  <c r="S22" i="9"/>
  <c r="R146" i="9"/>
  <c r="R145" i="9" s="1"/>
  <c r="T146" i="9"/>
  <c r="T145" i="9" s="1"/>
  <c r="T33" i="5"/>
  <c r="M30" i="5"/>
  <c r="M27" i="5" s="1"/>
  <c r="T44" i="5"/>
  <c r="R38" i="10" s="1"/>
  <c r="T14" i="5"/>
  <c r="T13" i="5" s="1"/>
  <c r="S44" i="5"/>
  <c r="Q38" i="10" s="1"/>
  <c r="M25" i="5"/>
  <c r="M22" i="5" s="1"/>
  <c r="O31" i="9"/>
  <c r="Q31" i="9"/>
  <c r="S31" i="9"/>
  <c r="S10" i="9" s="1"/>
  <c r="P31" i="9"/>
  <c r="R31" i="9"/>
  <c r="M85" i="9"/>
  <c r="T9" i="9"/>
  <c r="T8" i="9" s="1"/>
  <c r="M142" i="9"/>
  <c r="P76" i="4"/>
  <c r="P73" i="4" s="1"/>
  <c r="Q76" i="4"/>
  <c r="R76" i="4"/>
  <c r="S76" i="4"/>
  <c r="T76" i="4"/>
  <c r="Q74" i="4"/>
  <c r="R74" i="4"/>
  <c r="S74" i="4"/>
  <c r="T74" i="4"/>
  <c r="Q73" i="4"/>
  <c r="R73" i="4"/>
  <c r="S73" i="4"/>
  <c r="T73" i="4"/>
  <c r="P71" i="4"/>
  <c r="Q71" i="4"/>
  <c r="R71" i="4"/>
  <c r="S71" i="4"/>
  <c r="T71" i="4"/>
  <c r="P68" i="4"/>
  <c r="Q68" i="4"/>
  <c r="R68" i="4"/>
  <c r="S68" i="4"/>
  <c r="T68" i="4"/>
  <c r="T67" i="4" s="1"/>
  <c r="Q63" i="4"/>
  <c r="R63" i="4"/>
  <c r="S63" i="4"/>
  <c r="T63" i="4"/>
  <c r="Q62" i="4"/>
  <c r="R62" i="4"/>
  <c r="S62" i="4"/>
  <c r="T62" i="4"/>
  <c r="Q55" i="4"/>
  <c r="R55" i="4"/>
  <c r="S55" i="4"/>
  <c r="T55" i="4"/>
  <c r="Q54" i="4"/>
  <c r="R54" i="4"/>
  <c r="S54" i="4"/>
  <c r="T54" i="4"/>
  <c r="P46" i="4"/>
  <c r="Q46" i="4"/>
  <c r="R46" i="4"/>
  <c r="S46" i="4"/>
  <c r="T46" i="4"/>
  <c r="P42" i="4"/>
  <c r="Q42" i="4"/>
  <c r="R42" i="4"/>
  <c r="R41" i="4" s="1"/>
  <c r="S42" i="4"/>
  <c r="T42" i="4"/>
  <c r="T41" i="4" s="1"/>
  <c r="P49" i="4"/>
  <c r="Q49" i="4"/>
  <c r="R49" i="4"/>
  <c r="S49" i="4"/>
  <c r="T49" i="4"/>
  <c r="P51" i="4"/>
  <c r="Q51" i="4"/>
  <c r="R51" i="4"/>
  <c r="S51" i="4"/>
  <c r="T51" i="4"/>
  <c r="F22" i="4"/>
  <c r="G22" i="4"/>
  <c r="H22" i="4"/>
  <c r="I22" i="4"/>
  <c r="J22" i="4"/>
  <c r="K22" i="4"/>
  <c r="L22" i="4"/>
  <c r="S80" i="4"/>
  <c r="T80" i="4"/>
  <c r="S79" i="4"/>
  <c r="T79" i="4"/>
  <c r="M114" i="4"/>
  <c r="M111" i="4" s="1"/>
  <c r="M105" i="4"/>
  <c r="Q95" i="4"/>
  <c r="R95" i="4"/>
  <c r="S95" i="4"/>
  <c r="T95" i="4"/>
  <c r="Q98" i="4"/>
  <c r="R98" i="4"/>
  <c r="S98" i="4"/>
  <c r="T98" i="4"/>
  <c r="Q101" i="4"/>
  <c r="Q100" i="4" s="1"/>
  <c r="R101" i="4"/>
  <c r="R100" i="4" s="1"/>
  <c r="S101" i="4"/>
  <c r="S100" i="4" s="1"/>
  <c r="T101" i="4"/>
  <c r="T100" i="4" s="1"/>
  <c r="Q114" i="4"/>
  <c r="R114" i="4"/>
  <c r="S114" i="4"/>
  <c r="T114" i="4"/>
  <c r="Q111" i="4"/>
  <c r="R111" i="4"/>
  <c r="S111" i="4"/>
  <c r="T111" i="4"/>
  <c r="Q109" i="4"/>
  <c r="R109" i="4"/>
  <c r="S109" i="4"/>
  <c r="T109" i="4"/>
  <c r="Q105" i="4"/>
  <c r="R105" i="4"/>
  <c r="S105" i="4"/>
  <c r="T105" i="4"/>
  <c r="Q104" i="4"/>
  <c r="R104" i="4"/>
  <c r="S104" i="4"/>
  <c r="T104" i="4"/>
  <c r="S90" i="4"/>
  <c r="S89" i="4" s="1"/>
  <c r="T90" i="4"/>
  <c r="T89" i="4" s="1"/>
  <c r="Q28" i="4"/>
  <c r="R28" i="4"/>
  <c r="S28" i="4"/>
  <c r="P83" i="1" s="1"/>
  <c r="P82" i="1" s="1"/>
  <c r="T28" i="4"/>
  <c r="Q83" i="1" s="1"/>
  <c r="Q82" i="1" s="1"/>
  <c r="Q26" i="4"/>
  <c r="R26" i="4"/>
  <c r="S26" i="4"/>
  <c r="T26" i="4"/>
  <c r="Q25" i="4"/>
  <c r="N77" i="1" s="1"/>
  <c r="R25" i="4"/>
  <c r="O77" i="1" s="1"/>
  <c r="S25" i="4"/>
  <c r="P77" i="1" s="1"/>
  <c r="T25" i="4"/>
  <c r="Q77" i="1" s="1"/>
  <c r="Q20" i="4"/>
  <c r="R20" i="4"/>
  <c r="S20" i="4"/>
  <c r="T20" i="4"/>
  <c r="R18" i="4"/>
  <c r="O70" i="1" s="1"/>
  <c r="S18" i="4"/>
  <c r="P70" i="1" s="1"/>
  <c r="T18" i="4"/>
  <c r="Q70" i="1" s="1"/>
  <c r="T17" i="4"/>
  <c r="Q68" i="1" s="1"/>
  <c r="M90" i="4"/>
  <c r="M89" i="4" s="1"/>
  <c r="M80" i="4"/>
  <c r="M79" i="4" s="1"/>
  <c r="Q34" i="10" l="1"/>
  <c r="P34" i="10"/>
  <c r="S9" i="9"/>
  <c r="S8" i="9" s="1"/>
  <c r="M84" i="9"/>
  <c r="P41" i="4"/>
  <c r="Q123" i="1"/>
  <c r="Q185" i="1" s="1"/>
  <c r="P67" i="4"/>
  <c r="S11" i="5"/>
  <c r="T11" i="5"/>
  <c r="R27" i="4"/>
  <c r="O83" i="1"/>
  <c r="O82" i="1" s="1"/>
  <c r="Q27" i="4"/>
  <c r="S41" i="4"/>
  <c r="Q41" i="4"/>
  <c r="S10" i="5"/>
  <c r="T10" i="5"/>
  <c r="S48" i="4"/>
  <c r="Q48" i="4"/>
  <c r="T48" i="4"/>
  <c r="R48" i="4"/>
  <c r="P48" i="4"/>
  <c r="D105" i="4"/>
  <c r="M95" i="4"/>
  <c r="M51" i="4"/>
  <c r="M48" i="4" s="1"/>
  <c r="M49" i="4"/>
  <c r="S24" i="4"/>
  <c r="Q24" i="4"/>
  <c r="S27" i="4"/>
  <c r="S94" i="4"/>
  <c r="Q94" i="4"/>
  <c r="Q67" i="4"/>
  <c r="T24" i="4"/>
  <c r="R24" i="4"/>
  <c r="R23" i="4" s="1"/>
  <c r="T27" i="4"/>
  <c r="T94" i="4"/>
  <c r="R94" i="4"/>
  <c r="M146" i="9"/>
  <c r="S67" i="4"/>
  <c r="R67" i="4"/>
  <c r="S23" i="4"/>
  <c r="Q23" i="4"/>
  <c r="M85" i="4"/>
  <c r="M84" i="4" s="1"/>
  <c r="M101" i="4"/>
  <c r="M100" i="4" s="1"/>
  <c r="T14" i="4"/>
  <c r="T13" i="4" s="1"/>
  <c r="T10" i="4"/>
  <c r="X57" i="3"/>
  <c r="X71" i="3"/>
  <c r="X70" i="3"/>
  <c r="X73" i="3"/>
  <c r="X72" i="3" s="1"/>
  <c r="T194" i="3"/>
  <c r="S194" i="3"/>
  <c r="R194" i="3"/>
  <c r="T192" i="3"/>
  <c r="S192" i="3"/>
  <c r="R192" i="3"/>
  <c r="T189" i="3"/>
  <c r="S189" i="3"/>
  <c r="R189" i="3"/>
  <c r="R24" i="10"/>
  <c r="Q24" i="10"/>
  <c r="Q26" i="3"/>
  <c r="Q25" i="3" s="1"/>
  <c r="R26" i="3"/>
  <c r="R25" i="3" s="1"/>
  <c r="S26" i="3"/>
  <c r="S25" i="3" s="1"/>
  <c r="T26" i="3"/>
  <c r="T25" i="3" s="1"/>
  <c r="Q29" i="3"/>
  <c r="Q28" i="3" s="1"/>
  <c r="R29" i="3"/>
  <c r="R28" i="3" s="1"/>
  <c r="S29" i="3"/>
  <c r="S28" i="3" s="1"/>
  <c r="T29" i="3"/>
  <c r="T28" i="3" s="1"/>
  <c r="S649" i="2"/>
  <c r="S648" i="2" s="1"/>
  <c r="T649" i="2"/>
  <c r="T648" i="2" s="1"/>
  <c r="T382" i="2"/>
  <c r="T390" i="2"/>
  <c r="S390" i="2"/>
  <c r="R390" i="2"/>
  <c r="Q390" i="2"/>
  <c r="Q387" i="2" s="1"/>
  <c r="R382" i="2"/>
  <c r="Q382" i="2"/>
  <c r="S385" i="2"/>
  <c r="R385" i="2"/>
  <c r="T612" i="2"/>
  <c r="T611" i="2" s="1"/>
  <c r="S612" i="2"/>
  <c r="S611" i="2" s="1"/>
  <c r="T573" i="2"/>
  <c r="T572" i="2" s="1"/>
  <c r="T538" i="2" s="1"/>
  <c r="S573" i="2"/>
  <c r="S572" i="2" s="1"/>
  <c r="S538" i="2" s="1"/>
  <c r="S543" i="2"/>
  <c r="P69" i="1" s="1"/>
  <c r="T543" i="2"/>
  <c r="Q69" i="1" s="1"/>
  <c r="S549" i="2"/>
  <c r="T549" i="2"/>
  <c r="T530" i="2"/>
  <c r="T528" i="2"/>
  <c r="S530" i="2"/>
  <c r="S528" i="2"/>
  <c r="T533" i="2"/>
  <c r="T532" i="2" s="1"/>
  <c r="S533" i="2"/>
  <c r="S532" i="2" s="1"/>
  <c r="T525" i="2"/>
  <c r="T524" i="2" s="1"/>
  <c r="T523" i="2" s="1"/>
  <c r="R41" i="10" s="1"/>
  <c r="T522" i="2"/>
  <c r="T521" i="2" s="1"/>
  <c r="T520" i="2"/>
  <c r="T519" i="2" s="1"/>
  <c r="S525" i="2"/>
  <c r="S524" i="2" s="1"/>
  <c r="S523" i="2" s="1"/>
  <c r="Q41" i="10" s="1"/>
  <c r="S522" i="2"/>
  <c r="S520" i="2"/>
  <c r="S519" i="2" s="1"/>
  <c r="R525" i="2"/>
  <c r="R524" i="2" s="1"/>
  <c r="R523" i="2" s="1"/>
  <c r="P41" i="10" s="1"/>
  <c r="R522" i="2"/>
  <c r="R521" i="2" s="1"/>
  <c r="R520" i="2"/>
  <c r="R519" i="2" s="1"/>
  <c r="T504" i="2"/>
  <c r="T500" i="2"/>
  <c r="T496" i="2"/>
  <c r="T492" i="2"/>
  <c r="S504" i="2"/>
  <c r="S500" i="2"/>
  <c r="S496" i="2"/>
  <c r="S492" i="2"/>
  <c r="R504" i="2"/>
  <c r="R500" i="2"/>
  <c r="R496" i="2"/>
  <c r="R492" i="2"/>
  <c r="Q504" i="2"/>
  <c r="Q500" i="2"/>
  <c r="Q496" i="2"/>
  <c r="Q492" i="2"/>
  <c r="T482" i="2"/>
  <c r="T22" i="2" s="1"/>
  <c r="Q28" i="1" s="1"/>
  <c r="T481" i="2"/>
  <c r="T479" i="2"/>
  <c r="T478" i="2"/>
  <c r="T15" i="2" s="1"/>
  <c r="Q19" i="1" s="1"/>
  <c r="T477" i="2"/>
  <c r="S482" i="2"/>
  <c r="S22" i="2" s="1"/>
  <c r="P28" i="1" s="1"/>
  <c r="S481" i="2"/>
  <c r="S479" i="2"/>
  <c r="S478" i="2"/>
  <c r="S15" i="2" s="1"/>
  <c r="P19" i="1" s="1"/>
  <c r="S477" i="2"/>
  <c r="T489" i="2"/>
  <c r="T34" i="2" s="1"/>
  <c r="Q43" i="1" s="1"/>
  <c r="T488" i="2"/>
  <c r="T486" i="2"/>
  <c r="T485" i="2"/>
  <c r="T25" i="2" s="1"/>
  <c r="Q34" i="1" s="1"/>
  <c r="S489" i="2"/>
  <c r="S34" i="2" s="1"/>
  <c r="P43" i="1" s="1"/>
  <c r="S488" i="2"/>
  <c r="S486" i="2"/>
  <c r="S485" i="2"/>
  <c r="S25" i="2" s="1"/>
  <c r="P34" i="1" s="1"/>
  <c r="N385" i="2"/>
  <c r="T385" i="2"/>
  <c r="S382" i="2"/>
  <c r="Q385" i="2"/>
  <c r="M88" i="2"/>
  <c r="X88" i="2"/>
  <c r="X87" i="2" s="1"/>
  <c r="X82" i="2" s="1"/>
  <c r="T83" i="2"/>
  <c r="S83" i="2"/>
  <c r="R83" i="2"/>
  <c r="Q83" i="2"/>
  <c r="T82" i="2"/>
  <c r="S82" i="2"/>
  <c r="R82" i="2"/>
  <c r="Q82" i="2"/>
  <c r="S40" i="2"/>
  <c r="S18" i="2" s="1"/>
  <c r="P24" i="1" s="1"/>
  <c r="P129" i="1" s="1"/>
  <c r="P190" i="1" s="1"/>
  <c r="T40" i="2"/>
  <c r="T18" i="2" s="1"/>
  <c r="Q24" i="1" s="1"/>
  <c r="S46" i="2"/>
  <c r="S26" i="2" s="1"/>
  <c r="T46" i="2"/>
  <c r="T26" i="2" s="1"/>
  <c r="S47" i="2"/>
  <c r="S28" i="2" s="1"/>
  <c r="P39" i="1" s="1"/>
  <c r="P143" i="1" s="1"/>
  <c r="P205" i="1" s="1"/>
  <c r="T47" i="2"/>
  <c r="T28" i="2" s="1"/>
  <c r="Q39" i="1" s="1"/>
  <c r="Q143" i="1" s="1"/>
  <c r="Q205" i="1" s="1"/>
  <c r="S48" i="2"/>
  <c r="S29" i="2" s="1"/>
  <c r="P40" i="1" s="1"/>
  <c r="P144" i="1" s="1"/>
  <c r="P206" i="1" s="1"/>
  <c r="T48" i="2"/>
  <c r="T29" i="2" s="1"/>
  <c r="Q40" i="1" s="1"/>
  <c r="Q144" i="1" s="1"/>
  <c r="Q206" i="1" s="1"/>
  <c r="S51" i="2"/>
  <c r="S31" i="2" s="1"/>
  <c r="T51" i="2"/>
  <c r="T31" i="2" s="1"/>
  <c r="M507" i="2"/>
  <c r="D507" i="2" s="1"/>
  <c r="D489" i="2" s="1"/>
  <c r="M502" i="2"/>
  <c r="D502" i="2" s="1"/>
  <c r="M485" i="2"/>
  <c r="M192" i="2"/>
  <c r="M79" i="2"/>
  <c r="D79" i="2" s="1"/>
  <c r="S537" i="2" l="1"/>
  <c r="T537" i="2"/>
  <c r="R188" i="3"/>
  <c r="T188" i="3"/>
  <c r="T9" i="3" s="1"/>
  <c r="T8" i="3" s="1"/>
  <c r="X69" i="3"/>
  <c r="T16" i="2"/>
  <c r="Q21" i="1" s="1"/>
  <c r="Q126" i="1" s="1"/>
  <c r="Q187" i="1" s="1"/>
  <c r="P78" i="1"/>
  <c r="P76" i="1" s="1"/>
  <c r="P75" i="1" s="1"/>
  <c r="P86" i="1" s="1"/>
  <c r="S546" i="2"/>
  <c r="S545" i="2" s="1"/>
  <c r="P103" i="1" s="1"/>
  <c r="R387" i="2"/>
  <c r="P29" i="10" s="1"/>
  <c r="T387" i="2"/>
  <c r="R29" i="10" s="1"/>
  <c r="S16" i="2"/>
  <c r="P21" i="1" s="1"/>
  <c r="P126" i="1" s="1"/>
  <c r="P187" i="1" s="1"/>
  <c r="Q78" i="1"/>
  <c r="Q76" i="1" s="1"/>
  <c r="Q75" i="1" s="1"/>
  <c r="Q86" i="1" s="1"/>
  <c r="T546" i="2"/>
  <c r="T545" i="2" s="1"/>
  <c r="Q103" i="1" s="1"/>
  <c r="S387" i="2"/>
  <c r="Q29" i="10" s="1"/>
  <c r="S521" i="2"/>
  <c r="S518" i="2" s="1"/>
  <c r="Q40" i="10" s="1"/>
  <c r="S20" i="2"/>
  <c r="Q129" i="1"/>
  <c r="Q190" i="1" s="1"/>
  <c r="Q37" i="1"/>
  <c r="T45" i="2"/>
  <c r="T37" i="2"/>
  <c r="S17" i="2"/>
  <c r="P22" i="1" s="1"/>
  <c r="P37" i="1"/>
  <c r="S45" i="2"/>
  <c r="S37" i="2"/>
  <c r="S27" i="2"/>
  <c r="T27" i="2"/>
  <c r="T17" i="2"/>
  <c r="Q22" i="1" s="1"/>
  <c r="Q138" i="1"/>
  <c r="Q200" i="1" s="1"/>
  <c r="S188" i="3"/>
  <c r="S9" i="3" s="1"/>
  <c r="S8" i="3" s="1"/>
  <c r="T23" i="4"/>
  <c r="P146" i="1"/>
  <c r="P208" i="1" s="1"/>
  <c r="Q146" i="1"/>
  <c r="Q208" i="1" s="1"/>
  <c r="Q131" i="1"/>
  <c r="Q193" i="1" s="1"/>
  <c r="P131" i="1"/>
  <c r="P193" i="1" s="1"/>
  <c r="X54" i="3"/>
  <c r="X13" i="3" s="1"/>
  <c r="X59" i="3"/>
  <c r="X68" i="3"/>
  <c r="M25" i="2"/>
  <c r="M478" i="2"/>
  <c r="M15" i="2" s="1"/>
  <c r="M482" i="2"/>
  <c r="M22" i="2" s="1"/>
  <c r="J28" i="1" s="1"/>
  <c r="J131" i="1" s="1"/>
  <c r="J193" i="1" s="1"/>
  <c r="T33" i="2"/>
  <c r="Q46" i="1" s="1"/>
  <c r="M190" i="2"/>
  <c r="M189" i="2" s="1"/>
  <c r="T20" i="2"/>
  <c r="Q29" i="1" s="1"/>
  <c r="S21" i="2"/>
  <c r="S42" i="2"/>
  <c r="T21" i="2"/>
  <c r="T42" i="2"/>
  <c r="M145" i="9"/>
  <c r="S32" i="2"/>
  <c r="P45" i="1" s="1"/>
  <c r="T14" i="2"/>
  <c r="Q18" i="1" s="1"/>
  <c r="T32" i="2"/>
  <c r="Q45" i="1" s="1"/>
  <c r="Q499" i="2"/>
  <c r="R491" i="2"/>
  <c r="R499" i="2"/>
  <c r="S491" i="2"/>
  <c r="S11" i="2" s="1"/>
  <c r="S499" i="2"/>
  <c r="T491" i="2"/>
  <c r="T11" i="2" s="1"/>
  <c r="T499" i="2"/>
  <c r="S14" i="2"/>
  <c r="P18" i="1" s="1"/>
  <c r="P17" i="1" s="1"/>
  <c r="S527" i="2"/>
  <c r="S10" i="2" s="1"/>
  <c r="T527" i="2"/>
  <c r="T10" i="2" s="1"/>
  <c r="S33" i="2"/>
  <c r="P46" i="1" s="1"/>
  <c r="S480" i="2"/>
  <c r="T476" i="2"/>
  <c r="T518" i="2"/>
  <c r="R40" i="10" s="1"/>
  <c r="T480" i="2"/>
  <c r="Q491" i="2"/>
  <c r="M51" i="2"/>
  <c r="M31" i="2" s="1"/>
  <c r="M489" i="2"/>
  <c r="M34" i="2" s="1"/>
  <c r="J43" i="1" s="1"/>
  <c r="J146" i="1" s="1"/>
  <c r="J208" i="1" s="1"/>
  <c r="M569" i="2"/>
  <c r="M568" i="2" s="1"/>
  <c r="M522" i="2"/>
  <c r="M521" i="2" s="1"/>
  <c r="M553" i="2"/>
  <c r="M552" i="2" s="1"/>
  <c r="M597" i="2"/>
  <c r="M596" i="2" s="1"/>
  <c r="M649" i="2"/>
  <c r="M648" i="2" s="1"/>
  <c r="S484" i="2"/>
  <c r="S487" i="2"/>
  <c r="T484" i="2"/>
  <c r="T487" i="2"/>
  <c r="S476" i="2"/>
  <c r="R381" i="2"/>
  <c r="P28" i="10" s="1"/>
  <c r="T540" i="2"/>
  <c r="T539" i="2" s="1"/>
  <c r="S540" i="2"/>
  <c r="S539" i="2" s="1"/>
  <c r="R518" i="2"/>
  <c r="P40" i="10" s="1"/>
  <c r="T381" i="2"/>
  <c r="R28" i="10" s="1"/>
  <c r="S381" i="2"/>
  <c r="Q28" i="10" s="1"/>
  <c r="Q381" i="2"/>
  <c r="T50" i="2"/>
  <c r="S50" i="2"/>
  <c r="M530" i="2"/>
  <c r="R11" i="2" l="1"/>
  <c r="Q11" i="2"/>
  <c r="P29" i="1"/>
  <c r="P128" i="1" s="1"/>
  <c r="P189" i="1" s="1"/>
  <c r="Q145" i="1"/>
  <c r="Q207" i="1" s="1"/>
  <c r="P145" i="1"/>
  <c r="P207" i="1" s="1"/>
  <c r="Q128" i="1"/>
  <c r="Q189" i="1" s="1"/>
  <c r="T24" i="2"/>
  <c r="Q38" i="1"/>
  <c r="Q139" i="1" s="1"/>
  <c r="Q201" i="1" s="1"/>
  <c r="Q127" i="1"/>
  <c r="Q188" i="1" s="1"/>
  <c r="P38" i="1"/>
  <c r="P139" i="1" s="1"/>
  <c r="P201" i="1" s="1"/>
  <c r="P127" i="1"/>
  <c r="P188" i="1" s="1"/>
  <c r="Q31" i="1"/>
  <c r="P31" i="1"/>
  <c r="P132" i="1" s="1"/>
  <c r="P194" i="1" s="1"/>
  <c r="S24" i="2"/>
  <c r="T13" i="2"/>
  <c r="Q147" i="1"/>
  <c r="Q209" i="1" s="1"/>
  <c r="Q51" i="1"/>
  <c r="P51" i="1"/>
  <c r="P147" i="1"/>
  <c r="P209" i="1" s="1"/>
  <c r="P138" i="1"/>
  <c r="P200" i="1" s="1"/>
  <c r="X58" i="3"/>
  <c r="X17" i="3"/>
  <c r="X15" i="3" s="1"/>
  <c r="X53" i="3"/>
  <c r="X52" i="3" s="1"/>
  <c r="T19" i="2"/>
  <c r="S483" i="2"/>
  <c r="Q12" i="10" s="1"/>
  <c r="S19" i="2"/>
  <c r="S13" i="2"/>
  <c r="S30" i="2"/>
  <c r="T475" i="2"/>
  <c r="T9" i="2"/>
  <c r="S9" i="2"/>
  <c r="T30" i="2"/>
  <c r="S475" i="2"/>
  <c r="T483" i="2"/>
  <c r="R12" i="10" s="1"/>
  <c r="T36" i="2"/>
  <c r="T536" i="2"/>
  <c r="S536" i="2"/>
  <c r="S36" i="2"/>
  <c r="S44" i="2"/>
  <c r="Q8" i="10" s="1"/>
  <c r="T44" i="2"/>
  <c r="R8" i="10" s="1"/>
  <c r="T23" i="2" l="1"/>
  <c r="Q132" i="1"/>
  <c r="Q194" i="1" s="1"/>
  <c r="Q26" i="1"/>
  <c r="P26" i="1"/>
  <c r="T12" i="2"/>
  <c r="S23" i="2"/>
  <c r="P52" i="1"/>
  <c r="Q41" i="1"/>
  <c r="Q52" i="1"/>
  <c r="P41" i="1"/>
  <c r="S12" i="2"/>
  <c r="M201" i="3"/>
  <c r="M147" i="3"/>
  <c r="K24" i="10" l="1"/>
  <c r="K23" i="10"/>
  <c r="M48" i="3"/>
  <c r="M39" i="3"/>
  <c r="M46" i="3" l="1"/>
  <c r="M45" i="3" s="1"/>
  <c r="M101" i="3"/>
  <c r="M67" i="6" l="1"/>
  <c r="M62" i="6"/>
  <c r="M60" i="6"/>
  <c r="M56" i="6"/>
  <c r="M51" i="6"/>
  <c r="M49" i="6"/>
  <c r="M65" i="6"/>
  <c r="M54" i="6"/>
  <c r="E16" i="6"/>
  <c r="E14" i="6" s="1"/>
  <c r="E241" i="6"/>
  <c r="E240" i="6" s="1"/>
  <c r="E239" i="6" s="1"/>
  <c r="P241" i="6"/>
  <c r="P240" i="6" s="1"/>
  <c r="P239" i="6" s="1"/>
  <c r="Q241" i="6"/>
  <c r="Q240" i="6" s="1"/>
  <c r="Q239" i="6" s="1"/>
  <c r="R241" i="6"/>
  <c r="R240" i="6" s="1"/>
  <c r="R239" i="6" s="1"/>
  <c r="S241" i="6"/>
  <c r="S240" i="6" s="1"/>
  <c r="S239" i="6" s="1"/>
  <c r="T241" i="6"/>
  <c r="T240" i="6" s="1"/>
  <c r="T239" i="6" s="1"/>
  <c r="G241" i="6"/>
  <c r="G240" i="6" s="1"/>
  <c r="G239" i="6" s="1"/>
  <c r="H241" i="6"/>
  <c r="H240" i="6" s="1"/>
  <c r="H239" i="6" s="1"/>
  <c r="I241" i="6"/>
  <c r="I240" i="6" s="1"/>
  <c r="I239" i="6" s="1"/>
  <c r="K241" i="6"/>
  <c r="K240" i="6" s="1"/>
  <c r="K239" i="6" s="1"/>
  <c r="L241" i="6"/>
  <c r="L240" i="6" s="1"/>
  <c r="L239" i="6" s="1"/>
  <c r="N241" i="6"/>
  <c r="N240" i="6" s="1"/>
  <c r="O241" i="6"/>
  <c r="O240" i="6" s="1"/>
  <c r="F241" i="6"/>
  <c r="F240" i="6" s="1"/>
  <c r="F239" i="6" s="1"/>
  <c r="E238" i="6"/>
  <c r="E237" i="6"/>
  <c r="K238" i="6"/>
  <c r="L238" i="6"/>
  <c r="F238" i="6"/>
  <c r="G238" i="6"/>
  <c r="H238" i="6"/>
  <c r="I238" i="6"/>
  <c r="T256" i="6"/>
  <c r="T255" i="6" s="1"/>
  <c r="Q102" i="1" s="1"/>
  <c r="Q101" i="1" s="1"/>
  <c r="Q100" i="1" s="1"/>
  <c r="S256" i="6"/>
  <c r="S255" i="6" s="1"/>
  <c r="P102" i="1" s="1"/>
  <c r="P101" i="1" s="1"/>
  <c r="P100" i="1" s="1"/>
  <c r="R256" i="6"/>
  <c r="R255" i="6" s="1"/>
  <c r="O102" i="1" s="1"/>
  <c r="Q256" i="6"/>
  <c r="Q255" i="6" s="1"/>
  <c r="P256" i="6"/>
  <c r="P255" i="6" s="1"/>
  <c r="T252" i="6"/>
  <c r="T251" i="6" s="1"/>
  <c r="S252" i="6"/>
  <c r="S251" i="6" s="1"/>
  <c r="R252" i="6"/>
  <c r="R251" i="6" s="1"/>
  <c r="Q252" i="6"/>
  <c r="Q251" i="6" s="1"/>
  <c r="P252" i="6"/>
  <c r="P251" i="6" s="1"/>
  <c r="Q238" i="6"/>
  <c r="N72" i="1" s="1"/>
  <c r="N125" i="1" s="1"/>
  <c r="N191" i="1" s="1"/>
  <c r="R238" i="6"/>
  <c r="O72" i="1" s="1"/>
  <c r="O125" i="1" s="1"/>
  <c r="O191" i="1" s="1"/>
  <c r="S238" i="6"/>
  <c r="P72" i="1" s="1"/>
  <c r="P125" i="1" s="1"/>
  <c r="P191" i="1" s="1"/>
  <c r="T238" i="6"/>
  <c r="Q72" i="1" s="1"/>
  <c r="Q125" i="1" s="1"/>
  <c r="Q191" i="1" s="1"/>
  <c r="T237" i="6"/>
  <c r="Q65" i="1" s="1"/>
  <c r="S236" i="6"/>
  <c r="S235" i="6" s="1"/>
  <c r="T236" i="6"/>
  <c r="T235" i="6" s="1"/>
  <c r="S234" i="6"/>
  <c r="P61" i="1" s="1"/>
  <c r="T234" i="6"/>
  <c r="Q61" i="1" s="1"/>
  <c r="R78" i="6"/>
  <c r="R71" i="6"/>
  <c r="S71" i="6"/>
  <c r="T71" i="6"/>
  <c r="R73" i="6"/>
  <c r="S73" i="6"/>
  <c r="T73" i="6"/>
  <c r="R76" i="6"/>
  <c r="S76" i="6"/>
  <c r="T76" i="6"/>
  <c r="S78" i="6"/>
  <c r="T78" i="6"/>
  <c r="S67" i="6"/>
  <c r="T67" i="6"/>
  <c r="S65" i="6"/>
  <c r="T65" i="6"/>
  <c r="S64" i="6"/>
  <c r="T64" i="6"/>
  <c r="S62" i="6"/>
  <c r="T62" i="6"/>
  <c r="S60" i="6"/>
  <c r="S59" i="6" s="1"/>
  <c r="T60" i="6"/>
  <c r="T59" i="6" s="1"/>
  <c r="T56" i="6"/>
  <c r="S56" i="6"/>
  <c r="T54" i="6"/>
  <c r="S54" i="6"/>
  <c r="T53" i="6"/>
  <c r="S53" i="6"/>
  <c r="T51" i="6"/>
  <c r="S51" i="6"/>
  <c r="T49" i="6"/>
  <c r="S49" i="6"/>
  <c r="T48" i="6"/>
  <c r="S48" i="6"/>
  <c r="T38" i="6"/>
  <c r="T45" i="6"/>
  <c r="S45" i="6"/>
  <c r="R45" i="6"/>
  <c r="Q45" i="6"/>
  <c r="T43" i="6"/>
  <c r="S43" i="6"/>
  <c r="R43" i="6"/>
  <c r="Q43" i="6"/>
  <c r="T42" i="6"/>
  <c r="S42" i="6"/>
  <c r="R42" i="6"/>
  <c r="Q42" i="6"/>
  <c r="T40" i="6"/>
  <c r="S40" i="6"/>
  <c r="R40" i="6"/>
  <c r="Q40" i="6"/>
  <c r="S38" i="6"/>
  <c r="R38" i="6"/>
  <c r="Q38" i="6"/>
  <c r="T34" i="6"/>
  <c r="S34" i="6"/>
  <c r="R34" i="6"/>
  <c r="Q34" i="6"/>
  <c r="O37" i="10"/>
  <c r="Q37" i="10"/>
  <c r="T31" i="6"/>
  <c r="S31" i="6"/>
  <c r="R31" i="6"/>
  <c r="Q31" i="6"/>
  <c r="T28" i="6"/>
  <c r="S28" i="6"/>
  <c r="R28" i="6"/>
  <c r="Q28" i="6"/>
  <c r="T248" i="6"/>
  <c r="T247" i="6" s="1"/>
  <c r="T233" i="6" s="1"/>
  <c r="Q60" i="1" s="1"/>
  <c r="S248" i="6"/>
  <c r="S247" i="6" s="1"/>
  <c r="S233" i="6" s="1"/>
  <c r="P60" i="1" s="1"/>
  <c r="R249" i="6"/>
  <c r="R237" i="6" s="1"/>
  <c r="T14" i="6"/>
  <c r="Q20" i="10" l="1"/>
  <c r="P99" i="1"/>
  <c r="P37" i="10"/>
  <c r="R37" i="10"/>
  <c r="T37" i="6"/>
  <c r="R20" i="10"/>
  <c r="Q99" i="1"/>
  <c r="O36" i="10"/>
  <c r="Q36" i="10"/>
  <c r="P36" i="10"/>
  <c r="R36" i="10"/>
  <c r="Q137" i="1"/>
  <c r="T22" i="6"/>
  <c r="P33" i="1"/>
  <c r="P32" i="1" s="1"/>
  <c r="S22" i="6"/>
  <c r="S14" i="6"/>
  <c r="P59" i="1"/>
  <c r="Q93" i="1"/>
  <c r="P65" i="1"/>
  <c r="P122" i="1" s="1"/>
  <c r="P184" i="1" s="1"/>
  <c r="P93" i="1"/>
  <c r="P124" i="1"/>
  <c r="P186" i="1" s="1"/>
  <c r="R236" i="6"/>
  <c r="R235" i="6" s="1"/>
  <c r="Q64" i="1"/>
  <c r="Q63" i="1" s="1"/>
  <c r="Q85" i="1" s="1"/>
  <c r="Q122" i="1"/>
  <c r="R37" i="6"/>
  <c r="Q37" i="6"/>
  <c r="S37" i="6"/>
  <c r="Q19" i="10" s="1"/>
  <c r="M59" i="6"/>
  <c r="R75" i="6"/>
  <c r="P31" i="10" s="1"/>
  <c r="S19" i="6"/>
  <c r="S25" i="6"/>
  <c r="S21" i="6" s="1"/>
  <c r="T19" i="6"/>
  <c r="T13" i="6" s="1"/>
  <c r="T25" i="6"/>
  <c r="T75" i="6"/>
  <c r="R31" i="10" s="1"/>
  <c r="R26" i="10" s="1"/>
  <c r="M53" i="6"/>
  <c r="M64" i="6"/>
  <c r="M48" i="6"/>
  <c r="S232" i="6"/>
  <c r="T70" i="6"/>
  <c r="T11" i="6" s="1"/>
  <c r="R70" i="6"/>
  <c r="P30" i="10" s="1"/>
  <c r="T232" i="6"/>
  <c r="S75" i="6"/>
  <c r="Q31" i="10" s="1"/>
  <c r="Q26" i="10" s="1"/>
  <c r="S70" i="6"/>
  <c r="Q30" i="10" s="1"/>
  <c r="E92" i="5"/>
  <c r="E75" i="5" s="1"/>
  <c r="E73" i="5" s="1"/>
  <c r="I92" i="5"/>
  <c r="I75" i="5" s="1"/>
  <c r="I73" i="5" s="1"/>
  <c r="J92" i="5"/>
  <c r="J75" i="5" s="1"/>
  <c r="J73" i="5" s="1"/>
  <c r="N113" i="5"/>
  <c r="N75" i="5" s="1"/>
  <c r="N73" i="5" s="1"/>
  <c r="Q25" i="10" l="1"/>
  <c r="P26" i="10"/>
  <c r="M12" i="6"/>
  <c r="P25" i="10"/>
  <c r="T12" i="6"/>
  <c r="Q14" i="1" s="1"/>
  <c r="R19" i="10"/>
  <c r="K19" i="10"/>
  <c r="T21" i="6"/>
  <c r="S12" i="6"/>
  <c r="P98" i="1"/>
  <c r="S11" i="6"/>
  <c r="Q98" i="1"/>
  <c r="P16" i="1"/>
  <c r="P48" i="1" s="1"/>
  <c r="Q59" i="1"/>
  <c r="Q106" i="1" s="1"/>
  <c r="P137" i="1"/>
  <c r="P199" i="1" s="1"/>
  <c r="P210" i="1" s="1"/>
  <c r="Q33" i="1"/>
  <c r="Q32" i="1" s="1"/>
  <c r="Q49" i="1" s="1"/>
  <c r="P14" i="1"/>
  <c r="P90" i="1" s="1"/>
  <c r="Q43" i="10"/>
  <c r="R44" i="10"/>
  <c r="Q44" i="10"/>
  <c r="Q13" i="1"/>
  <c r="R30" i="10"/>
  <c r="P49" i="1"/>
  <c r="Q199" i="1"/>
  <c r="Q210" i="1" s="1"/>
  <c r="Q148" i="1"/>
  <c r="Q184" i="1"/>
  <c r="Q124" i="1"/>
  <c r="Q186" i="1" s="1"/>
  <c r="Q17" i="1"/>
  <c r="S13" i="6"/>
  <c r="P13" i="1"/>
  <c r="P89" i="1" s="1"/>
  <c r="D100" i="9"/>
  <c r="D97" i="9" s="1"/>
  <c r="D10" i="9" s="1"/>
  <c r="R25" i="10" l="1"/>
  <c r="R43" i="10" s="1"/>
  <c r="Q16" i="1"/>
  <c r="Q48" i="1" s="1"/>
  <c r="P88" i="1"/>
  <c r="Q90" i="1"/>
  <c r="P148" i="1"/>
  <c r="Q195" i="1"/>
  <c r="Q92" i="1"/>
  <c r="Q97" i="1"/>
  <c r="P91" i="1"/>
  <c r="P135" i="1"/>
  <c r="Q89" i="1"/>
  <c r="Q12" i="1"/>
  <c r="P12" i="1"/>
  <c r="Q91" i="1"/>
  <c r="Q149" i="1" s="1"/>
  <c r="Q135" i="1"/>
  <c r="P92" i="1"/>
  <c r="P97" i="1"/>
  <c r="Q133" i="1"/>
  <c r="T10" i="6"/>
  <c r="S10" i="6"/>
  <c r="Q46" i="10"/>
  <c r="Q49" i="10" s="1"/>
  <c r="Q249" i="6"/>
  <c r="N249" i="6"/>
  <c r="X249" i="6" l="1"/>
  <c r="Q237" i="6"/>
  <c r="Q121" i="1"/>
  <c r="R46" i="10"/>
  <c r="R49" i="10" s="1"/>
  <c r="P94" i="1"/>
  <c r="P149" i="1"/>
  <c r="Q88" i="1"/>
  <c r="P107" i="1"/>
  <c r="Q107" i="1"/>
  <c r="P104" i="1"/>
  <c r="P96" i="1"/>
  <c r="Q197" i="1"/>
  <c r="Q212" i="1"/>
  <c r="Q213" i="1" s="1"/>
  <c r="P212" i="1"/>
  <c r="P213" i="1" s="1"/>
  <c r="P197" i="1"/>
  <c r="Q104" i="1"/>
  <c r="Q96" i="1"/>
  <c r="Q94" i="1"/>
  <c r="X248" i="6"/>
  <c r="X247" i="6" s="1"/>
  <c r="N32" i="8"/>
  <c r="K44" i="1" s="1"/>
  <c r="N21" i="8"/>
  <c r="K30" i="1" s="1"/>
  <c r="K130" i="1" s="1"/>
  <c r="K192" i="1" s="1"/>
  <c r="N82" i="5"/>
  <c r="Q134" i="1" l="1"/>
  <c r="Q183" i="1"/>
  <c r="Q196" i="1"/>
  <c r="K142" i="1"/>
  <c r="K204" i="1" s="1"/>
  <c r="R47" i="10"/>
  <c r="R50" i="10" s="1"/>
  <c r="Q47" i="10"/>
  <c r="Q50" i="10" s="1"/>
  <c r="X642" i="2"/>
  <c r="R633" i="2"/>
  <c r="Q633" i="2"/>
  <c r="X570" i="2" l="1"/>
  <c r="X569" i="2" s="1"/>
  <c r="X568" i="2" s="1"/>
  <c r="X641" i="2"/>
  <c r="X640" i="2" s="1"/>
  <c r="X634" i="2"/>
  <c r="X633" i="2" s="1"/>
  <c r="X632" i="2" s="1"/>
  <c r="R625" i="2"/>
  <c r="X626" i="2"/>
  <c r="X625" i="2" s="1"/>
  <c r="X624" i="2" s="1"/>
  <c r="P633" i="2"/>
  <c r="O65" i="1"/>
  <c r="O37" i="9"/>
  <c r="O36" i="9" s="1"/>
  <c r="X537" i="2" l="1"/>
  <c r="X538" i="2"/>
  <c r="X536" i="2" l="1"/>
  <c r="N35" i="6"/>
  <c r="N32" i="6"/>
  <c r="N20" i="6" s="1"/>
  <c r="L37" i="10" l="1"/>
  <c r="N26" i="6"/>
  <c r="R25" i="6"/>
  <c r="R22" i="6"/>
  <c r="Q22" i="6"/>
  <c r="P22" i="6"/>
  <c r="O22" i="6"/>
  <c r="N22" i="6"/>
  <c r="R14" i="6"/>
  <c r="Q14" i="6"/>
  <c r="P14" i="6"/>
  <c r="N16" i="6"/>
  <c r="Q67" i="6"/>
  <c r="R67" i="6"/>
  <c r="Q62" i="6"/>
  <c r="R62" i="6"/>
  <c r="Q65" i="6"/>
  <c r="Q64" i="6" s="1"/>
  <c r="R65" i="6"/>
  <c r="R64" i="6" s="1"/>
  <c r="Q60" i="6"/>
  <c r="R60" i="6"/>
  <c r="P67" i="6"/>
  <c r="O67" i="6"/>
  <c r="N67" i="6"/>
  <c r="L67" i="6"/>
  <c r="K67" i="6"/>
  <c r="J67" i="6"/>
  <c r="I67" i="6"/>
  <c r="H67" i="6"/>
  <c r="G67" i="6"/>
  <c r="F67" i="6"/>
  <c r="E67" i="6"/>
  <c r="P65" i="6"/>
  <c r="O65" i="6"/>
  <c r="N65" i="6"/>
  <c r="L65" i="6"/>
  <c r="K65" i="6"/>
  <c r="J65" i="6"/>
  <c r="I65" i="6"/>
  <c r="H65" i="6"/>
  <c r="G65" i="6"/>
  <c r="F65" i="6"/>
  <c r="E65" i="6"/>
  <c r="P62" i="6"/>
  <c r="O62" i="6"/>
  <c r="N62" i="6"/>
  <c r="L62" i="6"/>
  <c r="K62" i="6"/>
  <c r="J62" i="6"/>
  <c r="I62" i="6"/>
  <c r="H62" i="6"/>
  <c r="G62" i="6"/>
  <c r="F62" i="6"/>
  <c r="E62" i="6"/>
  <c r="P60" i="6"/>
  <c r="O60" i="6"/>
  <c r="N60" i="6"/>
  <c r="L60" i="6"/>
  <c r="K60" i="6"/>
  <c r="J60" i="6"/>
  <c r="I60" i="6"/>
  <c r="H60" i="6"/>
  <c r="G60" i="6"/>
  <c r="F60" i="6"/>
  <c r="E60" i="6"/>
  <c r="R19" i="6"/>
  <c r="E51" i="6"/>
  <c r="F51" i="6"/>
  <c r="G51" i="6"/>
  <c r="D56" i="6"/>
  <c r="D54" i="6"/>
  <c r="Q56" i="6"/>
  <c r="R56" i="6"/>
  <c r="Q54" i="6"/>
  <c r="Q53" i="6" s="1"/>
  <c r="O20" i="10" s="1"/>
  <c r="R54" i="6"/>
  <c r="R53" i="6" s="1"/>
  <c r="P20" i="10" s="1"/>
  <c r="D49" i="6"/>
  <c r="D51" i="6"/>
  <c r="Q51" i="6"/>
  <c r="R51" i="6"/>
  <c r="Q49" i="6"/>
  <c r="R49" i="6"/>
  <c r="R59" i="6" l="1"/>
  <c r="R12" i="6" s="1"/>
  <c r="Q48" i="6"/>
  <c r="Q59" i="6"/>
  <c r="Q12" i="6" s="1"/>
  <c r="R21" i="6"/>
  <c r="X14" i="6"/>
  <c r="O59" i="6"/>
  <c r="N59" i="6"/>
  <c r="P59" i="6"/>
  <c r="G64" i="6"/>
  <c r="P64" i="6"/>
  <c r="X19" i="6"/>
  <c r="E59" i="6"/>
  <c r="G59" i="6"/>
  <c r="I59" i="6"/>
  <c r="F59" i="6"/>
  <c r="F64" i="6"/>
  <c r="J64" i="6"/>
  <c r="L64" i="6"/>
  <c r="O64" i="6"/>
  <c r="H64" i="6"/>
  <c r="H59" i="6"/>
  <c r="K64" i="6"/>
  <c r="I64" i="6"/>
  <c r="D53" i="6"/>
  <c r="D48" i="6"/>
  <c r="R13" i="6"/>
  <c r="K59" i="6"/>
  <c r="J59" i="6"/>
  <c r="L59" i="6"/>
  <c r="N64" i="6"/>
  <c r="D65" i="6"/>
  <c r="E64" i="6"/>
  <c r="D62" i="6"/>
  <c r="D59" i="6" s="1"/>
  <c r="D12" i="6" s="1"/>
  <c r="D67" i="6"/>
  <c r="R48" i="6"/>
  <c r="P19" i="10" s="1"/>
  <c r="P56" i="6"/>
  <c r="O56" i="6"/>
  <c r="N56" i="6"/>
  <c r="L56" i="6"/>
  <c r="K56" i="6"/>
  <c r="J56" i="6"/>
  <c r="I56" i="6"/>
  <c r="H56" i="6"/>
  <c r="G56" i="6"/>
  <c r="F56" i="6"/>
  <c r="E56" i="6"/>
  <c r="P54" i="6"/>
  <c r="O54" i="6"/>
  <c r="N54" i="6"/>
  <c r="L54" i="6"/>
  <c r="K54" i="6"/>
  <c r="J54" i="6"/>
  <c r="I54" i="6"/>
  <c r="H54" i="6"/>
  <c r="G54" i="6"/>
  <c r="F54" i="6"/>
  <c r="H51" i="6"/>
  <c r="P51" i="6"/>
  <c r="O51" i="6"/>
  <c r="N51" i="6"/>
  <c r="L51" i="6"/>
  <c r="K51" i="6"/>
  <c r="J51" i="6"/>
  <c r="I51" i="6"/>
  <c r="P49" i="6"/>
  <c r="O49" i="6"/>
  <c r="N49" i="6"/>
  <c r="L49" i="6"/>
  <c r="K49" i="6"/>
  <c r="J49" i="6"/>
  <c r="I49" i="6"/>
  <c r="H49" i="6"/>
  <c r="G49" i="6"/>
  <c r="G48" i="6" s="1"/>
  <c r="F49" i="6"/>
  <c r="F48" i="6" s="1"/>
  <c r="E49" i="6"/>
  <c r="E48" i="6" s="1"/>
  <c r="O19" i="10" l="1"/>
  <c r="R11" i="6"/>
  <c r="X13" i="6"/>
  <c r="Z10" i="6" s="1"/>
  <c r="F53" i="6"/>
  <c r="J53" i="6"/>
  <c r="L53" i="6"/>
  <c r="O53" i="6"/>
  <c r="I53" i="6"/>
  <c r="P53" i="6"/>
  <c r="G53" i="6"/>
  <c r="K53" i="6"/>
  <c r="N53" i="6"/>
  <c r="P48" i="6"/>
  <c r="H53" i="6"/>
  <c r="I48" i="6"/>
  <c r="H48" i="6"/>
  <c r="D64" i="6"/>
  <c r="K48" i="6"/>
  <c r="L48" i="6"/>
  <c r="N48" i="6"/>
  <c r="O48" i="6"/>
  <c r="J48" i="6"/>
  <c r="E54" i="6"/>
  <c r="R10" i="6" l="1"/>
  <c r="Z16" i="6" s="1"/>
  <c r="E53" i="6"/>
  <c r="O12" i="9" l="1"/>
  <c r="N85" i="4"/>
  <c r="O46" i="4" l="1"/>
  <c r="O42" i="4"/>
  <c r="O49" i="4"/>
  <c r="O51" i="4"/>
  <c r="O48" i="4" l="1"/>
  <c r="O41" i="4"/>
  <c r="Q77" i="8" l="1"/>
  <c r="Q75" i="8"/>
  <c r="Q74" i="8" s="1"/>
  <c r="O78" i="8"/>
  <c r="L23" i="10" l="1"/>
  <c r="O20" i="3"/>
  <c r="O19" i="3" s="1"/>
  <c r="O14" i="3"/>
  <c r="N14" i="3" l="1"/>
  <c r="N20" i="3"/>
  <c r="N19" i="3" s="1"/>
  <c r="O12" i="3"/>
  <c r="R9" i="3"/>
  <c r="R8" i="3" s="1"/>
  <c r="W23" i="10"/>
  <c r="L24" i="10"/>
  <c r="N46" i="5"/>
  <c r="O75" i="5"/>
  <c r="O73" i="5" s="1"/>
  <c r="N12" i="3" l="1"/>
  <c r="V24" i="10"/>
  <c r="V23" i="10"/>
  <c r="O353" i="2"/>
  <c r="O70" i="2"/>
  <c r="O38" i="2" s="1"/>
  <c r="L161" i="2"/>
  <c r="L159" i="2"/>
  <c r="M115" i="2"/>
  <c r="D115" i="2" s="1"/>
  <c r="N84" i="2"/>
  <c r="D46" i="5" l="1"/>
  <c r="D17" i="5" s="1"/>
  <c r="M45" i="5"/>
  <c r="M44" i="5" s="1"/>
  <c r="M11" i="5" s="1"/>
  <c r="N26" i="8"/>
  <c r="K36" i="1" s="1"/>
  <c r="N16" i="8"/>
  <c r="K20" i="1" s="1"/>
  <c r="N89" i="8"/>
  <c r="M89" i="8" s="1"/>
  <c r="N87" i="8"/>
  <c r="N84" i="8"/>
  <c r="N82" i="8"/>
  <c r="N76" i="8"/>
  <c r="X73" i="8"/>
  <c r="N73" i="8"/>
  <c r="X71" i="8"/>
  <c r="N71" i="8"/>
  <c r="X17" i="8" l="1"/>
  <c r="X13" i="8" s="1"/>
  <c r="X70" i="8"/>
  <c r="D218" i="8"/>
  <c r="M216" i="8"/>
  <c r="M215" i="8" s="1"/>
  <c r="D222" i="8"/>
  <c r="M220" i="8"/>
  <c r="M219" i="8" s="1"/>
  <c r="N94" i="8"/>
  <c r="N20" i="8"/>
  <c r="X72" i="8"/>
  <c r="X22" i="8"/>
  <c r="X18" i="8" s="1"/>
  <c r="D89" i="8"/>
  <c r="M88" i="8"/>
  <c r="N100" i="8"/>
  <c r="N31" i="8"/>
  <c r="D47" i="7" l="1"/>
  <c r="X69" i="8"/>
  <c r="X12" i="8"/>
  <c r="R57" i="7"/>
  <c r="Q57" i="7"/>
  <c r="P57" i="7"/>
  <c r="J57" i="7"/>
  <c r="I57" i="7"/>
  <c r="H57" i="7"/>
  <c r="G57" i="7"/>
  <c r="F57" i="7"/>
  <c r="E57" i="7"/>
  <c r="O57" i="7"/>
  <c r="N57" i="7"/>
  <c r="D66" i="7" l="1"/>
  <c r="M65" i="7"/>
  <c r="D61" i="7"/>
  <c r="M60" i="7"/>
  <c r="O14" i="6" l="1"/>
  <c r="N15" i="6"/>
  <c r="N14" i="6" s="1"/>
  <c r="O47" i="13" l="1"/>
  <c r="O45" i="13"/>
  <c r="M13" i="13"/>
  <c r="O44" i="13" l="1"/>
  <c r="D16" i="13"/>
  <c r="M38" i="13"/>
  <c r="M47" i="13"/>
  <c r="M44" i="13" s="1"/>
  <c r="M11" i="13" s="1"/>
  <c r="D37" i="13"/>
  <c r="M36" i="13"/>
  <c r="M41" i="13"/>
  <c r="D16" i="4"/>
  <c r="O90" i="4"/>
  <c r="P90" i="4"/>
  <c r="Q90" i="4"/>
  <c r="R90" i="4"/>
  <c r="N90" i="4"/>
  <c r="M35" i="13" l="1"/>
  <c r="D14" i="13"/>
  <c r="D13" i="13" s="1"/>
  <c r="M40" i="13"/>
  <c r="D90" i="4"/>
  <c r="L67" i="1"/>
  <c r="K67" i="1"/>
  <c r="O64" i="4" l="1"/>
  <c r="N64" i="4"/>
  <c r="H113" i="13" l="1"/>
  <c r="L52" i="13"/>
  <c r="L49" i="13" s="1"/>
  <c r="K52" i="13"/>
  <c r="K49" i="13" s="1"/>
  <c r="J52" i="13"/>
  <c r="J49" i="13" s="1"/>
  <c r="I52" i="13"/>
  <c r="H52" i="13"/>
  <c r="G52" i="13"/>
  <c r="F52" i="13"/>
  <c r="E52" i="13"/>
  <c r="D52" i="13"/>
  <c r="D49" i="13" s="1"/>
  <c r="I49" i="13"/>
  <c r="H49" i="13"/>
  <c r="G49" i="13"/>
  <c r="F49" i="13"/>
  <c r="E49" i="13"/>
  <c r="N47" i="13"/>
  <c r="L47" i="13"/>
  <c r="K47" i="13"/>
  <c r="J47" i="13"/>
  <c r="I47" i="13"/>
  <c r="H47" i="13"/>
  <c r="G47" i="13"/>
  <c r="F47" i="13"/>
  <c r="E47" i="13"/>
  <c r="D47" i="13"/>
  <c r="D46" i="13"/>
  <c r="N45" i="13"/>
  <c r="L45" i="13"/>
  <c r="K45" i="13"/>
  <c r="K44" i="13" s="1"/>
  <c r="K11" i="13" s="1"/>
  <c r="J45" i="13"/>
  <c r="I45" i="13"/>
  <c r="I44" i="13" s="1"/>
  <c r="I11" i="13" s="1"/>
  <c r="H45" i="13"/>
  <c r="G45" i="13"/>
  <c r="G44" i="13" s="1"/>
  <c r="G11" i="13" s="1"/>
  <c r="F45" i="13"/>
  <c r="E45" i="13"/>
  <c r="E44" i="13" s="1"/>
  <c r="E11" i="13" s="1"/>
  <c r="D45" i="13"/>
  <c r="N44" i="13"/>
  <c r="N11" i="13" s="1"/>
  <c r="D41" i="13"/>
  <c r="D40" i="13" s="1"/>
  <c r="O41" i="13"/>
  <c r="N41" i="13"/>
  <c r="N40" i="13" s="1"/>
  <c r="L41" i="13"/>
  <c r="L40" i="13" s="1"/>
  <c r="K41" i="13"/>
  <c r="K40" i="13" s="1"/>
  <c r="J41" i="13"/>
  <c r="J40" i="13" s="1"/>
  <c r="I41" i="13"/>
  <c r="I40" i="13" s="1"/>
  <c r="H41" i="13"/>
  <c r="H40" i="13" s="1"/>
  <c r="G41" i="13"/>
  <c r="G40" i="13" s="1"/>
  <c r="F41" i="13"/>
  <c r="F40" i="13" s="1"/>
  <c r="E41" i="13"/>
  <c r="E40" i="13" s="1"/>
  <c r="O40" i="13"/>
  <c r="O38" i="13"/>
  <c r="N38" i="13"/>
  <c r="L38" i="13"/>
  <c r="K38" i="13"/>
  <c r="J38" i="13"/>
  <c r="I38" i="13"/>
  <c r="H38" i="13"/>
  <c r="G38" i="13"/>
  <c r="F38" i="13"/>
  <c r="E38" i="13"/>
  <c r="D38" i="13"/>
  <c r="O36" i="13"/>
  <c r="N36" i="13"/>
  <c r="L36" i="13"/>
  <c r="K36" i="13"/>
  <c r="J36" i="13"/>
  <c r="J35" i="13" s="1"/>
  <c r="I36" i="13"/>
  <c r="H36" i="13"/>
  <c r="G36" i="13"/>
  <c r="F36" i="13"/>
  <c r="E36" i="13"/>
  <c r="D36" i="13"/>
  <c r="O32" i="13"/>
  <c r="N32" i="13"/>
  <c r="N31" i="13" s="1"/>
  <c r="L33" i="10" s="1"/>
  <c r="L32" i="13"/>
  <c r="L31" i="13" s="1"/>
  <c r="J33" i="10" s="1"/>
  <c r="K32" i="13"/>
  <c r="K31" i="13" s="1"/>
  <c r="I33" i="10" s="1"/>
  <c r="J32" i="13"/>
  <c r="J31" i="13" s="1"/>
  <c r="H33" i="10" s="1"/>
  <c r="I32" i="13"/>
  <c r="I31" i="13" s="1"/>
  <c r="G33" i="10" s="1"/>
  <c r="H32" i="13"/>
  <c r="H31" i="13" s="1"/>
  <c r="G32" i="13"/>
  <c r="G31" i="13" s="1"/>
  <c r="F32" i="13"/>
  <c r="F31" i="13" s="1"/>
  <c r="E32" i="13"/>
  <c r="E31" i="13" s="1"/>
  <c r="C33" i="10" s="1"/>
  <c r="K29" i="13"/>
  <c r="L29" i="13"/>
  <c r="J29" i="13"/>
  <c r="I29" i="13"/>
  <c r="H29" i="13"/>
  <c r="G29" i="13"/>
  <c r="F29" i="13"/>
  <c r="E29" i="13"/>
  <c r="L27" i="13"/>
  <c r="K27" i="13"/>
  <c r="J27" i="13"/>
  <c r="I27" i="13"/>
  <c r="H27" i="13"/>
  <c r="G27" i="13"/>
  <c r="F27" i="13"/>
  <c r="E27" i="13"/>
  <c r="D22" i="13"/>
  <c r="D19" i="13" s="1"/>
  <c r="L22" i="13"/>
  <c r="L19" i="13" s="1"/>
  <c r="K22" i="13"/>
  <c r="K19" i="13" s="1"/>
  <c r="J22" i="13"/>
  <c r="J19" i="13" s="1"/>
  <c r="I22" i="13"/>
  <c r="I19" i="13" s="1"/>
  <c r="H22" i="13"/>
  <c r="H19" i="13" s="1"/>
  <c r="G22" i="13"/>
  <c r="G19" i="13" s="1"/>
  <c r="F22" i="13"/>
  <c r="F19" i="13" s="1"/>
  <c r="E22" i="13"/>
  <c r="E19" i="13" s="1"/>
  <c r="J16" i="13"/>
  <c r="I16" i="13"/>
  <c r="H16" i="13"/>
  <c r="G16" i="13"/>
  <c r="F16" i="13"/>
  <c r="E16" i="13"/>
  <c r="L16" i="13"/>
  <c r="K16" i="13"/>
  <c r="N13" i="13"/>
  <c r="L13" i="13"/>
  <c r="K13" i="13"/>
  <c r="J13" i="13"/>
  <c r="I13" i="13"/>
  <c r="H13" i="13"/>
  <c r="G13" i="13"/>
  <c r="F13" i="13"/>
  <c r="E13" i="13"/>
  <c r="Q11" i="13"/>
  <c r="Q9" i="13" s="1"/>
  <c r="P11" i="13"/>
  <c r="O11" i="13"/>
  <c r="P9" i="13"/>
  <c r="O31" i="13" l="1"/>
  <c r="F44" i="13"/>
  <c r="F11" i="13" s="1"/>
  <c r="H44" i="13"/>
  <c r="H11" i="13" s="1"/>
  <c r="O16" i="13"/>
  <c r="F35" i="13"/>
  <c r="O22" i="13"/>
  <c r="O19" i="13" s="1"/>
  <c r="J44" i="13"/>
  <c r="J11" i="13" s="1"/>
  <c r="H26" i="13"/>
  <c r="K12" i="13"/>
  <c r="E12" i="13"/>
  <c r="G12" i="13"/>
  <c r="I12" i="13"/>
  <c r="H35" i="13"/>
  <c r="L35" i="13"/>
  <c r="O35" i="13"/>
  <c r="E35" i="13"/>
  <c r="G35" i="13"/>
  <c r="I35" i="13"/>
  <c r="K35" i="13"/>
  <c r="N35" i="13"/>
  <c r="F26" i="13"/>
  <c r="L44" i="13"/>
  <c r="L11" i="13" s="1"/>
  <c r="D32" i="10"/>
  <c r="H12" i="13"/>
  <c r="E26" i="13"/>
  <c r="G26" i="13"/>
  <c r="F12" i="13"/>
  <c r="I26" i="13"/>
  <c r="J26" i="13"/>
  <c r="J12" i="13"/>
  <c r="L12" i="13"/>
  <c r="L26" i="13"/>
  <c r="K26" i="13"/>
  <c r="K10" i="13" s="1"/>
  <c r="X10" i="13"/>
  <c r="X11" i="13"/>
  <c r="L32" i="10"/>
  <c r="O12" i="13"/>
  <c r="D27" i="13"/>
  <c r="D29" i="13"/>
  <c r="D32" i="13"/>
  <c r="D31" i="13" s="1"/>
  <c r="M32" i="13"/>
  <c r="M22" i="13"/>
  <c r="M19" i="13" s="1"/>
  <c r="D44" i="13"/>
  <c r="D11" i="13" s="1"/>
  <c r="N22" i="13"/>
  <c r="N19" i="13" s="1"/>
  <c r="N16" i="13"/>
  <c r="N12" i="13" s="1"/>
  <c r="D35" i="13"/>
  <c r="F33" i="10"/>
  <c r="E33" i="10"/>
  <c r="D33" i="10"/>
  <c r="O29" i="10"/>
  <c r="O28" i="10"/>
  <c r="O16" i="10"/>
  <c r="N16" i="10"/>
  <c r="O15" i="10"/>
  <c r="N15" i="10"/>
  <c r="E15" i="10"/>
  <c r="D15" i="10"/>
  <c r="L144" i="9"/>
  <c r="J144" i="9"/>
  <c r="Q148" i="9"/>
  <c r="Q146" i="9" s="1"/>
  <c r="P148" i="9"/>
  <c r="P146" i="9" s="1"/>
  <c r="O148" i="9"/>
  <c r="N145" i="9"/>
  <c r="L148" i="9"/>
  <c r="L146" i="9" s="1"/>
  <c r="L145" i="9" s="1"/>
  <c r="K148" i="9"/>
  <c r="K146" i="9" s="1"/>
  <c r="K145" i="9" s="1"/>
  <c r="J148" i="9"/>
  <c r="J146" i="9" s="1"/>
  <c r="J145" i="9" s="1"/>
  <c r="I148" i="9"/>
  <c r="I146" i="9" s="1"/>
  <c r="I145" i="9" s="1"/>
  <c r="H148" i="9"/>
  <c r="H146" i="9" s="1"/>
  <c r="H145" i="9" s="1"/>
  <c r="G148" i="9"/>
  <c r="G146" i="9" s="1"/>
  <c r="G145" i="9" s="1"/>
  <c r="F148" i="9"/>
  <c r="E148" i="9"/>
  <c r="E146" i="9" s="1"/>
  <c r="E145" i="9" s="1"/>
  <c r="Q145" i="9"/>
  <c r="F146" i="9"/>
  <c r="F145" i="9" s="1"/>
  <c r="P145" i="9"/>
  <c r="X142" i="9"/>
  <c r="K144" i="9"/>
  <c r="I144" i="9"/>
  <c r="E144" i="9"/>
  <c r="N142" i="9"/>
  <c r="L143" i="9"/>
  <c r="K143" i="9"/>
  <c r="J143" i="9"/>
  <c r="I143" i="9"/>
  <c r="G142" i="9"/>
  <c r="E143" i="9"/>
  <c r="P142" i="9"/>
  <c r="Q112" i="9"/>
  <c r="P112" i="9"/>
  <c r="O112" i="9"/>
  <c r="N112" i="9"/>
  <c r="L112" i="9"/>
  <c r="L111" i="9" s="1"/>
  <c r="K112" i="9"/>
  <c r="K111" i="9" s="1"/>
  <c r="J112" i="9"/>
  <c r="J111" i="9" s="1"/>
  <c r="I112" i="9"/>
  <c r="I111" i="9" s="1"/>
  <c r="H112" i="9"/>
  <c r="H111" i="9" s="1"/>
  <c r="G112" i="9"/>
  <c r="G111" i="9" s="1"/>
  <c r="F112" i="9"/>
  <c r="F111" i="9" s="1"/>
  <c r="E112" i="9"/>
  <c r="E111" i="9" s="1"/>
  <c r="D112" i="9"/>
  <c r="D111" i="9" s="1"/>
  <c r="P111" i="9"/>
  <c r="Q109" i="9"/>
  <c r="Q106" i="9" s="1"/>
  <c r="Q10" i="9" s="1"/>
  <c r="L109" i="9"/>
  <c r="L106" i="9" s="1"/>
  <c r="K109" i="9"/>
  <c r="K106" i="9" s="1"/>
  <c r="J109" i="9"/>
  <c r="J106" i="9" s="1"/>
  <c r="I109" i="9"/>
  <c r="I106" i="9" s="1"/>
  <c r="H109" i="9"/>
  <c r="H106" i="9" s="1"/>
  <c r="G109" i="9"/>
  <c r="G106" i="9" s="1"/>
  <c r="F109" i="9"/>
  <c r="F106" i="9" s="1"/>
  <c r="E109" i="9"/>
  <c r="E106" i="9" s="1"/>
  <c r="O103" i="9"/>
  <c r="N103" i="9"/>
  <c r="L103" i="9"/>
  <c r="L102" i="9" s="1"/>
  <c r="K103" i="9"/>
  <c r="K102" i="9" s="1"/>
  <c r="J103" i="9"/>
  <c r="J102" i="9" s="1"/>
  <c r="I103" i="9"/>
  <c r="H103" i="9"/>
  <c r="H102" i="9" s="1"/>
  <c r="G103" i="9"/>
  <c r="G102" i="9" s="1"/>
  <c r="F103" i="9"/>
  <c r="F102" i="9" s="1"/>
  <c r="E103" i="9"/>
  <c r="E102" i="9" s="1"/>
  <c r="O100" i="9"/>
  <c r="O97" i="9" s="1"/>
  <c r="L100" i="9"/>
  <c r="L97" i="9" s="1"/>
  <c r="K100" i="9"/>
  <c r="K97" i="9" s="1"/>
  <c r="J100" i="9"/>
  <c r="I100" i="9"/>
  <c r="I97" i="9" s="1"/>
  <c r="H100" i="9"/>
  <c r="H97" i="9" s="1"/>
  <c r="G100" i="9"/>
  <c r="G97" i="9" s="1"/>
  <c r="F100" i="9"/>
  <c r="F97" i="9" s="1"/>
  <c r="E100" i="9"/>
  <c r="E97" i="9" s="1"/>
  <c r="J97" i="9"/>
  <c r="Q85" i="9"/>
  <c r="P85" i="9"/>
  <c r="O85" i="9"/>
  <c r="N85" i="9"/>
  <c r="N84" i="9" s="1"/>
  <c r="L85" i="9"/>
  <c r="L84" i="9" s="1"/>
  <c r="K85" i="9"/>
  <c r="K84" i="9" s="1"/>
  <c r="J85" i="9"/>
  <c r="J84" i="9" s="1"/>
  <c r="I85" i="9"/>
  <c r="H85" i="9"/>
  <c r="H84" i="9" s="1"/>
  <c r="G85" i="9"/>
  <c r="G84" i="9" s="1"/>
  <c r="F85" i="9"/>
  <c r="F84" i="9" s="1"/>
  <c r="E85" i="9"/>
  <c r="E84" i="9" s="1"/>
  <c r="L82" i="9"/>
  <c r="L79" i="9" s="1"/>
  <c r="K82" i="9"/>
  <c r="J82" i="9"/>
  <c r="J79" i="9" s="1"/>
  <c r="I82" i="9"/>
  <c r="H82" i="9"/>
  <c r="H79" i="9" s="1"/>
  <c r="G82" i="9"/>
  <c r="G79" i="9" s="1"/>
  <c r="F82" i="9"/>
  <c r="F79" i="9" s="1"/>
  <c r="E82" i="9"/>
  <c r="E79" i="9" s="1"/>
  <c r="Q79" i="9"/>
  <c r="O76" i="9"/>
  <c r="O75" i="9" s="1"/>
  <c r="D76" i="9"/>
  <c r="D75" i="9" s="1"/>
  <c r="Z75" i="9" s="1"/>
  <c r="Q76" i="9"/>
  <c r="Q75" i="9" s="1"/>
  <c r="P76" i="9"/>
  <c r="P75" i="9" s="1"/>
  <c r="N76" i="9"/>
  <c r="N75" i="9" s="1"/>
  <c r="L76" i="9"/>
  <c r="L75" i="9" s="1"/>
  <c r="K76" i="9"/>
  <c r="K75" i="9" s="1"/>
  <c r="J76" i="9"/>
  <c r="I76" i="9"/>
  <c r="I75" i="9" s="1"/>
  <c r="H76" i="9"/>
  <c r="H75" i="9" s="1"/>
  <c r="G76" i="9"/>
  <c r="G75" i="9" s="1"/>
  <c r="F76" i="9"/>
  <c r="F75" i="9" s="1"/>
  <c r="E76" i="9"/>
  <c r="E75" i="9" s="1"/>
  <c r="J75" i="9"/>
  <c r="N73" i="9"/>
  <c r="N72" i="9" s="1"/>
  <c r="D74" i="9"/>
  <c r="O73" i="9"/>
  <c r="O72" i="9" s="1"/>
  <c r="K73" i="9"/>
  <c r="K72" i="9" s="1"/>
  <c r="J73" i="9"/>
  <c r="J72" i="9" s="1"/>
  <c r="I73" i="9"/>
  <c r="I72" i="9" s="1"/>
  <c r="H73" i="9"/>
  <c r="G73" i="9"/>
  <c r="G72" i="9" s="1"/>
  <c r="F73" i="9"/>
  <c r="F72" i="9" s="1"/>
  <c r="E73" i="9"/>
  <c r="E72" i="9" s="1"/>
  <c r="Q72" i="9"/>
  <c r="P72" i="9"/>
  <c r="H72" i="9"/>
  <c r="O70" i="9"/>
  <c r="O19" i="9" s="1"/>
  <c r="Q69" i="9"/>
  <c r="Q68" i="9" s="1"/>
  <c r="P69" i="9"/>
  <c r="P68" i="9" s="1"/>
  <c r="N69" i="9"/>
  <c r="N68" i="9" s="1"/>
  <c r="L69" i="9"/>
  <c r="L68" i="9" s="1"/>
  <c r="K69" i="9"/>
  <c r="K68" i="9" s="1"/>
  <c r="J69" i="9"/>
  <c r="J68" i="9" s="1"/>
  <c r="I69" i="9"/>
  <c r="I68" i="9" s="1"/>
  <c r="H69" i="9"/>
  <c r="H68" i="9" s="1"/>
  <c r="G69" i="9"/>
  <c r="G68" i="9" s="1"/>
  <c r="F69" i="9"/>
  <c r="F68" i="9" s="1"/>
  <c r="E69" i="9"/>
  <c r="E68" i="9" s="1"/>
  <c r="N67" i="9"/>
  <c r="N15" i="9" s="1"/>
  <c r="L66" i="9"/>
  <c r="L65" i="9" s="1"/>
  <c r="K66" i="9"/>
  <c r="K65" i="9" s="1"/>
  <c r="J66" i="9"/>
  <c r="J65" i="9" s="1"/>
  <c r="I66" i="9"/>
  <c r="I65" i="9" s="1"/>
  <c r="H66" i="9"/>
  <c r="H65" i="9" s="1"/>
  <c r="G66" i="9"/>
  <c r="G65" i="9" s="1"/>
  <c r="F66" i="9"/>
  <c r="F65" i="9" s="1"/>
  <c r="E66" i="9"/>
  <c r="E65" i="9" s="1"/>
  <c r="Q65" i="9"/>
  <c r="P65" i="9"/>
  <c r="O65" i="9"/>
  <c r="O10" i="9" s="1"/>
  <c r="O62" i="9"/>
  <c r="O61" i="9" s="1"/>
  <c r="D63" i="9"/>
  <c r="Q62" i="9"/>
  <c r="Q61" i="9" s="1"/>
  <c r="P62" i="9"/>
  <c r="P61" i="9" s="1"/>
  <c r="N62" i="9"/>
  <c r="N61" i="9" s="1"/>
  <c r="J62" i="9"/>
  <c r="J61" i="9" s="1"/>
  <c r="I62" i="9"/>
  <c r="I61" i="9" s="1"/>
  <c r="H62" i="9"/>
  <c r="H61" i="9" s="1"/>
  <c r="G62" i="9"/>
  <c r="G61" i="9" s="1"/>
  <c r="F62" i="9"/>
  <c r="F61" i="9" s="1"/>
  <c r="E62" i="9"/>
  <c r="E61" i="9" s="1"/>
  <c r="K59" i="9"/>
  <c r="K56" i="9" s="1"/>
  <c r="Q59" i="9"/>
  <c r="Q56" i="9" s="1"/>
  <c r="P59" i="9"/>
  <c r="O59" i="9"/>
  <c r="O56" i="9" s="1"/>
  <c r="N59" i="9"/>
  <c r="N56" i="9" s="1"/>
  <c r="J59" i="9"/>
  <c r="J56" i="9" s="1"/>
  <c r="I59" i="9"/>
  <c r="I56" i="9" s="1"/>
  <c r="H59" i="9"/>
  <c r="G59" i="9"/>
  <c r="G56" i="9" s="1"/>
  <c r="F59" i="9"/>
  <c r="F56" i="9" s="1"/>
  <c r="E59" i="9"/>
  <c r="E56" i="9" s="1"/>
  <c r="H56" i="9"/>
  <c r="L53" i="9"/>
  <c r="L52" i="9" s="1"/>
  <c r="K54" i="9"/>
  <c r="O53" i="9"/>
  <c r="N53" i="9"/>
  <c r="N52" i="9" s="1"/>
  <c r="J53" i="9"/>
  <c r="J52" i="9" s="1"/>
  <c r="I53" i="9"/>
  <c r="I52" i="9" s="1"/>
  <c r="H53" i="9"/>
  <c r="H52" i="9" s="1"/>
  <c r="G53" i="9"/>
  <c r="G52" i="9" s="1"/>
  <c r="F53" i="9"/>
  <c r="F52" i="9" s="1"/>
  <c r="E53" i="9"/>
  <c r="E52" i="9" s="1"/>
  <c r="O52" i="9"/>
  <c r="N50" i="9"/>
  <c r="N49" i="9" s="1"/>
  <c r="L50" i="9"/>
  <c r="L49" i="9" s="1"/>
  <c r="K50" i="9"/>
  <c r="K49" i="9" s="1"/>
  <c r="J50" i="9"/>
  <c r="J49" i="9" s="1"/>
  <c r="I50" i="9"/>
  <c r="I49" i="9" s="1"/>
  <c r="H50" i="9"/>
  <c r="H49" i="9" s="1"/>
  <c r="G50" i="9"/>
  <c r="G49" i="9" s="1"/>
  <c r="F50" i="9"/>
  <c r="F49" i="9" s="1"/>
  <c r="E50" i="9"/>
  <c r="E49" i="9" s="1"/>
  <c r="O46" i="9"/>
  <c r="O45" i="9" s="1"/>
  <c r="K47" i="9"/>
  <c r="K19" i="9" s="1"/>
  <c r="Q46" i="9"/>
  <c r="P46" i="9"/>
  <c r="P45" i="9" s="1"/>
  <c r="N35" i="10" s="1"/>
  <c r="N46" i="9"/>
  <c r="N45" i="9" s="1"/>
  <c r="K46" i="9"/>
  <c r="K45" i="9" s="1"/>
  <c r="J46" i="9"/>
  <c r="I46" i="9"/>
  <c r="I45" i="9" s="1"/>
  <c r="H46" i="9"/>
  <c r="H45" i="9" s="1"/>
  <c r="G46" i="9"/>
  <c r="G45" i="9" s="1"/>
  <c r="F46" i="9"/>
  <c r="F45" i="9" s="1"/>
  <c r="E46" i="9"/>
  <c r="E45" i="9" s="1"/>
  <c r="Q45" i="9"/>
  <c r="O35" i="10" s="1"/>
  <c r="J45" i="9"/>
  <c r="D44" i="9"/>
  <c r="Q43" i="9"/>
  <c r="P43" i="9"/>
  <c r="O43" i="9"/>
  <c r="K43" i="9"/>
  <c r="J43" i="9"/>
  <c r="I43" i="9"/>
  <c r="H43" i="9"/>
  <c r="G43" i="9"/>
  <c r="F43" i="9"/>
  <c r="E43" i="9"/>
  <c r="K12" i="9"/>
  <c r="Q41" i="9"/>
  <c r="P41" i="9"/>
  <c r="O41" i="9"/>
  <c r="J41" i="9"/>
  <c r="I41" i="9"/>
  <c r="H41" i="9"/>
  <c r="G41" i="9"/>
  <c r="F41" i="9"/>
  <c r="E41" i="9"/>
  <c r="D37" i="9"/>
  <c r="D36" i="9" s="1"/>
  <c r="N37" i="9"/>
  <c r="N36" i="9" s="1"/>
  <c r="L37" i="9"/>
  <c r="K37" i="9"/>
  <c r="K36" i="9" s="1"/>
  <c r="J37" i="9"/>
  <c r="J36" i="9" s="1"/>
  <c r="I37" i="9"/>
  <c r="I36" i="9" s="1"/>
  <c r="H37" i="9"/>
  <c r="H36" i="9" s="1"/>
  <c r="G37" i="9"/>
  <c r="G36" i="9" s="1"/>
  <c r="F37" i="9"/>
  <c r="F36" i="9" s="1"/>
  <c r="E37" i="9"/>
  <c r="E36" i="9" s="1"/>
  <c r="L36" i="9"/>
  <c r="K34" i="9"/>
  <c r="J34" i="9"/>
  <c r="I34" i="9"/>
  <c r="H34" i="9"/>
  <c r="G34" i="9"/>
  <c r="F34" i="9"/>
  <c r="E34" i="9"/>
  <c r="K32" i="9"/>
  <c r="J32" i="9"/>
  <c r="I32" i="9"/>
  <c r="H32" i="9"/>
  <c r="G32" i="9"/>
  <c r="F32" i="9"/>
  <c r="E32" i="9"/>
  <c r="O28" i="9"/>
  <c r="O27" i="9" s="1"/>
  <c r="K28" i="9"/>
  <c r="K27" i="9" s="1"/>
  <c r="J28" i="9"/>
  <c r="J27" i="9" s="1"/>
  <c r="N28" i="9"/>
  <c r="N27" i="9" s="1"/>
  <c r="I28" i="9"/>
  <c r="I27" i="9" s="1"/>
  <c r="H28" i="9"/>
  <c r="H27" i="9" s="1"/>
  <c r="G28" i="9"/>
  <c r="G27" i="9" s="1"/>
  <c r="F28" i="9"/>
  <c r="F27" i="9" s="1"/>
  <c r="E28" i="9"/>
  <c r="E27" i="9" s="1"/>
  <c r="L25" i="9"/>
  <c r="K25" i="9"/>
  <c r="I25" i="9"/>
  <c r="H25" i="9"/>
  <c r="G25" i="9"/>
  <c r="F25" i="9"/>
  <c r="E25" i="9"/>
  <c r="K23" i="9"/>
  <c r="I23" i="9"/>
  <c r="I22" i="9" s="1"/>
  <c r="H23" i="9"/>
  <c r="G23" i="9"/>
  <c r="G22" i="9" s="1"/>
  <c r="F23" i="9"/>
  <c r="E23" i="9"/>
  <c r="E22" i="9" s="1"/>
  <c r="I18" i="9"/>
  <c r="I17" i="9" s="1"/>
  <c r="G18" i="9"/>
  <c r="G17" i="9" s="1"/>
  <c r="E18" i="9"/>
  <c r="E17" i="9" s="1"/>
  <c r="O14" i="9"/>
  <c r="O11" i="9" s="1"/>
  <c r="R12" i="9"/>
  <c r="Q12" i="9"/>
  <c r="I12" i="9"/>
  <c r="E12" i="9"/>
  <c r="H12" i="9"/>
  <c r="O220" i="8"/>
  <c r="O219" i="8" s="1"/>
  <c r="N220" i="8"/>
  <c r="L220" i="8"/>
  <c r="L219" i="8" s="1"/>
  <c r="K220" i="8"/>
  <c r="K219" i="8" s="1"/>
  <c r="J220" i="8"/>
  <c r="J219" i="8" s="1"/>
  <c r="I220" i="8"/>
  <c r="I219" i="8" s="1"/>
  <c r="H220" i="8"/>
  <c r="H219" i="8" s="1"/>
  <c r="G220" i="8"/>
  <c r="F220" i="8"/>
  <c r="F219" i="8" s="1"/>
  <c r="E220" i="8"/>
  <c r="E219" i="8" s="1"/>
  <c r="D220" i="8"/>
  <c r="D219" i="8" s="1"/>
  <c r="N219" i="8"/>
  <c r="G219" i="8"/>
  <c r="O216" i="8"/>
  <c r="O215" i="8" s="1"/>
  <c r="O181" i="8" s="1"/>
  <c r="N216" i="8"/>
  <c r="N215" i="8" s="1"/>
  <c r="L216" i="8"/>
  <c r="K216" i="8"/>
  <c r="K215" i="8" s="1"/>
  <c r="J216" i="8"/>
  <c r="J215" i="8" s="1"/>
  <c r="I216" i="8"/>
  <c r="I215" i="8" s="1"/>
  <c r="H216" i="8"/>
  <c r="H215" i="8" s="1"/>
  <c r="G216" i="8"/>
  <c r="G215" i="8" s="1"/>
  <c r="F216" i="8"/>
  <c r="F215" i="8" s="1"/>
  <c r="E216" i="8"/>
  <c r="E215" i="8" s="1"/>
  <c r="L215" i="8"/>
  <c r="N212" i="8"/>
  <c r="K212" i="8"/>
  <c r="J212" i="8"/>
  <c r="I212" i="8"/>
  <c r="H212" i="8"/>
  <c r="G212" i="8"/>
  <c r="F212" i="8"/>
  <c r="E212" i="8"/>
  <c r="N211" i="8"/>
  <c r="K211" i="8"/>
  <c r="J211" i="8"/>
  <c r="I211" i="8"/>
  <c r="H211" i="8"/>
  <c r="G211" i="8"/>
  <c r="F211" i="8"/>
  <c r="E211" i="8"/>
  <c r="M210" i="8"/>
  <c r="K209" i="8"/>
  <c r="K208" i="8" s="1"/>
  <c r="J209" i="8"/>
  <c r="J208" i="8" s="1"/>
  <c r="I209" i="8"/>
  <c r="I208" i="8" s="1"/>
  <c r="H209" i="8"/>
  <c r="H208" i="8" s="1"/>
  <c r="G209" i="8"/>
  <c r="G208" i="8" s="1"/>
  <c r="F209" i="8"/>
  <c r="F208" i="8" s="1"/>
  <c r="E209" i="8"/>
  <c r="E208" i="8"/>
  <c r="D206" i="8"/>
  <c r="D205" i="8"/>
  <c r="D193" i="8" s="1"/>
  <c r="L204" i="8"/>
  <c r="K204" i="8"/>
  <c r="K203" i="8" s="1"/>
  <c r="J204" i="8"/>
  <c r="I204" i="8"/>
  <c r="I203" i="8" s="1"/>
  <c r="H204" i="8"/>
  <c r="G204" i="8"/>
  <c r="G203" i="8" s="1"/>
  <c r="F204" i="8"/>
  <c r="F203" i="8" s="1"/>
  <c r="E204" i="8"/>
  <c r="E203" i="8" s="1"/>
  <c r="L203" i="8"/>
  <c r="J203" i="8"/>
  <c r="H203" i="8"/>
  <c r="D202" i="8"/>
  <c r="P201" i="8"/>
  <c r="O201" i="8"/>
  <c r="N201" i="8"/>
  <c r="L201" i="8"/>
  <c r="K201" i="8"/>
  <c r="J201" i="8"/>
  <c r="I201" i="8"/>
  <c r="H201" i="8"/>
  <c r="E201" i="8"/>
  <c r="D201" i="8"/>
  <c r="D200" i="8"/>
  <c r="D199" i="8"/>
  <c r="D187" i="8" s="1"/>
  <c r="D198" i="8"/>
  <c r="L197" i="8"/>
  <c r="K197" i="8"/>
  <c r="J197" i="8"/>
  <c r="J196" i="8" s="1"/>
  <c r="I197" i="8"/>
  <c r="H197" i="8"/>
  <c r="H196" i="8" s="1"/>
  <c r="G197" i="8"/>
  <c r="F197" i="8"/>
  <c r="F196" i="8" s="1"/>
  <c r="E197" i="8"/>
  <c r="L196" i="8"/>
  <c r="G196" i="8"/>
  <c r="O194" i="8"/>
  <c r="L79" i="1" s="1"/>
  <c r="K79" i="1"/>
  <c r="H79" i="1"/>
  <c r="J194" i="8"/>
  <c r="G79" i="1" s="1"/>
  <c r="I194" i="8"/>
  <c r="F79" i="1" s="1"/>
  <c r="H194" i="8"/>
  <c r="E79" i="1" s="1"/>
  <c r="G194" i="8"/>
  <c r="D79" i="1" s="1"/>
  <c r="F194" i="8"/>
  <c r="C79" i="1" s="1"/>
  <c r="E194" i="8"/>
  <c r="B79" i="1" s="1"/>
  <c r="O193" i="8"/>
  <c r="L81" i="1" s="1"/>
  <c r="N193" i="8"/>
  <c r="K81" i="1" s="1"/>
  <c r="K141" i="1" s="1"/>
  <c r="K203" i="1" s="1"/>
  <c r="I81" i="1"/>
  <c r="H81" i="1"/>
  <c r="J193" i="8"/>
  <c r="I193" i="8"/>
  <c r="F81" i="1" s="1"/>
  <c r="H193" i="8"/>
  <c r="G193" i="8"/>
  <c r="D81" i="1" s="1"/>
  <c r="F193" i="8"/>
  <c r="E193" i="8"/>
  <c r="O188" i="8"/>
  <c r="L66" i="1" s="1"/>
  <c r="K66" i="1"/>
  <c r="I66" i="1"/>
  <c r="H66" i="1"/>
  <c r="J188" i="8"/>
  <c r="G66" i="1" s="1"/>
  <c r="I188" i="8"/>
  <c r="F66" i="1" s="1"/>
  <c r="H188" i="8"/>
  <c r="E66" i="1" s="1"/>
  <c r="G188" i="8"/>
  <c r="D66" i="1" s="1"/>
  <c r="F188" i="8"/>
  <c r="C66" i="1" s="1"/>
  <c r="E188" i="8"/>
  <c r="B66" i="1" s="1"/>
  <c r="O187" i="8"/>
  <c r="N187" i="8"/>
  <c r="K72" i="1" s="1"/>
  <c r="K125" i="1" s="1"/>
  <c r="K191" i="1" s="1"/>
  <c r="H72" i="1"/>
  <c r="J187" i="8"/>
  <c r="I187" i="8"/>
  <c r="F72" i="1" s="1"/>
  <c r="H187" i="8"/>
  <c r="G187" i="8"/>
  <c r="D72" i="1" s="1"/>
  <c r="F187" i="8"/>
  <c r="E187" i="8"/>
  <c r="B72" i="1" s="1"/>
  <c r="K183" i="8"/>
  <c r="K182" i="8" s="1"/>
  <c r="R181" i="8"/>
  <c r="R179" i="8" s="1"/>
  <c r="Q181" i="8"/>
  <c r="P181" i="8"/>
  <c r="Q179" i="8"/>
  <c r="D177" i="8"/>
  <c r="D176" i="8"/>
  <c r="L175" i="8"/>
  <c r="K175" i="8"/>
  <c r="J175" i="8"/>
  <c r="I175" i="8"/>
  <c r="E175" i="8"/>
  <c r="D174" i="8"/>
  <c r="D173" i="8"/>
  <c r="L172" i="8"/>
  <c r="L171" i="8" s="1"/>
  <c r="K172" i="8"/>
  <c r="J172" i="8"/>
  <c r="I172" i="8"/>
  <c r="E172" i="8"/>
  <c r="D170" i="8"/>
  <c r="D169" i="8" s="1"/>
  <c r="L169" i="8"/>
  <c r="K169" i="8"/>
  <c r="J169" i="8"/>
  <c r="I169" i="8"/>
  <c r="H169" i="8"/>
  <c r="E169" i="8"/>
  <c r="D168" i="8"/>
  <c r="D167" i="8"/>
  <c r="L166" i="8"/>
  <c r="L165" i="8" s="1"/>
  <c r="K166" i="8"/>
  <c r="J166" i="8"/>
  <c r="J165" i="8" s="1"/>
  <c r="I166" i="8"/>
  <c r="H166" i="8"/>
  <c r="H165" i="8" s="1"/>
  <c r="G166" i="8"/>
  <c r="F166" i="8"/>
  <c r="F165" i="8" s="1"/>
  <c r="E166" i="8"/>
  <c r="G165" i="8"/>
  <c r="R162" i="8"/>
  <c r="Q162" i="8"/>
  <c r="P162" i="8"/>
  <c r="O162" i="8"/>
  <c r="N162" i="8"/>
  <c r="L162" i="8"/>
  <c r="K162" i="8"/>
  <c r="J162" i="8"/>
  <c r="I162" i="8"/>
  <c r="H162" i="8"/>
  <c r="G162" i="8"/>
  <c r="F162" i="8"/>
  <c r="E162" i="8"/>
  <c r="D162" i="8"/>
  <c r="D161" i="8"/>
  <c r="R159" i="8"/>
  <c r="Q159" i="8"/>
  <c r="P159" i="8"/>
  <c r="O159" i="8"/>
  <c r="N159" i="8"/>
  <c r="L159" i="8"/>
  <c r="K159" i="8"/>
  <c r="K158" i="8" s="1"/>
  <c r="J159" i="8"/>
  <c r="I159" i="8"/>
  <c r="H159" i="8"/>
  <c r="G159" i="8"/>
  <c r="F159" i="8"/>
  <c r="E159" i="8"/>
  <c r="D159" i="8"/>
  <c r="P158" i="8"/>
  <c r="R156" i="8"/>
  <c r="Q156" i="8"/>
  <c r="P156" i="8"/>
  <c r="O156" i="8"/>
  <c r="N156" i="8"/>
  <c r="L156" i="8"/>
  <c r="K156" i="8"/>
  <c r="J156" i="8"/>
  <c r="I156" i="8"/>
  <c r="H156" i="8"/>
  <c r="G156" i="8"/>
  <c r="F156" i="8"/>
  <c r="E156" i="8"/>
  <c r="D156" i="8"/>
  <c r="D153" i="8"/>
  <c r="R153" i="8"/>
  <c r="Q153" i="8"/>
  <c r="P153" i="8"/>
  <c r="O153" i="8"/>
  <c r="N153" i="8"/>
  <c r="L153" i="8"/>
  <c r="K153" i="8"/>
  <c r="J153" i="8"/>
  <c r="I153" i="8"/>
  <c r="H153" i="8"/>
  <c r="G153" i="8"/>
  <c r="F153" i="8"/>
  <c r="E153" i="8"/>
  <c r="D150" i="8"/>
  <c r="R148" i="8"/>
  <c r="Q148" i="8"/>
  <c r="P148" i="8"/>
  <c r="O148" i="8"/>
  <c r="N148" i="8"/>
  <c r="L148" i="8"/>
  <c r="K148" i="8"/>
  <c r="J148" i="8"/>
  <c r="I148" i="8"/>
  <c r="H148" i="8"/>
  <c r="G148" i="8"/>
  <c r="F148" i="8"/>
  <c r="E148" i="8"/>
  <c r="D148" i="8"/>
  <c r="D147" i="8"/>
  <c r="R145" i="8"/>
  <c r="Q145" i="8"/>
  <c r="P145" i="8"/>
  <c r="O145" i="8"/>
  <c r="N145" i="8"/>
  <c r="N144" i="8" s="1"/>
  <c r="L145" i="8"/>
  <c r="K145" i="8"/>
  <c r="K144" i="8" s="1"/>
  <c r="J145" i="8"/>
  <c r="I145" i="8"/>
  <c r="I144" i="8" s="1"/>
  <c r="H145" i="8"/>
  <c r="G145" i="8"/>
  <c r="F145" i="8"/>
  <c r="E145" i="8"/>
  <c r="E144" i="8" s="1"/>
  <c r="D145" i="8"/>
  <c r="R144" i="8"/>
  <c r="P14" i="10" s="1"/>
  <c r="R142" i="8"/>
  <c r="Q142" i="8"/>
  <c r="P142" i="8"/>
  <c r="O142" i="8"/>
  <c r="N142" i="8"/>
  <c r="L142" i="8"/>
  <c r="K142" i="8"/>
  <c r="J142" i="8"/>
  <c r="I142" i="8"/>
  <c r="H142" i="8"/>
  <c r="G142" i="8"/>
  <c r="F142" i="8"/>
  <c r="E142" i="8"/>
  <c r="D142" i="8"/>
  <c r="R139" i="8"/>
  <c r="Q139" i="8"/>
  <c r="P139" i="8"/>
  <c r="O139" i="8"/>
  <c r="N139" i="8"/>
  <c r="L139" i="8"/>
  <c r="L138" i="8" s="1"/>
  <c r="K139" i="8"/>
  <c r="J139" i="8"/>
  <c r="I139" i="8"/>
  <c r="H139" i="8"/>
  <c r="H138" i="8" s="1"/>
  <c r="G139" i="8"/>
  <c r="F139" i="8"/>
  <c r="F138" i="8" s="1"/>
  <c r="E139" i="8"/>
  <c r="J138" i="8"/>
  <c r="K136" i="8"/>
  <c r="M136" i="8" s="1"/>
  <c r="O135" i="8"/>
  <c r="O134" i="8" s="1"/>
  <c r="N135" i="8"/>
  <c r="L135" i="8"/>
  <c r="L134" i="8" s="1"/>
  <c r="J135" i="8"/>
  <c r="J134" i="8" s="1"/>
  <c r="I135" i="8"/>
  <c r="H135" i="8"/>
  <c r="H134" i="8" s="1"/>
  <c r="G135" i="8"/>
  <c r="G134" i="8" s="1"/>
  <c r="F135" i="8"/>
  <c r="F134" i="8" s="1"/>
  <c r="E135" i="8"/>
  <c r="E134" i="8" s="1"/>
  <c r="N134" i="8"/>
  <c r="I134" i="8"/>
  <c r="O132" i="8"/>
  <c r="N132" i="8"/>
  <c r="N131" i="8" s="1"/>
  <c r="L132" i="8"/>
  <c r="L131" i="8" s="1"/>
  <c r="K132" i="8"/>
  <c r="K131" i="8" s="1"/>
  <c r="J132" i="8"/>
  <c r="J131" i="8" s="1"/>
  <c r="I132" i="8"/>
  <c r="I131" i="8" s="1"/>
  <c r="H132" i="8"/>
  <c r="H131" i="8" s="1"/>
  <c r="G132" i="8"/>
  <c r="G131" i="8" s="1"/>
  <c r="F132" i="8"/>
  <c r="F131" i="8" s="1"/>
  <c r="E132" i="8"/>
  <c r="E131" i="8" s="1"/>
  <c r="O131" i="8"/>
  <c r="L129" i="8"/>
  <c r="L128" i="8" s="1"/>
  <c r="O128" i="8"/>
  <c r="N128" i="8"/>
  <c r="K128" i="8"/>
  <c r="J128" i="8"/>
  <c r="H128" i="8"/>
  <c r="G128" i="8"/>
  <c r="F128" i="8"/>
  <c r="E128" i="8"/>
  <c r="L127" i="8"/>
  <c r="M127" i="8" s="1"/>
  <c r="D127" i="8" s="1"/>
  <c r="O126" i="8"/>
  <c r="N126" i="8"/>
  <c r="N125" i="8" s="1"/>
  <c r="K126" i="8"/>
  <c r="J126" i="8"/>
  <c r="I126" i="8"/>
  <c r="H126" i="8"/>
  <c r="G126" i="8"/>
  <c r="G125" i="8" s="1"/>
  <c r="F126" i="8"/>
  <c r="E126" i="8"/>
  <c r="E125" i="8" s="1"/>
  <c r="H125" i="8"/>
  <c r="L124" i="8"/>
  <c r="M124" i="8" s="1"/>
  <c r="D124" i="8" s="1"/>
  <c r="O123" i="8"/>
  <c r="N123" i="8"/>
  <c r="K123" i="8"/>
  <c r="J123" i="8"/>
  <c r="I123" i="8"/>
  <c r="H123" i="8"/>
  <c r="G123" i="8"/>
  <c r="F123" i="8"/>
  <c r="E123" i="8"/>
  <c r="L122" i="8"/>
  <c r="M122" i="8" s="1"/>
  <c r="D122" i="8" s="1"/>
  <c r="O120" i="8"/>
  <c r="N120" i="8"/>
  <c r="K120" i="8"/>
  <c r="K119" i="8" s="1"/>
  <c r="J120" i="8"/>
  <c r="I120" i="8"/>
  <c r="I119" i="8" s="1"/>
  <c r="H120" i="8"/>
  <c r="H119" i="8" s="1"/>
  <c r="G120" i="8"/>
  <c r="G119" i="8" s="1"/>
  <c r="F120" i="8"/>
  <c r="F119" i="8" s="1"/>
  <c r="E120" i="8"/>
  <c r="E119" i="8" s="1"/>
  <c r="J119" i="8"/>
  <c r="E117" i="8"/>
  <c r="M117" i="8" s="1"/>
  <c r="D117" i="8" s="1"/>
  <c r="L32" i="8"/>
  <c r="I44" i="1" s="1"/>
  <c r="I142" i="1" s="1"/>
  <c r="I204" i="1" s="1"/>
  <c r="E116" i="8"/>
  <c r="O115" i="8"/>
  <c r="N115" i="8"/>
  <c r="L115" i="8"/>
  <c r="H115" i="8"/>
  <c r="G115" i="8"/>
  <c r="F115" i="8"/>
  <c r="E114" i="8"/>
  <c r="M114" i="8" s="1"/>
  <c r="D114" i="8" s="1"/>
  <c r="K112" i="8"/>
  <c r="M113" i="8"/>
  <c r="D113" i="8" s="1"/>
  <c r="N112" i="8"/>
  <c r="I112" i="8"/>
  <c r="H112" i="8"/>
  <c r="G112" i="8"/>
  <c r="G111" i="8" s="1"/>
  <c r="F112" i="8"/>
  <c r="E112" i="8"/>
  <c r="L108" i="8"/>
  <c r="K21" i="8"/>
  <c r="H30" i="1" s="1"/>
  <c r="H130" i="1" s="1"/>
  <c r="H192" i="1" s="1"/>
  <c r="J108" i="8"/>
  <c r="I108" i="8"/>
  <c r="E109" i="8"/>
  <c r="M109" i="8" s="1"/>
  <c r="D109" i="8" s="1"/>
  <c r="O108" i="8"/>
  <c r="N108" i="8"/>
  <c r="K108" i="8"/>
  <c r="H108" i="8"/>
  <c r="G108" i="8"/>
  <c r="F108" i="8"/>
  <c r="M107" i="8"/>
  <c r="D107" i="8" s="1"/>
  <c r="N105" i="8"/>
  <c r="K105" i="8"/>
  <c r="K104" i="8" s="1"/>
  <c r="I105" i="8"/>
  <c r="H14" i="8"/>
  <c r="F14" i="8"/>
  <c r="O105" i="8"/>
  <c r="L105" i="8"/>
  <c r="J105" i="8"/>
  <c r="H105" i="8"/>
  <c r="H104" i="8" s="1"/>
  <c r="G105" i="8"/>
  <c r="M102" i="8"/>
  <c r="D102" i="8" s="1"/>
  <c r="L100" i="8"/>
  <c r="K100" i="8"/>
  <c r="E100" i="8"/>
  <c r="L98" i="8"/>
  <c r="K98" i="8"/>
  <c r="J98" i="8"/>
  <c r="M99" i="8"/>
  <c r="D99" i="8" s="1"/>
  <c r="N98" i="8"/>
  <c r="N97" i="8" s="1"/>
  <c r="I98" i="8"/>
  <c r="H98" i="8"/>
  <c r="H97" i="8" s="1"/>
  <c r="E98" i="8"/>
  <c r="E97" i="8" s="1"/>
  <c r="M96" i="8"/>
  <c r="D96" i="8" s="1"/>
  <c r="L94" i="8"/>
  <c r="K94" i="8"/>
  <c r="L92" i="8"/>
  <c r="J92" i="8"/>
  <c r="N92" i="8"/>
  <c r="K92" i="8"/>
  <c r="H92" i="8"/>
  <c r="H91" i="8" s="1"/>
  <c r="E92" i="8"/>
  <c r="E91" i="8" s="1"/>
  <c r="D88" i="8"/>
  <c r="Q88" i="8"/>
  <c r="P88" i="8"/>
  <c r="O88" i="8"/>
  <c r="N88" i="8"/>
  <c r="L88" i="8"/>
  <c r="K88" i="8"/>
  <c r="J88" i="8"/>
  <c r="I88" i="8"/>
  <c r="H88" i="8"/>
  <c r="G88" i="8"/>
  <c r="F88" i="8"/>
  <c r="E88" i="8"/>
  <c r="P86" i="8"/>
  <c r="P85" i="8" s="1"/>
  <c r="L87" i="8"/>
  <c r="M87" i="8" s="1"/>
  <c r="D87" i="8" s="1"/>
  <c r="Q86" i="8"/>
  <c r="Q85" i="8" s="1"/>
  <c r="O18" i="10" s="1"/>
  <c r="O86" i="8"/>
  <c r="O85" i="8" s="1"/>
  <c r="N86" i="8"/>
  <c r="N85" i="8" s="1"/>
  <c r="L86" i="8"/>
  <c r="L85" i="8" s="1"/>
  <c r="K86" i="8"/>
  <c r="K85" i="8" s="1"/>
  <c r="J86" i="8"/>
  <c r="J85" i="8" s="1"/>
  <c r="I86" i="8"/>
  <c r="I85" i="8" s="1"/>
  <c r="H86" i="8"/>
  <c r="H85" i="8" s="1"/>
  <c r="G86" i="8"/>
  <c r="G85" i="8" s="1"/>
  <c r="F86" i="8"/>
  <c r="F85" i="8" s="1"/>
  <c r="E86" i="8"/>
  <c r="E85" i="8" s="1"/>
  <c r="L84" i="8"/>
  <c r="L83" i="8" s="1"/>
  <c r="K84" i="8"/>
  <c r="Q83" i="8"/>
  <c r="P83" i="8"/>
  <c r="O83" i="8"/>
  <c r="J83" i="8"/>
  <c r="I83" i="8"/>
  <c r="H83" i="8"/>
  <c r="G83" i="8"/>
  <c r="F83" i="8"/>
  <c r="E83" i="8"/>
  <c r="L82" i="8"/>
  <c r="M82" i="8" s="1"/>
  <c r="D82" i="8" s="1"/>
  <c r="Q81" i="8"/>
  <c r="O81" i="8"/>
  <c r="N81" i="8"/>
  <c r="K81" i="8"/>
  <c r="J81" i="8"/>
  <c r="I81" i="8"/>
  <c r="H81" i="8"/>
  <c r="H80" i="8" s="1"/>
  <c r="G81" i="8"/>
  <c r="F81" i="8"/>
  <c r="F80" i="8" s="1"/>
  <c r="E81" i="8"/>
  <c r="O77" i="8"/>
  <c r="N78" i="8"/>
  <c r="J78" i="8"/>
  <c r="P77" i="8"/>
  <c r="L77" i="8"/>
  <c r="K77" i="8"/>
  <c r="J77" i="8"/>
  <c r="I77" i="8"/>
  <c r="H77" i="8"/>
  <c r="G77" i="8"/>
  <c r="F77" i="8"/>
  <c r="E77" i="8"/>
  <c r="O27" i="8"/>
  <c r="L76" i="8"/>
  <c r="K76" i="8"/>
  <c r="P75" i="8"/>
  <c r="N75" i="8"/>
  <c r="L75" i="8"/>
  <c r="L74" i="8" s="1"/>
  <c r="K75" i="8"/>
  <c r="J75" i="8"/>
  <c r="I75" i="8"/>
  <c r="I74" i="8" s="1"/>
  <c r="H75" i="8"/>
  <c r="H74" i="8" s="1"/>
  <c r="G75" i="8"/>
  <c r="G74" i="8" s="1"/>
  <c r="F75" i="8"/>
  <c r="F74" i="8" s="1"/>
  <c r="E75" i="8"/>
  <c r="E74" i="8" s="1"/>
  <c r="P74" i="8"/>
  <c r="K74" i="8"/>
  <c r="L73" i="8"/>
  <c r="L72" i="8" s="1"/>
  <c r="K73" i="8"/>
  <c r="K72" i="8" s="1"/>
  <c r="J73" i="8"/>
  <c r="N72" i="8"/>
  <c r="I72" i="8"/>
  <c r="H72" i="8"/>
  <c r="G72" i="8"/>
  <c r="F72" i="8"/>
  <c r="E72" i="8"/>
  <c r="L71" i="8"/>
  <c r="L70" i="8" s="1"/>
  <c r="L69" i="8" s="1"/>
  <c r="K71" i="8"/>
  <c r="P70" i="8"/>
  <c r="O70" i="8"/>
  <c r="N70" i="8"/>
  <c r="K70" i="8"/>
  <c r="J70" i="8"/>
  <c r="I70" i="8"/>
  <c r="H70" i="8"/>
  <c r="G70" i="8"/>
  <c r="F70" i="8"/>
  <c r="E70" i="8"/>
  <c r="M66" i="8"/>
  <c r="O65" i="8"/>
  <c r="N65" i="8"/>
  <c r="L65" i="8"/>
  <c r="J65" i="8"/>
  <c r="I65" i="8"/>
  <c r="H65" i="8"/>
  <c r="G65" i="8"/>
  <c r="F65" i="8"/>
  <c r="E65" i="8"/>
  <c r="M63" i="8"/>
  <c r="O62" i="8"/>
  <c r="N62" i="8"/>
  <c r="L62" i="8"/>
  <c r="J62" i="8"/>
  <c r="J61" i="8" s="1"/>
  <c r="I62" i="8"/>
  <c r="H62" i="8"/>
  <c r="H61" i="8" s="1"/>
  <c r="G62" i="8"/>
  <c r="F62" i="8"/>
  <c r="F61" i="8" s="1"/>
  <c r="D16" i="10" s="1"/>
  <c r="E62" i="8"/>
  <c r="N61" i="8"/>
  <c r="G61" i="8"/>
  <c r="E16" i="10" s="1"/>
  <c r="O58" i="8"/>
  <c r="N58" i="8"/>
  <c r="L58" i="8"/>
  <c r="J58" i="8"/>
  <c r="I58" i="8"/>
  <c r="H58" i="8"/>
  <c r="G58" i="8"/>
  <c r="F58" i="8"/>
  <c r="E58" i="8"/>
  <c r="M56" i="8"/>
  <c r="O55" i="8"/>
  <c r="N55" i="8"/>
  <c r="L55" i="8"/>
  <c r="J55" i="8"/>
  <c r="J54" i="8" s="1"/>
  <c r="I55" i="8"/>
  <c r="H55" i="8"/>
  <c r="G55" i="8"/>
  <c r="F55" i="8"/>
  <c r="E55" i="8"/>
  <c r="H54" i="8"/>
  <c r="M51" i="8"/>
  <c r="L49" i="8"/>
  <c r="D50" i="8"/>
  <c r="O49" i="8"/>
  <c r="N49" i="8"/>
  <c r="K49" i="8"/>
  <c r="I49" i="8"/>
  <c r="H49" i="8"/>
  <c r="G49" i="8"/>
  <c r="F49" i="8"/>
  <c r="I45" i="8"/>
  <c r="O25" i="8"/>
  <c r="L25" i="8"/>
  <c r="K45" i="8"/>
  <c r="N45" i="8"/>
  <c r="N44" i="8" s="1"/>
  <c r="L16" i="10" s="1"/>
  <c r="H45" i="8"/>
  <c r="H44" i="8" s="1"/>
  <c r="G45" i="8"/>
  <c r="F45" i="8"/>
  <c r="M43" i="8"/>
  <c r="O20" i="8"/>
  <c r="L40" i="8"/>
  <c r="M42" i="8"/>
  <c r="H40" i="8"/>
  <c r="G40" i="8"/>
  <c r="F40" i="8"/>
  <c r="I36" i="8"/>
  <c r="O15" i="8"/>
  <c r="K36" i="8"/>
  <c r="M37" i="8"/>
  <c r="D37" i="8" s="1"/>
  <c r="N36" i="8"/>
  <c r="L36" i="8"/>
  <c r="H36" i="8"/>
  <c r="G36" i="8"/>
  <c r="F36" i="8"/>
  <c r="R33" i="8"/>
  <c r="Q33" i="8"/>
  <c r="P33" i="8"/>
  <c r="O33" i="8"/>
  <c r="N33" i="8"/>
  <c r="L33" i="8"/>
  <c r="J33" i="8"/>
  <c r="I33" i="8"/>
  <c r="H33" i="8"/>
  <c r="G33" i="8"/>
  <c r="F33" i="8"/>
  <c r="E33" i="8"/>
  <c r="K32" i="8"/>
  <c r="H44" i="1" s="1"/>
  <c r="H32" i="8"/>
  <c r="G32" i="8"/>
  <c r="D44" i="1" s="1"/>
  <c r="F32" i="8"/>
  <c r="E32" i="8"/>
  <c r="B44" i="1" s="1"/>
  <c r="B142" i="1" s="1"/>
  <c r="B204" i="1" s="1"/>
  <c r="L31" i="8"/>
  <c r="K31" i="8"/>
  <c r="J31" i="8"/>
  <c r="I31" i="8"/>
  <c r="R28" i="8"/>
  <c r="O136" i="1" s="1"/>
  <c r="O198" i="1" s="1"/>
  <c r="Q28" i="8"/>
  <c r="N136" i="1" s="1"/>
  <c r="N198" i="1" s="1"/>
  <c r="P28" i="8"/>
  <c r="O28" i="8"/>
  <c r="L35" i="1" s="1"/>
  <c r="N28" i="8"/>
  <c r="K35" i="1" s="1"/>
  <c r="K136" i="1" s="1"/>
  <c r="K198" i="1" s="1"/>
  <c r="L28" i="8"/>
  <c r="I35" i="1" s="1"/>
  <c r="I136" i="1" s="1"/>
  <c r="I198" i="1" s="1"/>
  <c r="K28" i="8"/>
  <c r="H35" i="1" s="1"/>
  <c r="H136" i="1" s="1"/>
  <c r="H198" i="1" s="1"/>
  <c r="J28" i="8"/>
  <c r="G35" i="1" s="1"/>
  <c r="G136" i="1" s="1"/>
  <c r="G198" i="1" s="1"/>
  <c r="I28" i="8"/>
  <c r="F35" i="1" s="1"/>
  <c r="F136" i="1" s="1"/>
  <c r="F198" i="1" s="1"/>
  <c r="H28" i="8"/>
  <c r="E35" i="1" s="1"/>
  <c r="E136" i="1" s="1"/>
  <c r="E198" i="1" s="1"/>
  <c r="G28" i="8"/>
  <c r="D35" i="1" s="1"/>
  <c r="D136" i="1" s="1"/>
  <c r="D198" i="1" s="1"/>
  <c r="F28" i="8"/>
  <c r="C35" i="1" s="1"/>
  <c r="C136" i="1" s="1"/>
  <c r="C198" i="1" s="1"/>
  <c r="E28" i="8"/>
  <c r="B35" i="1" s="1"/>
  <c r="B136" i="1" s="1"/>
  <c r="B198" i="1" s="1"/>
  <c r="R27" i="8"/>
  <c r="Q27" i="8"/>
  <c r="P27" i="8"/>
  <c r="N27" i="8"/>
  <c r="K27" i="8"/>
  <c r="J27" i="8"/>
  <c r="I27" i="8"/>
  <c r="H27" i="8"/>
  <c r="G27" i="8"/>
  <c r="F27" i="8"/>
  <c r="E27" i="8"/>
  <c r="K26" i="8"/>
  <c r="H36" i="1" s="1"/>
  <c r="I26" i="8"/>
  <c r="F36" i="1" s="1"/>
  <c r="H26" i="8"/>
  <c r="E36" i="1" s="1"/>
  <c r="G26" i="8"/>
  <c r="D36" i="1" s="1"/>
  <c r="F26" i="8"/>
  <c r="E26" i="8"/>
  <c r="B36" i="1" s="1"/>
  <c r="I25" i="8"/>
  <c r="H25" i="8"/>
  <c r="G25" i="8"/>
  <c r="F25" i="8"/>
  <c r="E25" i="8"/>
  <c r="R22" i="8"/>
  <c r="Q22" i="8"/>
  <c r="P22" i="8"/>
  <c r="O22" i="8"/>
  <c r="N22" i="8"/>
  <c r="L22" i="8"/>
  <c r="K22" i="8"/>
  <c r="J22" i="8"/>
  <c r="I22" i="8"/>
  <c r="H22" i="8"/>
  <c r="G22" i="8"/>
  <c r="F22" i="8"/>
  <c r="E22" i="8"/>
  <c r="V30" i="1"/>
  <c r="L21" i="8"/>
  <c r="I30" i="1" s="1"/>
  <c r="I130" i="1" s="1"/>
  <c r="I192" i="1" s="1"/>
  <c r="J21" i="8"/>
  <c r="G30" i="1" s="1"/>
  <c r="G130" i="1" s="1"/>
  <c r="G192" i="1" s="1"/>
  <c r="H21" i="8"/>
  <c r="E30" i="1" s="1"/>
  <c r="E130" i="1" s="1"/>
  <c r="E192" i="1" s="1"/>
  <c r="G21" i="8"/>
  <c r="D30" i="1" s="1"/>
  <c r="D130" i="1" s="1"/>
  <c r="D192" i="1" s="1"/>
  <c r="F21" i="8"/>
  <c r="C30" i="1" s="1"/>
  <c r="C130" i="1" s="1"/>
  <c r="C192" i="1" s="1"/>
  <c r="E21" i="8"/>
  <c r="B30" i="1" s="1"/>
  <c r="B130" i="1" s="1"/>
  <c r="B192" i="1" s="1"/>
  <c r="L20" i="8"/>
  <c r="J20" i="8"/>
  <c r="I20" i="8"/>
  <c r="E20" i="8"/>
  <c r="R19" i="8"/>
  <c r="O27" i="1" s="1"/>
  <c r="Q19" i="8"/>
  <c r="N27" i="1" s="1"/>
  <c r="P19" i="8"/>
  <c r="M27" i="1" s="1"/>
  <c r="O19" i="8"/>
  <c r="L27" i="1" s="1"/>
  <c r="N19" i="8"/>
  <c r="K27" i="1" s="1"/>
  <c r="L19" i="8"/>
  <c r="I27" i="1" s="1"/>
  <c r="K19" i="8"/>
  <c r="H27" i="1" s="1"/>
  <c r="J19" i="8"/>
  <c r="G27" i="1" s="1"/>
  <c r="I19" i="8"/>
  <c r="F27" i="1" s="1"/>
  <c r="H19" i="8"/>
  <c r="E27" i="1" s="1"/>
  <c r="G19" i="8"/>
  <c r="D27" i="1" s="1"/>
  <c r="F19" i="8"/>
  <c r="C27" i="1" s="1"/>
  <c r="E19" i="8"/>
  <c r="B27" i="1" s="1"/>
  <c r="Q17" i="8"/>
  <c r="O17" i="8"/>
  <c r="N17" i="8"/>
  <c r="L17" i="8"/>
  <c r="K17" i="8"/>
  <c r="J17" i="8"/>
  <c r="I17" i="8"/>
  <c r="H17" i="8"/>
  <c r="G17" i="8"/>
  <c r="F17" i="8"/>
  <c r="E17" i="8"/>
  <c r="L16" i="8"/>
  <c r="I20" i="1" s="1"/>
  <c r="J16" i="8"/>
  <c r="G20" i="1" s="1"/>
  <c r="H16" i="8"/>
  <c r="E20" i="1" s="1"/>
  <c r="G16" i="8"/>
  <c r="D20" i="1" s="1"/>
  <c r="F16" i="8"/>
  <c r="C20" i="1" s="1"/>
  <c r="L15" i="8"/>
  <c r="K15" i="8"/>
  <c r="J15" i="8"/>
  <c r="I15" i="8"/>
  <c r="H15" i="8"/>
  <c r="G15" i="8"/>
  <c r="G13" i="8" s="1"/>
  <c r="F15" i="8"/>
  <c r="E15" i="8"/>
  <c r="R14" i="8"/>
  <c r="Q14" i="8"/>
  <c r="P14" i="8"/>
  <c r="O14" i="8"/>
  <c r="L14" i="8"/>
  <c r="I14" i="8"/>
  <c r="L90" i="7"/>
  <c r="K90" i="7"/>
  <c r="D90" i="7" s="1"/>
  <c r="H90" i="7"/>
  <c r="R89" i="7"/>
  <c r="Q89" i="7"/>
  <c r="P89" i="7"/>
  <c r="O89" i="7"/>
  <c r="L89" i="7"/>
  <c r="J89" i="7"/>
  <c r="J86" i="7" s="1"/>
  <c r="I89" i="7"/>
  <c r="E89" i="7"/>
  <c r="E86" i="7" s="1"/>
  <c r="L88" i="7"/>
  <c r="K88" i="7"/>
  <c r="D88" i="7" s="1"/>
  <c r="AA87" i="7" s="1"/>
  <c r="R87" i="7"/>
  <c r="Q87" i="7"/>
  <c r="P87" i="7"/>
  <c r="P86" i="7" s="1"/>
  <c r="O87" i="7"/>
  <c r="N87" i="7"/>
  <c r="L87" i="7"/>
  <c r="L86" i="7" s="1"/>
  <c r="J87" i="7"/>
  <c r="I87" i="7"/>
  <c r="H87" i="7"/>
  <c r="G87" i="7"/>
  <c r="F87" i="7"/>
  <c r="E87" i="7"/>
  <c r="R86" i="7"/>
  <c r="I86" i="7"/>
  <c r="N84" i="7"/>
  <c r="L85" i="7"/>
  <c r="K85" i="7"/>
  <c r="R84" i="7"/>
  <c r="Q84" i="7"/>
  <c r="P84" i="7"/>
  <c r="O84" i="7"/>
  <c r="L84" i="7"/>
  <c r="J84" i="7"/>
  <c r="J80" i="7" s="1"/>
  <c r="I84" i="7"/>
  <c r="E84" i="7"/>
  <c r="N81" i="7"/>
  <c r="L83" i="7"/>
  <c r="L81" i="7" s="1"/>
  <c r="K83" i="7"/>
  <c r="D83" i="7" s="1"/>
  <c r="D81" i="7" s="1"/>
  <c r="R81" i="7"/>
  <c r="Q81" i="7"/>
  <c r="P81" i="7"/>
  <c r="K81" i="7"/>
  <c r="I81" i="7"/>
  <c r="I80" i="7" s="1"/>
  <c r="E81" i="7"/>
  <c r="O77" i="7"/>
  <c r="N78" i="7"/>
  <c r="M78" i="7" s="1"/>
  <c r="M21" i="7" s="1"/>
  <c r="R77" i="7"/>
  <c r="Q77" i="7"/>
  <c r="P77" i="7"/>
  <c r="L77" i="7"/>
  <c r="K77" i="7"/>
  <c r="J77" i="7"/>
  <c r="I77" i="7"/>
  <c r="E77" i="7"/>
  <c r="O75" i="7"/>
  <c r="R75" i="7"/>
  <c r="Q75" i="7"/>
  <c r="P75" i="7"/>
  <c r="L75" i="7"/>
  <c r="K75" i="7"/>
  <c r="J75" i="7"/>
  <c r="I75" i="7"/>
  <c r="E75" i="7"/>
  <c r="H74" i="7"/>
  <c r="G74" i="7"/>
  <c r="F74" i="7"/>
  <c r="O72" i="7"/>
  <c r="R72" i="7"/>
  <c r="Q72" i="7"/>
  <c r="P72" i="7"/>
  <c r="N72" i="7"/>
  <c r="L72" i="7"/>
  <c r="K72" i="7"/>
  <c r="J72" i="7"/>
  <c r="I72" i="7"/>
  <c r="E72" i="7"/>
  <c r="N71" i="7"/>
  <c r="M71" i="7" s="1"/>
  <c r="R69" i="7"/>
  <c r="Q69" i="7"/>
  <c r="Q68" i="7" s="1"/>
  <c r="P69" i="7"/>
  <c r="O69" i="7"/>
  <c r="L69" i="7"/>
  <c r="K69" i="7"/>
  <c r="J69" i="7"/>
  <c r="I69" i="7"/>
  <c r="H69" i="7"/>
  <c r="G69" i="7"/>
  <c r="F69" i="7"/>
  <c r="E69" i="7"/>
  <c r="E68" i="7" s="1"/>
  <c r="R65" i="7"/>
  <c r="Q65" i="7"/>
  <c r="P65" i="7"/>
  <c r="O65" i="7"/>
  <c r="N65" i="7"/>
  <c r="L65" i="7"/>
  <c r="K65" i="7"/>
  <c r="J65" i="7"/>
  <c r="I65" i="7"/>
  <c r="H65" i="7"/>
  <c r="H62" i="7" s="1"/>
  <c r="G65" i="7"/>
  <c r="F65" i="7"/>
  <c r="F62" i="7" s="1"/>
  <c r="E65" i="7"/>
  <c r="D65" i="7"/>
  <c r="D64" i="7"/>
  <c r="R63" i="7"/>
  <c r="Q63" i="7"/>
  <c r="P63" i="7"/>
  <c r="P62" i="7" s="1"/>
  <c r="O63" i="7"/>
  <c r="O62" i="7" s="1"/>
  <c r="N63" i="7"/>
  <c r="N62" i="7" s="1"/>
  <c r="L63" i="7"/>
  <c r="L62" i="7" s="1"/>
  <c r="K63" i="7"/>
  <c r="J63" i="7"/>
  <c r="J62" i="7" s="1"/>
  <c r="R62" i="7"/>
  <c r="K62" i="7"/>
  <c r="I62" i="7"/>
  <c r="G62" i="7"/>
  <c r="E62" i="7"/>
  <c r="D60" i="7"/>
  <c r="R60" i="7"/>
  <c r="Q60" i="7"/>
  <c r="P60" i="7"/>
  <c r="P56" i="7" s="1"/>
  <c r="O60" i="7"/>
  <c r="N60" i="7"/>
  <c r="L60" i="7"/>
  <c r="K60" i="7"/>
  <c r="J60" i="7"/>
  <c r="J56" i="7" s="1"/>
  <c r="I60" i="7"/>
  <c r="I56" i="7" s="1"/>
  <c r="H60" i="7"/>
  <c r="H56" i="7" s="1"/>
  <c r="G60" i="7"/>
  <c r="F60" i="7"/>
  <c r="F56" i="7" s="1"/>
  <c r="E60" i="7"/>
  <c r="E56" i="7" s="1"/>
  <c r="L57" i="7"/>
  <c r="L56" i="7" s="1"/>
  <c r="R56" i="7"/>
  <c r="N56" i="7"/>
  <c r="Q56" i="7"/>
  <c r="G56" i="7"/>
  <c r="O53" i="7"/>
  <c r="L54" i="7"/>
  <c r="K54" i="7"/>
  <c r="E54" i="7"/>
  <c r="R53" i="7"/>
  <c r="Q53" i="7"/>
  <c r="P53" i="7"/>
  <c r="L53" i="7"/>
  <c r="J53" i="7"/>
  <c r="I53" i="7"/>
  <c r="L52" i="7"/>
  <c r="K52" i="7"/>
  <c r="D52" i="7" s="1"/>
  <c r="AA52" i="7" s="1"/>
  <c r="R51" i="7"/>
  <c r="Q51" i="7"/>
  <c r="P51" i="7"/>
  <c r="O51" i="7"/>
  <c r="N51" i="7"/>
  <c r="L51" i="7"/>
  <c r="J51" i="7"/>
  <c r="I51" i="7"/>
  <c r="I50" i="7" s="1"/>
  <c r="H51" i="7"/>
  <c r="H50" i="7" s="1"/>
  <c r="G51" i="7"/>
  <c r="G50" i="7" s="1"/>
  <c r="F51" i="7"/>
  <c r="F50" i="7" s="1"/>
  <c r="E51" i="7"/>
  <c r="N48" i="7"/>
  <c r="L49" i="7"/>
  <c r="L48" i="7" s="1"/>
  <c r="K49" i="7"/>
  <c r="K48" i="7" s="1"/>
  <c r="E49" i="7"/>
  <c r="D49" i="7" s="1"/>
  <c r="R48" i="7"/>
  <c r="Q48" i="7"/>
  <c r="P48" i="7"/>
  <c r="O48" i="7"/>
  <c r="J48" i="7"/>
  <c r="I48" i="7"/>
  <c r="L46" i="7"/>
  <c r="L45" i="7" s="1"/>
  <c r="K46" i="7"/>
  <c r="K45" i="7" s="1"/>
  <c r="I46" i="7"/>
  <c r="I45" i="7" s="1"/>
  <c r="E46" i="7"/>
  <c r="R45" i="7"/>
  <c r="R44" i="7" s="1"/>
  <c r="Q45" i="7"/>
  <c r="P45" i="7"/>
  <c r="P44" i="7" s="1"/>
  <c r="O45" i="7"/>
  <c r="N45" i="7"/>
  <c r="J45" i="7"/>
  <c r="J44" i="7" s="1"/>
  <c r="N41" i="7"/>
  <c r="K41" i="7"/>
  <c r="J42" i="7"/>
  <c r="J41" i="7" s="1"/>
  <c r="E42" i="7"/>
  <c r="R41" i="7"/>
  <c r="Q41" i="7"/>
  <c r="P41" i="7"/>
  <c r="O41" i="7"/>
  <c r="L41" i="7"/>
  <c r="I41" i="7"/>
  <c r="L39" i="7"/>
  <c r="D40" i="7"/>
  <c r="R39" i="7"/>
  <c r="Q39" i="7"/>
  <c r="P39" i="7"/>
  <c r="O39" i="7"/>
  <c r="N39" i="7"/>
  <c r="K39" i="7"/>
  <c r="J39" i="7"/>
  <c r="I39" i="7"/>
  <c r="H39" i="7"/>
  <c r="H38" i="7" s="1"/>
  <c r="G39" i="7"/>
  <c r="G38" i="7" s="1"/>
  <c r="F39" i="7"/>
  <c r="F38" i="7" s="1"/>
  <c r="E39" i="7"/>
  <c r="O36" i="7"/>
  <c r="L36" i="7"/>
  <c r="K36" i="7"/>
  <c r="J36" i="7"/>
  <c r="I37" i="7"/>
  <c r="I36" i="7" s="1"/>
  <c r="E37" i="7"/>
  <c r="R36" i="7"/>
  <c r="Q36" i="7"/>
  <c r="P36" i="7"/>
  <c r="E36" i="7"/>
  <c r="D35" i="7"/>
  <c r="N33" i="7"/>
  <c r="R33" i="7"/>
  <c r="Q33" i="7"/>
  <c r="P33" i="7"/>
  <c r="K33" i="7"/>
  <c r="K32" i="7" s="1"/>
  <c r="H33" i="7"/>
  <c r="H32" i="7" s="1"/>
  <c r="G33" i="7"/>
  <c r="F33" i="7"/>
  <c r="F32" i="7" s="1"/>
  <c r="G32" i="7"/>
  <c r="L30" i="7"/>
  <c r="K30" i="7"/>
  <c r="J30" i="7"/>
  <c r="J20" i="7" s="1"/>
  <c r="K29" i="7"/>
  <c r="I29" i="7"/>
  <c r="E29" i="7"/>
  <c r="E28" i="7" s="1"/>
  <c r="P28" i="7"/>
  <c r="O28" i="7"/>
  <c r="N28" i="7"/>
  <c r="K28" i="7"/>
  <c r="I28" i="7"/>
  <c r="L27" i="7"/>
  <c r="K27" i="7"/>
  <c r="K26" i="7" s="1"/>
  <c r="J27" i="7"/>
  <c r="D27" i="7" s="1"/>
  <c r="D26" i="7" s="1"/>
  <c r="L26" i="7"/>
  <c r="I26" i="7"/>
  <c r="E26" i="7"/>
  <c r="N25" i="7"/>
  <c r="N24" i="7" s="1"/>
  <c r="N23" i="7" s="1"/>
  <c r="L25" i="7"/>
  <c r="L24" i="7" s="1"/>
  <c r="K25" i="7"/>
  <c r="J24" i="7"/>
  <c r="E25" i="7"/>
  <c r="M25" i="7" s="1"/>
  <c r="D25" i="7" s="1"/>
  <c r="R24" i="7"/>
  <c r="R23" i="7" s="1"/>
  <c r="Q24" i="7"/>
  <c r="Q23" i="7" s="1"/>
  <c r="P24" i="7"/>
  <c r="P23" i="7" s="1"/>
  <c r="O24" i="7"/>
  <c r="O23" i="7" s="1"/>
  <c r="K24" i="7"/>
  <c r="I24" i="7"/>
  <c r="O20" i="7"/>
  <c r="I20" i="7"/>
  <c r="H20" i="7"/>
  <c r="G20" i="7"/>
  <c r="F20" i="7"/>
  <c r="E18" i="7"/>
  <c r="G18" i="7"/>
  <c r="K16" i="7"/>
  <c r="J16" i="7"/>
  <c r="G74" i="1" s="1"/>
  <c r="G73" i="1" s="1"/>
  <c r="I16" i="7"/>
  <c r="H16" i="7"/>
  <c r="E74" i="1" s="1"/>
  <c r="E73" i="1" s="1"/>
  <c r="G16" i="7"/>
  <c r="D74" i="1" s="1"/>
  <c r="D73" i="1" s="1"/>
  <c r="F16" i="7"/>
  <c r="C74" i="1" s="1"/>
  <c r="C73" i="1" s="1"/>
  <c r="E16" i="7"/>
  <c r="E15" i="7" s="1"/>
  <c r="J15" i="7"/>
  <c r="H15" i="7"/>
  <c r="G15" i="7"/>
  <c r="F15" i="7"/>
  <c r="I14" i="7"/>
  <c r="E14" i="7"/>
  <c r="H12" i="7"/>
  <c r="F12" i="7"/>
  <c r="F11" i="7" s="1"/>
  <c r="L10" i="7"/>
  <c r="L8" i="7" s="1"/>
  <c r="J10" i="7"/>
  <c r="J8" i="7" s="1"/>
  <c r="I10" i="7"/>
  <c r="I8" i="7" s="1"/>
  <c r="H8" i="7"/>
  <c r="F8" i="7"/>
  <c r="G8" i="7"/>
  <c r="J257" i="6"/>
  <c r="O256" i="6"/>
  <c r="O255" i="6" s="1"/>
  <c r="N256" i="6"/>
  <c r="L256" i="6"/>
  <c r="L255" i="6" s="1"/>
  <c r="K256" i="6"/>
  <c r="K255" i="6" s="1"/>
  <c r="I256" i="6"/>
  <c r="H256" i="6"/>
  <c r="H255" i="6" s="1"/>
  <c r="G256" i="6"/>
  <c r="G255" i="6" s="1"/>
  <c r="F256" i="6"/>
  <c r="F255" i="6" s="1"/>
  <c r="E256" i="6"/>
  <c r="E255" i="6" s="1"/>
  <c r="N255" i="6"/>
  <c r="I255" i="6"/>
  <c r="J254" i="6"/>
  <c r="N253" i="6"/>
  <c r="D253" i="6" s="1"/>
  <c r="O252" i="6"/>
  <c r="O251" i="6" s="1"/>
  <c r="L252" i="6"/>
  <c r="L251" i="6" s="1"/>
  <c r="K252" i="6"/>
  <c r="I252" i="6"/>
  <c r="H252" i="6"/>
  <c r="H251" i="6" s="1"/>
  <c r="G252" i="6"/>
  <c r="G251" i="6" s="1"/>
  <c r="F252" i="6"/>
  <c r="F251" i="6" s="1"/>
  <c r="E252" i="6"/>
  <c r="E251" i="6" s="1"/>
  <c r="K251" i="6"/>
  <c r="I251" i="6"/>
  <c r="N248" i="6"/>
  <c r="N247" i="6" s="1"/>
  <c r="L249" i="6"/>
  <c r="L248" i="6" s="1"/>
  <c r="L247" i="6" s="1"/>
  <c r="L233" i="6" s="1"/>
  <c r="K249" i="6"/>
  <c r="K248" i="6" s="1"/>
  <c r="K247" i="6" s="1"/>
  <c r="J249" i="6"/>
  <c r="R248" i="6"/>
  <c r="R247" i="6" s="1"/>
  <c r="R233" i="6" s="1"/>
  <c r="Q248" i="6"/>
  <c r="Q247" i="6" s="1"/>
  <c r="Q233" i="6" s="1"/>
  <c r="P248" i="6"/>
  <c r="P247" i="6" s="1"/>
  <c r="P233" i="6" s="1"/>
  <c r="I248" i="6"/>
  <c r="I247" i="6" s="1"/>
  <c r="H248" i="6"/>
  <c r="H247" i="6" s="1"/>
  <c r="G248" i="6"/>
  <c r="G247" i="6" s="1"/>
  <c r="F248" i="6"/>
  <c r="F247" i="6" s="1"/>
  <c r="E248" i="6"/>
  <c r="E247" i="6" s="1"/>
  <c r="X245" i="6"/>
  <c r="X244" i="6" s="1"/>
  <c r="X243" i="6" s="1"/>
  <c r="O237" i="6"/>
  <c r="N245" i="6"/>
  <c r="L245" i="6"/>
  <c r="L244" i="6" s="1"/>
  <c r="L243" i="6" s="1"/>
  <c r="L234" i="6" s="1"/>
  <c r="K245" i="6"/>
  <c r="K244" i="6" s="1"/>
  <c r="K243" i="6" s="1"/>
  <c r="K234" i="6" s="1"/>
  <c r="J245" i="6"/>
  <c r="J244" i="6" s="1"/>
  <c r="J243" i="6" s="1"/>
  <c r="J234" i="6" s="1"/>
  <c r="I245" i="6"/>
  <c r="H244" i="6"/>
  <c r="G244" i="6"/>
  <c r="G243" i="6" s="1"/>
  <c r="G234" i="6" s="1"/>
  <c r="F244" i="6"/>
  <c r="F243" i="6" s="1"/>
  <c r="F234" i="6" s="1"/>
  <c r="E244" i="6"/>
  <c r="E243" i="6" s="1"/>
  <c r="E234" i="6" s="1"/>
  <c r="H243" i="6"/>
  <c r="H234" i="6" s="1"/>
  <c r="N239" i="6"/>
  <c r="O239" i="6"/>
  <c r="P238" i="6"/>
  <c r="O238" i="6"/>
  <c r="N238" i="6"/>
  <c r="Q236" i="6"/>
  <c r="Q235" i="6" s="1"/>
  <c r="K237" i="6"/>
  <c r="K236" i="6" s="1"/>
  <c r="K235" i="6" s="1"/>
  <c r="H237" i="6"/>
  <c r="H236" i="6" s="1"/>
  <c r="H235" i="6" s="1"/>
  <c r="G237" i="6"/>
  <c r="G236" i="6" s="1"/>
  <c r="G235" i="6" s="1"/>
  <c r="F237" i="6"/>
  <c r="F236" i="6" s="1"/>
  <c r="F235" i="6" s="1"/>
  <c r="R234" i="6"/>
  <c r="Q234" i="6"/>
  <c r="J20" i="6"/>
  <c r="O78" i="6"/>
  <c r="L79" i="6"/>
  <c r="L26" i="6" s="1"/>
  <c r="K79" i="6"/>
  <c r="K26" i="6" s="1"/>
  <c r="Q78" i="6"/>
  <c r="P78" i="6"/>
  <c r="N78" i="6"/>
  <c r="J78" i="6"/>
  <c r="I78" i="6"/>
  <c r="H78" i="6"/>
  <c r="G78" i="6"/>
  <c r="F78" i="6"/>
  <c r="E78" i="6"/>
  <c r="L77" i="6"/>
  <c r="L23" i="6" s="1"/>
  <c r="K77" i="6"/>
  <c r="K23" i="6" s="1"/>
  <c r="Q76" i="6"/>
  <c r="P76" i="6"/>
  <c r="N76" i="6"/>
  <c r="J76" i="6"/>
  <c r="I76" i="6"/>
  <c r="H76" i="6"/>
  <c r="G76" i="6"/>
  <c r="F76" i="6"/>
  <c r="E76" i="6"/>
  <c r="L74" i="6"/>
  <c r="K74" i="6"/>
  <c r="K20" i="6" s="1"/>
  <c r="E73" i="6"/>
  <c r="Q73" i="6"/>
  <c r="P73" i="6"/>
  <c r="O73" i="6"/>
  <c r="N73" i="6"/>
  <c r="J73" i="6"/>
  <c r="I73" i="6"/>
  <c r="H73" i="6"/>
  <c r="G73" i="6"/>
  <c r="F73" i="6"/>
  <c r="K72" i="6"/>
  <c r="Q71" i="6"/>
  <c r="P71" i="6"/>
  <c r="O71" i="6"/>
  <c r="N71" i="6"/>
  <c r="L71" i="6"/>
  <c r="J71" i="6"/>
  <c r="I71" i="6"/>
  <c r="H71" i="6"/>
  <c r="G71" i="6"/>
  <c r="F71" i="6"/>
  <c r="P45" i="6"/>
  <c r="O45" i="6"/>
  <c r="N45" i="6"/>
  <c r="P43" i="6"/>
  <c r="O43" i="6"/>
  <c r="N43" i="6"/>
  <c r="P40" i="6"/>
  <c r="O40" i="6"/>
  <c r="N40" i="6"/>
  <c r="P38" i="6"/>
  <c r="O38" i="6"/>
  <c r="N38" i="6"/>
  <c r="P34" i="6"/>
  <c r="O34" i="6"/>
  <c r="N34" i="6"/>
  <c r="J22" i="6"/>
  <c r="P31" i="6"/>
  <c r="O31" i="6"/>
  <c r="N31" i="6"/>
  <c r="L16" i="6"/>
  <c r="J16" i="6"/>
  <c r="H16" i="6"/>
  <c r="P28" i="6"/>
  <c r="N28" i="6"/>
  <c r="L36" i="10" s="1"/>
  <c r="N25" i="6"/>
  <c r="N21" i="6" s="1"/>
  <c r="Q25" i="6"/>
  <c r="Q21" i="6" s="1"/>
  <c r="R112" i="5"/>
  <c r="R111" i="5" s="1"/>
  <c r="Q112" i="5"/>
  <c r="P112" i="5"/>
  <c r="P111" i="5" s="1"/>
  <c r="O112" i="5"/>
  <c r="N112" i="5"/>
  <c r="N111" i="5" s="1"/>
  <c r="K112" i="5"/>
  <c r="J112" i="5"/>
  <c r="J111" i="5" s="1"/>
  <c r="I112" i="5"/>
  <c r="H112" i="5"/>
  <c r="H111" i="5" s="1"/>
  <c r="G112" i="5"/>
  <c r="F112" i="5"/>
  <c r="F111" i="5" s="1"/>
  <c r="E112" i="5"/>
  <c r="Q111" i="5"/>
  <c r="O111" i="5"/>
  <c r="K111" i="5"/>
  <c r="I111" i="5"/>
  <c r="G111" i="5"/>
  <c r="E111" i="5"/>
  <c r="N88" i="5"/>
  <c r="N87" i="5" s="1"/>
  <c r="D109" i="5"/>
  <c r="K109" i="5"/>
  <c r="K108" i="5" s="1"/>
  <c r="L108" i="5"/>
  <c r="J108" i="5"/>
  <c r="J104" i="5" s="1"/>
  <c r="I108" i="5"/>
  <c r="I104" i="5" s="1"/>
  <c r="E108" i="5"/>
  <c r="N107" i="5"/>
  <c r="N86" i="5" s="1"/>
  <c r="N61" i="5" s="1"/>
  <c r="L107" i="5"/>
  <c r="M107" i="5" s="1"/>
  <c r="D107" i="5" s="1"/>
  <c r="N85" i="5"/>
  <c r="M106" i="5"/>
  <c r="D106" i="5" s="1"/>
  <c r="K106" i="5"/>
  <c r="K105" i="5" s="1"/>
  <c r="R105" i="5"/>
  <c r="Q105" i="5"/>
  <c r="P105" i="5"/>
  <c r="N105" i="5"/>
  <c r="J105" i="5"/>
  <c r="I105" i="5"/>
  <c r="H105" i="5"/>
  <c r="G105" i="5"/>
  <c r="F105" i="5"/>
  <c r="E105" i="5"/>
  <c r="E104" i="5"/>
  <c r="K103" i="5"/>
  <c r="N102" i="5"/>
  <c r="K102" i="5"/>
  <c r="J102" i="5"/>
  <c r="I102" i="5"/>
  <c r="E102" i="5"/>
  <c r="N79" i="5"/>
  <c r="D101" i="5"/>
  <c r="M100" i="5"/>
  <c r="D100" i="5" s="1"/>
  <c r="K100" i="5"/>
  <c r="K99" i="5" s="1"/>
  <c r="K98" i="5" s="1"/>
  <c r="R99" i="5"/>
  <c r="Q99" i="5"/>
  <c r="P99" i="5"/>
  <c r="O99" i="5"/>
  <c r="J99" i="5"/>
  <c r="I99" i="5"/>
  <c r="I98" i="5" s="1"/>
  <c r="H99" i="5"/>
  <c r="G99" i="5"/>
  <c r="F99" i="5"/>
  <c r="E99" i="5"/>
  <c r="J98" i="5"/>
  <c r="E98" i="5"/>
  <c r="D96" i="5"/>
  <c r="K95" i="5"/>
  <c r="J95" i="5"/>
  <c r="K94" i="5"/>
  <c r="R91" i="5"/>
  <c r="Q91" i="5"/>
  <c r="Q90" i="5" s="1"/>
  <c r="P91" i="5"/>
  <c r="O91" i="5"/>
  <c r="O90" i="5" s="1"/>
  <c r="N91" i="5"/>
  <c r="L91" i="5"/>
  <c r="L90" i="5" s="1"/>
  <c r="K91" i="5"/>
  <c r="J91" i="5"/>
  <c r="J90" i="5" s="1"/>
  <c r="H91" i="5"/>
  <c r="G91" i="5"/>
  <c r="G90" i="5" s="1"/>
  <c r="F91" i="5"/>
  <c r="E91" i="5"/>
  <c r="E90" i="5" s="1"/>
  <c r="R90" i="5"/>
  <c r="P90" i="5"/>
  <c r="N90" i="5"/>
  <c r="K90" i="5"/>
  <c r="H90" i="5"/>
  <c r="F90" i="5"/>
  <c r="Q88" i="5"/>
  <c r="N83" i="1" s="1"/>
  <c r="N82" i="1" s="1"/>
  <c r="P88" i="5"/>
  <c r="P87" i="5" s="1"/>
  <c r="O88" i="5"/>
  <c r="L88" i="5"/>
  <c r="L87" i="5" s="1"/>
  <c r="J88" i="5"/>
  <c r="I88" i="5"/>
  <c r="I87" i="5" s="1"/>
  <c r="H88" i="5"/>
  <c r="G88" i="5"/>
  <c r="G87" i="5" s="1"/>
  <c r="F88" i="5"/>
  <c r="E88" i="5"/>
  <c r="E87" i="5" s="1"/>
  <c r="R87" i="5"/>
  <c r="Q87" i="5"/>
  <c r="O87" i="5"/>
  <c r="J87" i="5"/>
  <c r="H87" i="5"/>
  <c r="F87" i="5"/>
  <c r="Q86" i="5"/>
  <c r="Q61" i="5" s="1"/>
  <c r="P86" i="5"/>
  <c r="P61" i="5" s="1"/>
  <c r="O86" i="5"/>
  <c r="O61" i="5" s="1"/>
  <c r="K86" i="5"/>
  <c r="K61" i="5" s="1"/>
  <c r="J86" i="5"/>
  <c r="J61" i="5" s="1"/>
  <c r="I86" i="5"/>
  <c r="I61" i="5" s="1"/>
  <c r="H86" i="5"/>
  <c r="H61" i="5" s="1"/>
  <c r="G86" i="5"/>
  <c r="G61" i="5" s="1"/>
  <c r="F86" i="5"/>
  <c r="F61" i="5" s="1"/>
  <c r="E86" i="5"/>
  <c r="E61" i="5" s="1"/>
  <c r="Q85" i="5"/>
  <c r="P85" i="5"/>
  <c r="O85" i="5"/>
  <c r="J85" i="5"/>
  <c r="I85" i="5"/>
  <c r="H85" i="5"/>
  <c r="H84" i="5" s="1"/>
  <c r="G85" i="5"/>
  <c r="F85" i="5"/>
  <c r="E85" i="5"/>
  <c r="R84" i="5"/>
  <c r="R83" i="5" s="1"/>
  <c r="P82" i="5"/>
  <c r="M74" i="1" s="1"/>
  <c r="O82" i="5"/>
  <c r="N81" i="5"/>
  <c r="L82" i="5"/>
  <c r="L81" i="5" s="1"/>
  <c r="K82" i="5"/>
  <c r="K81" i="5" s="1"/>
  <c r="R81" i="5"/>
  <c r="Q81" i="5"/>
  <c r="O81" i="5"/>
  <c r="Q80" i="5"/>
  <c r="N65" i="1" s="1"/>
  <c r="P80" i="5"/>
  <c r="O80" i="5"/>
  <c r="N80" i="5"/>
  <c r="L80" i="5"/>
  <c r="K80" i="5"/>
  <c r="J80" i="5"/>
  <c r="H80" i="5"/>
  <c r="G80" i="5"/>
  <c r="F80" i="5"/>
  <c r="E80" i="5"/>
  <c r="R79" i="5"/>
  <c r="R77" i="5" s="1"/>
  <c r="R76" i="5" s="1"/>
  <c r="Q79" i="5"/>
  <c r="P79" i="5"/>
  <c r="O79" i="5"/>
  <c r="K79" i="5"/>
  <c r="J79" i="5"/>
  <c r="I79" i="5"/>
  <c r="H79" i="5"/>
  <c r="G79" i="5"/>
  <c r="F79" i="5"/>
  <c r="E79" i="5"/>
  <c r="Q78" i="5"/>
  <c r="P78" i="5"/>
  <c r="O78" i="5"/>
  <c r="N78" i="5"/>
  <c r="K71" i="1" s="1"/>
  <c r="K78" i="5"/>
  <c r="J78" i="5"/>
  <c r="I78" i="5"/>
  <c r="H78" i="5"/>
  <c r="G78" i="5"/>
  <c r="F78" i="5"/>
  <c r="E78" i="5"/>
  <c r="R51" i="5"/>
  <c r="X75" i="5"/>
  <c r="X73" i="5" s="1"/>
  <c r="E49" i="5"/>
  <c r="R48" i="5"/>
  <c r="Q48" i="5"/>
  <c r="Q47" i="5" s="1"/>
  <c r="P48" i="5"/>
  <c r="P47" i="5" s="1"/>
  <c r="O48" i="5"/>
  <c r="O47" i="5" s="1"/>
  <c r="N48" i="5"/>
  <c r="N47" i="5" s="1"/>
  <c r="L48" i="5"/>
  <c r="L47" i="5" s="1"/>
  <c r="K48" i="5"/>
  <c r="K47" i="5" s="1"/>
  <c r="J48" i="5"/>
  <c r="J47" i="5" s="1"/>
  <c r="I48" i="5"/>
  <c r="I47" i="5" s="1"/>
  <c r="H48" i="5"/>
  <c r="H47" i="5" s="1"/>
  <c r="G48" i="5"/>
  <c r="G47" i="5" s="1"/>
  <c r="F48" i="5"/>
  <c r="F47" i="5" s="1"/>
  <c r="R47" i="5"/>
  <c r="E46" i="5"/>
  <c r="R45" i="5"/>
  <c r="Q45" i="5"/>
  <c r="Q44" i="5" s="1"/>
  <c r="Q11" i="5" s="1"/>
  <c r="P45" i="5"/>
  <c r="P44" i="5" s="1"/>
  <c r="P11" i="5" s="1"/>
  <c r="O45" i="5"/>
  <c r="O44" i="5" s="1"/>
  <c r="N45" i="5"/>
  <c r="N44" i="5" s="1"/>
  <c r="L45" i="5"/>
  <c r="L44" i="5" s="1"/>
  <c r="K45" i="5"/>
  <c r="K44" i="5" s="1"/>
  <c r="J45" i="5"/>
  <c r="J44" i="5" s="1"/>
  <c r="I45" i="5"/>
  <c r="I44" i="5" s="1"/>
  <c r="H45" i="5"/>
  <c r="H44" i="5" s="1"/>
  <c r="G45" i="5"/>
  <c r="G44" i="5" s="1"/>
  <c r="F45" i="5"/>
  <c r="F44" i="5" s="1"/>
  <c r="N41" i="5"/>
  <c r="L42" i="5"/>
  <c r="E42" i="5"/>
  <c r="E41" i="5" s="1"/>
  <c r="R41" i="5"/>
  <c r="R38" i="5" s="1"/>
  <c r="Q41" i="5"/>
  <c r="Q38" i="5" s="1"/>
  <c r="P41" i="5"/>
  <c r="P38" i="5" s="1"/>
  <c r="O41" i="5"/>
  <c r="O38" i="5" s="1"/>
  <c r="L41" i="5"/>
  <c r="K41" i="5"/>
  <c r="J41" i="5"/>
  <c r="I41" i="5"/>
  <c r="H41" i="5"/>
  <c r="G41" i="5"/>
  <c r="F41" i="5"/>
  <c r="E40" i="5"/>
  <c r="D40" i="5" s="1"/>
  <c r="N39" i="5"/>
  <c r="L39" i="5"/>
  <c r="K39" i="5"/>
  <c r="J39" i="5"/>
  <c r="I39" i="5"/>
  <c r="H39" i="5"/>
  <c r="G39" i="5"/>
  <c r="F39" i="5"/>
  <c r="L37" i="5"/>
  <c r="E37" i="5"/>
  <c r="N36" i="5"/>
  <c r="K36" i="5"/>
  <c r="J36" i="5"/>
  <c r="I36" i="5"/>
  <c r="H36" i="5"/>
  <c r="G36" i="5"/>
  <c r="F36" i="5"/>
  <c r="L35" i="5"/>
  <c r="M35" i="5" s="1"/>
  <c r="D35" i="5" s="1"/>
  <c r="E35" i="5"/>
  <c r="E34" i="5" s="1"/>
  <c r="N34" i="5"/>
  <c r="K34" i="5"/>
  <c r="J34" i="5"/>
  <c r="I34" i="5"/>
  <c r="H34" i="5"/>
  <c r="G34" i="5"/>
  <c r="F34" i="5"/>
  <c r="E31" i="5"/>
  <c r="R30" i="5"/>
  <c r="Q30" i="5"/>
  <c r="P30" i="5"/>
  <c r="O30" i="5"/>
  <c r="L30" i="5"/>
  <c r="K30" i="5"/>
  <c r="J30" i="5"/>
  <c r="I30" i="5"/>
  <c r="H30" i="5"/>
  <c r="G30" i="5"/>
  <c r="F30" i="5"/>
  <c r="E29" i="5"/>
  <c r="D29" i="5" s="1"/>
  <c r="R28" i="5"/>
  <c r="Q28" i="5"/>
  <c r="P28" i="5"/>
  <c r="P27" i="5" s="1"/>
  <c r="O28" i="5"/>
  <c r="N28" i="5"/>
  <c r="L28" i="5"/>
  <c r="K28" i="5"/>
  <c r="J28" i="5"/>
  <c r="I28" i="5"/>
  <c r="H28" i="5"/>
  <c r="G28" i="5"/>
  <c r="F28" i="5"/>
  <c r="R27" i="5"/>
  <c r="E26" i="5"/>
  <c r="R25" i="5"/>
  <c r="Q25" i="5"/>
  <c r="P25" i="5"/>
  <c r="O25" i="5"/>
  <c r="N25" i="5"/>
  <c r="L25" i="5"/>
  <c r="K25" i="5"/>
  <c r="J25" i="5"/>
  <c r="I25" i="5"/>
  <c r="H25" i="5"/>
  <c r="G25" i="5"/>
  <c r="F25" i="5"/>
  <c r="E24" i="5"/>
  <c r="D23" i="5" s="1"/>
  <c r="R23" i="5"/>
  <c r="Q23" i="5"/>
  <c r="P23" i="5"/>
  <c r="O23" i="5"/>
  <c r="N23" i="5"/>
  <c r="L23" i="5"/>
  <c r="K23" i="5"/>
  <c r="J23" i="5"/>
  <c r="I23" i="5"/>
  <c r="H23" i="5"/>
  <c r="G23" i="5"/>
  <c r="F23" i="5"/>
  <c r="R19" i="5"/>
  <c r="R18" i="5" s="1"/>
  <c r="Q19" i="5"/>
  <c r="Q18" i="5" s="1"/>
  <c r="P19" i="5"/>
  <c r="P18" i="5" s="1"/>
  <c r="O19" i="5"/>
  <c r="O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Q16" i="5"/>
  <c r="P16" i="5"/>
  <c r="K16" i="5"/>
  <c r="J16" i="5"/>
  <c r="I16" i="5"/>
  <c r="H16" i="5"/>
  <c r="G16" i="5"/>
  <c r="F16" i="5"/>
  <c r="R16" i="5"/>
  <c r="R15" i="5"/>
  <c r="Q15" i="5"/>
  <c r="P15" i="5"/>
  <c r="O15" i="5"/>
  <c r="L15" i="5"/>
  <c r="K15" i="5"/>
  <c r="J15" i="5"/>
  <c r="I15" i="5"/>
  <c r="H15" i="5"/>
  <c r="G15" i="5"/>
  <c r="F15" i="5"/>
  <c r="G146" i="4"/>
  <c r="P114" i="4"/>
  <c r="P111" i="4" s="1"/>
  <c r="O114" i="4"/>
  <c r="O111" i="4" s="1"/>
  <c r="N114" i="4"/>
  <c r="L114" i="4"/>
  <c r="L111" i="4" s="1"/>
  <c r="K114" i="4"/>
  <c r="J114" i="4"/>
  <c r="J111" i="4" s="1"/>
  <c r="I114" i="4"/>
  <c r="H114" i="4"/>
  <c r="G114" i="4"/>
  <c r="F114" i="4"/>
  <c r="E114" i="4"/>
  <c r="D114" i="4"/>
  <c r="D111" i="4" s="1"/>
  <c r="N111" i="4"/>
  <c r="K111" i="4"/>
  <c r="I111" i="4"/>
  <c r="H111" i="4"/>
  <c r="G111" i="4"/>
  <c r="F111" i="4"/>
  <c r="E111" i="4"/>
  <c r="E110" i="4"/>
  <c r="O109" i="4"/>
  <c r="N109" i="4"/>
  <c r="L109" i="4"/>
  <c r="K109" i="4"/>
  <c r="J109" i="4"/>
  <c r="I109" i="4"/>
  <c r="H109" i="4"/>
  <c r="G109" i="4"/>
  <c r="G104" i="4" s="1"/>
  <c r="F109" i="4"/>
  <c r="E109" i="4"/>
  <c r="N105" i="4"/>
  <c r="L105" i="4"/>
  <c r="K105" i="4"/>
  <c r="J105" i="4"/>
  <c r="J104" i="4" s="1"/>
  <c r="I105" i="4"/>
  <c r="H105" i="4"/>
  <c r="H104" i="4" s="1"/>
  <c r="G105" i="4"/>
  <c r="F105" i="4"/>
  <c r="F104" i="4" s="1"/>
  <c r="E105" i="4"/>
  <c r="K104" i="4"/>
  <c r="P101" i="4"/>
  <c r="O101" i="4"/>
  <c r="N101" i="4"/>
  <c r="L101" i="4"/>
  <c r="K101" i="4"/>
  <c r="J101" i="4"/>
  <c r="I101" i="4"/>
  <c r="H101" i="4"/>
  <c r="G101" i="4"/>
  <c r="F101" i="4"/>
  <c r="E101" i="4"/>
  <c r="D101" i="4"/>
  <c r="P100" i="4"/>
  <c r="O100" i="4"/>
  <c r="N100" i="4"/>
  <c r="L100" i="4"/>
  <c r="K100" i="4"/>
  <c r="J100" i="4"/>
  <c r="I100" i="4"/>
  <c r="H100" i="4"/>
  <c r="G100" i="4"/>
  <c r="F100" i="4"/>
  <c r="E100" i="4"/>
  <c r="D100" i="4"/>
  <c r="E99" i="4"/>
  <c r="M99" i="4" s="1"/>
  <c r="P98" i="4"/>
  <c r="O98" i="4"/>
  <c r="O94" i="4" s="1"/>
  <c r="N98" i="4"/>
  <c r="L98" i="4"/>
  <c r="K98" i="4"/>
  <c r="J98" i="4"/>
  <c r="J94" i="4" s="1"/>
  <c r="I98" i="4"/>
  <c r="H98" i="4"/>
  <c r="G98" i="4"/>
  <c r="F98" i="4"/>
  <c r="D95" i="4"/>
  <c r="P95" i="4"/>
  <c r="O95" i="4"/>
  <c r="N95" i="4"/>
  <c r="L95" i="4"/>
  <c r="K95" i="4"/>
  <c r="J95" i="4"/>
  <c r="I95" i="4"/>
  <c r="H95" i="4"/>
  <c r="G95" i="4"/>
  <c r="F95" i="4"/>
  <c r="E95" i="4"/>
  <c r="L90" i="4"/>
  <c r="L89" i="4" s="1"/>
  <c r="K90" i="4"/>
  <c r="K89" i="4" s="1"/>
  <c r="J90" i="4"/>
  <c r="I90" i="4"/>
  <c r="I89" i="4" s="1"/>
  <c r="H90" i="4"/>
  <c r="H89" i="4" s="1"/>
  <c r="G90" i="4"/>
  <c r="G89" i="4" s="1"/>
  <c r="F90" i="4"/>
  <c r="E90" i="4"/>
  <c r="E89" i="4" s="1"/>
  <c r="R89" i="4"/>
  <c r="Q89" i="4"/>
  <c r="P89" i="4"/>
  <c r="O89" i="4"/>
  <c r="N89" i="4"/>
  <c r="J89" i="4"/>
  <c r="F89" i="4"/>
  <c r="D89" i="4"/>
  <c r="Q85" i="4"/>
  <c r="Q84" i="4" s="1"/>
  <c r="P85" i="4"/>
  <c r="P84" i="4" s="1"/>
  <c r="N84" i="4"/>
  <c r="L85" i="4"/>
  <c r="L84" i="4" s="1"/>
  <c r="K85" i="4"/>
  <c r="K84" i="4" s="1"/>
  <c r="J85" i="4"/>
  <c r="J84" i="4" s="1"/>
  <c r="I85" i="4"/>
  <c r="I84" i="4" s="1"/>
  <c r="H85" i="4"/>
  <c r="H84" i="4" s="1"/>
  <c r="G85" i="4"/>
  <c r="G84" i="4" s="1"/>
  <c r="F85" i="4"/>
  <c r="F84" i="4" s="1"/>
  <c r="E85" i="4"/>
  <c r="E84" i="4" s="1"/>
  <c r="O84" i="4"/>
  <c r="R80" i="4"/>
  <c r="R79" i="4" s="1"/>
  <c r="Q80" i="4"/>
  <c r="Q79" i="4" s="1"/>
  <c r="P80" i="4"/>
  <c r="P79" i="4" s="1"/>
  <c r="O80" i="4"/>
  <c r="O79" i="4" s="1"/>
  <c r="L80" i="4"/>
  <c r="L79" i="4" s="1"/>
  <c r="K80" i="4"/>
  <c r="K79" i="4" s="1"/>
  <c r="J80" i="4"/>
  <c r="J79" i="4" s="1"/>
  <c r="I80" i="4"/>
  <c r="I79" i="4" s="1"/>
  <c r="H79" i="4"/>
  <c r="G79" i="4"/>
  <c r="F79" i="4"/>
  <c r="N77" i="4"/>
  <c r="M77" i="4" s="1"/>
  <c r="M28" i="4" s="1"/>
  <c r="O76" i="4"/>
  <c r="O25" i="4"/>
  <c r="L77" i="1" s="1"/>
  <c r="N75" i="4"/>
  <c r="M75" i="4" s="1"/>
  <c r="M74" i="4" s="1"/>
  <c r="O22" i="4"/>
  <c r="N72" i="4"/>
  <c r="M72" i="4" s="1"/>
  <c r="N70" i="4"/>
  <c r="M70" i="4" s="1"/>
  <c r="D70" i="4" s="1"/>
  <c r="N69" i="4"/>
  <c r="M69" i="4" s="1"/>
  <c r="N65" i="4"/>
  <c r="M65" i="4" s="1"/>
  <c r="J64" i="4"/>
  <c r="M64" i="4" s="1"/>
  <c r="P63" i="4"/>
  <c r="O63" i="4"/>
  <c r="N63" i="4"/>
  <c r="L63" i="4"/>
  <c r="K63" i="4"/>
  <c r="I63" i="4"/>
  <c r="H63" i="4"/>
  <c r="G63" i="4"/>
  <c r="F63" i="4"/>
  <c r="E63" i="4"/>
  <c r="P62" i="4"/>
  <c r="O62" i="4"/>
  <c r="N62" i="4"/>
  <c r="L62" i="4"/>
  <c r="K62" i="4"/>
  <c r="I62" i="4"/>
  <c r="H62" i="4"/>
  <c r="G62" i="4"/>
  <c r="F62" i="4"/>
  <c r="E62" i="4"/>
  <c r="E61" i="4"/>
  <c r="E60" i="4" s="1"/>
  <c r="N60" i="4"/>
  <c r="L60" i="4"/>
  <c r="K60" i="4"/>
  <c r="J60" i="4"/>
  <c r="I60" i="4"/>
  <c r="H60" i="4"/>
  <c r="G60" i="4"/>
  <c r="F60" i="4"/>
  <c r="D60" i="4"/>
  <c r="N59" i="4"/>
  <c r="M59" i="4" s="1"/>
  <c r="J58" i="4"/>
  <c r="M58" i="4" s="1"/>
  <c r="E57" i="4"/>
  <c r="P55" i="4"/>
  <c r="P54" i="4" s="1"/>
  <c r="O55" i="4"/>
  <c r="L55" i="4"/>
  <c r="K55" i="4"/>
  <c r="J55" i="4"/>
  <c r="I55" i="4"/>
  <c r="H55" i="4"/>
  <c r="G55" i="4"/>
  <c r="F55" i="4"/>
  <c r="O54" i="4"/>
  <c r="N51" i="4"/>
  <c r="L51" i="4"/>
  <c r="L48" i="4" s="1"/>
  <c r="K51" i="4"/>
  <c r="K48" i="4" s="1"/>
  <c r="J51" i="4"/>
  <c r="J48" i="4" s="1"/>
  <c r="I51" i="4"/>
  <c r="I48" i="4" s="1"/>
  <c r="H51" i="4"/>
  <c r="H48" i="4" s="1"/>
  <c r="G51" i="4"/>
  <c r="G48" i="4" s="1"/>
  <c r="F51" i="4"/>
  <c r="F48" i="4" s="1"/>
  <c r="E51" i="4"/>
  <c r="E48" i="4" s="1"/>
  <c r="D51" i="4"/>
  <c r="D49" i="4"/>
  <c r="N49" i="4"/>
  <c r="L49" i="4"/>
  <c r="E47" i="4"/>
  <c r="M47" i="4" s="1"/>
  <c r="N46" i="4"/>
  <c r="K46" i="4"/>
  <c r="J46" i="4"/>
  <c r="I46" i="4"/>
  <c r="H46" i="4"/>
  <c r="G46" i="4"/>
  <c r="F46" i="4"/>
  <c r="K44" i="4"/>
  <c r="M44" i="4" s="1"/>
  <c r="L42" i="4"/>
  <c r="L41" i="4" s="1"/>
  <c r="J42" i="4"/>
  <c r="I42" i="4"/>
  <c r="H42" i="4"/>
  <c r="G42" i="4"/>
  <c r="F42" i="4"/>
  <c r="E42" i="4"/>
  <c r="P28" i="4"/>
  <c r="O28" i="4"/>
  <c r="L28" i="4"/>
  <c r="K28" i="4"/>
  <c r="J28" i="4"/>
  <c r="G83" i="1" s="1"/>
  <c r="G82" i="1" s="1"/>
  <c r="I28" i="4"/>
  <c r="F83" i="1" s="1"/>
  <c r="F82" i="1" s="1"/>
  <c r="H28" i="4"/>
  <c r="G28" i="4"/>
  <c r="F28" i="4"/>
  <c r="E28" i="4"/>
  <c r="L27" i="4"/>
  <c r="K27" i="4"/>
  <c r="J27" i="4"/>
  <c r="I27" i="4"/>
  <c r="P26" i="4"/>
  <c r="O26" i="4"/>
  <c r="N26" i="4"/>
  <c r="L26" i="4"/>
  <c r="K26" i="4"/>
  <c r="J26" i="4"/>
  <c r="I26" i="4"/>
  <c r="H26" i="4"/>
  <c r="G26" i="4"/>
  <c r="F26" i="4"/>
  <c r="E26" i="4"/>
  <c r="L25" i="4"/>
  <c r="I77" i="1" s="1"/>
  <c r="K25" i="4"/>
  <c r="H77" i="1" s="1"/>
  <c r="J25" i="4"/>
  <c r="I25" i="4"/>
  <c r="F77" i="1" s="1"/>
  <c r="H25" i="4"/>
  <c r="G25" i="4"/>
  <c r="D77" i="1" s="1"/>
  <c r="F25" i="4"/>
  <c r="E25" i="4"/>
  <c r="B77" i="1" s="1"/>
  <c r="L24" i="4"/>
  <c r="K21" i="4"/>
  <c r="J21" i="4"/>
  <c r="I21" i="4"/>
  <c r="G21" i="4"/>
  <c r="F21" i="4"/>
  <c r="L21" i="4"/>
  <c r="H21" i="4"/>
  <c r="P20" i="4"/>
  <c r="O20" i="4"/>
  <c r="L20" i="4"/>
  <c r="K20" i="4"/>
  <c r="J20" i="4"/>
  <c r="I20" i="4"/>
  <c r="H20" i="4"/>
  <c r="G20" i="4"/>
  <c r="F20" i="4"/>
  <c r="E20" i="4"/>
  <c r="N18" i="4"/>
  <c r="K70" i="1" s="1"/>
  <c r="L18" i="4"/>
  <c r="I70" i="1" s="1"/>
  <c r="K18" i="4"/>
  <c r="H70" i="1" s="1"/>
  <c r="J18" i="4"/>
  <c r="G70" i="1" s="1"/>
  <c r="I18" i="4"/>
  <c r="F70" i="1" s="1"/>
  <c r="H18" i="4"/>
  <c r="E70" i="1" s="1"/>
  <c r="G18" i="4"/>
  <c r="D70" i="1" s="1"/>
  <c r="F18" i="4"/>
  <c r="C70" i="1" s="1"/>
  <c r="E18" i="4"/>
  <c r="B70" i="1" s="1"/>
  <c r="R17" i="4"/>
  <c r="O68" i="1" s="1"/>
  <c r="O123" i="1" s="1"/>
  <c r="O185" i="1" s="1"/>
  <c r="N68" i="1"/>
  <c r="N123" i="1" s="1"/>
  <c r="N185" i="1" s="1"/>
  <c r="M68" i="1"/>
  <c r="M123" i="1" s="1"/>
  <c r="M185" i="1" s="1"/>
  <c r="N17" i="4"/>
  <c r="L17" i="4"/>
  <c r="J17" i="4"/>
  <c r="I17" i="4"/>
  <c r="F68" i="1" s="1"/>
  <c r="F123" i="1" s="1"/>
  <c r="F185" i="1" s="1"/>
  <c r="H17" i="4"/>
  <c r="E68" i="1" s="1"/>
  <c r="E123" i="1" s="1"/>
  <c r="E185" i="1" s="1"/>
  <c r="G17" i="4"/>
  <c r="D68" i="1" s="1"/>
  <c r="D123" i="1" s="1"/>
  <c r="D185" i="1" s="1"/>
  <c r="F17" i="4"/>
  <c r="C68" i="1" s="1"/>
  <c r="C123" i="1" s="1"/>
  <c r="C185" i="1" s="1"/>
  <c r="L16" i="4"/>
  <c r="I67" i="1" s="1"/>
  <c r="K16" i="4"/>
  <c r="H67" i="1" s="1"/>
  <c r="J16" i="4"/>
  <c r="G67" i="1" s="1"/>
  <c r="I16" i="4"/>
  <c r="H16" i="4"/>
  <c r="E67" i="1" s="1"/>
  <c r="G16" i="4"/>
  <c r="D67" i="1" s="1"/>
  <c r="F16" i="4"/>
  <c r="C67" i="1" s="1"/>
  <c r="N15" i="4"/>
  <c r="L15" i="4"/>
  <c r="K15" i="4"/>
  <c r="J15" i="4"/>
  <c r="I15" i="4"/>
  <c r="H15" i="4"/>
  <c r="E65" i="1" s="1"/>
  <c r="G15" i="4"/>
  <c r="F15" i="4"/>
  <c r="C65" i="1" s="1"/>
  <c r="E15" i="4"/>
  <c r="Q14" i="4"/>
  <c r="N11" i="4"/>
  <c r="L11" i="4"/>
  <c r="K11" i="4"/>
  <c r="J11" i="4"/>
  <c r="I11" i="4"/>
  <c r="I10" i="4" s="1"/>
  <c r="H11" i="4"/>
  <c r="G11" i="4"/>
  <c r="G10" i="4" s="1"/>
  <c r="F11" i="4"/>
  <c r="E11" i="4"/>
  <c r="N221" i="3"/>
  <c r="K222" i="3"/>
  <c r="E222" i="3"/>
  <c r="Q221" i="3"/>
  <c r="P221" i="3"/>
  <c r="O221" i="3"/>
  <c r="L221" i="3"/>
  <c r="K221" i="3"/>
  <c r="J221" i="3"/>
  <c r="I221" i="3"/>
  <c r="H221" i="3"/>
  <c r="G221" i="3"/>
  <c r="F221" i="3"/>
  <c r="E220" i="3"/>
  <c r="Q219" i="3"/>
  <c r="P219" i="3"/>
  <c r="P218" i="3" s="1"/>
  <c r="O219" i="3"/>
  <c r="N219" i="3"/>
  <c r="L219" i="3"/>
  <c r="K219" i="3"/>
  <c r="K218" i="3" s="1"/>
  <c r="J219" i="3"/>
  <c r="I219" i="3"/>
  <c r="I218" i="3" s="1"/>
  <c r="H219" i="3"/>
  <c r="G219" i="3"/>
  <c r="G218" i="3" s="1"/>
  <c r="F219" i="3"/>
  <c r="E219" i="3"/>
  <c r="Q218" i="3"/>
  <c r="O218" i="3"/>
  <c r="E217" i="3"/>
  <c r="M217" i="3" s="1"/>
  <c r="D217" i="3" s="1"/>
  <c r="D17" i="3" s="1"/>
  <c r="Q216" i="3"/>
  <c r="P216" i="3"/>
  <c r="O216" i="3"/>
  <c r="N216" i="3"/>
  <c r="L216" i="3"/>
  <c r="K216" i="3"/>
  <c r="J216" i="3"/>
  <c r="I216" i="3"/>
  <c r="H216" i="3"/>
  <c r="G216" i="3"/>
  <c r="F216" i="3"/>
  <c r="E215" i="3"/>
  <c r="M215" i="3" s="1"/>
  <c r="D215" i="3" s="1"/>
  <c r="E214" i="3"/>
  <c r="M214" i="3" s="1"/>
  <c r="Q213" i="3"/>
  <c r="Q212" i="3" s="1"/>
  <c r="P213" i="3"/>
  <c r="O213" i="3"/>
  <c r="O212" i="3" s="1"/>
  <c r="N213" i="3"/>
  <c r="N212" i="3" s="1"/>
  <c r="L213" i="3"/>
  <c r="L212" i="3" s="1"/>
  <c r="K213" i="3"/>
  <c r="K212" i="3" s="1"/>
  <c r="J213" i="3"/>
  <c r="J212" i="3" s="1"/>
  <c r="I213" i="3"/>
  <c r="I212" i="3" s="1"/>
  <c r="H213" i="3"/>
  <c r="H212" i="3" s="1"/>
  <c r="G213" i="3"/>
  <c r="G212" i="3" s="1"/>
  <c r="F213" i="3"/>
  <c r="F212" i="3" s="1"/>
  <c r="N209" i="3"/>
  <c r="L210" i="3"/>
  <c r="K210" i="3"/>
  <c r="E210" i="3"/>
  <c r="Q209" i="3"/>
  <c r="P209" i="3"/>
  <c r="O209" i="3"/>
  <c r="J209" i="3"/>
  <c r="I209" i="3"/>
  <c r="H209" i="3"/>
  <c r="G209" i="3"/>
  <c r="F209" i="3"/>
  <c r="E208" i="3"/>
  <c r="Q207" i="3"/>
  <c r="P207" i="3"/>
  <c r="O207" i="3"/>
  <c r="N207" i="3"/>
  <c r="L207" i="3"/>
  <c r="K207" i="3"/>
  <c r="J207" i="3"/>
  <c r="I207" i="3"/>
  <c r="H207" i="3"/>
  <c r="G207" i="3"/>
  <c r="F207" i="3"/>
  <c r="E205" i="3"/>
  <c r="Q204" i="3"/>
  <c r="P204" i="3"/>
  <c r="O204" i="3"/>
  <c r="J204" i="3"/>
  <c r="I204" i="3"/>
  <c r="H204" i="3"/>
  <c r="G204" i="3"/>
  <c r="F204" i="3"/>
  <c r="E203" i="3"/>
  <c r="D203" i="3" s="1"/>
  <c r="E202" i="3"/>
  <c r="D202" i="3" s="1"/>
  <c r="Q201" i="3"/>
  <c r="P201" i="3"/>
  <c r="P200" i="3" s="1"/>
  <c r="O201" i="3"/>
  <c r="N201" i="3"/>
  <c r="L201" i="3"/>
  <c r="K201" i="3"/>
  <c r="J201" i="3"/>
  <c r="I201" i="3"/>
  <c r="H201" i="3"/>
  <c r="G201" i="3"/>
  <c r="F201" i="3"/>
  <c r="P197" i="3"/>
  <c r="P195" i="3"/>
  <c r="Q194" i="3"/>
  <c r="Q192" i="3"/>
  <c r="P192" i="3"/>
  <c r="Q189" i="3"/>
  <c r="P189" i="3"/>
  <c r="Q185" i="3"/>
  <c r="P185" i="3"/>
  <c r="Q183" i="3"/>
  <c r="P183" i="3"/>
  <c r="P180" i="3"/>
  <c r="P177" i="3"/>
  <c r="H21" i="10"/>
  <c r="E21" i="10"/>
  <c r="E150" i="3"/>
  <c r="E149" i="3" s="1"/>
  <c r="P149" i="3"/>
  <c r="O149" i="3"/>
  <c r="N149" i="3"/>
  <c r="L149" i="3"/>
  <c r="K149" i="3"/>
  <c r="J149" i="3"/>
  <c r="I149" i="3"/>
  <c r="H149" i="3"/>
  <c r="G149" i="3"/>
  <c r="F149" i="3"/>
  <c r="E148" i="3"/>
  <c r="D148" i="3" s="1"/>
  <c r="D147" i="3" s="1"/>
  <c r="P147" i="3"/>
  <c r="O147" i="3"/>
  <c r="N147" i="3"/>
  <c r="L147" i="3"/>
  <c r="L146" i="3" s="1"/>
  <c r="K147" i="3"/>
  <c r="J147" i="3"/>
  <c r="I147" i="3"/>
  <c r="H147" i="3"/>
  <c r="H146" i="3" s="1"/>
  <c r="G147" i="3"/>
  <c r="F147" i="3"/>
  <c r="E145" i="3"/>
  <c r="P144" i="3"/>
  <c r="O144" i="3"/>
  <c r="N144" i="3"/>
  <c r="L144" i="3"/>
  <c r="K144" i="3"/>
  <c r="J144" i="3"/>
  <c r="I144" i="3"/>
  <c r="H144" i="3"/>
  <c r="G144" i="3"/>
  <c r="F144" i="3"/>
  <c r="E143" i="3"/>
  <c r="E142" i="3"/>
  <c r="P141" i="3"/>
  <c r="P140" i="3" s="1"/>
  <c r="O141" i="3"/>
  <c r="N141" i="3"/>
  <c r="K141" i="3"/>
  <c r="J141" i="3"/>
  <c r="I141" i="3"/>
  <c r="H141" i="3"/>
  <c r="G141" i="3"/>
  <c r="F141" i="3"/>
  <c r="L23" i="3"/>
  <c r="L21" i="3" s="1"/>
  <c r="I137" i="3"/>
  <c r="H23" i="3"/>
  <c r="H21" i="3" s="1"/>
  <c r="H18" i="3" s="1"/>
  <c r="G23" i="3"/>
  <c r="G21" i="3" s="1"/>
  <c r="G18" i="3" s="1"/>
  <c r="F23" i="3"/>
  <c r="F21" i="3" s="1"/>
  <c r="F18" i="3" s="1"/>
  <c r="P137" i="3"/>
  <c r="N137" i="3"/>
  <c r="K137" i="3"/>
  <c r="H137" i="3"/>
  <c r="J20" i="3"/>
  <c r="J19" i="3" s="1"/>
  <c r="E135" i="3"/>
  <c r="P135" i="3"/>
  <c r="O135" i="3"/>
  <c r="N135" i="3"/>
  <c r="L135" i="3"/>
  <c r="K135" i="3"/>
  <c r="H135" i="3"/>
  <c r="H134" i="3" s="1"/>
  <c r="G135" i="3"/>
  <c r="F135" i="3"/>
  <c r="J17" i="3"/>
  <c r="J15" i="3" s="1"/>
  <c r="I132" i="3"/>
  <c r="H17" i="3"/>
  <c r="H15" i="3" s="1"/>
  <c r="G17" i="3"/>
  <c r="G15" i="3" s="1"/>
  <c r="F17" i="3"/>
  <c r="F15" i="3" s="1"/>
  <c r="P132" i="3"/>
  <c r="N132" i="3"/>
  <c r="K132" i="3"/>
  <c r="J132" i="3"/>
  <c r="F132" i="3"/>
  <c r="J14" i="3"/>
  <c r="I14" i="3"/>
  <c r="I12" i="3" s="1"/>
  <c r="I11" i="3" s="1"/>
  <c r="O129" i="3"/>
  <c r="H12" i="3"/>
  <c r="G12" i="3"/>
  <c r="F12" i="3"/>
  <c r="P129" i="3"/>
  <c r="N129" i="3"/>
  <c r="K129" i="3"/>
  <c r="G129" i="3"/>
  <c r="E126" i="3"/>
  <c r="P125" i="3"/>
  <c r="O125" i="3"/>
  <c r="N125" i="3"/>
  <c r="L125" i="3"/>
  <c r="K125" i="3"/>
  <c r="J125" i="3"/>
  <c r="H125" i="3"/>
  <c r="G125" i="3"/>
  <c r="F125" i="3"/>
  <c r="E125" i="3"/>
  <c r="J123" i="3"/>
  <c r="E124" i="3"/>
  <c r="P123" i="3"/>
  <c r="O123" i="3"/>
  <c r="N123" i="3"/>
  <c r="N122" i="3" s="1"/>
  <c r="L123" i="3"/>
  <c r="K123" i="3"/>
  <c r="K122" i="3" s="1"/>
  <c r="I123" i="3"/>
  <c r="H123" i="3"/>
  <c r="G123" i="3"/>
  <c r="G122" i="3" s="1"/>
  <c r="F123" i="3"/>
  <c r="E123" i="3"/>
  <c r="E122" i="3" s="1"/>
  <c r="P122" i="3"/>
  <c r="J120" i="3"/>
  <c r="E121" i="3"/>
  <c r="P120" i="3"/>
  <c r="O120" i="3"/>
  <c r="N120" i="3"/>
  <c r="L120" i="3"/>
  <c r="K120" i="3"/>
  <c r="I120" i="3"/>
  <c r="H120" i="3"/>
  <c r="G120" i="3"/>
  <c r="F120" i="3"/>
  <c r="I117" i="3"/>
  <c r="E119" i="3"/>
  <c r="E118" i="3"/>
  <c r="D118" i="3" s="1"/>
  <c r="P117" i="3"/>
  <c r="O117" i="3"/>
  <c r="N117" i="3"/>
  <c r="K117" i="3"/>
  <c r="J117" i="3"/>
  <c r="H117" i="3"/>
  <c r="G117" i="3"/>
  <c r="F117" i="3"/>
  <c r="Q113" i="3"/>
  <c r="Q111" i="3"/>
  <c r="Q108" i="3"/>
  <c r="Q105" i="3"/>
  <c r="Q101" i="3"/>
  <c r="P101" i="3"/>
  <c r="O101" i="3"/>
  <c r="N101" i="3"/>
  <c r="L101" i="3"/>
  <c r="D101" i="3"/>
  <c r="N99" i="3"/>
  <c r="Q99" i="3"/>
  <c r="P99" i="3"/>
  <c r="O99" i="3"/>
  <c r="D97" i="3"/>
  <c r="Q96" i="3"/>
  <c r="P96" i="3"/>
  <c r="O96" i="3"/>
  <c r="D94" i="3"/>
  <c r="Q93" i="3"/>
  <c r="P93" i="3"/>
  <c r="O93" i="3"/>
  <c r="N93" i="3"/>
  <c r="O92" i="3"/>
  <c r="O89" i="3"/>
  <c r="P89" i="3"/>
  <c r="L89" i="3"/>
  <c r="K89" i="3"/>
  <c r="J89" i="3"/>
  <c r="I89" i="3"/>
  <c r="H89" i="3"/>
  <c r="G89" i="3"/>
  <c r="F89" i="3"/>
  <c r="E89" i="3"/>
  <c r="O87" i="3"/>
  <c r="N87" i="3"/>
  <c r="D88" i="3"/>
  <c r="P87" i="3"/>
  <c r="P86" i="3" s="1"/>
  <c r="L87" i="3"/>
  <c r="L86" i="3" s="1"/>
  <c r="K87" i="3"/>
  <c r="K86" i="3" s="1"/>
  <c r="J87" i="3"/>
  <c r="J86" i="3" s="1"/>
  <c r="I87" i="3"/>
  <c r="I86" i="3" s="1"/>
  <c r="H87" i="3"/>
  <c r="H86" i="3" s="1"/>
  <c r="G87" i="3"/>
  <c r="F87" i="3"/>
  <c r="F86" i="3" s="1"/>
  <c r="E87" i="3"/>
  <c r="E86" i="3" s="1"/>
  <c r="G86" i="3"/>
  <c r="N84" i="3"/>
  <c r="D85" i="3"/>
  <c r="P84" i="3"/>
  <c r="L84" i="3"/>
  <c r="K84" i="3"/>
  <c r="J84" i="3"/>
  <c r="I84" i="3"/>
  <c r="H84" i="3"/>
  <c r="G84" i="3"/>
  <c r="F84" i="3"/>
  <c r="E84" i="3"/>
  <c r="P81" i="3"/>
  <c r="O81" i="3"/>
  <c r="K81" i="3"/>
  <c r="J81" i="3"/>
  <c r="I81" i="3"/>
  <c r="H81" i="3"/>
  <c r="G81" i="3"/>
  <c r="F81" i="3"/>
  <c r="E81" i="3"/>
  <c r="N78" i="3"/>
  <c r="N23" i="3" s="1"/>
  <c r="N21" i="3" s="1"/>
  <c r="N18" i="3" s="1"/>
  <c r="I77" i="3"/>
  <c r="E78" i="3"/>
  <c r="E77" i="3" s="1"/>
  <c r="P77" i="3"/>
  <c r="O77" i="3"/>
  <c r="L77" i="3"/>
  <c r="H77" i="3"/>
  <c r="G77" i="3"/>
  <c r="F77" i="3"/>
  <c r="N75" i="3"/>
  <c r="J75" i="3"/>
  <c r="E76" i="3"/>
  <c r="P75" i="3"/>
  <c r="O75" i="3"/>
  <c r="L75" i="3"/>
  <c r="K75" i="3"/>
  <c r="H75" i="3"/>
  <c r="H74" i="3" s="1"/>
  <c r="G75" i="3"/>
  <c r="F75" i="3"/>
  <c r="F74" i="3" s="1"/>
  <c r="N72" i="3"/>
  <c r="I72" i="3"/>
  <c r="E73" i="3"/>
  <c r="E72" i="3" s="1"/>
  <c r="P72" i="3"/>
  <c r="O72" i="3"/>
  <c r="L72" i="3"/>
  <c r="K72" i="3"/>
  <c r="J72" i="3"/>
  <c r="H72" i="3"/>
  <c r="G72" i="3"/>
  <c r="F72" i="3"/>
  <c r="E71" i="3"/>
  <c r="E70" i="3"/>
  <c r="P69" i="3"/>
  <c r="O69" i="3"/>
  <c r="L69" i="3"/>
  <c r="K69" i="3"/>
  <c r="J69" i="3"/>
  <c r="H69" i="3"/>
  <c r="G69" i="3"/>
  <c r="F69" i="3"/>
  <c r="M64" i="3"/>
  <c r="M63" i="3" s="1"/>
  <c r="E54" i="3"/>
  <c r="H52" i="3"/>
  <c r="F52" i="3"/>
  <c r="Z52" i="3"/>
  <c r="L48" i="3"/>
  <c r="K48" i="3"/>
  <c r="J48" i="3"/>
  <c r="I48" i="3"/>
  <c r="H48" i="3"/>
  <c r="G48" i="3"/>
  <c r="F48" i="3"/>
  <c r="E48" i="3"/>
  <c r="O46" i="3"/>
  <c r="N46" i="3"/>
  <c r="L46" i="3"/>
  <c r="L45" i="3" s="1"/>
  <c r="K46" i="3"/>
  <c r="K45" i="3" s="1"/>
  <c r="J46" i="3"/>
  <c r="J45" i="3" s="1"/>
  <c r="I46" i="3"/>
  <c r="I45" i="3" s="1"/>
  <c r="H46" i="3"/>
  <c r="H45" i="3" s="1"/>
  <c r="G46" i="3"/>
  <c r="G45" i="3" s="1"/>
  <c r="F46" i="3"/>
  <c r="F45" i="3" s="1"/>
  <c r="E46" i="3"/>
  <c r="E45" i="3" s="1"/>
  <c r="L39" i="3"/>
  <c r="K39" i="3"/>
  <c r="J39" i="3"/>
  <c r="I39" i="3"/>
  <c r="H39" i="3"/>
  <c r="G39" i="3"/>
  <c r="F39" i="3"/>
  <c r="E39" i="3"/>
  <c r="E34" i="3"/>
  <c r="M34" i="3" s="1"/>
  <c r="L33" i="3"/>
  <c r="K33" i="3"/>
  <c r="J33" i="3"/>
  <c r="I33" i="3"/>
  <c r="H33" i="3"/>
  <c r="G33" i="3"/>
  <c r="F33" i="3"/>
  <c r="O32" i="3"/>
  <c r="E30" i="3"/>
  <c r="P29" i="3"/>
  <c r="P28" i="3" s="1"/>
  <c r="O29" i="3"/>
  <c r="O28" i="3" s="1"/>
  <c r="N29" i="3"/>
  <c r="N28" i="3" s="1"/>
  <c r="L29" i="3"/>
  <c r="L28" i="3" s="1"/>
  <c r="K29" i="3"/>
  <c r="K28" i="3" s="1"/>
  <c r="J29" i="3"/>
  <c r="J28" i="3" s="1"/>
  <c r="I29" i="3"/>
  <c r="I28" i="3" s="1"/>
  <c r="H29" i="3"/>
  <c r="H28" i="3" s="1"/>
  <c r="G29" i="3"/>
  <c r="G28" i="3" s="1"/>
  <c r="F29" i="3"/>
  <c r="F28" i="3" s="1"/>
  <c r="E27" i="3"/>
  <c r="E26" i="3" s="1"/>
  <c r="E25" i="3" s="1"/>
  <c r="P26" i="3"/>
  <c r="P25" i="3" s="1"/>
  <c r="O26" i="3"/>
  <c r="O25" i="3" s="1"/>
  <c r="N26" i="3"/>
  <c r="N25" i="3" s="1"/>
  <c r="K26" i="3"/>
  <c r="K25" i="3" s="1"/>
  <c r="J26" i="3"/>
  <c r="J25" i="3" s="1"/>
  <c r="I26" i="3"/>
  <c r="I25" i="3" s="1"/>
  <c r="H26" i="3"/>
  <c r="H25" i="3" s="1"/>
  <c r="G26" i="3"/>
  <c r="G25" i="3" s="1"/>
  <c r="F26" i="3"/>
  <c r="F25" i="3" s="1"/>
  <c r="R649" i="2"/>
  <c r="R648" i="2" s="1"/>
  <c r="Q649" i="2"/>
  <c r="P649" i="2"/>
  <c r="P648" i="2" s="1"/>
  <c r="O649" i="2"/>
  <c r="O648" i="2" s="1"/>
  <c r="N649" i="2"/>
  <c r="N648" i="2" s="1"/>
  <c r="L649" i="2"/>
  <c r="L648" i="2" s="1"/>
  <c r="D649" i="2"/>
  <c r="D648" i="2" s="1"/>
  <c r="Q648" i="2"/>
  <c r="N641" i="2"/>
  <c r="N640" i="2" s="1"/>
  <c r="L642" i="2"/>
  <c r="R641" i="2"/>
  <c r="R640" i="2" s="1"/>
  <c r="Q641" i="2"/>
  <c r="Q640" i="2" s="1"/>
  <c r="P641" i="2"/>
  <c r="P640" i="2" s="1"/>
  <c r="O641" i="2"/>
  <c r="O640" i="2" s="1"/>
  <c r="Q632" i="2"/>
  <c r="L634" i="2"/>
  <c r="L633" i="2" s="1"/>
  <c r="K634" i="2"/>
  <c r="R632" i="2"/>
  <c r="P632" i="2"/>
  <c r="N632" i="2"/>
  <c r="J632" i="2"/>
  <c r="R624" i="2"/>
  <c r="P624" i="2"/>
  <c r="L626" i="2"/>
  <c r="L625" i="2" s="1"/>
  <c r="K626" i="2"/>
  <c r="J626" i="2"/>
  <c r="Q624" i="2"/>
  <c r="L624" i="2"/>
  <c r="M622" i="2"/>
  <c r="Z620" i="2"/>
  <c r="L618" i="2"/>
  <c r="M618" i="2" s="1"/>
  <c r="D618" i="2" s="1"/>
  <c r="P615" i="2"/>
  <c r="M102" i="1" s="1"/>
  <c r="O615" i="2"/>
  <c r="N615" i="2"/>
  <c r="H615" i="2"/>
  <c r="E102" i="1" s="1"/>
  <c r="G615" i="2"/>
  <c r="D102" i="1" s="1"/>
  <c r="F615" i="2"/>
  <c r="C102" i="1" s="1"/>
  <c r="Q615" i="2"/>
  <c r="N102" i="1" s="1"/>
  <c r="L614" i="2"/>
  <c r="M614" i="2" s="1"/>
  <c r="D614" i="2" s="1"/>
  <c r="L613" i="2"/>
  <c r="M613" i="2" s="1"/>
  <c r="D613" i="2" s="1"/>
  <c r="R612" i="2"/>
  <c r="R611" i="2" s="1"/>
  <c r="Q612" i="2"/>
  <c r="Q611" i="2" s="1"/>
  <c r="N612" i="2"/>
  <c r="N611" i="2" s="1"/>
  <c r="L609" i="2"/>
  <c r="L608" i="2" s="1"/>
  <c r="L607" i="2" s="1"/>
  <c r="K609" i="2"/>
  <c r="K608" i="2" s="1"/>
  <c r="K607" i="2" s="1"/>
  <c r="J609" i="2"/>
  <c r="J541" i="2" s="1"/>
  <c r="R608" i="2"/>
  <c r="R607" i="2" s="1"/>
  <c r="Q608" i="2"/>
  <c r="Q607" i="2" s="1"/>
  <c r="P608" i="2"/>
  <c r="P607" i="2" s="1"/>
  <c r="O608" i="2"/>
  <c r="O607" i="2" s="1"/>
  <c r="D597" i="2"/>
  <c r="D596" i="2" s="1"/>
  <c r="N597" i="2"/>
  <c r="N596" i="2" s="1"/>
  <c r="L597" i="2"/>
  <c r="L596" i="2" s="1"/>
  <c r="K597" i="2"/>
  <c r="K596" i="2" s="1"/>
  <c r="J597" i="2"/>
  <c r="J596" i="2" s="1"/>
  <c r="I597" i="2"/>
  <c r="I596" i="2" s="1"/>
  <c r="H597" i="2"/>
  <c r="H596" i="2" s="1"/>
  <c r="G597" i="2"/>
  <c r="G596" i="2" s="1"/>
  <c r="F597" i="2"/>
  <c r="F596" i="2" s="1"/>
  <c r="E597" i="2"/>
  <c r="E596" i="2" s="1"/>
  <c r="L593" i="2"/>
  <c r="L592" i="2" s="1"/>
  <c r="E594" i="2"/>
  <c r="M594" i="2" s="1"/>
  <c r="D594" i="2" s="1"/>
  <c r="D593" i="2" s="1"/>
  <c r="N593" i="2"/>
  <c r="N592" i="2" s="1"/>
  <c r="K593" i="2"/>
  <c r="K592" i="2" s="1"/>
  <c r="I593" i="2"/>
  <c r="I592" i="2" s="1"/>
  <c r="H593" i="2"/>
  <c r="H592" i="2" s="1"/>
  <c r="G593" i="2"/>
  <c r="G592" i="2" s="1"/>
  <c r="F593" i="2"/>
  <c r="F592" i="2" s="1"/>
  <c r="N589" i="2"/>
  <c r="N588" i="2" s="1"/>
  <c r="L590" i="2"/>
  <c r="I590" i="2"/>
  <c r="I589" i="2" s="1"/>
  <c r="I588" i="2" s="1"/>
  <c r="E590" i="2"/>
  <c r="P589" i="2"/>
  <c r="P588" i="2" s="1"/>
  <c r="O589" i="2"/>
  <c r="O588" i="2" s="1"/>
  <c r="K589" i="2"/>
  <c r="K588" i="2" s="1"/>
  <c r="J589" i="2"/>
  <c r="J588" i="2" s="1"/>
  <c r="H589" i="2"/>
  <c r="H588" i="2" s="1"/>
  <c r="G589" i="2"/>
  <c r="G588" i="2" s="1"/>
  <c r="F589" i="2"/>
  <c r="F588" i="2" s="1"/>
  <c r="D585" i="2"/>
  <c r="D584" i="2" s="1"/>
  <c r="I585" i="2"/>
  <c r="I584" i="2" s="1"/>
  <c r="H585" i="2"/>
  <c r="H584" i="2" s="1"/>
  <c r="G585" i="2"/>
  <c r="G584" i="2" s="1"/>
  <c r="F585" i="2"/>
  <c r="F584" i="2" s="1"/>
  <c r="E585" i="2"/>
  <c r="E584" i="2" s="1"/>
  <c r="I582" i="2"/>
  <c r="I541" i="2" s="1"/>
  <c r="E582" i="2"/>
  <c r="H581" i="2"/>
  <c r="H580" i="2" s="1"/>
  <c r="G581" i="2"/>
  <c r="G580" i="2" s="1"/>
  <c r="F581" i="2"/>
  <c r="F580" i="2" s="1"/>
  <c r="L574" i="2"/>
  <c r="K574" i="2"/>
  <c r="K541" i="2" s="1"/>
  <c r="E574" i="2"/>
  <c r="R573" i="2"/>
  <c r="R572" i="2" s="1"/>
  <c r="Q573" i="2"/>
  <c r="Q572" i="2" s="1"/>
  <c r="P573" i="2"/>
  <c r="P572" i="2" s="1"/>
  <c r="O573" i="2"/>
  <c r="O572" i="2" s="1"/>
  <c r="J573" i="2"/>
  <c r="J572" i="2" s="1"/>
  <c r="I573" i="2"/>
  <c r="I572" i="2" s="1"/>
  <c r="H573" i="2"/>
  <c r="H572" i="2" s="1"/>
  <c r="G573" i="2"/>
  <c r="G572" i="2" s="1"/>
  <c r="F573" i="2"/>
  <c r="F572" i="2" s="1"/>
  <c r="R569" i="2"/>
  <c r="R568" i="2" s="1"/>
  <c r="Q569" i="2"/>
  <c r="O569" i="2"/>
  <c r="O568" i="2" s="1"/>
  <c r="N569" i="2"/>
  <c r="N568" i="2" s="1"/>
  <c r="L569" i="2"/>
  <c r="L568" i="2" s="1"/>
  <c r="K569" i="2"/>
  <c r="K568" i="2" s="1"/>
  <c r="J569" i="2"/>
  <c r="J568" i="2" s="1"/>
  <c r="Q568" i="2"/>
  <c r="Q538" i="2" s="1"/>
  <c r="E566" i="2"/>
  <c r="M566" i="2" s="1"/>
  <c r="D566" i="2" s="1"/>
  <c r="P565" i="2"/>
  <c r="P564" i="2" s="1"/>
  <c r="O565" i="2"/>
  <c r="O564" i="2" s="1"/>
  <c r="N565" i="2"/>
  <c r="N564" i="2" s="1"/>
  <c r="L565" i="2"/>
  <c r="L564" i="2" s="1"/>
  <c r="K565" i="2"/>
  <c r="K564" i="2" s="1"/>
  <c r="J565" i="2"/>
  <c r="J564" i="2" s="1"/>
  <c r="I565" i="2"/>
  <c r="I564" i="2" s="1"/>
  <c r="H565" i="2"/>
  <c r="H564" i="2" s="1"/>
  <c r="G565" i="2"/>
  <c r="G564" i="2" s="1"/>
  <c r="F565" i="2"/>
  <c r="F564" i="2" s="1"/>
  <c r="E563" i="2"/>
  <c r="M563" i="2" s="1"/>
  <c r="D563" i="2" s="1"/>
  <c r="N562" i="2"/>
  <c r="N541" i="2" s="1"/>
  <c r="E562" i="2"/>
  <c r="E541" i="2" s="1"/>
  <c r="P561" i="2"/>
  <c r="L561" i="2"/>
  <c r="L560" i="2" s="1"/>
  <c r="K561" i="2"/>
  <c r="K560" i="2" s="1"/>
  <c r="J561" i="2"/>
  <c r="J560" i="2" s="1"/>
  <c r="J538" i="2" s="1"/>
  <c r="I561" i="2"/>
  <c r="I560" i="2" s="1"/>
  <c r="I538" i="2" s="1"/>
  <c r="H561" i="2"/>
  <c r="H560" i="2" s="1"/>
  <c r="H538" i="2" s="1"/>
  <c r="G561" i="2"/>
  <c r="G560" i="2" s="1"/>
  <c r="G538" i="2" s="1"/>
  <c r="F561" i="2"/>
  <c r="F560" i="2" s="1"/>
  <c r="F538" i="2" s="1"/>
  <c r="P560" i="2"/>
  <c r="R553" i="2"/>
  <c r="R552" i="2" s="1"/>
  <c r="R537" i="2" s="1"/>
  <c r="Q553" i="2"/>
  <c r="Q552" i="2" s="1"/>
  <c r="Q537" i="2" s="1"/>
  <c r="P553" i="2"/>
  <c r="P552" i="2" s="1"/>
  <c r="P537" i="2" s="1"/>
  <c r="L553" i="2"/>
  <c r="L552" i="2" s="1"/>
  <c r="K553" i="2"/>
  <c r="J553" i="2"/>
  <c r="J552" i="2" s="1"/>
  <c r="I553" i="2"/>
  <c r="I552" i="2" s="1"/>
  <c r="I537" i="2" s="1"/>
  <c r="H553" i="2"/>
  <c r="H552" i="2" s="1"/>
  <c r="H537" i="2" s="1"/>
  <c r="G553" i="2"/>
  <c r="G552" i="2" s="1"/>
  <c r="G537" i="2" s="1"/>
  <c r="F553" i="2"/>
  <c r="F552" i="2" s="1"/>
  <c r="F537" i="2" s="1"/>
  <c r="E553" i="2"/>
  <c r="E552" i="2" s="1"/>
  <c r="E537" i="2" s="1"/>
  <c r="N552" i="2"/>
  <c r="K552" i="2"/>
  <c r="R549" i="2"/>
  <c r="O78" i="1" s="1"/>
  <c r="O76" i="1" s="1"/>
  <c r="O75" i="1" s="1"/>
  <c r="O86" i="1" s="1"/>
  <c r="Q549" i="2"/>
  <c r="N78" i="1" s="1"/>
  <c r="P549" i="2"/>
  <c r="M78" i="1" s="1"/>
  <c r="O549" i="2"/>
  <c r="L78" i="1" s="1"/>
  <c r="N549" i="2"/>
  <c r="L549" i="2"/>
  <c r="I78" i="1" s="1"/>
  <c r="K549" i="2"/>
  <c r="H78" i="1" s="1"/>
  <c r="J549" i="2"/>
  <c r="G78" i="1" s="1"/>
  <c r="I549" i="2"/>
  <c r="F78" i="1" s="1"/>
  <c r="H549" i="2"/>
  <c r="E78" i="1" s="1"/>
  <c r="G549" i="2"/>
  <c r="D78" i="1" s="1"/>
  <c r="F549" i="2"/>
  <c r="C78" i="1" s="1"/>
  <c r="R543" i="2"/>
  <c r="O69" i="1" s="1"/>
  <c r="Q543" i="2"/>
  <c r="N69" i="1" s="1"/>
  <c r="P543" i="2"/>
  <c r="M69" i="1" s="1"/>
  <c r="O543" i="2"/>
  <c r="N543" i="2"/>
  <c r="K543" i="2"/>
  <c r="H69" i="1" s="1"/>
  <c r="J543" i="2"/>
  <c r="G69" i="1" s="1"/>
  <c r="I543" i="2"/>
  <c r="F69" i="1" s="1"/>
  <c r="H543" i="2"/>
  <c r="E69" i="1" s="1"/>
  <c r="G543" i="2"/>
  <c r="D69" i="1" s="1"/>
  <c r="F543" i="2"/>
  <c r="C69" i="1" s="1"/>
  <c r="R533" i="2"/>
  <c r="Q533" i="2"/>
  <c r="Q532" i="2" s="1"/>
  <c r="P533" i="2"/>
  <c r="P532" i="2" s="1"/>
  <c r="O533" i="2"/>
  <c r="O532" i="2" s="1"/>
  <c r="R532" i="2"/>
  <c r="R530" i="2"/>
  <c r="Q530" i="2"/>
  <c r="P530" i="2"/>
  <c r="O530" i="2"/>
  <c r="N530" i="2"/>
  <c r="N529" i="2"/>
  <c r="M529" i="2" s="1"/>
  <c r="R528" i="2"/>
  <c r="Q528" i="2"/>
  <c r="P528" i="2"/>
  <c r="Q525" i="2"/>
  <c r="Q524" i="2" s="1"/>
  <c r="Q523" i="2" s="1"/>
  <c r="O41" i="10" s="1"/>
  <c r="P525" i="2"/>
  <c r="P524" i="2" s="1"/>
  <c r="P523" i="2" s="1"/>
  <c r="N41" i="10" s="1"/>
  <c r="O525" i="2"/>
  <c r="O524" i="2" s="1"/>
  <c r="O523" i="2" s="1"/>
  <c r="M41" i="10" s="1"/>
  <c r="Q522" i="2"/>
  <c r="Q521" i="2" s="1"/>
  <c r="P522" i="2"/>
  <c r="O522" i="2"/>
  <c r="N522" i="2"/>
  <c r="N20" i="2" s="1"/>
  <c r="Q520" i="2"/>
  <c r="Q519" i="2" s="1"/>
  <c r="P520" i="2"/>
  <c r="O515" i="2"/>
  <c r="N515" i="2"/>
  <c r="N514" i="2" s="1"/>
  <c r="E516" i="2"/>
  <c r="P515" i="2"/>
  <c r="L515" i="2"/>
  <c r="L514" i="2" s="1"/>
  <c r="K515" i="2"/>
  <c r="K514" i="2" s="1"/>
  <c r="J515" i="2"/>
  <c r="J514" i="2" s="1"/>
  <c r="I515" i="2"/>
  <c r="I514" i="2" s="1"/>
  <c r="H515" i="2"/>
  <c r="H514" i="2" s="1"/>
  <c r="G515" i="2"/>
  <c r="G514" i="2" s="1"/>
  <c r="F515" i="2"/>
  <c r="F514" i="2" s="1"/>
  <c r="N512" i="2"/>
  <c r="I513" i="2"/>
  <c r="I481" i="2" s="1"/>
  <c r="E513" i="2"/>
  <c r="P512" i="2"/>
  <c r="L512" i="2"/>
  <c r="K512" i="2"/>
  <c r="J512" i="2"/>
  <c r="I512" i="2"/>
  <c r="H512" i="2"/>
  <c r="G512" i="2"/>
  <c r="F512" i="2"/>
  <c r="I511" i="2"/>
  <c r="E511" i="2"/>
  <c r="P510" i="2"/>
  <c r="N510" i="2"/>
  <c r="L510" i="2"/>
  <c r="K510" i="2"/>
  <c r="J510" i="2"/>
  <c r="H510" i="2"/>
  <c r="H509" i="2" s="1"/>
  <c r="H10" i="2" s="1"/>
  <c r="G510" i="2"/>
  <c r="F510" i="2"/>
  <c r="F509" i="2" s="1"/>
  <c r="F10" i="2" s="1"/>
  <c r="N504" i="2"/>
  <c r="D505" i="2"/>
  <c r="K504" i="2"/>
  <c r="J504" i="2"/>
  <c r="I504" i="2"/>
  <c r="H504" i="2"/>
  <c r="G504" i="2"/>
  <c r="F504" i="2"/>
  <c r="E504" i="2"/>
  <c r="N500" i="2"/>
  <c r="P500" i="2"/>
  <c r="O500" i="2"/>
  <c r="O499" i="2" s="1"/>
  <c r="K500" i="2"/>
  <c r="J500" i="2"/>
  <c r="I500" i="2"/>
  <c r="H500" i="2"/>
  <c r="G500" i="2"/>
  <c r="F500" i="2"/>
  <c r="E500" i="2"/>
  <c r="L481" i="2"/>
  <c r="P496" i="2"/>
  <c r="O496" i="2"/>
  <c r="N496" i="2"/>
  <c r="L496" i="2"/>
  <c r="K496" i="2"/>
  <c r="J496" i="2"/>
  <c r="I496" i="2"/>
  <c r="H496" i="2"/>
  <c r="G496" i="2"/>
  <c r="F496" i="2"/>
  <c r="E496" i="2"/>
  <c r="L479" i="2"/>
  <c r="O492" i="2"/>
  <c r="N477" i="2"/>
  <c r="P492" i="2"/>
  <c r="L492" i="2"/>
  <c r="K492" i="2"/>
  <c r="J492" i="2"/>
  <c r="I492" i="2"/>
  <c r="H492" i="2"/>
  <c r="G492" i="2"/>
  <c r="F492" i="2"/>
  <c r="E492" i="2"/>
  <c r="R489" i="2"/>
  <c r="R34" i="2" s="1"/>
  <c r="O43" i="1" s="1"/>
  <c r="O146" i="1" s="1"/>
  <c r="O208" i="1" s="1"/>
  <c r="Q489" i="2"/>
  <c r="Q34" i="2" s="1"/>
  <c r="N43" i="1" s="1"/>
  <c r="N146" i="1" s="1"/>
  <c r="N208" i="1" s="1"/>
  <c r="P489" i="2"/>
  <c r="P34" i="2" s="1"/>
  <c r="M43" i="1" s="1"/>
  <c r="M146" i="1" s="1"/>
  <c r="M208" i="1" s="1"/>
  <c r="O489" i="2"/>
  <c r="O34" i="2" s="1"/>
  <c r="L43" i="1" s="1"/>
  <c r="N489" i="2"/>
  <c r="N34" i="2" s="1"/>
  <c r="K43" i="1" s="1"/>
  <c r="K146" i="1" s="1"/>
  <c r="K208" i="1" s="1"/>
  <c r="L489" i="2"/>
  <c r="L34" i="2" s="1"/>
  <c r="I43" i="1" s="1"/>
  <c r="I146" i="1" s="1"/>
  <c r="I208" i="1" s="1"/>
  <c r="K489" i="2"/>
  <c r="K34" i="2" s="1"/>
  <c r="H43" i="1" s="1"/>
  <c r="H146" i="1" s="1"/>
  <c r="H208" i="1" s="1"/>
  <c r="J489" i="2"/>
  <c r="J34" i="2" s="1"/>
  <c r="G43" i="1" s="1"/>
  <c r="G146" i="1" s="1"/>
  <c r="G208" i="1" s="1"/>
  <c r="I489" i="2"/>
  <c r="I34" i="2" s="1"/>
  <c r="F43" i="1" s="1"/>
  <c r="F146" i="1" s="1"/>
  <c r="F208" i="1" s="1"/>
  <c r="H489" i="2"/>
  <c r="H34" i="2" s="1"/>
  <c r="E43" i="1" s="1"/>
  <c r="E146" i="1" s="1"/>
  <c r="E208" i="1" s="1"/>
  <c r="G489" i="2"/>
  <c r="G34" i="2" s="1"/>
  <c r="D43" i="1" s="1"/>
  <c r="D146" i="1" s="1"/>
  <c r="D208" i="1" s="1"/>
  <c r="F489" i="2"/>
  <c r="F34" i="2" s="1"/>
  <c r="C43" i="1" s="1"/>
  <c r="C146" i="1" s="1"/>
  <c r="C208" i="1" s="1"/>
  <c r="E489" i="2"/>
  <c r="E34" i="2" s="1"/>
  <c r="B43" i="1" s="1"/>
  <c r="B146" i="1" s="1"/>
  <c r="B208" i="1" s="1"/>
  <c r="R488" i="2"/>
  <c r="Q488" i="2"/>
  <c r="P488" i="2"/>
  <c r="K488" i="2"/>
  <c r="K487" i="2" s="1"/>
  <c r="J488" i="2"/>
  <c r="I488" i="2"/>
  <c r="I487" i="2" s="1"/>
  <c r="H488" i="2"/>
  <c r="G488" i="2"/>
  <c r="G487" i="2" s="1"/>
  <c r="F488" i="2"/>
  <c r="R486" i="2"/>
  <c r="R27" i="2" s="1"/>
  <c r="O38" i="1" s="1"/>
  <c r="Q486" i="2"/>
  <c r="Q27" i="2" s="1"/>
  <c r="N38" i="1" s="1"/>
  <c r="P486" i="2"/>
  <c r="O486" i="2"/>
  <c r="K486" i="2"/>
  <c r="K27" i="2" s="1"/>
  <c r="H38" i="1" s="1"/>
  <c r="J486" i="2"/>
  <c r="I486" i="2"/>
  <c r="H486" i="2"/>
  <c r="G486" i="2"/>
  <c r="F486" i="2"/>
  <c r="E486" i="2"/>
  <c r="R485" i="2"/>
  <c r="R25" i="2" s="1"/>
  <c r="Q485" i="2"/>
  <c r="Q25" i="2" s="1"/>
  <c r="N34" i="1" s="1"/>
  <c r="P485" i="2"/>
  <c r="P25" i="2" s="1"/>
  <c r="M34" i="1" s="1"/>
  <c r="O485" i="2"/>
  <c r="O25" i="2" s="1"/>
  <c r="N485" i="2"/>
  <c r="L485" i="2"/>
  <c r="L25" i="2" s="1"/>
  <c r="K485" i="2"/>
  <c r="K25" i="2" s="1"/>
  <c r="J485" i="2"/>
  <c r="J25" i="2" s="1"/>
  <c r="I485" i="2"/>
  <c r="I25" i="2" s="1"/>
  <c r="H485" i="2"/>
  <c r="H25" i="2" s="1"/>
  <c r="G485" i="2"/>
  <c r="G25" i="2" s="1"/>
  <c r="D34" i="1" s="1"/>
  <c r="F485" i="2"/>
  <c r="F25" i="2" s="1"/>
  <c r="E485" i="2"/>
  <c r="E25" i="2" s="1"/>
  <c r="R482" i="2"/>
  <c r="R22" i="2" s="1"/>
  <c r="O28" i="1" s="1"/>
  <c r="Q482" i="2"/>
  <c r="Q22" i="2" s="1"/>
  <c r="N28" i="1" s="1"/>
  <c r="N131" i="1" s="1"/>
  <c r="N193" i="1" s="1"/>
  <c r="P482" i="2"/>
  <c r="O482" i="2"/>
  <c r="N482" i="2"/>
  <c r="N22" i="2" s="1"/>
  <c r="K28" i="1" s="1"/>
  <c r="K131" i="1" s="1"/>
  <c r="K193" i="1" s="1"/>
  <c r="L482" i="2"/>
  <c r="L22" i="2" s="1"/>
  <c r="I28" i="1" s="1"/>
  <c r="I131" i="1" s="1"/>
  <c r="I193" i="1" s="1"/>
  <c r="K482" i="2"/>
  <c r="K22" i="2" s="1"/>
  <c r="H28" i="1" s="1"/>
  <c r="H131" i="1" s="1"/>
  <c r="H193" i="1" s="1"/>
  <c r="J482" i="2"/>
  <c r="J22" i="2" s="1"/>
  <c r="G28" i="1" s="1"/>
  <c r="G131" i="1" s="1"/>
  <c r="G193" i="1" s="1"/>
  <c r="I482" i="2"/>
  <c r="I22" i="2" s="1"/>
  <c r="F28" i="1" s="1"/>
  <c r="F131" i="1" s="1"/>
  <c r="F193" i="1" s="1"/>
  <c r="H482" i="2"/>
  <c r="H22" i="2" s="1"/>
  <c r="E28" i="1" s="1"/>
  <c r="E131" i="1" s="1"/>
  <c r="E193" i="1" s="1"/>
  <c r="G482" i="2"/>
  <c r="G22" i="2" s="1"/>
  <c r="D28" i="1" s="1"/>
  <c r="D131" i="1" s="1"/>
  <c r="D193" i="1" s="1"/>
  <c r="F482" i="2"/>
  <c r="F22" i="2" s="1"/>
  <c r="C28" i="1" s="1"/>
  <c r="C131" i="1" s="1"/>
  <c r="C193" i="1" s="1"/>
  <c r="E482" i="2"/>
  <c r="E22" i="2" s="1"/>
  <c r="B28" i="1" s="1"/>
  <c r="B131" i="1" s="1"/>
  <c r="B193" i="1" s="1"/>
  <c r="R481" i="2"/>
  <c r="Q481" i="2"/>
  <c r="P481" i="2"/>
  <c r="K481" i="2"/>
  <c r="J481" i="2"/>
  <c r="H481" i="2"/>
  <c r="G481" i="2"/>
  <c r="F481" i="2"/>
  <c r="R479" i="2"/>
  <c r="Q479" i="2"/>
  <c r="P479" i="2"/>
  <c r="P17" i="2" s="1"/>
  <c r="O479" i="2"/>
  <c r="O17" i="2" s="1"/>
  <c r="L22" i="1" s="1"/>
  <c r="N479" i="2"/>
  <c r="K479" i="2"/>
  <c r="K17" i="2" s="1"/>
  <c r="J479" i="2"/>
  <c r="I479" i="2"/>
  <c r="H479" i="2"/>
  <c r="G479" i="2"/>
  <c r="F479" i="2"/>
  <c r="E479" i="2"/>
  <c r="R478" i="2"/>
  <c r="R15" i="2" s="1"/>
  <c r="O19" i="1" s="1"/>
  <c r="Q478" i="2"/>
  <c r="Q15" i="2" s="1"/>
  <c r="N19" i="1" s="1"/>
  <c r="P478" i="2"/>
  <c r="O478" i="2"/>
  <c r="N478" i="2"/>
  <c r="N15" i="2" s="1"/>
  <c r="L478" i="2"/>
  <c r="L15" i="2" s="1"/>
  <c r="K478" i="2"/>
  <c r="K15" i="2" s="1"/>
  <c r="J478" i="2"/>
  <c r="J15" i="2" s="1"/>
  <c r="I478" i="2"/>
  <c r="I15" i="2" s="1"/>
  <c r="H478" i="2"/>
  <c r="H15" i="2" s="1"/>
  <c r="E19" i="1" s="1"/>
  <c r="G478" i="2"/>
  <c r="G15" i="2" s="1"/>
  <c r="D19" i="1" s="1"/>
  <c r="F478" i="2"/>
  <c r="F15" i="2" s="1"/>
  <c r="C19" i="1" s="1"/>
  <c r="E478" i="2"/>
  <c r="E15" i="2" s="1"/>
  <c r="R477" i="2"/>
  <c r="Q477" i="2"/>
  <c r="P477" i="2"/>
  <c r="P14" i="2" s="1"/>
  <c r="L477" i="2"/>
  <c r="K477" i="2"/>
  <c r="J477" i="2"/>
  <c r="H477" i="2"/>
  <c r="G477" i="2"/>
  <c r="F477" i="2"/>
  <c r="E400" i="2"/>
  <c r="E391" i="2" s="1"/>
  <c r="P399" i="2"/>
  <c r="P398" i="2" s="1"/>
  <c r="O399" i="2"/>
  <c r="O398" i="2" s="1"/>
  <c r="N399" i="2"/>
  <c r="N398" i="2" s="1"/>
  <c r="K399" i="2"/>
  <c r="J399" i="2"/>
  <c r="J398" i="2" s="1"/>
  <c r="I399" i="2"/>
  <c r="I398" i="2" s="1"/>
  <c r="H399" i="2"/>
  <c r="H398" i="2" s="1"/>
  <c r="G399" i="2"/>
  <c r="G398" i="2" s="1"/>
  <c r="F399" i="2"/>
  <c r="F398" i="2" s="1"/>
  <c r="K398" i="2"/>
  <c r="E397" i="2"/>
  <c r="E386" i="2" s="1"/>
  <c r="P396" i="2"/>
  <c r="O396" i="2"/>
  <c r="N396" i="2"/>
  <c r="L396" i="2"/>
  <c r="K396" i="2"/>
  <c r="J396" i="2"/>
  <c r="I396" i="2"/>
  <c r="H396" i="2"/>
  <c r="G396" i="2"/>
  <c r="F396" i="2"/>
  <c r="N395" i="2"/>
  <c r="N383" i="2" s="1"/>
  <c r="N382" i="2" s="1"/>
  <c r="N381" i="2" s="1"/>
  <c r="L395" i="2"/>
  <c r="L383" i="2" s="1"/>
  <c r="L382" i="2" s="1"/>
  <c r="E395" i="2"/>
  <c r="E383" i="2" s="1"/>
  <c r="E382" i="2" s="1"/>
  <c r="P394" i="2"/>
  <c r="O394" i="2"/>
  <c r="H394" i="2"/>
  <c r="G394" i="2"/>
  <c r="F394" i="2"/>
  <c r="P390" i="2"/>
  <c r="K390" i="2"/>
  <c r="J390" i="2"/>
  <c r="I390" i="2"/>
  <c r="H390" i="2"/>
  <c r="G390" i="2"/>
  <c r="O390" i="2"/>
  <c r="F390" i="2"/>
  <c r="P385" i="2"/>
  <c r="L385" i="2"/>
  <c r="K385" i="2"/>
  <c r="K381" i="2" s="1"/>
  <c r="H385" i="2"/>
  <c r="H381" i="2" s="1"/>
  <c r="G385" i="2"/>
  <c r="G381" i="2" s="1"/>
  <c r="F385" i="2"/>
  <c r="F381" i="2" s="1"/>
  <c r="P382" i="2"/>
  <c r="P381" i="2" s="1"/>
  <c r="O220" i="2"/>
  <c r="O219" i="2" s="1"/>
  <c r="E221" i="2"/>
  <c r="M221" i="2" s="1"/>
  <c r="D221" i="2" s="1"/>
  <c r="P220" i="2"/>
  <c r="N220" i="2"/>
  <c r="L220" i="2"/>
  <c r="K220" i="2"/>
  <c r="J220" i="2"/>
  <c r="I220" i="2"/>
  <c r="H220" i="2"/>
  <c r="G220" i="2"/>
  <c r="F220" i="2"/>
  <c r="E220" i="2"/>
  <c r="P219" i="2"/>
  <c r="N219" i="2"/>
  <c r="L219" i="2"/>
  <c r="K219" i="2"/>
  <c r="J219" i="2"/>
  <c r="I219" i="2"/>
  <c r="H219" i="2"/>
  <c r="G219" i="2"/>
  <c r="F219" i="2"/>
  <c r="E219" i="2"/>
  <c r="I218" i="2"/>
  <c r="I217" i="2" s="1"/>
  <c r="E218" i="2"/>
  <c r="P217" i="2"/>
  <c r="O217" i="2"/>
  <c r="N217" i="2"/>
  <c r="L217" i="2"/>
  <c r="K217" i="2"/>
  <c r="J217" i="2"/>
  <c r="H217" i="2"/>
  <c r="G217" i="2"/>
  <c r="F217" i="2"/>
  <c r="E217" i="2"/>
  <c r="I216" i="2"/>
  <c r="I215" i="2" s="1"/>
  <c r="E216" i="2"/>
  <c r="P215" i="2"/>
  <c r="O215" i="2"/>
  <c r="N215" i="2"/>
  <c r="L215" i="2"/>
  <c r="K215" i="2"/>
  <c r="J215" i="2"/>
  <c r="H215" i="2"/>
  <c r="G215" i="2"/>
  <c r="F215" i="2"/>
  <c r="P211" i="2"/>
  <c r="P210" i="2" s="1"/>
  <c r="O211" i="2"/>
  <c r="O210" i="2" s="1"/>
  <c r="N211" i="2"/>
  <c r="N210" i="2" s="1"/>
  <c r="D209" i="2"/>
  <c r="P208" i="2"/>
  <c r="P207" i="2" s="1"/>
  <c r="E249" i="2"/>
  <c r="M249" i="2" s="1"/>
  <c r="D249" i="2" s="1"/>
  <c r="P248" i="2"/>
  <c r="O248" i="2"/>
  <c r="N248" i="2"/>
  <c r="L248" i="2"/>
  <c r="K248" i="2"/>
  <c r="J248" i="2"/>
  <c r="I248" i="2"/>
  <c r="H248" i="2"/>
  <c r="G248" i="2"/>
  <c r="F248" i="2"/>
  <c r="I244" i="2"/>
  <c r="I243" i="2" s="1"/>
  <c r="E244" i="2"/>
  <c r="P243" i="2"/>
  <c r="O243" i="2"/>
  <c r="N243" i="2"/>
  <c r="L243" i="2"/>
  <c r="K243" i="2"/>
  <c r="J243" i="2"/>
  <c r="H243" i="2"/>
  <c r="G243" i="2"/>
  <c r="F243" i="2"/>
  <c r="I241" i="2"/>
  <c r="E241" i="2"/>
  <c r="O240" i="2"/>
  <c r="E205" i="2"/>
  <c r="P204" i="2"/>
  <c r="P203" i="2" s="1"/>
  <c r="O204" i="2"/>
  <c r="O203" i="2" s="1"/>
  <c r="N204" i="2"/>
  <c r="N203" i="2" s="1"/>
  <c r="L204" i="2"/>
  <c r="L203" i="2" s="1"/>
  <c r="K204" i="2"/>
  <c r="K203" i="2" s="1"/>
  <c r="J204" i="2"/>
  <c r="J203" i="2" s="1"/>
  <c r="I204" i="2"/>
  <c r="I203" i="2" s="1"/>
  <c r="H204" i="2"/>
  <c r="H203" i="2" s="1"/>
  <c r="G204" i="2"/>
  <c r="G203" i="2" s="1"/>
  <c r="F204" i="2"/>
  <c r="F203" i="2" s="1"/>
  <c r="E202" i="2"/>
  <c r="P201" i="2"/>
  <c r="O201" i="2"/>
  <c r="N201" i="2"/>
  <c r="L201" i="2"/>
  <c r="K201" i="2"/>
  <c r="J201" i="2"/>
  <c r="I201" i="2"/>
  <c r="H201" i="2"/>
  <c r="G201" i="2"/>
  <c r="F201" i="2"/>
  <c r="N200" i="2"/>
  <c r="L200" i="2"/>
  <c r="L199" i="2" s="1"/>
  <c r="I199" i="2"/>
  <c r="E200" i="2"/>
  <c r="P199" i="2"/>
  <c r="O199" i="2"/>
  <c r="N199" i="2"/>
  <c r="K199" i="2"/>
  <c r="J199" i="2"/>
  <c r="H199" i="2"/>
  <c r="G199" i="2"/>
  <c r="F199" i="2"/>
  <c r="E196" i="2"/>
  <c r="M196" i="2" s="1"/>
  <c r="D196" i="2" s="1"/>
  <c r="N195" i="2"/>
  <c r="N194" i="2" s="1"/>
  <c r="L195" i="2"/>
  <c r="L194" i="2" s="1"/>
  <c r="K195" i="2"/>
  <c r="K194" i="2" s="1"/>
  <c r="J195" i="2"/>
  <c r="J194" i="2" s="1"/>
  <c r="I195" i="2"/>
  <c r="I194" i="2" s="1"/>
  <c r="H195" i="2"/>
  <c r="H194" i="2" s="1"/>
  <c r="G195" i="2"/>
  <c r="G194" i="2" s="1"/>
  <c r="F195" i="2"/>
  <c r="F194" i="2" s="1"/>
  <c r="N192" i="2"/>
  <c r="L192" i="2"/>
  <c r="K192" i="2"/>
  <c r="J192" i="2"/>
  <c r="I192" i="2"/>
  <c r="H192" i="2"/>
  <c r="G192" i="2"/>
  <c r="F192" i="2"/>
  <c r="E192" i="2"/>
  <c r="D192" i="2"/>
  <c r="N190" i="2"/>
  <c r="L190" i="2"/>
  <c r="K190" i="2"/>
  <c r="J190" i="2"/>
  <c r="I190" i="2"/>
  <c r="H190" i="2"/>
  <c r="G190" i="2"/>
  <c r="F190" i="2"/>
  <c r="E190" i="2"/>
  <c r="O187" i="2"/>
  <c r="O52" i="2" s="1"/>
  <c r="L187" i="2"/>
  <c r="E187" i="2"/>
  <c r="P186" i="2"/>
  <c r="O186" i="2"/>
  <c r="N186" i="2"/>
  <c r="K186" i="2"/>
  <c r="J186" i="2"/>
  <c r="I186" i="2"/>
  <c r="H186" i="2"/>
  <c r="G186" i="2"/>
  <c r="F186" i="2"/>
  <c r="E186" i="2"/>
  <c r="E185" i="2"/>
  <c r="P184" i="2"/>
  <c r="O184" i="2"/>
  <c r="N184" i="2"/>
  <c r="L184" i="2"/>
  <c r="K184" i="2"/>
  <c r="J184" i="2"/>
  <c r="I184" i="2"/>
  <c r="H184" i="2"/>
  <c r="G184" i="2"/>
  <c r="F184" i="2"/>
  <c r="L182" i="2"/>
  <c r="P181" i="2"/>
  <c r="O181" i="2"/>
  <c r="K181" i="2"/>
  <c r="J181" i="2"/>
  <c r="I181" i="2"/>
  <c r="H181" i="2"/>
  <c r="G181" i="2"/>
  <c r="F181" i="2"/>
  <c r="E181" i="2"/>
  <c r="L179" i="2"/>
  <c r="L178" i="2" s="1"/>
  <c r="E179" i="2"/>
  <c r="P178" i="2"/>
  <c r="P177" i="2" s="1"/>
  <c r="N178" i="2"/>
  <c r="K178" i="2"/>
  <c r="K177" i="2" s="1"/>
  <c r="J178" i="2"/>
  <c r="J177" i="2" s="1"/>
  <c r="I178" i="2"/>
  <c r="I177" i="2" s="1"/>
  <c r="H178" i="2"/>
  <c r="H177" i="2" s="1"/>
  <c r="G178" i="2"/>
  <c r="G177" i="2" s="1"/>
  <c r="F178" i="2"/>
  <c r="F177" i="2" s="1"/>
  <c r="N174" i="2"/>
  <c r="N173" i="2" s="1"/>
  <c r="L175" i="2"/>
  <c r="E175" i="2"/>
  <c r="P174" i="2"/>
  <c r="P173" i="2" s="1"/>
  <c r="O174" i="2"/>
  <c r="O173" i="2" s="1"/>
  <c r="K174" i="2"/>
  <c r="K173" i="2" s="1"/>
  <c r="J174" i="2"/>
  <c r="J173" i="2" s="1"/>
  <c r="I174" i="2"/>
  <c r="I173" i="2" s="1"/>
  <c r="H174" i="2"/>
  <c r="H173" i="2" s="1"/>
  <c r="G174" i="2"/>
  <c r="G173" i="2" s="1"/>
  <c r="F174" i="2"/>
  <c r="F173" i="2" s="1"/>
  <c r="L171" i="2"/>
  <c r="K172" i="2"/>
  <c r="K171" i="2" s="1"/>
  <c r="J172" i="2"/>
  <c r="J171" i="2" s="1"/>
  <c r="I172" i="2"/>
  <c r="I171" i="2" s="1"/>
  <c r="E172" i="2"/>
  <c r="P171" i="2"/>
  <c r="O171" i="2"/>
  <c r="H171" i="2"/>
  <c r="G171" i="2"/>
  <c r="F171" i="2"/>
  <c r="K170" i="2"/>
  <c r="P169" i="2"/>
  <c r="O169" i="2"/>
  <c r="N169" i="2"/>
  <c r="L169" i="2"/>
  <c r="J169" i="2"/>
  <c r="I169" i="2"/>
  <c r="H169" i="2"/>
  <c r="G169" i="2"/>
  <c r="F169" i="2"/>
  <c r="E169" i="2"/>
  <c r="O165" i="2"/>
  <c r="N166" i="2"/>
  <c r="L166" i="2"/>
  <c r="J166" i="2"/>
  <c r="E166" i="2"/>
  <c r="P165" i="2"/>
  <c r="K165" i="2"/>
  <c r="I165" i="2"/>
  <c r="H165" i="2"/>
  <c r="G165" i="2"/>
  <c r="F165" i="2"/>
  <c r="L164" i="2"/>
  <c r="L163" i="2" s="1"/>
  <c r="E164" i="2"/>
  <c r="P163" i="2"/>
  <c r="O163" i="2"/>
  <c r="N163" i="2"/>
  <c r="K163" i="2"/>
  <c r="J163" i="2"/>
  <c r="I163" i="2"/>
  <c r="H163" i="2"/>
  <c r="G163" i="2"/>
  <c r="F163" i="2"/>
  <c r="K161" i="2"/>
  <c r="J161" i="2"/>
  <c r="I161" i="2"/>
  <c r="E161" i="2"/>
  <c r="P160" i="2"/>
  <c r="O160" i="2"/>
  <c r="K160" i="2"/>
  <c r="H160" i="2"/>
  <c r="G160" i="2"/>
  <c r="F160" i="2"/>
  <c r="K159" i="2"/>
  <c r="P158" i="2"/>
  <c r="O158" i="2"/>
  <c r="N158" i="2"/>
  <c r="L158" i="2"/>
  <c r="J158" i="2"/>
  <c r="I158" i="2"/>
  <c r="H158" i="2"/>
  <c r="G158" i="2"/>
  <c r="F158" i="2"/>
  <c r="E158" i="2"/>
  <c r="L155" i="2"/>
  <c r="J155" i="2"/>
  <c r="J154" i="2" s="1"/>
  <c r="E155" i="2"/>
  <c r="E154" i="2" s="1"/>
  <c r="P154" i="2"/>
  <c r="O154" i="2"/>
  <c r="N154" i="2"/>
  <c r="K154" i="2"/>
  <c r="I154" i="2"/>
  <c r="H154" i="2"/>
  <c r="G154" i="2"/>
  <c r="F154" i="2"/>
  <c r="L153" i="2"/>
  <c r="L152" i="2" s="1"/>
  <c r="E153" i="2"/>
  <c r="P152" i="2"/>
  <c r="O152" i="2"/>
  <c r="O151" i="2" s="1"/>
  <c r="N152" i="2"/>
  <c r="K152" i="2"/>
  <c r="J152" i="2"/>
  <c r="I152" i="2"/>
  <c r="H152" i="2"/>
  <c r="G152" i="2"/>
  <c r="F152" i="2"/>
  <c r="E152" i="2"/>
  <c r="K150" i="2"/>
  <c r="I150" i="2"/>
  <c r="I149" i="2" s="1"/>
  <c r="E150" i="2"/>
  <c r="P149" i="2"/>
  <c r="O149" i="2"/>
  <c r="N149" i="2"/>
  <c r="L149" i="2"/>
  <c r="J149" i="2"/>
  <c r="H149" i="2"/>
  <c r="G149" i="2"/>
  <c r="F149" i="2"/>
  <c r="K148" i="2"/>
  <c r="N147" i="2"/>
  <c r="L147" i="2"/>
  <c r="L146" i="2" s="1"/>
  <c r="K147" i="2"/>
  <c r="K38" i="2" s="1"/>
  <c r="P146" i="2"/>
  <c r="O146" i="2"/>
  <c r="J146" i="2"/>
  <c r="I146" i="2"/>
  <c r="H146" i="2"/>
  <c r="G146" i="2"/>
  <c r="F146" i="2"/>
  <c r="E146" i="2"/>
  <c r="E353" i="2"/>
  <c r="M353" i="2" s="1"/>
  <c r="D353" i="2" s="1"/>
  <c r="P352" i="2"/>
  <c r="O352" i="2"/>
  <c r="N352" i="2"/>
  <c r="K352" i="2"/>
  <c r="K349" i="2" s="1"/>
  <c r="J352" i="2"/>
  <c r="J349" i="2" s="1"/>
  <c r="I352" i="2"/>
  <c r="I349" i="2" s="1"/>
  <c r="H352" i="2"/>
  <c r="H349" i="2" s="1"/>
  <c r="G352" i="2"/>
  <c r="G349" i="2" s="1"/>
  <c r="F352" i="2"/>
  <c r="F349" i="2" s="1"/>
  <c r="E352" i="2"/>
  <c r="E349" i="2" s="1"/>
  <c r="J347" i="2"/>
  <c r="I348" i="2"/>
  <c r="I347" i="2" s="1"/>
  <c r="E348" i="2"/>
  <c r="P347" i="2"/>
  <c r="O347" i="2"/>
  <c r="O343" i="2" s="1"/>
  <c r="N347" i="2"/>
  <c r="L347" i="2"/>
  <c r="K347" i="2"/>
  <c r="H347" i="2"/>
  <c r="H343" i="2" s="1"/>
  <c r="G347" i="2"/>
  <c r="F347" i="2"/>
  <c r="F343" i="2" s="1"/>
  <c r="I345" i="2"/>
  <c r="I38" i="2" s="1"/>
  <c r="E345" i="2"/>
  <c r="E143" i="2"/>
  <c r="D143" i="2" s="1"/>
  <c r="D142" i="2" s="1"/>
  <c r="P142" i="2"/>
  <c r="O142" i="2"/>
  <c r="N142" i="2"/>
  <c r="L142" i="2"/>
  <c r="K142" i="2"/>
  <c r="J142" i="2"/>
  <c r="I142" i="2"/>
  <c r="H142" i="2"/>
  <c r="G142" i="2"/>
  <c r="F142" i="2"/>
  <c r="E141" i="2"/>
  <c r="D141" i="2" s="1"/>
  <c r="D140" i="2" s="1"/>
  <c r="P140" i="2"/>
  <c r="O140" i="2"/>
  <c r="N140" i="2"/>
  <c r="L140" i="2"/>
  <c r="K140" i="2"/>
  <c r="J140" i="2"/>
  <c r="I140" i="2"/>
  <c r="H140" i="2"/>
  <c r="G140" i="2"/>
  <c r="F140" i="2"/>
  <c r="E138" i="2"/>
  <c r="D138" i="2" s="1"/>
  <c r="D137" i="2" s="1"/>
  <c r="P137" i="2"/>
  <c r="O137" i="2"/>
  <c r="N137" i="2"/>
  <c r="L137" i="2"/>
  <c r="K137" i="2"/>
  <c r="J137" i="2"/>
  <c r="I137" i="2"/>
  <c r="H137" i="2"/>
  <c r="G137" i="2"/>
  <c r="F137" i="2"/>
  <c r="E136" i="2"/>
  <c r="D136" i="2" s="1"/>
  <c r="E135" i="2"/>
  <c r="D135" i="2" s="1"/>
  <c r="P134" i="2"/>
  <c r="O134" i="2"/>
  <c r="O133" i="2" s="1"/>
  <c r="N134" i="2"/>
  <c r="L134" i="2"/>
  <c r="L133" i="2" s="1"/>
  <c r="K134" i="2"/>
  <c r="J134" i="2"/>
  <c r="J133" i="2" s="1"/>
  <c r="I134" i="2"/>
  <c r="H134" i="2"/>
  <c r="H133" i="2" s="1"/>
  <c r="G134" i="2"/>
  <c r="F134" i="2"/>
  <c r="F133" i="2" s="1"/>
  <c r="N130" i="2"/>
  <c r="N129" i="2" s="1"/>
  <c r="L130" i="2"/>
  <c r="L129" i="2" s="1"/>
  <c r="J131" i="2"/>
  <c r="E131" i="2"/>
  <c r="P130" i="2"/>
  <c r="P129" i="2" s="1"/>
  <c r="O130" i="2"/>
  <c r="O129" i="2" s="1"/>
  <c r="K130" i="2"/>
  <c r="K129" i="2" s="1"/>
  <c r="I130" i="2"/>
  <c r="I129" i="2" s="1"/>
  <c r="H130" i="2"/>
  <c r="H129" i="2" s="1"/>
  <c r="G130" i="2"/>
  <c r="G129" i="2" s="1"/>
  <c r="F130" i="2"/>
  <c r="F129" i="2" s="1"/>
  <c r="I128" i="2"/>
  <c r="E128" i="2"/>
  <c r="P127" i="2"/>
  <c r="O127" i="2"/>
  <c r="K127" i="2"/>
  <c r="J127" i="2"/>
  <c r="H127" i="2"/>
  <c r="G127" i="2"/>
  <c r="F127" i="2"/>
  <c r="E127" i="2"/>
  <c r="J126" i="2"/>
  <c r="E126" i="2"/>
  <c r="P125" i="2"/>
  <c r="O125" i="2"/>
  <c r="K125" i="2"/>
  <c r="I125" i="2"/>
  <c r="H125" i="2"/>
  <c r="G125" i="2"/>
  <c r="F125" i="2"/>
  <c r="I341" i="2"/>
  <c r="I340" i="2" s="1"/>
  <c r="E341" i="2"/>
  <c r="P340" i="2"/>
  <c r="O340" i="2"/>
  <c r="N340" i="2"/>
  <c r="L340" i="2"/>
  <c r="K340" i="2"/>
  <c r="J340" i="2"/>
  <c r="H340" i="2"/>
  <c r="G340" i="2"/>
  <c r="F340" i="2"/>
  <c r="E339" i="2"/>
  <c r="D339" i="2" s="1"/>
  <c r="D338" i="2" s="1"/>
  <c r="P338" i="2"/>
  <c r="O338" i="2"/>
  <c r="N338" i="2"/>
  <c r="L338" i="2"/>
  <c r="K338" i="2"/>
  <c r="J338" i="2"/>
  <c r="I338" i="2"/>
  <c r="H338" i="2"/>
  <c r="G338" i="2"/>
  <c r="F338" i="2"/>
  <c r="E336" i="2"/>
  <c r="M336" i="2" s="1"/>
  <c r="P335" i="2"/>
  <c r="O335" i="2"/>
  <c r="N335" i="2"/>
  <c r="L335" i="2"/>
  <c r="K335" i="2"/>
  <c r="J335" i="2"/>
  <c r="I335" i="2"/>
  <c r="H335" i="2"/>
  <c r="G335" i="2"/>
  <c r="F335" i="2"/>
  <c r="D334" i="2"/>
  <c r="P332" i="2"/>
  <c r="O332" i="2"/>
  <c r="L332" i="2"/>
  <c r="K332" i="2"/>
  <c r="J332" i="2"/>
  <c r="I332" i="2"/>
  <c r="H332" i="2"/>
  <c r="G332" i="2"/>
  <c r="F332" i="2"/>
  <c r="E332" i="2"/>
  <c r="E379" i="2"/>
  <c r="M379" i="2" s="1"/>
  <c r="P378" i="2"/>
  <c r="O378" i="2"/>
  <c r="N378" i="2"/>
  <c r="L378" i="2"/>
  <c r="J378" i="2"/>
  <c r="I378" i="2"/>
  <c r="H378" i="2"/>
  <c r="G378" i="2"/>
  <c r="F378" i="2"/>
  <c r="E378" i="2"/>
  <c r="I26" i="2"/>
  <c r="E377" i="2"/>
  <c r="P374" i="2"/>
  <c r="J372" i="2"/>
  <c r="I372" i="2"/>
  <c r="E373" i="2"/>
  <c r="E372" i="2" s="1"/>
  <c r="P372" i="2"/>
  <c r="O372" i="2"/>
  <c r="N372" i="2"/>
  <c r="L372" i="2"/>
  <c r="K372" i="2"/>
  <c r="H372" i="2"/>
  <c r="G372" i="2"/>
  <c r="F372" i="2"/>
  <c r="E371" i="2"/>
  <c r="E369" i="2"/>
  <c r="E277" i="2"/>
  <c r="M277" i="2" s="1"/>
  <c r="P276" i="2"/>
  <c r="O276" i="2"/>
  <c r="N276" i="2"/>
  <c r="L276" i="2"/>
  <c r="K276" i="2"/>
  <c r="J276" i="2"/>
  <c r="I276" i="2"/>
  <c r="H276" i="2"/>
  <c r="G276" i="2"/>
  <c r="F276" i="2"/>
  <c r="E275" i="2"/>
  <c r="E46" i="2" s="1"/>
  <c r="P274" i="2"/>
  <c r="O274" i="2"/>
  <c r="N274" i="2"/>
  <c r="L274" i="2"/>
  <c r="K274" i="2"/>
  <c r="J274" i="2"/>
  <c r="I274" i="2"/>
  <c r="H274" i="2"/>
  <c r="G274" i="2"/>
  <c r="F274" i="2"/>
  <c r="D271" i="2"/>
  <c r="P271" i="2"/>
  <c r="O271" i="2"/>
  <c r="N271" i="2"/>
  <c r="L271" i="2"/>
  <c r="K271" i="2"/>
  <c r="J271" i="2"/>
  <c r="I271" i="2"/>
  <c r="H271" i="2"/>
  <c r="G271" i="2"/>
  <c r="F271" i="2"/>
  <c r="E271" i="2"/>
  <c r="P268" i="2"/>
  <c r="O268" i="2"/>
  <c r="N268" i="2"/>
  <c r="L268" i="2"/>
  <c r="K268" i="2"/>
  <c r="J268" i="2"/>
  <c r="I268" i="2"/>
  <c r="H268" i="2"/>
  <c r="G268" i="2"/>
  <c r="F268" i="2"/>
  <c r="E268" i="2"/>
  <c r="L365" i="2"/>
  <c r="L364" i="2" s="1"/>
  <c r="L361" i="2" s="1"/>
  <c r="J364" i="2"/>
  <c r="J361" i="2" s="1"/>
  <c r="I365" i="2"/>
  <c r="I52" i="2" s="1"/>
  <c r="E365" i="2"/>
  <c r="P364" i="2"/>
  <c r="O364" i="2"/>
  <c r="K364" i="2"/>
  <c r="K361" i="2" s="1"/>
  <c r="H364" i="2"/>
  <c r="H361" i="2" s="1"/>
  <c r="G364" i="2"/>
  <c r="G361" i="2" s="1"/>
  <c r="F364" i="2"/>
  <c r="F361" i="2" s="1"/>
  <c r="H359" i="2"/>
  <c r="P359" i="2"/>
  <c r="O359" i="2"/>
  <c r="N359" i="2"/>
  <c r="L359" i="2"/>
  <c r="K359" i="2"/>
  <c r="K355" i="2" s="1"/>
  <c r="J359" i="2"/>
  <c r="I359" i="2"/>
  <c r="I355" i="2" s="1"/>
  <c r="F359" i="2"/>
  <c r="L357" i="2"/>
  <c r="J355" i="2"/>
  <c r="N122" i="2"/>
  <c r="N121" i="2" s="1"/>
  <c r="L122" i="2"/>
  <c r="E122" i="2"/>
  <c r="P121" i="2"/>
  <c r="O121" i="2"/>
  <c r="L121" i="2"/>
  <c r="K121" i="2"/>
  <c r="J121" i="2"/>
  <c r="I121" i="2"/>
  <c r="H121" i="2"/>
  <c r="G121" i="2"/>
  <c r="F121" i="2"/>
  <c r="N119" i="2"/>
  <c r="L120" i="2"/>
  <c r="L119" i="2" s="1"/>
  <c r="L118" i="2" s="1"/>
  <c r="E120" i="2"/>
  <c r="P119" i="2"/>
  <c r="O119" i="2"/>
  <c r="K119" i="2"/>
  <c r="J119" i="2"/>
  <c r="I119" i="2"/>
  <c r="H119" i="2"/>
  <c r="G119" i="2"/>
  <c r="F119" i="2"/>
  <c r="E117" i="2"/>
  <c r="P116" i="2"/>
  <c r="O116" i="2"/>
  <c r="N116" i="2"/>
  <c r="L116" i="2"/>
  <c r="K116" i="2"/>
  <c r="J116" i="2"/>
  <c r="I116" i="2"/>
  <c r="H116" i="2"/>
  <c r="G116" i="2"/>
  <c r="F116" i="2"/>
  <c r="E114" i="2"/>
  <c r="M114" i="2" s="1"/>
  <c r="D114" i="2" s="1"/>
  <c r="D113" i="2" s="1"/>
  <c r="P113" i="2"/>
  <c r="O113" i="2"/>
  <c r="N113" i="2"/>
  <c r="L113" i="2"/>
  <c r="K113" i="2"/>
  <c r="J113" i="2"/>
  <c r="I113" i="2"/>
  <c r="H113" i="2"/>
  <c r="G113" i="2"/>
  <c r="F113" i="2"/>
  <c r="L110" i="2"/>
  <c r="M110" i="2" s="1"/>
  <c r="D110" i="2" s="1"/>
  <c r="E109" i="2"/>
  <c r="D109" i="2" s="1"/>
  <c r="P108" i="2"/>
  <c r="O108" i="2"/>
  <c r="N108" i="2"/>
  <c r="K108" i="2"/>
  <c r="J108" i="2"/>
  <c r="I108" i="2"/>
  <c r="H108" i="2"/>
  <c r="G108" i="2"/>
  <c r="F108" i="2"/>
  <c r="E108" i="2"/>
  <c r="L107" i="2"/>
  <c r="L106" i="2" s="1"/>
  <c r="J107" i="2"/>
  <c r="J47" i="2" s="1"/>
  <c r="J28" i="2" s="1"/>
  <c r="G39" i="1" s="1"/>
  <c r="E107" i="2"/>
  <c r="P106" i="2"/>
  <c r="O106" i="2"/>
  <c r="N106" i="2"/>
  <c r="K106" i="2"/>
  <c r="J106" i="2"/>
  <c r="I106" i="2"/>
  <c r="H106" i="2"/>
  <c r="G106" i="2"/>
  <c r="F106" i="2"/>
  <c r="E106" i="2"/>
  <c r="J104" i="2"/>
  <c r="J102" i="2" s="1"/>
  <c r="I104" i="2"/>
  <c r="D103" i="2"/>
  <c r="P102" i="2"/>
  <c r="O102" i="2"/>
  <c r="N102" i="2"/>
  <c r="L102" i="2"/>
  <c r="K102" i="2"/>
  <c r="H102" i="2"/>
  <c r="G102" i="2"/>
  <c r="F102" i="2"/>
  <c r="E102" i="2"/>
  <c r="J101" i="2"/>
  <c r="J40" i="2" s="1"/>
  <c r="J18" i="2" s="1"/>
  <c r="G24" i="1" s="1"/>
  <c r="G129" i="1" s="1"/>
  <c r="G190" i="1" s="1"/>
  <c r="I101" i="2"/>
  <c r="N100" i="2"/>
  <c r="L100" i="2"/>
  <c r="L99" i="2" s="1"/>
  <c r="J100" i="2"/>
  <c r="J99" i="2" s="1"/>
  <c r="E100" i="2"/>
  <c r="P99" i="2"/>
  <c r="O99" i="2"/>
  <c r="K99" i="2"/>
  <c r="H99" i="2"/>
  <c r="G99" i="2"/>
  <c r="F99" i="2"/>
  <c r="E264" i="2"/>
  <c r="P263" i="2"/>
  <c r="O263" i="2"/>
  <c r="N263" i="2"/>
  <c r="L263" i="2"/>
  <c r="K263" i="2"/>
  <c r="J263" i="2"/>
  <c r="I263" i="2"/>
  <c r="H263" i="2"/>
  <c r="G263" i="2"/>
  <c r="F263" i="2"/>
  <c r="E261" i="2"/>
  <c r="P260" i="2"/>
  <c r="O260" i="2"/>
  <c r="N260" i="2"/>
  <c r="L260" i="2"/>
  <c r="K260" i="2"/>
  <c r="J260" i="2"/>
  <c r="I260" i="2"/>
  <c r="H260" i="2"/>
  <c r="G260" i="2"/>
  <c r="F260" i="2"/>
  <c r="E258" i="2"/>
  <c r="P256" i="2"/>
  <c r="O256" i="2"/>
  <c r="N256" i="2"/>
  <c r="N251" i="2" s="1"/>
  <c r="L256" i="2"/>
  <c r="L251" i="2" s="1"/>
  <c r="K256" i="2"/>
  <c r="K251" i="2" s="1"/>
  <c r="J256" i="2"/>
  <c r="J251" i="2" s="1"/>
  <c r="I256" i="2"/>
  <c r="H256" i="2"/>
  <c r="G256" i="2"/>
  <c r="G251" i="2" s="1"/>
  <c r="F256" i="2"/>
  <c r="F251" i="2" s="1"/>
  <c r="I254" i="2"/>
  <c r="I252" i="2" s="1"/>
  <c r="H254" i="2"/>
  <c r="E96" i="2"/>
  <c r="D95" i="2"/>
  <c r="P94" i="2"/>
  <c r="O94" i="2"/>
  <c r="N94" i="2"/>
  <c r="L94" i="2"/>
  <c r="K94" i="2"/>
  <c r="J94" i="2"/>
  <c r="I94" i="2"/>
  <c r="H94" i="2"/>
  <c r="G94" i="2"/>
  <c r="F94" i="2"/>
  <c r="M92" i="2"/>
  <c r="D92" i="2" s="1"/>
  <c r="P91" i="2"/>
  <c r="O91" i="2"/>
  <c r="N91" i="2"/>
  <c r="K91" i="2"/>
  <c r="K90" i="2" s="1"/>
  <c r="J91" i="2"/>
  <c r="I91" i="2"/>
  <c r="H91" i="2"/>
  <c r="G91" i="2"/>
  <c r="G90" i="2" s="1"/>
  <c r="F91" i="2"/>
  <c r="E91" i="2"/>
  <c r="M89" i="2"/>
  <c r="D89" i="2" s="1"/>
  <c r="D88" i="2"/>
  <c r="P87" i="2"/>
  <c r="O87" i="2"/>
  <c r="N87" i="2"/>
  <c r="L87" i="2"/>
  <c r="J87" i="2"/>
  <c r="I87" i="2"/>
  <c r="H87" i="2"/>
  <c r="G87" i="2"/>
  <c r="F87" i="2"/>
  <c r="E87" i="2"/>
  <c r="L84" i="2"/>
  <c r="L83" i="2" s="1"/>
  <c r="P83" i="2"/>
  <c r="O83" i="2"/>
  <c r="J83" i="2"/>
  <c r="I83" i="2"/>
  <c r="H83" i="2"/>
  <c r="G83" i="2"/>
  <c r="F83" i="2"/>
  <c r="E83" i="2"/>
  <c r="L78" i="2"/>
  <c r="E80" i="2"/>
  <c r="P78" i="2"/>
  <c r="O78" i="2"/>
  <c r="N78" i="2"/>
  <c r="K78" i="2"/>
  <c r="J78" i="2"/>
  <c r="I78" i="2"/>
  <c r="H78" i="2"/>
  <c r="G78" i="2"/>
  <c r="F78" i="2"/>
  <c r="P76" i="2"/>
  <c r="O76" i="2"/>
  <c r="N76" i="2"/>
  <c r="K76" i="2"/>
  <c r="J76" i="2"/>
  <c r="I76" i="2"/>
  <c r="H76" i="2"/>
  <c r="G76" i="2"/>
  <c r="F76" i="2"/>
  <c r="E76" i="2"/>
  <c r="J72" i="2"/>
  <c r="E74" i="2"/>
  <c r="M74" i="2" s="1"/>
  <c r="E73" i="2"/>
  <c r="D73" i="2" s="1"/>
  <c r="P72" i="2"/>
  <c r="O72" i="2"/>
  <c r="N72" i="2"/>
  <c r="L72" i="2"/>
  <c r="K72" i="2"/>
  <c r="I72" i="2"/>
  <c r="H72" i="2"/>
  <c r="G72" i="2"/>
  <c r="F72" i="2"/>
  <c r="E71" i="2"/>
  <c r="M70" i="2"/>
  <c r="P69" i="2"/>
  <c r="O69" i="2"/>
  <c r="K69" i="2"/>
  <c r="J69" i="2"/>
  <c r="I69" i="2"/>
  <c r="H69" i="2"/>
  <c r="G69" i="2"/>
  <c r="F69" i="2"/>
  <c r="E237" i="2"/>
  <c r="D236" i="2"/>
  <c r="P235" i="2"/>
  <c r="O235" i="2"/>
  <c r="N235" i="2"/>
  <c r="P232" i="2"/>
  <c r="O232" i="2"/>
  <c r="N232" i="2"/>
  <c r="E230" i="2"/>
  <c r="E227" i="2"/>
  <c r="E225" i="2" s="1"/>
  <c r="P225" i="2"/>
  <c r="O225" i="2"/>
  <c r="N225" i="2"/>
  <c r="L225" i="2"/>
  <c r="K225" i="2"/>
  <c r="J225" i="2"/>
  <c r="I225" i="2"/>
  <c r="H225" i="2"/>
  <c r="G225" i="2"/>
  <c r="F225" i="2"/>
  <c r="E66" i="2"/>
  <c r="D65" i="2"/>
  <c r="P64" i="2"/>
  <c r="O64" i="2"/>
  <c r="N64" i="2"/>
  <c r="L64" i="2"/>
  <c r="K64" i="2"/>
  <c r="J64" i="2"/>
  <c r="I64" i="2"/>
  <c r="H64" i="2"/>
  <c r="G64" i="2"/>
  <c r="F64" i="2"/>
  <c r="M63" i="2"/>
  <c r="P62" i="2"/>
  <c r="O62" i="2"/>
  <c r="N62" i="2"/>
  <c r="L62" i="2"/>
  <c r="K62" i="2"/>
  <c r="J62" i="2"/>
  <c r="I62" i="2"/>
  <c r="H62" i="2"/>
  <c r="G62" i="2"/>
  <c r="F62" i="2"/>
  <c r="E62" i="2"/>
  <c r="I60" i="2"/>
  <c r="H60" i="2"/>
  <c r="H43" i="2" s="1"/>
  <c r="G60" i="2"/>
  <c r="E59" i="2"/>
  <c r="D59" i="2" s="1"/>
  <c r="P58" i="2"/>
  <c r="O58" i="2"/>
  <c r="N58" i="2"/>
  <c r="L58" i="2"/>
  <c r="K58" i="2"/>
  <c r="J58" i="2"/>
  <c r="F58" i="2"/>
  <c r="I55" i="2"/>
  <c r="G55" i="2"/>
  <c r="P55" i="2"/>
  <c r="O55" i="2"/>
  <c r="K55" i="2"/>
  <c r="J55" i="2"/>
  <c r="H55" i="2"/>
  <c r="F55" i="2"/>
  <c r="R51" i="2"/>
  <c r="R31" i="2" s="1"/>
  <c r="Q51" i="2"/>
  <c r="Q31" i="2" s="1"/>
  <c r="P51" i="2"/>
  <c r="P31" i="2" s="1"/>
  <c r="M42" i="1" s="1"/>
  <c r="O51" i="2"/>
  <c r="O31" i="2" s="1"/>
  <c r="L42" i="1" s="1"/>
  <c r="N51" i="2"/>
  <c r="N31" i="2" s="1"/>
  <c r="K42" i="1" s="1"/>
  <c r="L51" i="2"/>
  <c r="L31" i="2" s="1"/>
  <c r="I42" i="1" s="1"/>
  <c r="K51" i="2"/>
  <c r="K31" i="2" s="1"/>
  <c r="H42" i="1" s="1"/>
  <c r="J51" i="2"/>
  <c r="I51" i="2"/>
  <c r="I31" i="2" s="1"/>
  <c r="F42" i="1" s="1"/>
  <c r="H51" i="2"/>
  <c r="G51" i="2"/>
  <c r="G50" i="2" s="1"/>
  <c r="F51" i="2"/>
  <c r="F31" i="2" s="1"/>
  <c r="C42" i="1" s="1"/>
  <c r="R48" i="2"/>
  <c r="R29" i="2" s="1"/>
  <c r="O40" i="1" s="1"/>
  <c r="O144" i="1" s="1"/>
  <c r="O206" i="1" s="1"/>
  <c r="Q48" i="2"/>
  <c r="Q29" i="2" s="1"/>
  <c r="N40" i="1" s="1"/>
  <c r="N144" i="1" s="1"/>
  <c r="N206" i="1" s="1"/>
  <c r="P48" i="2"/>
  <c r="P29" i="2" s="1"/>
  <c r="M40" i="1" s="1"/>
  <c r="M144" i="1" s="1"/>
  <c r="M206" i="1" s="1"/>
  <c r="O48" i="2"/>
  <c r="O29" i="2" s="1"/>
  <c r="L40" i="1" s="1"/>
  <c r="N48" i="2"/>
  <c r="N29" i="2" s="1"/>
  <c r="K40" i="1" s="1"/>
  <c r="K144" i="1" s="1"/>
  <c r="K206" i="1" s="1"/>
  <c r="K48" i="2"/>
  <c r="K29" i="2" s="1"/>
  <c r="H40" i="1" s="1"/>
  <c r="H144" i="1" s="1"/>
  <c r="H206" i="1" s="1"/>
  <c r="J48" i="2"/>
  <c r="J29" i="2" s="1"/>
  <c r="G40" i="1" s="1"/>
  <c r="G144" i="1" s="1"/>
  <c r="G206" i="1" s="1"/>
  <c r="I48" i="2"/>
  <c r="I29" i="2" s="1"/>
  <c r="F40" i="1" s="1"/>
  <c r="F144" i="1" s="1"/>
  <c r="F206" i="1" s="1"/>
  <c r="H48" i="2"/>
  <c r="H29" i="2" s="1"/>
  <c r="E40" i="1" s="1"/>
  <c r="E144" i="1" s="1"/>
  <c r="E206" i="1" s="1"/>
  <c r="G48" i="2"/>
  <c r="G29" i="2" s="1"/>
  <c r="D40" i="1" s="1"/>
  <c r="D144" i="1" s="1"/>
  <c r="D206" i="1" s="1"/>
  <c r="F48" i="2"/>
  <c r="F29" i="2" s="1"/>
  <c r="C40" i="1" s="1"/>
  <c r="C144" i="1" s="1"/>
  <c r="C206" i="1" s="1"/>
  <c r="R47" i="2"/>
  <c r="R28" i="2" s="1"/>
  <c r="O39" i="1" s="1"/>
  <c r="O143" i="1" s="1"/>
  <c r="O205" i="1" s="1"/>
  <c r="Q47" i="2"/>
  <c r="Q28" i="2" s="1"/>
  <c r="N39" i="1" s="1"/>
  <c r="N143" i="1" s="1"/>
  <c r="N205" i="1" s="1"/>
  <c r="P47" i="2"/>
  <c r="P28" i="2" s="1"/>
  <c r="M39" i="1" s="1"/>
  <c r="O47" i="2"/>
  <c r="O28" i="2" s="1"/>
  <c r="L39" i="1" s="1"/>
  <c r="K47" i="2"/>
  <c r="K28" i="2" s="1"/>
  <c r="H39" i="1" s="1"/>
  <c r="I47" i="2"/>
  <c r="I28" i="2" s="1"/>
  <c r="F39" i="1" s="1"/>
  <c r="H47" i="2"/>
  <c r="H28" i="2" s="1"/>
  <c r="E39" i="1" s="1"/>
  <c r="G47" i="2"/>
  <c r="G28" i="2" s="1"/>
  <c r="D39" i="1" s="1"/>
  <c r="F47" i="2"/>
  <c r="F28" i="2" s="1"/>
  <c r="C39" i="1" s="1"/>
  <c r="R26" i="2"/>
  <c r="Q26" i="2"/>
  <c r="P26" i="2"/>
  <c r="O26" i="2"/>
  <c r="N26" i="2"/>
  <c r="K26" i="2"/>
  <c r="J26" i="2"/>
  <c r="H26" i="2"/>
  <c r="G26" i="2"/>
  <c r="F26" i="2"/>
  <c r="R42" i="2"/>
  <c r="Q42" i="2"/>
  <c r="F42" i="2"/>
  <c r="R40" i="2"/>
  <c r="R18" i="2" s="1"/>
  <c r="O24" i="1" s="1"/>
  <c r="Q40" i="2"/>
  <c r="Q18" i="2" s="1"/>
  <c r="N24" i="1" s="1"/>
  <c r="N129" i="1" s="1"/>
  <c r="N190" i="1" s="1"/>
  <c r="P40" i="2"/>
  <c r="O40" i="2"/>
  <c r="O18" i="2" s="1"/>
  <c r="L24" i="1" s="1"/>
  <c r="N40" i="2"/>
  <c r="N18" i="2" s="1"/>
  <c r="K24" i="1" s="1"/>
  <c r="K129" i="1" s="1"/>
  <c r="K190" i="1" s="1"/>
  <c r="L40" i="2"/>
  <c r="L18" i="2" s="1"/>
  <c r="I24" i="1" s="1"/>
  <c r="I129" i="1" s="1"/>
  <c r="I190" i="1" s="1"/>
  <c r="F40" i="2"/>
  <c r="F18" i="2" s="1"/>
  <c r="C24" i="1" s="1"/>
  <c r="C129" i="1" s="1"/>
  <c r="C190" i="1" s="1"/>
  <c r="Q16" i="2"/>
  <c r="O16" i="2"/>
  <c r="R32" i="2"/>
  <c r="O45" i="1" s="1"/>
  <c r="K32" i="2"/>
  <c r="J32" i="2"/>
  <c r="I32" i="2"/>
  <c r="H32" i="2"/>
  <c r="G32" i="2"/>
  <c r="F32" i="2"/>
  <c r="R20" i="2"/>
  <c r="O29" i="1" s="1"/>
  <c r="L20" i="2"/>
  <c r="K20" i="2"/>
  <c r="H20" i="2"/>
  <c r="G20" i="2"/>
  <c r="F20" i="2"/>
  <c r="H22" i="1"/>
  <c r="V70" i="1"/>
  <c r="L102" i="1" l="1"/>
  <c r="N36" i="10"/>
  <c r="W36" i="10" s="1"/>
  <c r="Q276" i="6"/>
  <c r="Q287" i="6" s="1"/>
  <c r="Q277" i="6"/>
  <c r="Q288" i="6" s="1"/>
  <c r="O7" i="10"/>
  <c r="P276" i="6"/>
  <c r="P287" i="6" s="1"/>
  <c r="P245" i="2"/>
  <c r="AA245" i="2" s="1"/>
  <c r="Q74" i="7"/>
  <c r="P80" i="7"/>
  <c r="R80" i="7"/>
  <c r="D54" i="7"/>
  <c r="E21" i="7"/>
  <c r="E20" i="7" s="1"/>
  <c r="AA40" i="7"/>
  <c r="P212" i="3"/>
  <c r="J15" i="6"/>
  <c r="J14" i="6" s="1"/>
  <c r="L73" i="6"/>
  <c r="L20" i="6"/>
  <c r="L19" i="6" s="1"/>
  <c r="L78" i="6"/>
  <c r="D214" i="3"/>
  <c r="M35" i="10"/>
  <c r="O40" i="9"/>
  <c r="M34" i="10" s="1"/>
  <c r="N102" i="9"/>
  <c r="O111" i="9"/>
  <c r="Q111" i="9"/>
  <c r="O102" i="9"/>
  <c r="N111" i="9"/>
  <c r="O84" i="9"/>
  <c r="Q84" i="9"/>
  <c r="P84" i="9"/>
  <c r="R538" i="2"/>
  <c r="O251" i="2"/>
  <c r="L38" i="2"/>
  <c r="O361" i="2"/>
  <c r="N374" i="2"/>
  <c r="J38" i="2"/>
  <c r="O349" i="2"/>
  <c r="X146" i="2"/>
  <c r="X145" i="2" s="1"/>
  <c r="P16" i="2"/>
  <c r="X39" i="2"/>
  <c r="P251" i="2"/>
  <c r="P361" i="2"/>
  <c r="N349" i="2"/>
  <c r="P349" i="2"/>
  <c r="N38" i="2"/>
  <c r="P509" i="2"/>
  <c r="P514" i="2"/>
  <c r="O514" i="2"/>
  <c r="O10" i="13"/>
  <c r="M31" i="13"/>
  <c r="N73" i="4"/>
  <c r="L35" i="10"/>
  <c r="Z32" i="3"/>
  <c r="M32" i="10"/>
  <c r="E13" i="3"/>
  <c r="M54" i="3"/>
  <c r="E53" i="3"/>
  <c r="O45" i="3"/>
  <c r="M33" i="10" s="1"/>
  <c r="V33" i="10" s="1"/>
  <c r="P259" i="2"/>
  <c r="AA259" i="2" s="1"/>
  <c r="H151" i="2"/>
  <c r="N394" i="2"/>
  <c r="L541" i="2"/>
  <c r="M345" i="2"/>
  <c r="P38" i="7"/>
  <c r="D34" i="7"/>
  <c r="D13" i="7" s="1"/>
  <c r="M13" i="7"/>
  <c r="G200" i="3"/>
  <c r="I200" i="3"/>
  <c r="G32" i="3"/>
  <c r="I32" i="3"/>
  <c r="K32" i="3"/>
  <c r="E14" i="3"/>
  <c r="B19" i="1" s="1"/>
  <c r="B124" i="1" s="1"/>
  <c r="B186" i="1" s="1"/>
  <c r="E147" i="3"/>
  <c r="G146" i="3"/>
  <c r="I146" i="3"/>
  <c r="K146" i="3"/>
  <c r="N146" i="3"/>
  <c r="P146" i="3"/>
  <c r="K140" i="3"/>
  <c r="K10" i="3" s="1"/>
  <c r="O15" i="3"/>
  <c r="O11" i="3" s="1"/>
  <c r="F146" i="3"/>
  <c r="J146" i="3"/>
  <c r="O146" i="3"/>
  <c r="G11" i="3"/>
  <c r="F16" i="2"/>
  <c r="C21" i="1" s="1"/>
  <c r="C126" i="1" s="1"/>
  <c r="C187" i="1" s="1"/>
  <c r="H16" i="2"/>
  <c r="E21" i="1" s="1"/>
  <c r="E126" i="1" s="1"/>
  <c r="E187" i="1" s="1"/>
  <c r="J16" i="2"/>
  <c r="G21" i="1" s="1"/>
  <c r="G126" i="1" s="1"/>
  <c r="G187" i="1" s="1"/>
  <c r="N16" i="2"/>
  <c r="K21" i="1" s="1"/>
  <c r="R16" i="2"/>
  <c r="O21" i="1" s="1"/>
  <c r="O126" i="1" s="1"/>
  <c r="O187" i="1" s="1"/>
  <c r="G16" i="2"/>
  <c r="D21" i="1" s="1"/>
  <c r="D126" i="1" s="1"/>
  <c r="D187" i="1" s="1"/>
  <c r="I16" i="2"/>
  <c r="F21" i="1" s="1"/>
  <c r="F126" i="1" s="1"/>
  <c r="F187" i="1" s="1"/>
  <c r="L16" i="2"/>
  <c r="I21" i="1" s="1"/>
  <c r="G58" i="2"/>
  <c r="G43" i="2"/>
  <c r="I58" i="2"/>
  <c r="I54" i="2" s="1"/>
  <c r="I43" i="2"/>
  <c r="L356" i="2"/>
  <c r="L52" i="2"/>
  <c r="L50" i="2" s="1"/>
  <c r="J130" i="2"/>
  <c r="J129" i="2" s="1"/>
  <c r="J52" i="2"/>
  <c r="J33" i="2" s="1"/>
  <c r="N146" i="2"/>
  <c r="K149" i="2"/>
  <c r="K43" i="2"/>
  <c r="J43" i="2"/>
  <c r="N165" i="2"/>
  <c r="N52" i="2"/>
  <c r="M182" i="2"/>
  <c r="D182" i="2" s="1"/>
  <c r="L43" i="2"/>
  <c r="E52" i="2"/>
  <c r="O387" i="2"/>
  <c r="M29" i="10" s="1"/>
  <c r="H387" i="2"/>
  <c r="F29" i="10" s="1"/>
  <c r="J387" i="2"/>
  <c r="H29" i="10" s="1"/>
  <c r="P387" i="2"/>
  <c r="N29" i="10" s="1"/>
  <c r="L381" i="2"/>
  <c r="M60" i="1"/>
  <c r="D549" i="2"/>
  <c r="AA549" i="2" s="1"/>
  <c r="J37" i="2"/>
  <c r="I344" i="2"/>
  <c r="F151" i="2"/>
  <c r="F387" i="2"/>
  <c r="D29" i="10" s="1"/>
  <c r="G387" i="2"/>
  <c r="E29" i="10" s="1"/>
  <c r="I387" i="2"/>
  <c r="G29" i="10" s="1"/>
  <c r="K387" i="2"/>
  <c r="I29" i="10" s="1"/>
  <c r="O34" i="1"/>
  <c r="O137" i="1" s="1"/>
  <c r="O199" i="1" s="1"/>
  <c r="L34" i="1"/>
  <c r="L137" i="1" s="1"/>
  <c r="O60" i="1"/>
  <c r="E20" i="3"/>
  <c r="E19" i="3" s="1"/>
  <c r="O98" i="3"/>
  <c r="Q98" i="3"/>
  <c r="Q110" i="3"/>
  <c r="F116" i="3"/>
  <c r="H116" i="3"/>
  <c r="K116" i="3"/>
  <c r="M202" i="2"/>
  <c r="D202" i="2" s="1"/>
  <c r="D166" i="8"/>
  <c r="L123" i="8"/>
  <c r="D18" i="10"/>
  <c r="F18" i="10"/>
  <c r="J18" i="10"/>
  <c r="L27" i="8"/>
  <c r="I80" i="8"/>
  <c r="K125" i="8"/>
  <c r="O125" i="8"/>
  <c r="I171" i="8"/>
  <c r="K171" i="8"/>
  <c r="I158" i="8"/>
  <c r="N158" i="8"/>
  <c r="R158" i="8"/>
  <c r="E171" i="8"/>
  <c r="J171" i="8"/>
  <c r="D175" i="8"/>
  <c r="X181" i="8"/>
  <c r="J80" i="8"/>
  <c r="E80" i="8"/>
  <c r="M84" i="8"/>
  <c r="D84" i="8" s="1"/>
  <c r="W15" i="10"/>
  <c r="Q20" i="2"/>
  <c r="N29" i="1" s="1"/>
  <c r="N128" i="1" s="1"/>
  <c r="N189" i="1" s="1"/>
  <c r="O145" i="1"/>
  <c r="N124" i="1"/>
  <c r="N186" i="1" s="1"/>
  <c r="N128" i="3"/>
  <c r="F11" i="3"/>
  <c r="H11" i="3"/>
  <c r="P39" i="10"/>
  <c r="N39" i="10"/>
  <c r="M39" i="10"/>
  <c r="E108" i="8"/>
  <c r="J12" i="3"/>
  <c r="J11" i="3" s="1"/>
  <c r="L91" i="8"/>
  <c r="L97" i="8"/>
  <c r="C34" i="1"/>
  <c r="L18" i="8"/>
  <c r="M35" i="1"/>
  <c r="M136" i="1" s="1"/>
  <c r="M198" i="1" s="1"/>
  <c r="H35" i="8"/>
  <c r="X43" i="2"/>
  <c r="D48" i="5"/>
  <c r="D47" i="5" s="1"/>
  <c r="E20" i="5"/>
  <c r="D45" i="5"/>
  <c r="D44" i="5" s="1"/>
  <c r="E17" i="5"/>
  <c r="X39" i="10"/>
  <c r="O11" i="5"/>
  <c r="H32" i="10"/>
  <c r="J10" i="13"/>
  <c r="C32" i="10"/>
  <c r="E10" i="13"/>
  <c r="E9" i="13" s="1"/>
  <c r="F32" i="10"/>
  <c r="H10" i="13"/>
  <c r="H9" i="13" s="1"/>
  <c r="J32" i="10"/>
  <c r="L10" i="13"/>
  <c r="G32" i="10"/>
  <c r="I10" i="13"/>
  <c r="I9" i="13" s="1"/>
  <c r="E32" i="10"/>
  <c r="G10" i="13"/>
  <c r="G9" i="13" s="1"/>
  <c r="F10" i="13"/>
  <c r="F9" i="13" s="1"/>
  <c r="O9" i="13"/>
  <c r="O129" i="1"/>
  <c r="O190" i="1" s="1"/>
  <c r="O131" i="1"/>
  <c r="O193" i="1" s="1"/>
  <c r="M73" i="1"/>
  <c r="D125" i="1"/>
  <c r="D191" i="1" s="1"/>
  <c r="G183" i="8"/>
  <c r="G182" i="8" s="1"/>
  <c r="O124" i="1"/>
  <c r="O186" i="1" s="1"/>
  <c r="H11" i="7"/>
  <c r="E368" i="2"/>
  <c r="E367" i="2" s="1"/>
  <c r="M377" i="2"/>
  <c r="M375" i="2" s="1"/>
  <c r="E375" i="2"/>
  <c r="E374" i="2" s="1"/>
  <c r="D137" i="1"/>
  <c r="D199" i="1" s="1"/>
  <c r="D210" i="1" s="1"/>
  <c r="J151" i="2"/>
  <c r="E82" i="2"/>
  <c r="G82" i="2"/>
  <c r="I82" i="2"/>
  <c r="L82" i="2"/>
  <c r="F82" i="2"/>
  <c r="H82" i="2"/>
  <c r="J82" i="2"/>
  <c r="N145" i="2"/>
  <c r="M216" i="2"/>
  <c r="D216" i="2" s="1"/>
  <c r="Q37" i="2"/>
  <c r="Q36" i="2" s="1"/>
  <c r="G40" i="2"/>
  <c r="G18" i="2" s="1"/>
  <c r="D24" i="1" s="1"/>
  <c r="D129" i="1" s="1"/>
  <c r="D190" i="1" s="1"/>
  <c r="E344" i="2"/>
  <c r="M348" i="2"/>
  <c r="H139" i="1"/>
  <c r="H201" i="1" s="1"/>
  <c r="H127" i="1"/>
  <c r="H188" i="1" s="1"/>
  <c r="D124" i="1"/>
  <c r="D186" i="1" s="1"/>
  <c r="E34" i="1"/>
  <c r="D65" i="1"/>
  <c r="M74" i="6"/>
  <c r="M79" i="6"/>
  <c r="M249" i="6"/>
  <c r="D249" i="6" s="1"/>
  <c r="M150" i="2"/>
  <c r="D150" i="2" s="1"/>
  <c r="M626" i="2"/>
  <c r="D626" i="2" s="1"/>
  <c r="E124" i="1"/>
  <c r="E186" i="1" s="1"/>
  <c r="P37" i="2"/>
  <c r="R37" i="2"/>
  <c r="R36" i="2" s="1"/>
  <c r="C124" i="1"/>
  <c r="C186" i="1" s="1"/>
  <c r="O64" i="1"/>
  <c r="O63" i="1" s="1"/>
  <c r="O85" i="1" s="1"/>
  <c r="M153" i="2"/>
  <c r="D153" i="2" s="1"/>
  <c r="M155" i="2"/>
  <c r="D155" i="2" s="1"/>
  <c r="M172" i="2"/>
  <c r="D172" i="2" s="1"/>
  <c r="M187" i="2"/>
  <c r="D187" i="2" s="1"/>
  <c r="M241" i="2"/>
  <c r="D241" i="2" s="1"/>
  <c r="D240" i="2" s="1"/>
  <c r="M218" i="2"/>
  <c r="D218" i="2" s="1"/>
  <c r="D486" i="2"/>
  <c r="D27" i="2" s="1"/>
  <c r="M506" i="2"/>
  <c r="M516" i="2"/>
  <c r="D516" i="2" s="1"/>
  <c r="H540" i="2"/>
  <c r="H539" i="2" s="1"/>
  <c r="M562" i="2"/>
  <c r="F14" i="2"/>
  <c r="F37" i="2"/>
  <c r="F36" i="2" s="1"/>
  <c r="C37" i="1"/>
  <c r="C138" i="1" s="1"/>
  <c r="C200" i="1" s="1"/>
  <c r="F45" i="2"/>
  <c r="E37" i="1"/>
  <c r="E138" i="1" s="1"/>
  <c r="E200" i="1" s="1"/>
  <c r="H45" i="2"/>
  <c r="H37" i="1"/>
  <c r="H138" i="1" s="1"/>
  <c r="H200" i="1" s="1"/>
  <c r="K45" i="2"/>
  <c r="L37" i="1"/>
  <c r="L138" i="1" s="1"/>
  <c r="L200" i="1" s="1"/>
  <c r="O45" i="2"/>
  <c r="N37" i="1"/>
  <c r="N138" i="1" s="1"/>
  <c r="N200" i="1" s="1"/>
  <c r="Q45" i="2"/>
  <c r="F17" i="2"/>
  <c r="C22" i="1" s="1"/>
  <c r="C127" i="1" s="1"/>
  <c r="C188" i="1" s="1"/>
  <c r="H17" i="2"/>
  <c r="E22" i="1" s="1"/>
  <c r="E127" i="1" s="1"/>
  <c r="E188" i="1" s="1"/>
  <c r="J17" i="2"/>
  <c r="G22" i="1" s="1"/>
  <c r="G127" i="1" s="1"/>
  <c r="G188" i="1" s="1"/>
  <c r="N17" i="2"/>
  <c r="R17" i="2"/>
  <c r="O22" i="1" s="1"/>
  <c r="F27" i="2"/>
  <c r="C38" i="1" s="1"/>
  <c r="C139" i="1" s="1"/>
  <c r="C201" i="1" s="1"/>
  <c r="H27" i="2"/>
  <c r="E38" i="1" s="1"/>
  <c r="E139" i="1" s="1"/>
  <c r="E201" i="1" s="1"/>
  <c r="J27" i="2"/>
  <c r="G38" i="1" s="1"/>
  <c r="G139" i="1" s="1"/>
  <c r="G201" i="1" s="1"/>
  <c r="O27" i="2"/>
  <c r="L38" i="1" s="1"/>
  <c r="L139" i="1" s="1"/>
  <c r="L201" i="1" s="1"/>
  <c r="D37" i="1"/>
  <c r="D138" i="1" s="1"/>
  <c r="D200" i="1" s="1"/>
  <c r="G45" i="2"/>
  <c r="G44" i="2" s="1"/>
  <c r="G37" i="1"/>
  <c r="G138" i="1" s="1"/>
  <c r="G200" i="1" s="1"/>
  <c r="J45" i="2"/>
  <c r="K37" i="1"/>
  <c r="M37" i="1"/>
  <c r="M138" i="1" s="1"/>
  <c r="M200" i="1" s="1"/>
  <c r="P45" i="2"/>
  <c r="O37" i="1"/>
  <c r="O138" i="1" s="1"/>
  <c r="O200" i="1" s="1"/>
  <c r="R45" i="2"/>
  <c r="D56" i="2"/>
  <c r="M96" i="2"/>
  <c r="D96" i="2" s="1"/>
  <c r="M101" i="2"/>
  <c r="D101" i="2" s="1"/>
  <c r="M104" i="2"/>
  <c r="D104" i="2" s="1"/>
  <c r="M107" i="2"/>
  <c r="D107" i="2" s="1"/>
  <c r="F37" i="1"/>
  <c r="F138" i="1" s="1"/>
  <c r="F200" i="1" s="1"/>
  <c r="I45" i="2"/>
  <c r="M341" i="2"/>
  <c r="D341" i="2" s="1"/>
  <c r="D340" i="2" s="1"/>
  <c r="D337" i="2" s="1"/>
  <c r="D128" i="2"/>
  <c r="L145" i="2"/>
  <c r="M166" i="2"/>
  <c r="D166" i="2" s="1"/>
  <c r="E17" i="2"/>
  <c r="B22" i="1" s="1"/>
  <c r="B127" i="1" s="1"/>
  <c r="B188" i="1" s="1"/>
  <c r="G17" i="2"/>
  <c r="D22" i="1" s="1"/>
  <c r="D127" i="1" s="1"/>
  <c r="D188" i="1" s="1"/>
  <c r="I17" i="2"/>
  <c r="F22" i="1" s="1"/>
  <c r="F127" i="1" s="1"/>
  <c r="F188" i="1" s="1"/>
  <c r="Q17" i="2"/>
  <c r="N22" i="1" s="1"/>
  <c r="E27" i="2"/>
  <c r="B38" i="1" s="1"/>
  <c r="B139" i="1" s="1"/>
  <c r="B201" i="1" s="1"/>
  <c r="G27" i="2"/>
  <c r="D38" i="1" s="1"/>
  <c r="I27" i="2"/>
  <c r="F38" i="1" s="1"/>
  <c r="F139" i="1" s="1"/>
  <c r="F201" i="1" s="1"/>
  <c r="P27" i="2"/>
  <c r="M38" i="1" s="1"/>
  <c r="L17" i="2"/>
  <c r="I22" i="1" s="1"/>
  <c r="I127" i="1" s="1"/>
  <c r="I188" i="1" s="1"/>
  <c r="X9" i="13"/>
  <c r="K79" i="9"/>
  <c r="E229" i="2"/>
  <c r="E224" i="2" s="1"/>
  <c r="M230" i="2"/>
  <c r="E235" i="2"/>
  <c r="E231" i="2" s="1"/>
  <c r="M237" i="2"/>
  <c r="M258" i="2"/>
  <c r="E99" i="2"/>
  <c r="E98" i="2" s="1"/>
  <c r="M100" i="2"/>
  <c r="D100" i="2" s="1"/>
  <c r="E116" i="2"/>
  <c r="M117" i="2"/>
  <c r="M148" i="2"/>
  <c r="D148" i="2" s="1"/>
  <c r="D39" i="2" s="1"/>
  <c r="M159" i="2"/>
  <c r="D159" i="2" s="1"/>
  <c r="E163" i="2"/>
  <c r="M164" i="2"/>
  <c r="D164" i="2" s="1"/>
  <c r="M170" i="2"/>
  <c r="D169" i="2" s="1"/>
  <c r="E178" i="2"/>
  <c r="E177" i="2" s="1"/>
  <c r="M179" i="2"/>
  <c r="E243" i="2"/>
  <c r="M244" i="2"/>
  <c r="M400" i="2"/>
  <c r="E510" i="2"/>
  <c r="M511" i="2"/>
  <c r="E481" i="2"/>
  <c r="E480" i="2" s="1"/>
  <c r="M513" i="2"/>
  <c r="D513" i="2" s="1"/>
  <c r="D481" i="2" s="1"/>
  <c r="J608" i="2"/>
  <c r="J607" i="2" s="1"/>
  <c r="J537" i="2" s="1"/>
  <c r="M609" i="2"/>
  <c r="D609" i="2" s="1"/>
  <c r="L641" i="2"/>
  <c r="L640" i="2" s="1"/>
  <c r="M642" i="2"/>
  <c r="D642" i="2" s="1"/>
  <c r="N139" i="1"/>
  <c r="N201" i="1" s="1"/>
  <c r="D63" i="2"/>
  <c r="D66" i="2"/>
  <c r="D64" i="2" s="1"/>
  <c r="P68" i="2"/>
  <c r="G75" i="2"/>
  <c r="I75" i="2"/>
  <c r="M84" i="2"/>
  <c r="D84" i="2" s="1"/>
  <c r="K40" i="2"/>
  <c r="K18" i="2" s="1"/>
  <c r="H24" i="1" s="1"/>
  <c r="H129" i="1" s="1"/>
  <c r="H190" i="1" s="1"/>
  <c r="M85" i="2"/>
  <c r="D85" i="2" s="1"/>
  <c r="E119" i="2"/>
  <c r="M120" i="2"/>
  <c r="D120" i="2" s="1"/>
  <c r="D119" i="2" s="1"/>
  <c r="M122" i="2"/>
  <c r="D122" i="2" s="1"/>
  <c r="D277" i="2"/>
  <c r="D276" i="2" s="1"/>
  <c r="M276" i="2"/>
  <c r="M273" i="2" s="1"/>
  <c r="E125" i="2"/>
  <c r="E124" i="2" s="1"/>
  <c r="E130" i="2"/>
  <c r="E129" i="2" s="1"/>
  <c r="D131" i="2"/>
  <c r="M147" i="2"/>
  <c r="D147" i="2" s="1"/>
  <c r="K158" i="2"/>
  <c r="K157" i="2" s="1"/>
  <c r="E160" i="2"/>
  <c r="E157" i="2" s="1"/>
  <c r="M161" i="2"/>
  <c r="D161" i="2" s="1"/>
  <c r="G168" i="2"/>
  <c r="K169" i="2"/>
  <c r="K168" i="2" s="1"/>
  <c r="E174" i="2"/>
  <c r="E173" i="2" s="1"/>
  <c r="M175" i="2"/>
  <c r="D175" i="2" s="1"/>
  <c r="E184" i="2"/>
  <c r="E183" i="2" s="1"/>
  <c r="M185" i="2"/>
  <c r="D185" i="2" s="1"/>
  <c r="M200" i="2"/>
  <c r="D200" i="2" s="1"/>
  <c r="D212" i="2"/>
  <c r="M395" i="2"/>
  <c r="M383" i="2" s="1"/>
  <c r="M382" i="2" s="1"/>
  <c r="D397" i="2"/>
  <c r="D386" i="2" s="1"/>
  <c r="O491" i="2"/>
  <c r="D529" i="2"/>
  <c r="D520" i="2" s="1"/>
  <c r="M520" i="2"/>
  <c r="M519" i="2" s="1"/>
  <c r="M518" i="2" s="1"/>
  <c r="K40" i="10" s="1"/>
  <c r="M528" i="2"/>
  <c r="M527" i="2" s="1"/>
  <c r="E589" i="2"/>
  <c r="E588" i="2" s="1"/>
  <c r="M590" i="2"/>
  <c r="D590" i="2" s="1"/>
  <c r="E593" i="2"/>
  <c r="E592" i="2" s="1"/>
  <c r="D592" i="2"/>
  <c r="K633" i="2"/>
  <c r="K632" i="2" s="1"/>
  <c r="M634" i="2"/>
  <c r="D634" i="2" s="1"/>
  <c r="K102" i="1"/>
  <c r="O139" i="1"/>
  <c r="O201" i="1" s="1"/>
  <c r="D95" i="3"/>
  <c r="D93" i="3" s="1"/>
  <c r="L14" i="3"/>
  <c r="I19" i="1" s="1"/>
  <c r="I124" i="1" s="1"/>
  <c r="I186" i="1" s="1"/>
  <c r="D100" i="3"/>
  <c r="L20" i="3"/>
  <c r="L19" i="3" s="1"/>
  <c r="L18" i="3" s="1"/>
  <c r="K204" i="3"/>
  <c r="K17" i="3"/>
  <c r="K15" i="3" s="1"/>
  <c r="K11" i="3" s="1"/>
  <c r="N204" i="3"/>
  <c r="N17" i="3"/>
  <c r="N15" i="3" s="1"/>
  <c r="N11" i="3" s="1"/>
  <c r="K209" i="3"/>
  <c r="K23" i="3"/>
  <c r="K21" i="3" s="1"/>
  <c r="K18" i="3" s="1"/>
  <c r="M222" i="3"/>
  <c r="E69" i="3"/>
  <c r="I129" i="3"/>
  <c r="L12" i="3"/>
  <c r="H132" i="3"/>
  <c r="L17" i="3"/>
  <c r="L15" i="3" s="1"/>
  <c r="I135" i="3"/>
  <c r="I20" i="3"/>
  <c r="I19" i="3" s="1"/>
  <c r="I18" i="3" s="1"/>
  <c r="J137" i="3"/>
  <c r="J23" i="3"/>
  <c r="J21" i="3" s="1"/>
  <c r="J18" i="3" s="1"/>
  <c r="D70" i="9"/>
  <c r="D60" i="9"/>
  <c r="D59" i="9" s="1"/>
  <c r="D56" i="9" s="1"/>
  <c r="I79" i="9"/>
  <c r="H13" i="8"/>
  <c r="O36" i="8"/>
  <c r="M38" i="8"/>
  <c r="M39" i="8"/>
  <c r="M71" i="8"/>
  <c r="D71" i="8" s="1"/>
  <c r="M76" i="8"/>
  <c r="D76" i="8" s="1"/>
  <c r="M78" i="8"/>
  <c r="D78" i="8" s="1"/>
  <c r="M93" i="8"/>
  <c r="D93" i="8" s="1"/>
  <c r="M101" i="8"/>
  <c r="J104" i="8"/>
  <c r="J125" i="8"/>
  <c r="M129" i="8"/>
  <c r="D129" i="8" s="1"/>
  <c r="E158" i="8"/>
  <c r="E183" i="8"/>
  <c r="E182" i="8" s="1"/>
  <c r="I183" i="8"/>
  <c r="I182" i="8" s="1"/>
  <c r="F183" i="8"/>
  <c r="F182" i="8" s="1"/>
  <c r="C72" i="1"/>
  <c r="C125" i="1" s="1"/>
  <c r="C191" i="1" s="1"/>
  <c r="H183" i="8"/>
  <c r="H182" i="8" s="1"/>
  <c r="E72" i="1"/>
  <c r="E125" i="1" s="1"/>
  <c r="E191" i="1" s="1"/>
  <c r="J183" i="8"/>
  <c r="J182" i="8" s="1"/>
  <c r="G72" i="1"/>
  <c r="G125" i="1" s="1"/>
  <c r="G191" i="1" s="1"/>
  <c r="L183" i="8"/>
  <c r="L182" i="8" s="1"/>
  <c r="I72" i="1"/>
  <c r="I125" i="1" s="1"/>
  <c r="I191" i="1" s="1"/>
  <c r="O183" i="8"/>
  <c r="O182" i="8" s="1"/>
  <c r="L72" i="1"/>
  <c r="F190" i="8"/>
  <c r="F189" i="8" s="1"/>
  <c r="C81" i="1"/>
  <c r="H190" i="8"/>
  <c r="H189" i="8" s="1"/>
  <c r="E81" i="1"/>
  <c r="J190" i="8"/>
  <c r="J189" i="8" s="1"/>
  <c r="G81" i="1"/>
  <c r="E190" i="8"/>
  <c r="E189" i="8" s="1"/>
  <c r="B81" i="1"/>
  <c r="D71" i="7"/>
  <c r="M69" i="7"/>
  <c r="D73" i="7"/>
  <c r="M72" i="7"/>
  <c r="G17" i="7"/>
  <c r="I23" i="7"/>
  <c r="L23" i="7"/>
  <c r="J26" i="7"/>
  <c r="J23" i="7" s="1"/>
  <c r="P32" i="7"/>
  <c r="R32" i="7"/>
  <c r="D37" i="7"/>
  <c r="D42" i="7"/>
  <c r="D46" i="7"/>
  <c r="E48" i="7"/>
  <c r="K51" i="7"/>
  <c r="D58" i="7"/>
  <c r="Q62" i="7"/>
  <c r="D76" i="7"/>
  <c r="AA76" i="7" s="1"/>
  <c r="M75" i="7"/>
  <c r="D78" i="7"/>
  <c r="M77" i="7"/>
  <c r="M74" i="7" s="1"/>
  <c r="D85" i="7"/>
  <c r="F70" i="6"/>
  <c r="H70" i="6"/>
  <c r="H11" i="6" s="1"/>
  <c r="K71" i="6"/>
  <c r="M72" i="6"/>
  <c r="M77" i="6"/>
  <c r="M245" i="6"/>
  <c r="J72" i="1"/>
  <c r="D254" i="6"/>
  <c r="D257" i="6"/>
  <c r="J81" i="1"/>
  <c r="U81" i="1" s="1"/>
  <c r="I25" i="6"/>
  <c r="M37" i="5"/>
  <c r="M42" i="5"/>
  <c r="M20" i="5" s="1"/>
  <c r="M75" i="5"/>
  <c r="M73" i="5" s="1"/>
  <c r="L75" i="5"/>
  <c r="L73" i="5" s="1"/>
  <c r="D59" i="4"/>
  <c r="M20" i="4"/>
  <c r="D65" i="4"/>
  <c r="M26" i="4"/>
  <c r="F94" i="4"/>
  <c r="F24" i="4"/>
  <c r="C77" i="1"/>
  <c r="H24" i="4"/>
  <c r="E77" i="1"/>
  <c r="J24" i="4"/>
  <c r="G77" i="1"/>
  <c r="D58" i="4"/>
  <c r="M18" i="4"/>
  <c r="J70" i="1" s="1"/>
  <c r="D64" i="4"/>
  <c r="M25" i="4"/>
  <c r="J77" i="1" s="1"/>
  <c r="U77" i="1" s="1"/>
  <c r="L9" i="13"/>
  <c r="J9" i="13"/>
  <c r="L129" i="1"/>
  <c r="L190" i="1" s="1"/>
  <c r="M145" i="3"/>
  <c r="C71" i="1"/>
  <c r="C64" i="1" s="1"/>
  <c r="C63" i="1" s="1"/>
  <c r="C85" i="1" s="1"/>
  <c r="F77" i="5"/>
  <c r="F76" i="5" s="1"/>
  <c r="E71" i="1"/>
  <c r="E64" i="1" s="1"/>
  <c r="E63" i="1" s="1"/>
  <c r="E85" i="1" s="1"/>
  <c r="H77" i="5"/>
  <c r="H76" i="5" s="1"/>
  <c r="G71" i="1"/>
  <c r="J77" i="5"/>
  <c r="J76" i="5" s="1"/>
  <c r="P77" i="5"/>
  <c r="B71" i="1"/>
  <c r="E77" i="5"/>
  <c r="E76" i="5" s="1"/>
  <c r="D71" i="1"/>
  <c r="G77" i="5"/>
  <c r="G76" i="5" s="1"/>
  <c r="F71" i="1"/>
  <c r="H71" i="1"/>
  <c r="K77" i="5"/>
  <c r="K76" i="5" s="1"/>
  <c r="L71" i="1"/>
  <c r="U71" i="1" s="1"/>
  <c r="O77" i="5"/>
  <c r="O76" i="5" s="1"/>
  <c r="Q77" i="5"/>
  <c r="Q76" i="5" s="1"/>
  <c r="N77" i="5"/>
  <c r="N76" i="5" s="1"/>
  <c r="X14" i="9"/>
  <c r="P18" i="9"/>
  <c r="P17" i="9" s="1"/>
  <c r="R18" i="9"/>
  <c r="R17" i="9" s="1"/>
  <c r="O98" i="1" s="1"/>
  <c r="N18" i="9"/>
  <c r="N17" i="9" s="1"/>
  <c r="Q18" i="9"/>
  <c r="Q17" i="9" s="1"/>
  <c r="N10" i="13"/>
  <c r="N9" i="13" s="1"/>
  <c r="D26" i="13"/>
  <c r="D10" i="13" s="1"/>
  <c r="D9" i="13" s="1"/>
  <c r="L69" i="1"/>
  <c r="E573" i="2"/>
  <c r="E572" i="2" s="1"/>
  <c r="M574" i="2"/>
  <c r="D574" i="2" s="1"/>
  <c r="L102" i="5"/>
  <c r="D37" i="5"/>
  <c r="N80" i="1"/>
  <c r="N140" i="1" s="1"/>
  <c r="N202" i="1" s="1"/>
  <c r="M82" i="5"/>
  <c r="D103" i="5"/>
  <c r="D82" i="5" s="1"/>
  <c r="D81" i="5" s="1"/>
  <c r="D113" i="5"/>
  <c r="M112" i="5"/>
  <c r="C80" i="1"/>
  <c r="C140" i="1" s="1"/>
  <c r="C202" i="1" s="1"/>
  <c r="E80" i="1"/>
  <c r="E140" i="1" s="1"/>
  <c r="E202" i="1" s="1"/>
  <c r="X79" i="5"/>
  <c r="B80" i="1"/>
  <c r="B140" i="1" s="1"/>
  <c r="B202" i="1" s="1"/>
  <c r="M80" i="1"/>
  <c r="M140" i="1" s="1"/>
  <c r="M202" i="1" s="1"/>
  <c r="D80" i="1"/>
  <c r="D140" i="1" s="1"/>
  <c r="D202" i="1" s="1"/>
  <c r="O44" i="7"/>
  <c r="G19" i="1"/>
  <c r="G124" i="1" s="1"/>
  <c r="G186" i="1" s="1"/>
  <c r="E29" i="3"/>
  <c r="E28" i="3" s="1"/>
  <c r="D30" i="3"/>
  <c r="L74" i="3"/>
  <c r="E80" i="3"/>
  <c r="G80" i="3"/>
  <c r="D131" i="3"/>
  <c r="K200" i="3"/>
  <c r="N200" i="3"/>
  <c r="D222" i="3"/>
  <c r="M221" i="3"/>
  <c r="L26" i="3"/>
  <c r="L25" i="3" s="1"/>
  <c r="D27" i="3"/>
  <c r="D50" i="3"/>
  <c r="D48" i="3" s="1"/>
  <c r="N89" i="3"/>
  <c r="D136" i="3"/>
  <c r="E144" i="3"/>
  <c r="P194" i="3"/>
  <c r="L204" i="3"/>
  <c r="D205" i="3"/>
  <c r="D210" i="3"/>
  <c r="L136" i="1"/>
  <c r="L198" i="1" s="1"/>
  <c r="E30" i="8"/>
  <c r="I44" i="8"/>
  <c r="H69" i="8"/>
  <c r="F111" i="8"/>
  <c r="Q80" i="8"/>
  <c r="Q11" i="8" s="1"/>
  <c r="N14" i="1" s="1"/>
  <c r="G80" i="8"/>
  <c r="O152" i="8"/>
  <c r="J158" i="8"/>
  <c r="L158" i="8"/>
  <c r="O158" i="8"/>
  <c r="Q158" i="8"/>
  <c r="J18" i="7"/>
  <c r="G80" i="1"/>
  <c r="G140" i="1" s="1"/>
  <c r="G202" i="1" s="1"/>
  <c r="I15" i="7"/>
  <c r="F74" i="1"/>
  <c r="F73" i="1" s="1"/>
  <c r="K15" i="7"/>
  <c r="H74" i="1"/>
  <c r="H73" i="1" s="1"/>
  <c r="I18" i="7"/>
  <c r="F80" i="1"/>
  <c r="F140" i="1" s="1"/>
  <c r="F202" i="1" s="1"/>
  <c r="K18" i="7"/>
  <c r="H80" i="1"/>
  <c r="H140" i="1" s="1"/>
  <c r="H202" i="1" s="1"/>
  <c r="M72" i="1"/>
  <c r="V72" i="1" s="1"/>
  <c r="X238" i="6"/>
  <c r="F27" i="4"/>
  <c r="C83" i="1"/>
  <c r="C82" i="1" s="1"/>
  <c r="H27" i="4"/>
  <c r="E83" i="1"/>
  <c r="E82" i="1" s="1"/>
  <c r="P27" i="4"/>
  <c r="M83" i="1"/>
  <c r="M82" i="1" s="1"/>
  <c r="F41" i="4"/>
  <c r="H41" i="4"/>
  <c r="J41" i="4"/>
  <c r="E27" i="4"/>
  <c r="B83" i="1"/>
  <c r="B82" i="1" s="1"/>
  <c r="G27" i="4"/>
  <c r="D83" i="1"/>
  <c r="D82" i="1" s="1"/>
  <c r="O27" i="4"/>
  <c r="L83" i="1"/>
  <c r="H94" i="4"/>
  <c r="N137" i="1"/>
  <c r="N199" i="1" s="1"/>
  <c r="F68" i="3"/>
  <c r="H68" i="3"/>
  <c r="K68" i="3"/>
  <c r="F143" i="1"/>
  <c r="F205" i="1" s="1"/>
  <c r="H143" i="1"/>
  <c r="H205" i="1" s="1"/>
  <c r="M143" i="1"/>
  <c r="M205" i="1" s="1"/>
  <c r="D29" i="1"/>
  <c r="D128" i="1" s="1"/>
  <c r="D189" i="1" s="1"/>
  <c r="H29" i="1"/>
  <c r="H128" i="1" s="1"/>
  <c r="H189" i="1" s="1"/>
  <c r="K29" i="1"/>
  <c r="K128" i="1" s="1"/>
  <c r="K189" i="1" s="1"/>
  <c r="O128" i="1"/>
  <c r="O189" i="1" s="1"/>
  <c r="D45" i="1"/>
  <c r="D145" i="1" s="1"/>
  <c r="D207" i="1" s="1"/>
  <c r="F45" i="1"/>
  <c r="F145" i="1" s="1"/>
  <c r="F207" i="1" s="1"/>
  <c r="L144" i="1"/>
  <c r="L206" i="1" s="1"/>
  <c r="C143" i="1"/>
  <c r="C205" i="1" s="1"/>
  <c r="L143" i="1"/>
  <c r="L205" i="1" s="1"/>
  <c r="X481" i="2"/>
  <c r="M137" i="1"/>
  <c r="M199" i="1" s="1"/>
  <c r="L146" i="1"/>
  <c r="L208" i="1" s="1"/>
  <c r="U43" i="1"/>
  <c r="U146" i="1" s="1"/>
  <c r="U208" i="1" s="1"/>
  <c r="N546" i="2"/>
  <c r="N545" i="2" s="1"/>
  <c r="K78" i="1"/>
  <c r="C29" i="1"/>
  <c r="C128" i="1" s="1"/>
  <c r="C189" i="1" s="1"/>
  <c r="E29" i="1"/>
  <c r="E128" i="1" s="1"/>
  <c r="E189" i="1" s="1"/>
  <c r="C45" i="1"/>
  <c r="C145" i="1" s="1"/>
  <c r="C207" i="1" s="1"/>
  <c r="E45" i="1"/>
  <c r="E145" i="1" s="1"/>
  <c r="E207" i="1" s="1"/>
  <c r="G45" i="1"/>
  <c r="G145" i="1" s="1"/>
  <c r="G207" i="1" s="1"/>
  <c r="B141" i="1"/>
  <c r="B203" i="1" s="1"/>
  <c r="D141" i="1"/>
  <c r="D203" i="1" s="1"/>
  <c r="F141" i="1"/>
  <c r="F203" i="1" s="1"/>
  <c r="D142" i="1"/>
  <c r="D204" i="1" s="1"/>
  <c r="H142" i="1"/>
  <c r="H204" i="1" s="1"/>
  <c r="J144" i="8"/>
  <c r="L144" i="8"/>
  <c r="O144" i="8"/>
  <c r="F24" i="8"/>
  <c r="C36" i="1"/>
  <c r="E141" i="1"/>
  <c r="E203" i="1" s="1"/>
  <c r="H141" i="1"/>
  <c r="H203" i="1" s="1"/>
  <c r="G30" i="8"/>
  <c r="F30" i="8"/>
  <c r="F23" i="8" s="1"/>
  <c r="C44" i="1"/>
  <c r="H30" i="8"/>
  <c r="E44" i="1"/>
  <c r="I104" i="8"/>
  <c r="G14" i="5"/>
  <c r="I14" i="5"/>
  <c r="K14" i="5"/>
  <c r="O14" i="5"/>
  <c r="Q14" i="5"/>
  <c r="F14" i="5"/>
  <c r="F13" i="5" s="1"/>
  <c r="H14" i="5"/>
  <c r="H13" i="5" s="1"/>
  <c r="J14" i="5"/>
  <c r="J13" i="5" s="1"/>
  <c r="L14" i="5"/>
  <c r="P14" i="5"/>
  <c r="P13" i="5" s="1"/>
  <c r="V20" i="1"/>
  <c r="V27" i="1"/>
  <c r="M68" i="4"/>
  <c r="D69" i="4"/>
  <c r="D75" i="4"/>
  <c r="D74" i="4" s="1"/>
  <c r="L94" i="4"/>
  <c r="M110" i="4"/>
  <c r="K12" i="4"/>
  <c r="D44" i="4"/>
  <c r="E22" i="4"/>
  <c r="E12" i="4"/>
  <c r="E10" i="4" s="1"/>
  <c r="M57" i="4"/>
  <c r="D57" i="4" s="1"/>
  <c r="M71" i="4"/>
  <c r="D72" i="4"/>
  <c r="M76" i="4"/>
  <c r="M73" i="4" s="1"/>
  <c r="D77" i="4"/>
  <c r="K9" i="13"/>
  <c r="I32" i="10"/>
  <c r="I40" i="9"/>
  <c r="E31" i="9"/>
  <c r="E10" i="9" s="1"/>
  <c r="G31" i="9"/>
  <c r="G10" i="9" s="1"/>
  <c r="I31" i="9"/>
  <c r="I10" i="9" s="1"/>
  <c r="K31" i="9"/>
  <c r="K10" i="9" s="1"/>
  <c r="F40" i="9"/>
  <c r="H40" i="9"/>
  <c r="J40" i="9"/>
  <c r="X10" i="9"/>
  <c r="N82" i="9"/>
  <c r="N79" i="9" s="1"/>
  <c r="P12" i="9"/>
  <c r="X13" i="9"/>
  <c r="X12" i="9" s="1"/>
  <c r="P56" i="9"/>
  <c r="X59" i="9"/>
  <c r="X56" i="9" s="1"/>
  <c r="M41" i="7"/>
  <c r="M45" i="7"/>
  <c r="M51" i="7"/>
  <c r="D51" i="7"/>
  <c r="M63" i="7"/>
  <c r="M62" i="7" s="1"/>
  <c r="D63" i="7"/>
  <c r="D62" i="7" s="1"/>
  <c r="N16" i="7"/>
  <c r="N15" i="7" s="1"/>
  <c r="M57" i="7"/>
  <c r="M56" i="7" s="1"/>
  <c r="L74" i="7"/>
  <c r="K89" i="7"/>
  <c r="L68" i="7"/>
  <c r="P50" i="7"/>
  <c r="R50" i="7"/>
  <c r="I44" i="7"/>
  <c r="J68" i="7"/>
  <c r="K16" i="6"/>
  <c r="K14" i="6" s="1"/>
  <c r="X80" i="5"/>
  <c r="X77" i="5" s="1"/>
  <c r="X76" i="5" s="1"/>
  <c r="L23" i="4"/>
  <c r="G41" i="4"/>
  <c r="I41" i="4"/>
  <c r="N48" i="4"/>
  <c r="J12" i="4"/>
  <c r="E98" i="4"/>
  <c r="E94" i="4" s="1"/>
  <c r="G94" i="4"/>
  <c r="I94" i="4"/>
  <c r="K94" i="4"/>
  <c r="N94" i="4"/>
  <c r="P94" i="4"/>
  <c r="E104" i="4"/>
  <c r="I104" i="4"/>
  <c r="M220" i="3"/>
  <c r="D34" i="3"/>
  <c r="M33" i="3"/>
  <c r="X177" i="3"/>
  <c r="X176" i="3" s="1"/>
  <c r="X190" i="3"/>
  <c r="X189" i="3" s="1"/>
  <c r="X188" i="3" s="1"/>
  <c r="M208" i="3"/>
  <c r="I80" i="3"/>
  <c r="K80" i="3"/>
  <c r="P92" i="3"/>
  <c r="M22" i="10"/>
  <c r="M46" i="8"/>
  <c r="J49" i="8"/>
  <c r="L54" i="8"/>
  <c r="F69" i="8"/>
  <c r="D17" i="10" s="1"/>
  <c r="M73" i="8"/>
  <c r="D73" i="8" s="1"/>
  <c r="J74" i="8"/>
  <c r="H18" i="10" s="1"/>
  <c r="I92" i="8"/>
  <c r="M95" i="8"/>
  <c r="D95" i="8" s="1"/>
  <c r="O31" i="8"/>
  <c r="G104" i="8"/>
  <c r="N104" i="8"/>
  <c r="M110" i="8"/>
  <c r="D110" i="8" s="1"/>
  <c r="N111" i="8"/>
  <c r="L14" i="10" s="1"/>
  <c r="O119" i="8"/>
  <c r="L126" i="8"/>
  <c r="L125" i="8" s="1"/>
  <c r="F152" i="8"/>
  <c r="H152" i="8"/>
  <c r="J152" i="8"/>
  <c r="L152" i="8"/>
  <c r="Q152" i="8"/>
  <c r="P179" i="8"/>
  <c r="D38" i="8"/>
  <c r="M15" i="8"/>
  <c r="D39" i="8"/>
  <c r="M16" i="8"/>
  <c r="J20" i="1" s="1"/>
  <c r="D42" i="8"/>
  <c r="D43" i="8"/>
  <c r="M21" i="8"/>
  <c r="J30" i="1" s="1"/>
  <c r="X30" i="1" s="1"/>
  <c r="D51" i="8"/>
  <c r="D56" i="8"/>
  <c r="M55" i="8"/>
  <c r="M59" i="8"/>
  <c r="K58" i="8"/>
  <c r="D63" i="8"/>
  <c r="M62" i="8"/>
  <c r="D66" i="8"/>
  <c r="D65" i="8" s="1"/>
  <c r="M65" i="8"/>
  <c r="O16" i="8"/>
  <c r="L20" i="1" s="1"/>
  <c r="O26" i="8"/>
  <c r="L36" i="1" s="1"/>
  <c r="L141" i="1" s="1"/>
  <c r="L203" i="1" s="1"/>
  <c r="D101" i="8"/>
  <c r="M31" i="8"/>
  <c r="D165" i="8"/>
  <c r="X179" i="8"/>
  <c r="C18" i="10"/>
  <c r="H10" i="8"/>
  <c r="Q138" i="8"/>
  <c r="F11" i="8"/>
  <c r="K44" i="8"/>
  <c r="O54" i="8"/>
  <c r="E69" i="8"/>
  <c r="G69" i="8"/>
  <c r="E17" i="10" s="1"/>
  <c r="I69" i="8"/>
  <c r="Q144" i="8"/>
  <c r="O14" i="10" s="1"/>
  <c r="E204" i="2"/>
  <c r="E203" i="2" s="1"/>
  <c r="M205" i="2"/>
  <c r="K68" i="2"/>
  <c r="L21" i="1"/>
  <c r="O15" i="2"/>
  <c r="L19" i="1" s="1"/>
  <c r="O477" i="2"/>
  <c r="O476" i="2" s="1"/>
  <c r="O512" i="2"/>
  <c r="O42" i="2"/>
  <c r="O22" i="2"/>
  <c r="O20" i="2"/>
  <c r="L29" i="1" s="1"/>
  <c r="L65" i="1"/>
  <c r="E72" i="2"/>
  <c r="P343" i="2"/>
  <c r="I21" i="10"/>
  <c r="E117" i="3"/>
  <c r="D22" i="10"/>
  <c r="G22" i="10"/>
  <c r="H22" i="10"/>
  <c r="H14" i="6"/>
  <c r="H19" i="6"/>
  <c r="H25" i="6"/>
  <c r="I19" i="6"/>
  <c r="K25" i="6"/>
  <c r="L14" i="6"/>
  <c r="F233" i="6"/>
  <c r="C60" i="1" s="1"/>
  <c r="H233" i="6"/>
  <c r="E60" i="1" s="1"/>
  <c r="K233" i="6"/>
  <c r="K232" i="6" s="1"/>
  <c r="J256" i="6"/>
  <c r="J255" i="6" s="1"/>
  <c r="J12" i="6"/>
  <c r="P244" i="6"/>
  <c r="P243" i="6" s="1"/>
  <c r="P234" i="6" s="1"/>
  <c r="P232" i="6" s="1"/>
  <c r="P37" i="6"/>
  <c r="O42" i="6"/>
  <c r="M20" i="10" s="1"/>
  <c r="N37" i="6"/>
  <c r="L19" i="10" s="1"/>
  <c r="X234" i="6"/>
  <c r="X233" i="6"/>
  <c r="R14" i="5"/>
  <c r="X15" i="5"/>
  <c r="X14" i="5" s="1"/>
  <c r="X13" i="5" s="1"/>
  <c r="F218" i="3"/>
  <c r="H218" i="3"/>
  <c r="E68" i="3"/>
  <c r="G68" i="3"/>
  <c r="P68" i="3"/>
  <c r="X14" i="3"/>
  <c r="X12" i="3" s="1"/>
  <c r="X11" i="3" s="1"/>
  <c r="X10" i="3"/>
  <c r="F19" i="6"/>
  <c r="F13" i="6" s="1"/>
  <c r="H22" i="6"/>
  <c r="H21" i="6" s="1"/>
  <c r="G19" i="6"/>
  <c r="G13" i="6" s="1"/>
  <c r="Q70" i="6"/>
  <c r="Q11" i="6" s="1"/>
  <c r="M78" i="6"/>
  <c r="F10" i="4"/>
  <c r="H10" i="4"/>
  <c r="O18" i="4"/>
  <c r="L70" i="1" s="1"/>
  <c r="O74" i="4"/>
  <c r="O73" i="4" s="1"/>
  <c r="F54" i="4"/>
  <c r="H54" i="4"/>
  <c r="J54" i="4"/>
  <c r="L54" i="4"/>
  <c r="O68" i="2"/>
  <c r="P22" i="2"/>
  <c r="X22" i="2" s="1"/>
  <c r="X482" i="2"/>
  <c r="X520" i="2"/>
  <c r="X519" i="2" s="1"/>
  <c r="M21" i="1"/>
  <c r="M126" i="1" s="1"/>
  <c r="M187" i="1" s="1"/>
  <c r="P18" i="2"/>
  <c r="M24" i="1" s="1"/>
  <c r="M129" i="1" s="1"/>
  <c r="M190" i="1" s="1"/>
  <c r="X40" i="2"/>
  <c r="G343" i="2"/>
  <c r="X477" i="2"/>
  <c r="O481" i="2"/>
  <c r="O480" i="2" s="1"/>
  <c r="P42" i="2"/>
  <c r="P15" i="2"/>
  <c r="X478" i="2"/>
  <c r="X479" i="2"/>
  <c r="P521" i="2"/>
  <c r="X522" i="2"/>
  <c r="X521" i="2" s="1"/>
  <c r="V69" i="1"/>
  <c r="X543" i="2"/>
  <c r="X540" i="2" s="1"/>
  <c r="X539" i="2" s="1"/>
  <c r="V130" i="1"/>
  <c r="F75" i="2"/>
  <c r="H75" i="2"/>
  <c r="G33" i="5"/>
  <c r="I33" i="5"/>
  <c r="K33" i="5"/>
  <c r="L36" i="5"/>
  <c r="I29" i="1"/>
  <c r="R44" i="5"/>
  <c r="P144" i="8"/>
  <c r="N14" i="10" s="1"/>
  <c r="O86" i="3"/>
  <c r="D26" i="3"/>
  <c r="D25" i="3" s="1"/>
  <c r="K134" i="3"/>
  <c r="P134" i="3"/>
  <c r="F137" i="3"/>
  <c r="O140" i="3"/>
  <c r="E22" i="10"/>
  <c r="L22" i="10"/>
  <c r="P182" i="3"/>
  <c r="N22" i="10" s="1"/>
  <c r="Q104" i="3"/>
  <c r="O116" i="3"/>
  <c r="N190" i="8"/>
  <c r="N189" i="8" s="1"/>
  <c r="N183" i="8"/>
  <c r="N182" i="8" s="1"/>
  <c r="K343" i="2"/>
  <c r="K75" i="2"/>
  <c r="J75" i="2"/>
  <c r="O104" i="8"/>
  <c r="E146" i="3"/>
  <c r="I116" i="3"/>
  <c r="J52" i="3"/>
  <c r="L52" i="3"/>
  <c r="I385" i="2"/>
  <c r="I381" i="2" s="1"/>
  <c r="N25" i="2"/>
  <c r="F546" i="2"/>
  <c r="F545" i="2" s="1"/>
  <c r="H546" i="2"/>
  <c r="H545" i="2" s="1"/>
  <c r="J546" i="2"/>
  <c r="J545" i="2" s="1"/>
  <c r="G103" i="1" s="1"/>
  <c r="G101" i="1" s="1"/>
  <c r="L546" i="2"/>
  <c r="L545" i="2" s="1"/>
  <c r="O546" i="2"/>
  <c r="O545" i="2" s="1"/>
  <c r="Q546" i="2"/>
  <c r="Q545" i="2" s="1"/>
  <c r="K625" i="2"/>
  <c r="K624" i="2" s="1"/>
  <c r="K537" i="2" s="1"/>
  <c r="J385" i="2"/>
  <c r="J381" i="2" s="1"/>
  <c r="L504" i="2"/>
  <c r="G546" i="2"/>
  <c r="G545" i="2" s="1"/>
  <c r="I546" i="2"/>
  <c r="I545" i="2" s="1"/>
  <c r="K546" i="2"/>
  <c r="K545" i="2" s="1"/>
  <c r="P546" i="2"/>
  <c r="P545" i="2" s="1"/>
  <c r="R546" i="2"/>
  <c r="R545" i="2" s="1"/>
  <c r="J625" i="2"/>
  <c r="J624" i="2" s="1"/>
  <c r="E14" i="9"/>
  <c r="E11" i="9" s="1"/>
  <c r="I14" i="9"/>
  <c r="I11" i="9" s="1"/>
  <c r="O69" i="9"/>
  <c r="O68" i="9" s="1"/>
  <c r="N12" i="9"/>
  <c r="K142" i="9"/>
  <c r="E385" i="2"/>
  <c r="E381" i="2" s="1"/>
  <c r="P33" i="2"/>
  <c r="M46" i="1" s="1"/>
  <c r="R33" i="2"/>
  <c r="O46" i="1" s="1"/>
  <c r="B65" i="1"/>
  <c r="P331" i="2"/>
  <c r="E35" i="10"/>
  <c r="D35" i="10"/>
  <c r="H118" i="2"/>
  <c r="G239" i="2"/>
  <c r="J239" i="2"/>
  <c r="L239" i="2"/>
  <c r="F239" i="2"/>
  <c r="H239" i="2"/>
  <c r="K239" i="2"/>
  <c r="I251" i="2"/>
  <c r="F259" i="2"/>
  <c r="H259" i="2"/>
  <c r="J259" i="2"/>
  <c r="L259" i="2"/>
  <c r="E254" i="2"/>
  <c r="E252" i="2" s="1"/>
  <c r="H252" i="2"/>
  <c r="H251" i="2" s="1"/>
  <c r="G259" i="2"/>
  <c r="I259" i="2"/>
  <c r="K259" i="2"/>
  <c r="P21" i="2"/>
  <c r="R30" i="8"/>
  <c r="P30" i="8"/>
  <c r="O138" i="8"/>
  <c r="J20" i="2"/>
  <c r="G29" i="1" s="1"/>
  <c r="P32" i="2"/>
  <c r="M45" i="1" s="1"/>
  <c r="R14" i="2"/>
  <c r="O18" i="1" s="1"/>
  <c r="G33" i="2"/>
  <c r="D46" i="1" s="1"/>
  <c r="D147" i="1" s="1"/>
  <c r="D209" i="1" s="1"/>
  <c r="H14" i="2"/>
  <c r="O32" i="2"/>
  <c r="L45" i="1" s="1"/>
  <c r="Q32" i="2"/>
  <c r="N45" i="1" s="1"/>
  <c r="G14" i="2"/>
  <c r="O50" i="2"/>
  <c r="H40" i="2"/>
  <c r="H18" i="2" s="1"/>
  <c r="E24" i="1" s="1"/>
  <c r="E129" i="1" s="1"/>
  <c r="E190" i="1" s="1"/>
  <c r="O37" i="2"/>
  <c r="Q14" i="2"/>
  <c r="N18" i="1" s="1"/>
  <c r="I42" i="2"/>
  <c r="L26" i="2"/>
  <c r="E48" i="2"/>
  <c r="E29" i="2" s="1"/>
  <c r="B40" i="1" s="1"/>
  <c r="B144" i="1" s="1"/>
  <c r="B206" i="1" s="1"/>
  <c r="O231" i="2"/>
  <c r="R21" i="2"/>
  <c r="K54" i="2"/>
  <c r="P54" i="2"/>
  <c r="G61" i="2"/>
  <c r="N139" i="2"/>
  <c r="N61" i="1"/>
  <c r="F112" i="2"/>
  <c r="H112" i="2"/>
  <c r="J112" i="2"/>
  <c r="L112" i="2"/>
  <c r="I139" i="2"/>
  <c r="J343" i="2"/>
  <c r="N343" i="2"/>
  <c r="O61" i="1"/>
  <c r="L573" i="2"/>
  <c r="L572" i="2" s="1"/>
  <c r="L538" i="2" s="1"/>
  <c r="N561" i="2"/>
  <c r="N560" i="2" s="1"/>
  <c r="N540" i="2"/>
  <c r="N539" i="2" s="1"/>
  <c r="J593" i="2"/>
  <c r="J592" i="2" s="1"/>
  <c r="Q10" i="4"/>
  <c r="M15" i="4"/>
  <c r="N74" i="4"/>
  <c r="L10" i="4"/>
  <c r="M11" i="4"/>
  <c r="M27" i="4"/>
  <c r="N68" i="4"/>
  <c r="N71" i="4"/>
  <c r="N22" i="4"/>
  <c r="K74" i="1" s="1"/>
  <c r="K73" i="1" s="1"/>
  <c r="I21" i="2"/>
  <c r="N104" i="4"/>
  <c r="O146" i="9"/>
  <c r="G27" i="5"/>
  <c r="R13" i="5"/>
  <c r="F22" i="5"/>
  <c r="H22" i="5"/>
  <c r="J22" i="5"/>
  <c r="O22" i="5"/>
  <c r="Q22" i="5"/>
  <c r="F33" i="5"/>
  <c r="H33" i="5"/>
  <c r="J33" i="5"/>
  <c r="L38" i="5"/>
  <c r="K13" i="5"/>
  <c r="I13" i="5"/>
  <c r="E25" i="5"/>
  <c r="K27" i="5"/>
  <c r="L34" i="5"/>
  <c r="L33" i="5" s="1"/>
  <c r="E36" i="5"/>
  <c r="O84" i="5"/>
  <c r="O83" i="5" s="1"/>
  <c r="L19" i="5"/>
  <c r="L18" i="5" s="1"/>
  <c r="E28" i="5"/>
  <c r="D28" i="5" s="1"/>
  <c r="I27" i="5"/>
  <c r="M34" i="5"/>
  <c r="F38" i="5"/>
  <c r="H38" i="5"/>
  <c r="J38" i="5"/>
  <c r="P81" i="5"/>
  <c r="Q84" i="5"/>
  <c r="Q83" i="5" s="1"/>
  <c r="L99" i="5"/>
  <c r="L98" i="5" s="1"/>
  <c r="M102" i="5"/>
  <c r="L85" i="5"/>
  <c r="M86" i="5"/>
  <c r="M61" i="5" s="1"/>
  <c r="M41" i="5"/>
  <c r="M38" i="5" s="1"/>
  <c r="M79" i="5"/>
  <c r="D102" i="5"/>
  <c r="M108" i="5"/>
  <c r="M88" i="5"/>
  <c r="G31" i="2"/>
  <c r="D42" i="1" s="1"/>
  <c r="D143" i="1" s="1"/>
  <c r="D205" i="1" s="1"/>
  <c r="N231" i="2"/>
  <c r="P231" i="2"/>
  <c r="I112" i="2"/>
  <c r="N112" i="2"/>
  <c r="P112" i="2"/>
  <c r="L37" i="2"/>
  <c r="E26" i="2"/>
  <c r="N42" i="2"/>
  <c r="F21" i="2"/>
  <c r="Q21" i="2"/>
  <c r="H58" i="2"/>
  <c r="H54" i="2" s="1"/>
  <c r="J165" i="2"/>
  <c r="J162" i="2" s="1"/>
  <c r="L486" i="2"/>
  <c r="I40" i="2"/>
  <c r="I18" i="2" s="1"/>
  <c r="F24" i="1" s="1"/>
  <c r="F129" i="1" s="1"/>
  <c r="F190" i="1" s="1"/>
  <c r="P519" i="2"/>
  <c r="M18" i="1"/>
  <c r="P20" i="2"/>
  <c r="M29" i="1" s="1"/>
  <c r="N47" i="2"/>
  <c r="N28" i="2" s="1"/>
  <c r="K39" i="1" s="1"/>
  <c r="K143" i="1" s="1"/>
  <c r="K205" i="1" s="1"/>
  <c r="L48" i="2"/>
  <c r="L29" i="2" s="1"/>
  <c r="I40" i="1" s="1"/>
  <c r="I144" i="1" s="1"/>
  <c r="I206" i="1" s="1"/>
  <c r="H50" i="2"/>
  <c r="H31" i="2"/>
  <c r="E42" i="1" s="1"/>
  <c r="E143" i="1" s="1"/>
  <c r="E205" i="1" s="1"/>
  <c r="J31" i="2"/>
  <c r="G42" i="1" s="1"/>
  <c r="G143" i="1" s="1"/>
  <c r="G205" i="1" s="1"/>
  <c r="F33" i="2"/>
  <c r="C46" i="1" s="1"/>
  <c r="C147" i="1" s="1"/>
  <c r="C209" i="1" s="1"/>
  <c r="H33" i="2"/>
  <c r="E543" i="2"/>
  <c r="B69" i="1" s="1"/>
  <c r="N488" i="2"/>
  <c r="N487" i="2" s="1"/>
  <c r="Q33" i="2"/>
  <c r="N46" i="1" s="1"/>
  <c r="J54" i="2"/>
  <c r="O54" i="2"/>
  <c r="O224" i="2"/>
  <c r="E47" i="2"/>
  <c r="E28" i="2" s="1"/>
  <c r="B39" i="1" s="1"/>
  <c r="N37" i="2"/>
  <c r="I364" i="2"/>
  <c r="I361" i="2" s="1"/>
  <c r="I33" i="2"/>
  <c r="P50" i="2"/>
  <c r="R50" i="2"/>
  <c r="F54" i="2"/>
  <c r="G54" i="2"/>
  <c r="F224" i="2"/>
  <c r="H224" i="2"/>
  <c r="J224" i="2"/>
  <c r="L224" i="2"/>
  <c r="D232" i="2"/>
  <c r="F68" i="2"/>
  <c r="H68" i="2"/>
  <c r="D70" i="2"/>
  <c r="F98" i="2"/>
  <c r="F273" i="2"/>
  <c r="H273" i="2"/>
  <c r="J273" i="2"/>
  <c r="L273" i="2"/>
  <c r="O273" i="2"/>
  <c r="P367" i="2"/>
  <c r="E477" i="2"/>
  <c r="E476" i="2" s="1"/>
  <c r="L543" i="2"/>
  <c r="I69" i="1" s="1"/>
  <c r="P355" i="2"/>
  <c r="G273" i="2"/>
  <c r="E105" i="2"/>
  <c r="G105" i="2"/>
  <c r="I105" i="2"/>
  <c r="K105" i="2"/>
  <c r="O105" i="2"/>
  <c r="O82" i="2"/>
  <c r="I273" i="2"/>
  <c r="K273" i="2"/>
  <c r="N273" i="2"/>
  <c r="F105" i="2"/>
  <c r="H105" i="2"/>
  <c r="J105" i="2"/>
  <c r="N105" i="2"/>
  <c r="P105" i="2"/>
  <c r="P145" i="2"/>
  <c r="P273" i="2"/>
  <c r="AA273" i="2" s="1"/>
  <c r="E113" i="2"/>
  <c r="G374" i="2"/>
  <c r="K331" i="2"/>
  <c r="J145" i="2"/>
  <c r="Q50" i="2"/>
  <c r="P61" i="2"/>
  <c r="P75" i="2"/>
  <c r="H355" i="2"/>
  <c r="N355" i="2"/>
  <c r="L267" i="2"/>
  <c r="P491" i="2"/>
  <c r="F61" i="2"/>
  <c r="H61" i="2"/>
  <c r="J61" i="2"/>
  <c r="L61" i="2"/>
  <c r="O61" i="2"/>
  <c r="I61" i="2"/>
  <c r="K61" i="2"/>
  <c r="N61" i="2"/>
  <c r="N75" i="2"/>
  <c r="O75" i="2"/>
  <c r="G98" i="2"/>
  <c r="K98" i="2"/>
  <c r="P98" i="2"/>
  <c r="J98" i="2"/>
  <c r="F367" i="2"/>
  <c r="H367" i="2"/>
  <c r="K367" i="2"/>
  <c r="N367" i="2"/>
  <c r="F491" i="2"/>
  <c r="H491" i="2"/>
  <c r="J491" i="2"/>
  <c r="L491" i="2"/>
  <c r="E491" i="2"/>
  <c r="G491" i="2"/>
  <c r="E499" i="2"/>
  <c r="G499" i="2"/>
  <c r="I499" i="2"/>
  <c r="K499" i="2"/>
  <c r="J509" i="2"/>
  <c r="J10" i="2" s="1"/>
  <c r="L509" i="2"/>
  <c r="L10" i="2" s="1"/>
  <c r="I480" i="2"/>
  <c r="L47" i="2"/>
  <c r="H98" i="2"/>
  <c r="M369" i="2"/>
  <c r="M38" i="2" s="1"/>
  <c r="K378" i="2"/>
  <c r="K374" i="2" s="1"/>
  <c r="K33" i="2"/>
  <c r="N486" i="2"/>
  <c r="N484" i="2" s="1"/>
  <c r="E515" i="2"/>
  <c r="E514" i="2" s="1"/>
  <c r="E488" i="2"/>
  <c r="E487" i="2" s="1"/>
  <c r="D263" i="2"/>
  <c r="E263" i="2"/>
  <c r="E51" i="2"/>
  <c r="E31" i="2" s="1"/>
  <c r="B42" i="1" s="1"/>
  <c r="N364" i="2"/>
  <c r="N481" i="2"/>
  <c r="E565" i="2"/>
  <c r="E564" i="2" s="1"/>
  <c r="E549" i="2"/>
  <c r="L589" i="2"/>
  <c r="L588" i="2" s="1"/>
  <c r="G224" i="2"/>
  <c r="I224" i="2"/>
  <c r="K224" i="2"/>
  <c r="N224" i="2"/>
  <c r="P224" i="2"/>
  <c r="G68" i="2"/>
  <c r="I68" i="2"/>
  <c r="O259" i="2"/>
  <c r="O98" i="2"/>
  <c r="L98" i="2"/>
  <c r="F355" i="2"/>
  <c r="O355" i="2"/>
  <c r="E357" i="2"/>
  <c r="L355" i="2"/>
  <c r="F267" i="2"/>
  <c r="H267" i="2"/>
  <c r="J267" i="2"/>
  <c r="G367" i="2"/>
  <c r="I367" i="2"/>
  <c r="L367" i="2"/>
  <c r="O367" i="2"/>
  <c r="G331" i="2"/>
  <c r="I331" i="2"/>
  <c r="N198" i="2"/>
  <c r="P198" i="2"/>
  <c r="H393" i="2"/>
  <c r="G480" i="2"/>
  <c r="K480" i="2"/>
  <c r="P480" i="2"/>
  <c r="R480" i="2"/>
  <c r="O484" i="2"/>
  <c r="E256" i="2"/>
  <c r="F183" i="2"/>
  <c r="I491" i="2"/>
  <c r="J214" i="2"/>
  <c r="K491" i="2"/>
  <c r="P90" i="2"/>
  <c r="E260" i="2"/>
  <c r="I198" i="2"/>
  <c r="F480" i="2"/>
  <c r="H480" i="2"/>
  <c r="J480" i="2"/>
  <c r="L480" i="2"/>
  <c r="Q480" i="2"/>
  <c r="F484" i="2"/>
  <c r="J484" i="2"/>
  <c r="P487" i="2"/>
  <c r="R487" i="2"/>
  <c r="Q487" i="2"/>
  <c r="O393" i="2"/>
  <c r="P527" i="2"/>
  <c r="P10" i="2" s="1"/>
  <c r="E60" i="2"/>
  <c r="L69" i="2"/>
  <c r="L68" i="2" s="1"/>
  <c r="D121" i="2"/>
  <c r="P124" i="2"/>
  <c r="E134" i="2"/>
  <c r="F139" i="2"/>
  <c r="H139" i="2"/>
  <c r="J139" i="2"/>
  <c r="L139" i="2"/>
  <c r="O139" i="2"/>
  <c r="O157" i="2"/>
  <c r="H157" i="2"/>
  <c r="F487" i="2"/>
  <c r="H487" i="2"/>
  <c r="J487" i="2"/>
  <c r="I374" i="2"/>
  <c r="F331" i="2"/>
  <c r="H331" i="2"/>
  <c r="J331" i="2"/>
  <c r="J337" i="2"/>
  <c r="G124" i="2"/>
  <c r="E142" i="2"/>
  <c r="F157" i="2"/>
  <c r="H162" i="2"/>
  <c r="J183" i="2"/>
  <c r="O198" i="2"/>
  <c r="L198" i="2"/>
  <c r="D201" i="2"/>
  <c r="E201" i="2"/>
  <c r="I394" i="2"/>
  <c r="I393" i="2" s="1"/>
  <c r="K394" i="2"/>
  <c r="K393" i="2" s="1"/>
  <c r="L28" i="10"/>
  <c r="L399" i="2"/>
  <c r="L398" i="2" s="1"/>
  <c r="I510" i="2"/>
  <c r="I509" i="2" s="1"/>
  <c r="I10" i="2" s="1"/>
  <c r="I477" i="2"/>
  <c r="I476" i="2" s="1"/>
  <c r="O528" i="2"/>
  <c r="O527" i="2" s="1"/>
  <c r="O520" i="2"/>
  <c r="O519" i="2" s="1"/>
  <c r="K573" i="2"/>
  <c r="K572" i="2" s="1"/>
  <c r="K538" i="2" s="1"/>
  <c r="I581" i="2"/>
  <c r="I580" i="2" s="1"/>
  <c r="I540" i="2"/>
  <c r="I539" i="2" s="1"/>
  <c r="E189" i="2"/>
  <c r="G189" i="2"/>
  <c r="I189" i="2"/>
  <c r="K189" i="2"/>
  <c r="N189" i="2"/>
  <c r="J394" i="2"/>
  <c r="J393" i="2" s="1"/>
  <c r="L394" i="2"/>
  <c r="L393" i="2" s="1"/>
  <c r="H476" i="2"/>
  <c r="L476" i="2"/>
  <c r="Q476" i="2"/>
  <c r="E484" i="2"/>
  <c r="G484" i="2"/>
  <c r="G483" i="2" s="1"/>
  <c r="E12" i="10" s="1"/>
  <c r="I484" i="2"/>
  <c r="I483" i="2" s="1"/>
  <c r="G12" i="10" s="1"/>
  <c r="K484" i="2"/>
  <c r="K483" i="2" s="1"/>
  <c r="I12" i="10" s="1"/>
  <c r="P484" i="2"/>
  <c r="R484" i="2"/>
  <c r="H484" i="2"/>
  <c r="Q484" i="2"/>
  <c r="F499" i="2"/>
  <c r="H499" i="2"/>
  <c r="J499" i="2"/>
  <c r="Q527" i="2"/>
  <c r="R527" i="2"/>
  <c r="G540" i="2"/>
  <c r="G539" i="2" s="1"/>
  <c r="P540" i="2"/>
  <c r="P539" i="2" s="1"/>
  <c r="R540" i="2"/>
  <c r="R539" i="2" s="1"/>
  <c r="L616" i="2"/>
  <c r="L615" i="2" s="1"/>
  <c r="I102" i="1" s="1"/>
  <c r="F50" i="2"/>
  <c r="Q24" i="2"/>
  <c r="N21" i="1"/>
  <c r="N126" i="1" s="1"/>
  <c r="N187" i="1" s="1"/>
  <c r="Q40" i="9"/>
  <c r="O34" i="10" s="1"/>
  <c r="J14" i="9"/>
  <c r="G14" i="9"/>
  <c r="K14" i="9"/>
  <c r="K11" i="9" s="1"/>
  <c r="K18" i="9"/>
  <c r="K17" i="9" s="1"/>
  <c r="F18" i="9"/>
  <c r="F17" i="9" s="1"/>
  <c r="H18" i="9"/>
  <c r="H17" i="9" s="1"/>
  <c r="N66" i="9"/>
  <c r="N65" i="9" s="1"/>
  <c r="F14" i="9"/>
  <c r="H14" i="9"/>
  <c r="H11" i="9" s="1"/>
  <c r="Q14" i="9"/>
  <c r="Q11" i="9" s="1"/>
  <c r="F35" i="10"/>
  <c r="I35" i="10"/>
  <c r="L34" i="9"/>
  <c r="K53" i="9"/>
  <c r="K52" i="9" s="1"/>
  <c r="I142" i="9"/>
  <c r="E40" i="9"/>
  <c r="C34" i="10" s="1"/>
  <c r="K22" i="9"/>
  <c r="H35" i="10"/>
  <c r="L28" i="9"/>
  <c r="L27" i="9" s="1"/>
  <c r="L41" i="9"/>
  <c r="D69" i="9"/>
  <c r="D68" i="9" s="1"/>
  <c r="O18" i="9"/>
  <c r="O17" i="9" s="1"/>
  <c r="M73" i="9"/>
  <c r="M72" i="9" s="1"/>
  <c r="D73" i="9"/>
  <c r="D72" i="9" s="1"/>
  <c r="F12" i="9"/>
  <c r="G12" i="9"/>
  <c r="M32" i="9"/>
  <c r="D34" i="9"/>
  <c r="M34" i="9"/>
  <c r="M41" i="9"/>
  <c r="L46" i="9"/>
  <c r="L45" i="9" s="1"/>
  <c r="D53" i="9"/>
  <c r="D52" i="9" s="1"/>
  <c r="M53" i="9"/>
  <c r="M52" i="9" s="1"/>
  <c r="L59" i="9"/>
  <c r="L56" i="9" s="1"/>
  <c r="L62" i="9"/>
  <c r="L61" i="9" s="1"/>
  <c r="L73" i="9"/>
  <c r="L72" i="9" s="1"/>
  <c r="I102" i="9"/>
  <c r="E142" i="9"/>
  <c r="O16" i="5"/>
  <c r="O13" i="5" s="1"/>
  <c r="L104" i="8"/>
  <c r="O337" i="2"/>
  <c r="L337" i="2"/>
  <c r="E140" i="2"/>
  <c r="J17" i="7"/>
  <c r="I33" i="7"/>
  <c r="F67" i="1"/>
  <c r="I38" i="7"/>
  <c r="R38" i="7"/>
  <c r="D75" i="7"/>
  <c r="E74" i="7"/>
  <c r="J74" i="7"/>
  <c r="K84" i="7"/>
  <c r="K87" i="7"/>
  <c r="K23" i="7"/>
  <c r="N10" i="7"/>
  <c r="N8" i="7" s="1"/>
  <c r="N14" i="7"/>
  <c r="K68" i="1" s="1"/>
  <c r="K123" i="1" s="1"/>
  <c r="K185" i="1" s="1"/>
  <c r="K38" i="7"/>
  <c r="L44" i="7"/>
  <c r="D57" i="7"/>
  <c r="D56" i="7" s="1"/>
  <c r="K57" i="7"/>
  <c r="K56" i="7" s="1"/>
  <c r="I68" i="7"/>
  <c r="K68" i="7"/>
  <c r="O68" i="7"/>
  <c r="O74" i="7"/>
  <c r="K80" i="7"/>
  <c r="N80" i="7"/>
  <c r="K80" i="1"/>
  <c r="K140" i="1" s="1"/>
  <c r="K202" i="1" s="1"/>
  <c r="O86" i="7"/>
  <c r="Q86" i="7"/>
  <c r="N89" i="7"/>
  <c r="N20" i="7"/>
  <c r="D12" i="13"/>
  <c r="M29" i="13"/>
  <c r="M27" i="13"/>
  <c r="Q24" i="8"/>
  <c r="E18" i="8"/>
  <c r="R18" i="8"/>
  <c r="Q30" i="8"/>
  <c r="R13" i="8"/>
  <c r="H24" i="8"/>
  <c r="H23" i="8" s="1"/>
  <c r="N24" i="8"/>
  <c r="J36" i="8"/>
  <c r="E49" i="8"/>
  <c r="E61" i="8"/>
  <c r="I61" i="8"/>
  <c r="M75" i="8"/>
  <c r="M27" i="8"/>
  <c r="M83" i="8"/>
  <c r="M108" i="8"/>
  <c r="M126" i="8"/>
  <c r="D126" i="8"/>
  <c r="M128" i="8"/>
  <c r="M135" i="8"/>
  <c r="M134" i="8" s="1"/>
  <c r="D144" i="8"/>
  <c r="D210" i="8"/>
  <c r="M209" i="8"/>
  <c r="M208" i="8" s="1"/>
  <c r="M181" i="8" s="1"/>
  <c r="M179" i="8" s="1"/>
  <c r="M188" i="8"/>
  <c r="J66" i="1" s="1"/>
  <c r="G18" i="8"/>
  <c r="J45" i="8"/>
  <c r="J44" i="8" s="1"/>
  <c r="M49" i="8"/>
  <c r="M22" i="8"/>
  <c r="M72" i="8"/>
  <c r="O75" i="8"/>
  <c r="O74" i="8" s="1"/>
  <c r="M18" i="10" s="1"/>
  <c r="M81" i="8"/>
  <c r="M80" i="8" s="1"/>
  <c r="M86" i="8"/>
  <c r="M85" i="8" s="1"/>
  <c r="D86" i="8"/>
  <c r="D85" i="8" s="1"/>
  <c r="J94" i="8"/>
  <c r="J91" i="8" s="1"/>
  <c r="H13" i="10" s="1"/>
  <c r="I94" i="8"/>
  <c r="I91" i="8" s="1"/>
  <c r="G13" i="10" s="1"/>
  <c r="J100" i="8"/>
  <c r="J97" i="8" s="1"/>
  <c r="I100" i="8"/>
  <c r="I97" i="8" s="1"/>
  <c r="D28" i="8"/>
  <c r="M28" i="8"/>
  <c r="J35" i="1" s="1"/>
  <c r="M120" i="8"/>
  <c r="M123" i="8"/>
  <c r="D123" i="8"/>
  <c r="D197" i="8"/>
  <c r="D196" i="8" s="1"/>
  <c r="F181" i="8"/>
  <c r="F179" i="8" s="1"/>
  <c r="J181" i="8"/>
  <c r="J179" i="8" s="1"/>
  <c r="L209" i="8"/>
  <c r="L208" i="8" s="1"/>
  <c r="M212" i="8"/>
  <c r="M211" i="8" s="1"/>
  <c r="D213" i="8"/>
  <c r="D194" i="8" s="1"/>
  <c r="M194" i="8"/>
  <c r="J79" i="1" s="1"/>
  <c r="U79" i="1" s="1"/>
  <c r="D158" i="8"/>
  <c r="D152" i="8"/>
  <c r="Q13" i="5"/>
  <c r="E33" i="5"/>
  <c r="F84" i="5"/>
  <c r="J84" i="5"/>
  <c r="G13" i="5"/>
  <c r="F27" i="5"/>
  <c r="D39" i="10" s="1"/>
  <c r="H27" i="5"/>
  <c r="F39" i="10" s="1"/>
  <c r="J27" i="5"/>
  <c r="H39" i="10" s="1"/>
  <c r="L27" i="5"/>
  <c r="J39" i="10" s="1"/>
  <c r="E30" i="5"/>
  <c r="E27" i="5" s="1"/>
  <c r="G38" i="5"/>
  <c r="I38" i="5"/>
  <c r="K38" i="5"/>
  <c r="E48" i="5"/>
  <c r="E47" i="5" s="1"/>
  <c r="P84" i="5"/>
  <c r="K104" i="5"/>
  <c r="G22" i="5"/>
  <c r="G11" i="5" s="1"/>
  <c r="I22" i="5"/>
  <c r="I11" i="5" s="1"/>
  <c r="K22" i="5"/>
  <c r="K11" i="5" s="1"/>
  <c r="P22" i="5"/>
  <c r="R22" i="5"/>
  <c r="R8" i="9"/>
  <c r="D85" i="9"/>
  <c r="G40" i="9"/>
  <c r="O24" i="4"/>
  <c r="O23" i="4" s="1"/>
  <c r="S17" i="4"/>
  <c r="P68" i="1" s="1"/>
  <c r="P64" i="1" s="1"/>
  <c r="M55" i="4"/>
  <c r="M54" i="4" s="1"/>
  <c r="M62" i="4"/>
  <c r="M63" i="4"/>
  <c r="D25" i="4"/>
  <c r="N67" i="4"/>
  <c r="D68" i="4"/>
  <c r="D28" i="4"/>
  <c r="L104" i="4"/>
  <c r="O104" i="4"/>
  <c r="J23" i="4"/>
  <c r="F23" i="4"/>
  <c r="K42" i="4"/>
  <c r="K41" i="4" s="1"/>
  <c r="G54" i="4"/>
  <c r="K54" i="4"/>
  <c r="D26" i="4"/>
  <c r="D71" i="4"/>
  <c r="D67" i="4" s="1"/>
  <c r="H23" i="4"/>
  <c r="I54" i="4"/>
  <c r="N37" i="10"/>
  <c r="O37" i="6"/>
  <c r="N42" i="6"/>
  <c r="P42" i="6"/>
  <c r="N20" i="10" s="1"/>
  <c r="M73" i="6"/>
  <c r="M252" i="6"/>
  <c r="M251" i="6" s="1"/>
  <c r="M238" i="6"/>
  <c r="M256" i="6"/>
  <c r="M255" i="6" s="1"/>
  <c r="M241" i="6"/>
  <c r="M240" i="6" s="1"/>
  <c r="M239" i="6" s="1"/>
  <c r="M71" i="6"/>
  <c r="M244" i="6"/>
  <c r="M243" i="6" s="1"/>
  <c r="M234" i="6" s="1"/>
  <c r="P74" i="3"/>
  <c r="P176" i="3"/>
  <c r="N21" i="10" s="1"/>
  <c r="W21" i="10" s="1"/>
  <c r="N48" i="3"/>
  <c r="E52" i="3"/>
  <c r="M57" i="3"/>
  <c r="M53" i="3" s="1"/>
  <c r="I52" i="3"/>
  <c r="D64" i="3"/>
  <c r="M66" i="3"/>
  <c r="M26" i="3"/>
  <c r="M25" i="3" s="1"/>
  <c r="D46" i="3"/>
  <c r="D45" i="3" s="1"/>
  <c r="G52" i="3"/>
  <c r="K52" i="3"/>
  <c r="N69" i="3"/>
  <c r="N68" i="3" s="1"/>
  <c r="I69" i="3"/>
  <c r="I68" i="3" s="1"/>
  <c r="M70" i="3"/>
  <c r="M71" i="3"/>
  <c r="D71" i="3" s="1"/>
  <c r="M73" i="3"/>
  <c r="M76" i="3"/>
  <c r="G74" i="3"/>
  <c r="J77" i="3"/>
  <c r="K77" i="3"/>
  <c r="N77" i="3"/>
  <c r="N74" i="3" s="1"/>
  <c r="L81" i="3"/>
  <c r="M93" i="3"/>
  <c r="Q92" i="3"/>
  <c r="M121" i="3"/>
  <c r="M124" i="3"/>
  <c r="L129" i="3"/>
  <c r="F134" i="3"/>
  <c r="J135" i="3"/>
  <c r="O137" i="3"/>
  <c r="O134" i="3" s="1"/>
  <c r="F140" i="3"/>
  <c r="F10" i="3" s="1"/>
  <c r="H140" i="3"/>
  <c r="H10" i="3" s="1"/>
  <c r="J140" i="3"/>
  <c r="J10" i="3" s="1"/>
  <c r="L141" i="3"/>
  <c r="L140" i="3" s="1"/>
  <c r="L10" i="3" s="1"/>
  <c r="M142" i="3"/>
  <c r="G140" i="3"/>
  <c r="G10" i="3" s="1"/>
  <c r="I140" i="3"/>
  <c r="I10" i="3" s="1"/>
  <c r="M150" i="3"/>
  <c r="I22" i="10"/>
  <c r="Q182" i="3"/>
  <c r="E201" i="3"/>
  <c r="L209" i="3"/>
  <c r="L206" i="3" s="1"/>
  <c r="M213" i="3"/>
  <c r="M216" i="3"/>
  <c r="D216" i="3"/>
  <c r="Z216" i="3" s="1"/>
  <c r="K19" i="1"/>
  <c r="K124" i="1" s="1"/>
  <c r="K186" i="1" s="1"/>
  <c r="J74" i="3"/>
  <c r="M78" i="3"/>
  <c r="M81" i="3"/>
  <c r="P80" i="3"/>
  <c r="M99" i="3"/>
  <c r="M98" i="3" s="1"/>
  <c r="L117" i="3"/>
  <c r="L116" i="3" s="1"/>
  <c r="M119" i="3"/>
  <c r="P116" i="3"/>
  <c r="M126" i="3"/>
  <c r="E12" i="3"/>
  <c r="H129" i="3"/>
  <c r="H128" i="3" s="1"/>
  <c r="G132" i="3"/>
  <c r="L132" i="3"/>
  <c r="L137" i="3"/>
  <c r="L134" i="3" s="1"/>
  <c r="D145" i="3"/>
  <c r="M144" i="3"/>
  <c r="J22" i="10"/>
  <c r="D201" i="3"/>
  <c r="F200" i="3"/>
  <c r="H200" i="3"/>
  <c r="J200" i="3"/>
  <c r="L200" i="3"/>
  <c r="O200" i="3"/>
  <c r="Q200" i="3"/>
  <c r="J218" i="3"/>
  <c r="L218" i="3"/>
  <c r="F540" i="2"/>
  <c r="F539" i="2" s="1"/>
  <c r="K146" i="2"/>
  <c r="K145" i="2" s="1"/>
  <c r="I160" i="2"/>
  <c r="I157" i="2" s="1"/>
  <c r="H183" i="2"/>
  <c r="E338" i="2"/>
  <c r="G337" i="2"/>
  <c r="K124" i="2"/>
  <c r="N127" i="2"/>
  <c r="G139" i="2"/>
  <c r="K139" i="2"/>
  <c r="P139" i="2"/>
  <c r="P157" i="2"/>
  <c r="L343" i="2"/>
  <c r="G145" i="2"/>
  <c r="O145" i="2"/>
  <c r="G157" i="2"/>
  <c r="O183" i="2"/>
  <c r="P239" i="2"/>
  <c r="O239" i="2"/>
  <c r="F214" i="2"/>
  <c r="H214" i="2"/>
  <c r="K214" i="2"/>
  <c r="N214" i="2"/>
  <c r="P214" i="2"/>
  <c r="O214" i="2"/>
  <c r="O385" i="2"/>
  <c r="F393" i="2"/>
  <c r="F476" i="2"/>
  <c r="J476" i="2"/>
  <c r="L488" i="2"/>
  <c r="O488" i="2"/>
  <c r="L500" i="2"/>
  <c r="P499" i="2"/>
  <c r="N499" i="2"/>
  <c r="N520" i="2"/>
  <c r="N519" i="2" s="1"/>
  <c r="L621" i="2"/>
  <c r="L620" i="2" s="1"/>
  <c r="M62" i="2"/>
  <c r="D62" i="2"/>
  <c r="M72" i="2"/>
  <c r="D74" i="2"/>
  <c r="D72" i="2" s="1"/>
  <c r="N90" i="2"/>
  <c r="D134" i="2"/>
  <c r="D133" i="2" s="1"/>
  <c r="M208" i="2"/>
  <c r="M207" i="2" s="1"/>
  <c r="D208" i="2"/>
  <c r="O208" i="2"/>
  <c r="O207" i="2" s="1"/>
  <c r="O521" i="2"/>
  <c r="D569" i="2"/>
  <c r="D568" i="2" s="1"/>
  <c r="M612" i="2"/>
  <c r="M611" i="2" s="1"/>
  <c r="D612" i="2"/>
  <c r="D611" i="2" s="1"/>
  <c r="M621" i="2"/>
  <c r="M620" i="2" s="1"/>
  <c r="D622" i="2"/>
  <c r="D621" i="2" s="1"/>
  <c r="D620" i="2" s="1"/>
  <c r="M121" i="2"/>
  <c r="O267" i="2"/>
  <c r="D158" i="2"/>
  <c r="O178" i="2"/>
  <c r="O177" i="2" s="1"/>
  <c r="F198" i="2"/>
  <c r="H198" i="2"/>
  <c r="J198" i="2"/>
  <c r="L214" i="2"/>
  <c r="M220" i="2"/>
  <c r="M219" i="2" s="1"/>
  <c r="D220" i="2"/>
  <c r="D219" i="2" s="1"/>
  <c r="D28" i="10"/>
  <c r="F28" i="10"/>
  <c r="J28" i="10"/>
  <c r="G393" i="2"/>
  <c r="N393" i="2"/>
  <c r="P393" i="2"/>
  <c r="G476" i="2"/>
  <c r="G475" i="2" s="1"/>
  <c r="K476" i="2"/>
  <c r="P476" i="2"/>
  <c r="R476" i="2"/>
  <c r="D25" i="2"/>
  <c r="N492" i="2"/>
  <c r="N491" i="2" s="1"/>
  <c r="D500" i="2"/>
  <c r="N521" i="2"/>
  <c r="N525" i="2"/>
  <c r="N528" i="2"/>
  <c r="N527" i="2" s="1"/>
  <c r="N533" i="2"/>
  <c r="N532" i="2" s="1"/>
  <c r="Q540" i="2"/>
  <c r="Q539" i="2" s="1"/>
  <c r="P569" i="2"/>
  <c r="P568" i="2" s="1"/>
  <c r="Z568" i="2" s="1"/>
  <c r="Z592" i="2"/>
  <c r="Z607" i="2"/>
  <c r="Z611" i="2"/>
  <c r="O624" i="2"/>
  <c r="Z624" i="2" s="1"/>
  <c r="D34" i="2"/>
  <c r="D15" i="2"/>
  <c r="D22" i="2"/>
  <c r="P82" i="2"/>
  <c r="I90" i="2"/>
  <c r="N162" i="2"/>
  <c r="N183" i="2"/>
  <c r="P183" i="2"/>
  <c r="G509" i="2"/>
  <c r="G10" i="2" s="1"/>
  <c r="K509" i="2"/>
  <c r="K10" i="2" s="1"/>
  <c r="G183" i="2"/>
  <c r="I183" i="2"/>
  <c r="K183" i="2"/>
  <c r="G198" i="2"/>
  <c r="K198" i="2"/>
  <c r="M80" i="2"/>
  <c r="D260" i="2"/>
  <c r="G112" i="2"/>
  <c r="K112" i="2"/>
  <c r="N509" i="2"/>
  <c r="N10" i="2" s="1"/>
  <c r="O112" i="2"/>
  <c r="D139" i="2"/>
  <c r="F118" i="2"/>
  <c r="J118" i="2"/>
  <c r="D268" i="2"/>
  <c r="D267" i="2" s="1"/>
  <c r="L374" i="2"/>
  <c r="O374" i="2"/>
  <c r="L331" i="2"/>
  <c r="F337" i="2"/>
  <c r="H337" i="2"/>
  <c r="K337" i="2"/>
  <c r="N337" i="2"/>
  <c r="P337" i="2"/>
  <c r="L127" i="2"/>
  <c r="F145" i="2"/>
  <c r="H145" i="2"/>
  <c r="E28" i="10"/>
  <c r="N28" i="10"/>
  <c r="W28" i="10" s="1"/>
  <c r="D496" i="2"/>
  <c r="O510" i="2"/>
  <c r="E512" i="2"/>
  <c r="Q518" i="2"/>
  <c r="O40" i="10" s="1"/>
  <c r="E561" i="2"/>
  <c r="E560" i="2" s="1"/>
  <c r="E538" i="2" s="1"/>
  <c r="O561" i="2"/>
  <c r="O560" i="2" s="1"/>
  <c r="O538" i="2" s="1"/>
  <c r="L632" i="2"/>
  <c r="M633" i="2"/>
  <c r="N118" i="2"/>
  <c r="M365" i="2"/>
  <c r="D365" i="2" s="1"/>
  <c r="M373" i="2"/>
  <c r="L352" i="2"/>
  <c r="L349" i="2" s="1"/>
  <c r="L154" i="2"/>
  <c r="L151" i="2" s="1"/>
  <c r="L165" i="2"/>
  <c r="L162" i="2" s="1"/>
  <c r="P168" i="2"/>
  <c r="F168" i="2"/>
  <c r="H168" i="2"/>
  <c r="J168" i="2"/>
  <c r="L174" i="2"/>
  <c r="L173" i="2" s="1"/>
  <c r="L186" i="2"/>
  <c r="L183" i="2" s="1"/>
  <c r="F189" i="2"/>
  <c r="H189" i="2"/>
  <c r="E195" i="2"/>
  <c r="E194" i="2" s="1"/>
  <c r="E248" i="2"/>
  <c r="E215" i="2"/>
  <c r="E214" i="2" s="1"/>
  <c r="I214" i="2"/>
  <c r="M561" i="2"/>
  <c r="M560" i="2" s="1"/>
  <c r="M543" i="2"/>
  <c r="J69" i="1" s="1"/>
  <c r="Z588" i="2"/>
  <c r="M593" i="2"/>
  <c r="M592" i="2" s="1"/>
  <c r="I22" i="6"/>
  <c r="I21" i="6" s="1"/>
  <c r="K22" i="6"/>
  <c r="K21" i="6" s="1"/>
  <c r="J25" i="6"/>
  <c r="J21" i="6" s="1"/>
  <c r="K73" i="6"/>
  <c r="K70" i="6" s="1"/>
  <c r="I244" i="6"/>
  <c r="I243" i="6" s="1"/>
  <c r="I234" i="6" s="1"/>
  <c r="N244" i="6"/>
  <c r="N243" i="6" s="1"/>
  <c r="N234" i="6" s="1"/>
  <c r="D248" i="6"/>
  <c r="D247" i="6" s="1"/>
  <c r="J241" i="6"/>
  <c r="J240" i="6" s="1"/>
  <c r="J239" i="6" s="1"/>
  <c r="I16" i="6"/>
  <c r="F19" i="1" s="1"/>
  <c r="F124" i="1" s="1"/>
  <c r="F186" i="1" s="1"/>
  <c r="H75" i="6"/>
  <c r="F31" i="10" s="1"/>
  <c r="J238" i="6"/>
  <c r="D238" i="6"/>
  <c r="O28" i="6"/>
  <c r="M36" i="10" s="1"/>
  <c r="R232" i="6"/>
  <c r="E22" i="6"/>
  <c r="E19" i="6"/>
  <c r="G12" i="6"/>
  <c r="I237" i="6"/>
  <c r="I236" i="6" s="1"/>
  <c r="I235" i="6" s="1"/>
  <c r="O236" i="6"/>
  <c r="O235" i="6" s="1"/>
  <c r="P70" i="6"/>
  <c r="N30" i="10" s="1"/>
  <c r="Q75" i="6"/>
  <c r="J70" i="6"/>
  <c r="G70" i="6"/>
  <c r="I70" i="6"/>
  <c r="F75" i="6"/>
  <c r="D31" i="10" s="1"/>
  <c r="J75" i="6"/>
  <c r="H31" i="10" s="1"/>
  <c r="K78" i="6"/>
  <c r="E12" i="6"/>
  <c r="I12" i="6"/>
  <c r="P237" i="6"/>
  <c r="X237" i="6" s="1"/>
  <c r="P19" i="6"/>
  <c r="Q19" i="6"/>
  <c r="D63" i="3"/>
  <c r="L70" i="6"/>
  <c r="O70" i="6"/>
  <c r="N70" i="6"/>
  <c r="L30" i="10" s="1"/>
  <c r="L25" i="10" s="1"/>
  <c r="D132" i="8"/>
  <c r="D131" i="8" s="1"/>
  <c r="N30" i="8"/>
  <c r="N23" i="8" s="1"/>
  <c r="AA18" i="4"/>
  <c r="N41" i="4"/>
  <c r="N22" i="5"/>
  <c r="L22" i="5"/>
  <c r="L11" i="5" s="1"/>
  <c r="N33" i="5"/>
  <c r="O118" i="2"/>
  <c r="L189" i="2"/>
  <c r="J189" i="2"/>
  <c r="O190" i="8"/>
  <c r="O189" i="8" s="1"/>
  <c r="P18" i="8"/>
  <c r="N69" i="8"/>
  <c r="O56" i="7"/>
  <c r="P25" i="6"/>
  <c r="P21" i="6" s="1"/>
  <c r="L14" i="4"/>
  <c r="L13" i="4" s="1"/>
  <c r="N38" i="7"/>
  <c r="J68" i="2"/>
  <c r="N259" i="2"/>
  <c r="O124" i="2"/>
  <c r="E151" i="2"/>
  <c r="G151" i="2"/>
  <c r="I151" i="2"/>
  <c r="K151" i="2"/>
  <c r="N55" i="2"/>
  <c r="N54" i="2" s="1"/>
  <c r="E57" i="2"/>
  <c r="M57" i="2" s="1"/>
  <c r="D57" i="2" s="1"/>
  <c r="E69" i="2"/>
  <c r="N69" i="2"/>
  <c r="N68" i="2" s="1"/>
  <c r="L76" i="2"/>
  <c r="L75" i="2" s="1"/>
  <c r="K83" i="2"/>
  <c r="N83" i="2"/>
  <c r="N82" i="2" s="1"/>
  <c r="F90" i="2"/>
  <c r="H90" i="2"/>
  <c r="J90" i="2"/>
  <c r="O90" i="2"/>
  <c r="L108" i="2"/>
  <c r="L105" i="2" s="1"/>
  <c r="E121" i="2"/>
  <c r="G118" i="2"/>
  <c r="I118" i="2"/>
  <c r="K118" i="2"/>
  <c r="P118" i="2"/>
  <c r="E360" i="2"/>
  <c r="E43" i="2" s="1"/>
  <c r="E364" i="2"/>
  <c r="E361" i="2" s="1"/>
  <c r="E267" i="2"/>
  <c r="G267" i="2"/>
  <c r="I267" i="2"/>
  <c r="K267" i="2"/>
  <c r="N267" i="2"/>
  <c r="P267" i="2"/>
  <c r="E274" i="2"/>
  <c r="E276" i="2"/>
  <c r="J367" i="2"/>
  <c r="F374" i="2"/>
  <c r="H374" i="2"/>
  <c r="J374" i="2"/>
  <c r="O331" i="2"/>
  <c r="E340" i="2"/>
  <c r="I337" i="2"/>
  <c r="J125" i="2"/>
  <c r="J124" i="2" s="1"/>
  <c r="N125" i="2"/>
  <c r="F124" i="2"/>
  <c r="H124" i="2"/>
  <c r="G133" i="2"/>
  <c r="I133" i="2"/>
  <c r="K133" i="2"/>
  <c r="N133" i="2"/>
  <c r="P133" i="2"/>
  <c r="E347" i="2"/>
  <c r="E149" i="2"/>
  <c r="E145" i="2" s="1"/>
  <c r="I145" i="2"/>
  <c r="N151" i="2"/>
  <c r="P151" i="2"/>
  <c r="N160" i="2"/>
  <c r="F162" i="2"/>
  <c r="E165" i="2"/>
  <c r="O162" i="2"/>
  <c r="F32" i="3"/>
  <c r="H32" i="3"/>
  <c r="J32" i="3"/>
  <c r="L32" i="3"/>
  <c r="E75" i="3"/>
  <c r="E74" i="3" s="1"/>
  <c r="O74" i="3"/>
  <c r="F80" i="3"/>
  <c r="H80" i="3"/>
  <c r="J80" i="3"/>
  <c r="L80" i="3"/>
  <c r="O84" i="3"/>
  <c r="O80" i="3" s="1"/>
  <c r="Z80" i="3" s="1"/>
  <c r="N86" i="3"/>
  <c r="L96" i="3"/>
  <c r="N98" i="3"/>
  <c r="P98" i="3"/>
  <c r="N116" i="3"/>
  <c r="L122" i="3"/>
  <c r="E129" i="3"/>
  <c r="F38" i="10"/>
  <c r="G162" i="2"/>
  <c r="I162" i="2"/>
  <c r="K162" i="2"/>
  <c r="P162" i="2"/>
  <c r="E171" i="2"/>
  <c r="E168" i="2" s="1"/>
  <c r="I168" i="2"/>
  <c r="N181" i="2"/>
  <c r="D190" i="2"/>
  <c r="D189" i="2" s="1"/>
  <c r="E199" i="2"/>
  <c r="I239" i="2"/>
  <c r="N208" i="2"/>
  <c r="N207" i="2" s="1"/>
  <c r="G214" i="2"/>
  <c r="O382" i="2"/>
  <c r="E394" i="2"/>
  <c r="E396" i="2"/>
  <c r="E399" i="2"/>
  <c r="E398" i="2" s="1"/>
  <c r="N476" i="2"/>
  <c r="Z572" i="2"/>
  <c r="Z580" i="2"/>
  <c r="N608" i="2"/>
  <c r="N607" i="2" s="1"/>
  <c r="N537" i="2" s="1"/>
  <c r="Z640" i="2"/>
  <c r="K74" i="3"/>
  <c r="D81" i="3"/>
  <c r="E120" i="3"/>
  <c r="E116" i="3" s="1"/>
  <c r="D63" i="4"/>
  <c r="D62" i="4"/>
  <c r="O122" i="3"/>
  <c r="N134" i="3"/>
  <c r="I134" i="3"/>
  <c r="N140" i="3"/>
  <c r="N10" i="3" s="1"/>
  <c r="G21" i="10"/>
  <c r="F22" i="10"/>
  <c r="Z212" i="3"/>
  <c r="E24" i="4"/>
  <c r="G24" i="4"/>
  <c r="I24" i="4"/>
  <c r="K24" i="4"/>
  <c r="O27" i="5"/>
  <c r="Q27" i="5"/>
  <c r="O39" i="10" s="1"/>
  <c r="P83" i="5"/>
  <c r="M37" i="10"/>
  <c r="L232" i="6"/>
  <c r="G12" i="7"/>
  <c r="G11" i="7" s="1"/>
  <c r="I12" i="7"/>
  <c r="I11" i="7" s="1"/>
  <c r="E17" i="7"/>
  <c r="I17" i="7"/>
  <c r="D41" i="7"/>
  <c r="E41" i="7"/>
  <c r="E38" i="7" s="1"/>
  <c r="Q44" i="7"/>
  <c r="D188" i="8"/>
  <c r="D209" i="8"/>
  <c r="D208" i="8" s="1"/>
  <c r="J116" i="3"/>
  <c r="G116" i="3"/>
  <c r="F122" i="3"/>
  <c r="H122" i="3"/>
  <c r="F129" i="3"/>
  <c r="F128" i="3" s="1"/>
  <c r="J129" i="3"/>
  <c r="J128" i="3" s="1"/>
  <c r="J134" i="3"/>
  <c r="D21" i="10"/>
  <c r="F21" i="10"/>
  <c r="C21" i="10"/>
  <c r="L21" i="10"/>
  <c r="P188" i="3"/>
  <c r="Q188" i="3"/>
  <c r="E207" i="3"/>
  <c r="G206" i="3"/>
  <c r="I206" i="3"/>
  <c r="K206" i="3"/>
  <c r="N206" i="3"/>
  <c r="P206" i="3"/>
  <c r="F206" i="3"/>
  <c r="H206" i="3"/>
  <c r="J206" i="3"/>
  <c r="O206" i="3"/>
  <c r="Q206" i="3"/>
  <c r="K10" i="4"/>
  <c r="P10" i="4"/>
  <c r="R10" i="4"/>
  <c r="G14" i="4"/>
  <c r="G13" i="4" s="1"/>
  <c r="I14" i="4"/>
  <c r="I13" i="4" s="1"/>
  <c r="P14" i="4"/>
  <c r="P13" i="4" s="1"/>
  <c r="R14" i="4"/>
  <c r="R13" i="4" s="1"/>
  <c r="O14" i="4"/>
  <c r="H14" i="4"/>
  <c r="H13" i="4" s="1"/>
  <c r="D48" i="4"/>
  <c r="J62" i="4"/>
  <c r="J63" i="4"/>
  <c r="N80" i="4"/>
  <c r="N79" i="4" s="1"/>
  <c r="D85" i="4"/>
  <c r="D84" i="4" s="1"/>
  <c r="E23" i="5"/>
  <c r="E22" i="5" s="1"/>
  <c r="E39" i="5"/>
  <c r="N38" i="5"/>
  <c r="E45" i="5"/>
  <c r="E44" i="5" s="1"/>
  <c r="L78" i="5"/>
  <c r="I71" i="1" s="1"/>
  <c r="E84" i="5"/>
  <c r="G84" i="5"/>
  <c r="I84" i="5"/>
  <c r="N108" i="5"/>
  <c r="N104" i="5" s="1"/>
  <c r="K76" i="6"/>
  <c r="N75" i="6"/>
  <c r="L31" i="10" s="1"/>
  <c r="L26" i="10" s="1"/>
  <c r="L12" i="6"/>
  <c r="F12" i="6"/>
  <c r="H12" i="6"/>
  <c r="Q232" i="6"/>
  <c r="J237" i="6"/>
  <c r="L237" i="6"/>
  <c r="E233" i="6"/>
  <c r="B60" i="1" s="1"/>
  <c r="G233" i="6"/>
  <c r="D60" i="1" s="1"/>
  <c r="I233" i="6"/>
  <c r="F60" i="1" s="1"/>
  <c r="Q32" i="7"/>
  <c r="L50" i="7"/>
  <c r="E53" i="7"/>
  <c r="E50" i="7" s="1"/>
  <c r="O50" i="7"/>
  <c r="O179" i="8"/>
  <c r="P68" i="7"/>
  <c r="R68" i="7"/>
  <c r="L16" i="7"/>
  <c r="I74" i="1" s="1"/>
  <c r="I73" i="1" s="1"/>
  <c r="O16" i="7"/>
  <c r="O15" i="7" s="1"/>
  <c r="K86" i="7"/>
  <c r="N86" i="7"/>
  <c r="G12" i="8"/>
  <c r="G16" i="10"/>
  <c r="G18" i="10"/>
  <c r="K16" i="8"/>
  <c r="H20" i="1" s="1"/>
  <c r="H125" i="1" s="1"/>
  <c r="H191" i="1" s="1"/>
  <c r="L30" i="8"/>
  <c r="O30" i="8"/>
  <c r="F125" i="8"/>
  <c r="D14" i="10" s="1"/>
  <c r="E152" i="8"/>
  <c r="G152" i="8"/>
  <c r="I152" i="8"/>
  <c r="K152" i="8"/>
  <c r="N152" i="8"/>
  <c r="P152" i="8"/>
  <c r="R152" i="8"/>
  <c r="E165" i="8"/>
  <c r="I165" i="8"/>
  <c r="K165" i="8"/>
  <c r="D172" i="8"/>
  <c r="G190" i="8"/>
  <c r="G189" i="8" s="1"/>
  <c r="I190" i="8"/>
  <c r="I189" i="8" s="1"/>
  <c r="K190" i="8"/>
  <c r="K189" i="8" s="1"/>
  <c r="E196" i="8"/>
  <c r="E181" i="8" s="1"/>
  <c r="E179" i="8" s="1"/>
  <c r="I196" i="8"/>
  <c r="I181" i="8" s="1"/>
  <c r="I179" i="8" s="1"/>
  <c r="K196" i="8"/>
  <c r="K181" i="8" s="1"/>
  <c r="K179" i="8" s="1"/>
  <c r="I32" i="7"/>
  <c r="J38" i="7"/>
  <c r="L38" i="7"/>
  <c r="O38" i="7"/>
  <c r="Q38" i="7"/>
  <c r="K44" i="7"/>
  <c r="N44" i="7"/>
  <c r="J50" i="7"/>
  <c r="Q50" i="7"/>
  <c r="D72" i="7"/>
  <c r="N75" i="7"/>
  <c r="R74" i="7"/>
  <c r="O13" i="8"/>
  <c r="F18" i="8"/>
  <c r="H18" i="8"/>
  <c r="H12" i="8" s="1"/>
  <c r="E24" i="8"/>
  <c r="G24" i="8"/>
  <c r="I24" i="8"/>
  <c r="L35" i="8"/>
  <c r="E40" i="8"/>
  <c r="J40" i="8"/>
  <c r="J35" i="8" s="1"/>
  <c r="O40" i="8"/>
  <c r="O35" i="8" s="1"/>
  <c r="L45" i="8"/>
  <c r="L44" i="8" s="1"/>
  <c r="O45" i="8"/>
  <c r="O44" i="8" s="1"/>
  <c r="K55" i="8"/>
  <c r="K54" i="8" s="1"/>
  <c r="L61" i="8"/>
  <c r="O61" i="8"/>
  <c r="K69" i="8"/>
  <c r="P69" i="8"/>
  <c r="O80" i="8"/>
  <c r="H111" i="8"/>
  <c r="K115" i="8"/>
  <c r="K111" i="8" s="1"/>
  <c r="D138" i="8"/>
  <c r="E138" i="8"/>
  <c r="G138" i="8"/>
  <c r="G10" i="8" s="1"/>
  <c r="I138" i="8"/>
  <c r="K138" i="8"/>
  <c r="N138" i="8"/>
  <c r="P138" i="8"/>
  <c r="R138" i="8"/>
  <c r="D183" i="8"/>
  <c r="D182" i="8" s="1"/>
  <c r="H181" i="8"/>
  <c r="H179" i="8" s="1"/>
  <c r="L181" i="8"/>
  <c r="L179" i="8" s="1"/>
  <c r="D204" i="8"/>
  <c r="D203" i="8" s="1"/>
  <c r="G181" i="8"/>
  <c r="G179" i="8" s="1"/>
  <c r="N23" i="9"/>
  <c r="F22" i="9"/>
  <c r="D34" i="10" s="1"/>
  <c r="H22" i="9"/>
  <c r="F34" i="10" s="1"/>
  <c r="J25" i="9"/>
  <c r="N32" i="9"/>
  <c r="H142" i="9"/>
  <c r="L142" i="9"/>
  <c r="F31" i="9"/>
  <c r="F10" i="9" s="1"/>
  <c r="H31" i="9"/>
  <c r="H10" i="9" s="1"/>
  <c r="J31" i="9"/>
  <c r="J10" i="9" s="1"/>
  <c r="N43" i="9"/>
  <c r="P40" i="9"/>
  <c r="K62" i="9"/>
  <c r="K61" i="9" s="1"/>
  <c r="I84" i="9"/>
  <c r="D142" i="9"/>
  <c r="F142" i="9"/>
  <c r="J142" i="9"/>
  <c r="D274" i="2"/>
  <c r="D51" i="2"/>
  <c r="D530" i="2"/>
  <c r="N621" i="2"/>
  <c r="N620" i="2" s="1"/>
  <c r="N33" i="3"/>
  <c r="N39" i="3"/>
  <c r="I75" i="3"/>
  <c r="I74" i="3" s="1"/>
  <c r="N96" i="3"/>
  <c r="N92" i="3" s="1"/>
  <c r="Z104" i="3"/>
  <c r="I125" i="3"/>
  <c r="I122" i="3" s="1"/>
  <c r="E132" i="3"/>
  <c r="E128" i="3" s="1"/>
  <c r="O132" i="3"/>
  <c r="O128" i="3" s="1"/>
  <c r="G137" i="3"/>
  <c r="G134" i="3" s="1"/>
  <c r="L55" i="2"/>
  <c r="L54" i="2" s="1"/>
  <c r="E64" i="2"/>
  <c r="E61" i="2" s="1"/>
  <c r="E78" i="2"/>
  <c r="E75" i="2" s="1"/>
  <c r="K87" i="2"/>
  <c r="L91" i="2"/>
  <c r="L90" i="2" s="1"/>
  <c r="E94" i="2"/>
  <c r="E90" i="2" s="1"/>
  <c r="I99" i="2"/>
  <c r="N99" i="2"/>
  <c r="N98" i="2" s="1"/>
  <c r="I102" i="2"/>
  <c r="G359" i="2"/>
  <c r="N332" i="2"/>
  <c r="D332" i="2"/>
  <c r="E335" i="2"/>
  <c r="E331" i="2" s="1"/>
  <c r="L125" i="2"/>
  <c r="I127" i="2"/>
  <c r="I124" i="2" s="1"/>
  <c r="E137" i="2"/>
  <c r="I343" i="2"/>
  <c r="J160" i="2"/>
  <c r="J157" i="2" s="1"/>
  <c r="L160" i="2"/>
  <c r="L168" i="2"/>
  <c r="O168" i="2"/>
  <c r="N171" i="2"/>
  <c r="L181" i="2"/>
  <c r="N240" i="2"/>
  <c r="N239" i="2" s="1"/>
  <c r="L208" i="2"/>
  <c r="L211" i="2"/>
  <c r="O553" i="2"/>
  <c r="O552" i="2" s="1"/>
  <c r="N573" i="2"/>
  <c r="N572" i="2" s="1"/>
  <c r="E581" i="2"/>
  <c r="E580" i="2" s="1"/>
  <c r="D543" i="2"/>
  <c r="L612" i="2"/>
  <c r="L611" i="2" s="1"/>
  <c r="L537" i="2" s="1"/>
  <c r="N624" i="2"/>
  <c r="O632" i="2"/>
  <c r="Z648" i="2"/>
  <c r="Z25" i="3"/>
  <c r="D33" i="3"/>
  <c r="E33" i="3"/>
  <c r="E32" i="3" s="1"/>
  <c r="D99" i="3"/>
  <c r="D98" i="3" s="1"/>
  <c r="L99" i="3"/>
  <c r="L98" i="3" s="1"/>
  <c r="J21" i="10"/>
  <c r="G128" i="3"/>
  <c r="I128" i="3"/>
  <c r="B34" i="1"/>
  <c r="B137" i="1" s="1"/>
  <c r="B199" i="1" s="1"/>
  <c r="E216" i="3"/>
  <c r="Q13" i="4"/>
  <c r="F14" i="4"/>
  <c r="F13" i="4" s="1"/>
  <c r="J14" i="4"/>
  <c r="E55" i="4"/>
  <c r="E54" i="4" s="1"/>
  <c r="E17" i="4"/>
  <c r="B68" i="1" s="1"/>
  <c r="B123" i="1" s="1"/>
  <c r="D20" i="4"/>
  <c r="N55" i="4"/>
  <c r="N54" i="4" s="1"/>
  <c r="N20" i="4"/>
  <c r="K69" i="1" s="1"/>
  <c r="J38" i="10"/>
  <c r="D38" i="10"/>
  <c r="H38" i="10"/>
  <c r="D25" i="5"/>
  <c r="D22" i="5" s="1"/>
  <c r="E38" i="10"/>
  <c r="G10" i="5"/>
  <c r="G38" i="10"/>
  <c r="I10" i="5"/>
  <c r="I38" i="10"/>
  <c r="K10" i="5"/>
  <c r="D39" i="5"/>
  <c r="E38" i="5"/>
  <c r="L105" i="5"/>
  <c r="L104" i="5" s="1"/>
  <c r="L86" i="5"/>
  <c r="L61" i="5" s="1"/>
  <c r="K12" i="6"/>
  <c r="N12" i="6"/>
  <c r="N252" i="6"/>
  <c r="N251" i="6" s="1"/>
  <c r="N233" i="6" s="1"/>
  <c r="N237" i="6"/>
  <c r="J252" i="6"/>
  <c r="J251" i="6" s="1"/>
  <c r="J29" i="7"/>
  <c r="J28" i="7" s="1"/>
  <c r="L29" i="7"/>
  <c r="L28" i="7" s="1"/>
  <c r="I83" i="1"/>
  <c r="I82" i="1" s="1"/>
  <c r="E33" i="7"/>
  <c r="E32" i="7" s="1"/>
  <c r="N36" i="7"/>
  <c r="N32" i="7" s="1"/>
  <c r="K53" i="7"/>
  <c r="K50" i="7" s="1"/>
  <c r="K20" i="7"/>
  <c r="N53" i="7"/>
  <c r="N50" i="7" s="1"/>
  <c r="AA21" i="7"/>
  <c r="L80" i="7"/>
  <c r="O80" i="7"/>
  <c r="O10" i="7"/>
  <c r="O8" i="7" s="1"/>
  <c r="AA8" i="7" s="1"/>
  <c r="J18" i="8"/>
  <c r="O18" i="8"/>
  <c r="Q18" i="8"/>
  <c r="F15" i="10"/>
  <c r="J15" i="10"/>
  <c r="L10" i="8"/>
  <c r="I40" i="8"/>
  <c r="I35" i="8" s="1"/>
  <c r="I21" i="8"/>
  <c r="F30" i="1" s="1"/>
  <c r="F130" i="1" s="1"/>
  <c r="F192" i="1" s="1"/>
  <c r="F16" i="10"/>
  <c r="H16" i="10"/>
  <c r="E45" i="8"/>
  <c r="E44" i="8" s="1"/>
  <c r="O17" i="10"/>
  <c r="I9" i="9"/>
  <c r="I8" i="9" s="1"/>
  <c r="E204" i="3"/>
  <c r="E200" i="3" s="1"/>
  <c r="E221" i="3"/>
  <c r="N10" i="4"/>
  <c r="O71" i="4"/>
  <c r="N30" i="5"/>
  <c r="D92" i="5"/>
  <c r="I91" i="5"/>
  <c r="I90" i="5" s="1"/>
  <c r="D90" i="5" s="1"/>
  <c r="I80" i="5"/>
  <c r="I77" i="5" s="1"/>
  <c r="I76" i="5" s="1"/>
  <c r="D95" i="5"/>
  <c r="J94" i="5"/>
  <c r="D94" i="5" s="1"/>
  <c r="L112" i="5"/>
  <c r="L111" i="5" s="1"/>
  <c r="L79" i="5"/>
  <c r="L77" i="5" s="1"/>
  <c r="L76" i="5" s="1"/>
  <c r="E19" i="10"/>
  <c r="L76" i="6"/>
  <c r="L75" i="6" s="1"/>
  <c r="O76" i="6"/>
  <c r="O75" i="6" s="1"/>
  <c r="M31" i="10" s="1"/>
  <c r="K17" i="7"/>
  <c r="E24" i="7"/>
  <c r="E23" i="7" s="1"/>
  <c r="E10" i="7"/>
  <c r="K10" i="7"/>
  <c r="K14" i="7"/>
  <c r="E45" i="7"/>
  <c r="E44" i="7" s="1"/>
  <c r="D77" i="7"/>
  <c r="D74" i="7" s="1"/>
  <c r="N77" i="7"/>
  <c r="N74" i="7" s="1"/>
  <c r="G23" i="8"/>
  <c r="J14" i="8"/>
  <c r="D62" i="8"/>
  <c r="K62" i="8"/>
  <c r="K25" i="8"/>
  <c r="K65" i="8"/>
  <c r="F17" i="10"/>
  <c r="H11" i="8"/>
  <c r="E106" i="8"/>
  <c r="M106" i="8" s="1"/>
  <c r="D106" i="8" s="1"/>
  <c r="F105" i="8"/>
  <c r="F104" i="8" s="1"/>
  <c r="F10" i="8" s="1"/>
  <c r="J112" i="8"/>
  <c r="J26" i="8"/>
  <c r="G36" i="1" s="1"/>
  <c r="L112" i="8"/>
  <c r="L111" i="8" s="1"/>
  <c r="L26" i="8"/>
  <c r="I36" i="1" s="1"/>
  <c r="O112" i="8"/>
  <c r="O111" i="8" s="1"/>
  <c r="M14" i="10" s="1"/>
  <c r="J115" i="8"/>
  <c r="J32" i="8"/>
  <c r="G44" i="1" s="1"/>
  <c r="D128" i="8"/>
  <c r="D125" i="8" s="1"/>
  <c r="I128" i="8"/>
  <c r="I125" i="8" s="1"/>
  <c r="M116" i="8"/>
  <c r="K135" i="8"/>
  <c r="K134" i="8" s="1"/>
  <c r="R11" i="8"/>
  <c r="O14" i="1" s="1"/>
  <c r="E34" i="10"/>
  <c r="G9" i="9"/>
  <c r="J23" i="9"/>
  <c r="J22" i="9" s="1"/>
  <c r="J12" i="9"/>
  <c r="L23" i="9"/>
  <c r="L22" i="9" s="1"/>
  <c r="F9" i="9"/>
  <c r="H9" i="9"/>
  <c r="N100" i="9"/>
  <c r="N97" i="9" s="1"/>
  <c r="J68" i="3"/>
  <c r="L68" i="3"/>
  <c r="O68" i="3"/>
  <c r="Z68" i="3" s="1"/>
  <c r="N81" i="3"/>
  <c r="N80" i="3" s="1"/>
  <c r="L93" i="3"/>
  <c r="L92" i="3" s="1"/>
  <c r="J122" i="3"/>
  <c r="K128" i="3"/>
  <c r="P128" i="3"/>
  <c r="Z140" i="3"/>
  <c r="D143" i="3"/>
  <c r="E141" i="3"/>
  <c r="E140" i="3" s="1"/>
  <c r="E10" i="3" s="1"/>
  <c r="C22" i="10"/>
  <c r="E209" i="3"/>
  <c r="E213" i="3"/>
  <c r="E218" i="3"/>
  <c r="N218" i="3"/>
  <c r="N14" i="4"/>
  <c r="AA26" i="4"/>
  <c r="P24" i="4"/>
  <c r="K17" i="4"/>
  <c r="E46" i="4"/>
  <c r="J10" i="4"/>
  <c r="O68" i="4"/>
  <c r="O67" i="4" s="1"/>
  <c r="O10" i="4"/>
  <c r="N25" i="4"/>
  <c r="K77" i="1" s="1"/>
  <c r="N76" i="4"/>
  <c r="N28" i="4"/>
  <c r="K83" i="1" s="1"/>
  <c r="K82" i="1" s="1"/>
  <c r="D80" i="4"/>
  <c r="D79" i="4" s="1"/>
  <c r="E80" i="4"/>
  <c r="E79" i="4" s="1"/>
  <c r="E16" i="4"/>
  <c r="E15" i="5"/>
  <c r="N15" i="5"/>
  <c r="D79" i="5"/>
  <c r="N99" i="5"/>
  <c r="N98" i="5" s="1"/>
  <c r="K85" i="5"/>
  <c r="K84" i="5" s="1"/>
  <c r="N84" i="5"/>
  <c r="N83" i="5" s="1"/>
  <c r="K88" i="5"/>
  <c r="E71" i="6"/>
  <c r="E70" i="6" s="1"/>
  <c r="E11" i="6" s="1"/>
  <c r="E75" i="6"/>
  <c r="C31" i="10" s="1"/>
  <c r="G75" i="6"/>
  <c r="E31" i="10" s="1"/>
  <c r="I75" i="6"/>
  <c r="G31" i="10" s="1"/>
  <c r="P75" i="6"/>
  <c r="O244" i="6"/>
  <c r="O243" i="6" s="1"/>
  <c r="J248" i="6"/>
  <c r="J247" i="6" s="1"/>
  <c r="O248" i="6"/>
  <c r="O247" i="6" s="1"/>
  <c r="O233" i="6" s="1"/>
  <c r="J33" i="7"/>
  <c r="J32" i="7" s="1"/>
  <c r="J14" i="7"/>
  <c r="G68" i="1" s="1"/>
  <c r="G123" i="1" s="1"/>
  <c r="G185" i="1" s="1"/>
  <c r="L33" i="7"/>
  <c r="L32" i="7" s="1"/>
  <c r="L14" i="7"/>
  <c r="I68" i="1" s="1"/>
  <c r="I123" i="1" s="1"/>
  <c r="I185" i="1" s="1"/>
  <c r="O33" i="7"/>
  <c r="O32" i="7" s="1"/>
  <c r="O14" i="7"/>
  <c r="F18" i="7"/>
  <c r="H18" i="7"/>
  <c r="L80" i="1"/>
  <c r="L140" i="1" s="1"/>
  <c r="L202" i="1" s="1"/>
  <c r="D69" i="7"/>
  <c r="D68" i="7" s="1"/>
  <c r="N69" i="7"/>
  <c r="N68" i="7" s="1"/>
  <c r="I74" i="7"/>
  <c r="K74" i="7"/>
  <c r="P74" i="7"/>
  <c r="E80" i="7"/>
  <c r="Q80" i="7"/>
  <c r="K14" i="8"/>
  <c r="N14" i="8"/>
  <c r="L13" i="8"/>
  <c r="L12" i="8" s="1"/>
  <c r="Q13" i="8"/>
  <c r="P24" i="8"/>
  <c r="P23" i="8" s="1"/>
  <c r="R24" i="8"/>
  <c r="K33" i="8"/>
  <c r="H45" i="1" s="1"/>
  <c r="H145" i="1" s="1"/>
  <c r="H207" i="1" s="1"/>
  <c r="E36" i="8"/>
  <c r="E35" i="8" s="1"/>
  <c r="E16" i="8"/>
  <c r="B20" i="1" s="1"/>
  <c r="B125" i="1" s="1"/>
  <c r="B191" i="1" s="1"/>
  <c r="K40" i="8"/>
  <c r="K35" i="8" s="1"/>
  <c r="K20" i="8"/>
  <c r="K18" i="8" s="1"/>
  <c r="N40" i="8"/>
  <c r="N35" i="8" s="1"/>
  <c r="J25" i="8"/>
  <c r="G34" i="1" s="1"/>
  <c r="E54" i="8"/>
  <c r="E11" i="8" s="1"/>
  <c r="I54" i="8"/>
  <c r="N54" i="8"/>
  <c r="J72" i="8"/>
  <c r="J69" i="8" s="1"/>
  <c r="O72" i="8"/>
  <c r="O69" i="8" s="1"/>
  <c r="M17" i="10" s="1"/>
  <c r="E18" i="10"/>
  <c r="I18" i="10"/>
  <c r="L81" i="8"/>
  <c r="L80" i="8" s="1"/>
  <c r="P81" i="8"/>
  <c r="P80" i="8" s="1"/>
  <c r="P17" i="8"/>
  <c r="M22" i="1" s="1"/>
  <c r="F13" i="10"/>
  <c r="K91" i="8"/>
  <c r="I13" i="10" s="1"/>
  <c r="F14" i="10"/>
  <c r="J14" i="10"/>
  <c r="E13" i="10"/>
  <c r="I16" i="8"/>
  <c r="F20" i="1" s="1"/>
  <c r="F125" i="1" s="1"/>
  <c r="F191" i="1" s="1"/>
  <c r="G11" i="8"/>
  <c r="N14" i="9"/>
  <c r="P14" i="9"/>
  <c r="P11" i="9" s="1"/>
  <c r="R14" i="9"/>
  <c r="R11" i="9" s="1"/>
  <c r="L43" i="9"/>
  <c r="L40" i="9" s="1"/>
  <c r="L14" i="9"/>
  <c r="O142" i="9"/>
  <c r="E39" i="10"/>
  <c r="G39" i="10"/>
  <c r="I39" i="10"/>
  <c r="C17" i="10"/>
  <c r="G17" i="10"/>
  <c r="N18" i="10"/>
  <c r="N77" i="8"/>
  <c r="N74" i="8"/>
  <c r="L18" i="10" s="1"/>
  <c r="D83" i="8"/>
  <c r="K83" i="8"/>
  <c r="K80" i="8" s="1"/>
  <c r="I17" i="10" s="1"/>
  <c r="N83" i="8"/>
  <c r="N80" i="8" s="1"/>
  <c r="N91" i="8"/>
  <c r="K97" i="8"/>
  <c r="E14" i="10"/>
  <c r="E115" i="8"/>
  <c r="E111" i="8" s="1"/>
  <c r="C14" i="10" s="1"/>
  <c r="N119" i="8"/>
  <c r="L13" i="10" s="1"/>
  <c r="D120" i="8"/>
  <c r="D119" i="8" s="1"/>
  <c r="L120" i="8"/>
  <c r="L119" i="8" s="1"/>
  <c r="J13" i="10" s="1"/>
  <c r="D171" i="8"/>
  <c r="N209" i="8"/>
  <c r="N208" i="8" s="1"/>
  <c r="N181" i="8" s="1"/>
  <c r="L212" i="8"/>
  <c r="L211" i="8" s="1"/>
  <c r="I79" i="1"/>
  <c r="D216" i="8"/>
  <c r="D215" i="8" s="1"/>
  <c r="D181" i="8" s="1"/>
  <c r="D179" i="8" s="1"/>
  <c r="N25" i="9"/>
  <c r="N22" i="9" s="1"/>
  <c r="C35" i="10"/>
  <c r="G35" i="10"/>
  <c r="D32" i="9"/>
  <c r="L32" i="9"/>
  <c r="L31" i="9" s="1"/>
  <c r="L10" i="9" s="1"/>
  <c r="N34" i="9"/>
  <c r="N31" i="9" s="1"/>
  <c r="K41" i="9"/>
  <c r="K40" i="9" s="1"/>
  <c r="N41" i="9"/>
  <c r="N40" i="9" s="1"/>
  <c r="Q142" i="9"/>
  <c r="M26" i="10" l="1"/>
  <c r="P12" i="6"/>
  <c r="N19" i="10"/>
  <c r="D79" i="6"/>
  <c r="M26" i="6"/>
  <c r="O12" i="6"/>
  <c r="M19" i="10"/>
  <c r="D74" i="6"/>
  <c r="M20" i="6"/>
  <c r="V37" i="10"/>
  <c r="M65" i="3"/>
  <c r="M23" i="3"/>
  <c r="D54" i="3"/>
  <c r="M13" i="3"/>
  <c r="P277" i="6"/>
  <c r="P288" i="6" s="1"/>
  <c r="N7" i="10"/>
  <c r="AA231" i="2"/>
  <c r="D21" i="7"/>
  <c r="D19" i="7"/>
  <c r="D17" i="4"/>
  <c r="D12" i="4"/>
  <c r="Z214" i="3"/>
  <c r="D13" i="3"/>
  <c r="E30" i="10"/>
  <c r="G11" i="6"/>
  <c r="H30" i="10"/>
  <c r="J11" i="6"/>
  <c r="O11" i="6"/>
  <c r="I30" i="10"/>
  <c r="K11" i="6"/>
  <c r="D30" i="10"/>
  <c r="F11" i="6"/>
  <c r="P11" i="6"/>
  <c r="J30" i="10"/>
  <c r="L11" i="6"/>
  <c r="G30" i="10"/>
  <c r="I11" i="6"/>
  <c r="N11" i="6"/>
  <c r="M52" i="3"/>
  <c r="N45" i="3"/>
  <c r="M62" i="3"/>
  <c r="N34" i="10"/>
  <c r="D82" i="9"/>
  <c r="Q9" i="9"/>
  <c r="G34" i="10"/>
  <c r="O9" i="9"/>
  <c r="O8" i="9" s="1"/>
  <c r="N10" i="9"/>
  <c r="D84" i="9"/>
  <c r="Z84" i="9" s="1"/>
  <c r="Z552" i="2"/>
  <c r="O537" i="2"/>
  <c r="N538" i="2"/>
  <c r="M541" i="2"/>
  <c r="P538" i="2"/>
  <c r="P11" i="2"/>
  <c r="X11" i="2" s="1"/>
  <c r="O11" i="2"/>
  <c r="E356" i="2"/>
  <c r="E38" i="2"/>
  <c r="J11" i="2"/>
  <c r="D348" i="2"/>
  <c r="N331" i="2"/>
  <c r="N361" i="2"/>
  <c r="F11" i="2"/>
  <c r="H11" i="2"/>
  <c r="D244" i="2"/>
  <c r="D117" i="2"/>
  <c r="M32" i="3"/>
  <c r="M103" i="1"/>
  <c r="L34" i="10"/>
  <c r="G11" i="9"/>
  <c r="D259" i="2"/>
  <c r="D254" i="2"/>
  <c r="D252" i="2" s="1"/>
  <c r="H13" i="2"/>
  <c r="M119" i="2"/>
  <c r="O21" i="2"/>
  <c r="L31" i="1" s="1"/>
  <c r="K126" i="1"/>
  <c r="K187" i="1" s="1"/>
  <c r="Z491" i="2"/>
  <c r="I126" i="1"/>
  <c r="I187" i="1" s="1"/>
  <c r="O21" i="3"/>
  <c r="O18" i="3" s="1"/>
  <c r="C137" i="1"/>
  <c r="C199" i="1" s="1"/>
  <c r="C210" i="1" s="1"/>
  <c r="I9" i="10"/>
  <c r="F26" i="10"/>
  <c r="K61" i="1"/>
  <c r="M19" i="1"/>
  <c r="M124" i="1" s="1"/>
  <c r="M186" i="1" s="1"/>
  <c r="D400" i="2"/>
  <c r="D391" i="2" s="1"/>
  <c r="Z391" i="2" s="1"/>
  <c r="M391" i="2"/>
  <c r="K16" i="2"/>
  <c r="H21" i="1" s="1"/>
  <c r="H126" i="1" s="1"/>
  <c r="H187" i="1" s="1"/>
  <c r="D506" i="2"/>
  <c r="D504" i="2" s="1"/>
  <c r="D499" i="2" s="1"/>
  <c r="E16" i="2"/>
  <c r="B21" i="1" s="1"/>
  <c r="B126" i="1" s="1"/>
  <c r="B187" i="1" s="1"/>
  <c r="E26" i="10"/>
  <c r="E118" i="2"/>
  <c r="D26" i="10"/>
  <c r="E112" i="2"/>
  <c r="M504" i="2"/>
  <c r="E239" i="2"/>
  <c r="D562" i="2"/>
  <c r="D541" i="2" s="1"/>
  <c r="D540" i="2" s="1"/>
  <c r="H60" i="1"/>
  <c r="N103" i="1"/>
  <c r="N101" i="1" s="1"/>
  <c r="O103" i="1"/>
  <c r="O101" i="1" s="1"/>
  <c r="O100" i="1" s="1"/>
  <c r="D205" i="2"/>
  <c r="M52" i="2"/>
  <c r="N98" i="1"/>
  <c r="M98" i="1"/>
  <c r="M92" i="1" s="1"/>
  <c r="V22" i="1"/>
  <c r="D373" i="2"/>
  <c r="M360" i="2"/>
  <c r="D360" i="2" s="1"/>
  <c r="D359" i="2" s="1"/>
  <c r="X17" i="2"/>
  <c r="M20" i="3"/>
  <c r="M19" i="3" s="1"/>
  <c r="R10" i="2"/>
  <c r="R9" i="2" s="1"/>
  <c r="Q10" i="2"/>
  <c r="L145" i="1"/>
  <c r="L207" i="1" s="1"/>
  <c r="E23" i="8"/>
  <c r="R23" i="8"/>
  <c r="C16" i="10"/>
  <c r="M16" i="10"/>
  <c r="D77" i="6"/>
  <c r="D72" i="6"/>
  <c r="F30" i="10"/>
  <c r="M16" i="13"/>
  <c r="X17" i="13"/>
  <c r="X16" i="13" s="1"/>
  <c r="X12" i="13" s="1"/>
  <c r="E11" i="5"/>
  <c r="E10" i="5" s="1"/>
  <c r="K22" i="1"/>
  <c r="K127" i="1" s="1"/>
  <c r="K188" i="1" s="1"/>
  <c r="V18" i="1"/>
  <c r="X70" i="1"/>
  <c r="X69" i="1"/>
  <c r="X20" i="1"/>
  <c r="X72" i="1"/>
  <c r="J136" i="1"/>
  <c r="J198" i="1" s="1"/>
  <c r="U35" i="1"/>
  <c r="U136" i="1" s="1"/>
  <c r="U198" i="1" s="1"/>
  <c r="N64" i="1"/>
  <c r="N63" i="1" s="1"/>
  <c r="N85" i="1" s="1"/>
  <c r="U66" i="1"/>
  <c r="X66" i="1"/>
  <c r="D126" i="2"/>
  <c r="D125" i="2" s="1"/>
  <c r="O31" i="10"/>
  <c r="O26" i="10" s="1"/>
  <c r="D369" i="2"/>
  <c r="M368" i="2"/>
  <c r="O33" i="1"/>
  <c r="L11" i="3"/>
  <c r="D377" i="2"/>
  <c r="D375" i="2" s="1"/>
  <c r="J24" i="2"/>
  <c r="E133" i="2"/>
  <c r="L124" i="2"/>
  <c r="O509" i="2"/>
  <c r="R13" i="2"/>
  <c r="O33" i="2"/>
  <c r="O30" i="2" s="1"/>
  <c r="E343" i="2"/>
  <c r="E509" i="2"/>
  <c r="E10" i="2" s="1"/>
  <c r="M500" i="2"/>
  <c r="M158" i="2"/>
  <c r="I24" i="2"/>
  <c r="F24" i="2"/>
  <c r="G28" i="10"/>
  <c r="M486" i="2"/>
  <c r="M27" i="2" s="1"/>
  <c r="J38" i="1" s="1"/>
  <c r="U38" i="1" s="1"/>
  <c r="O36" i="2"/>
  <c r="M7" i="10" s="1"/>
  <c r="J536" i="2"/>
  <c r="M340" i="2"/>
  <c r="K82" i="2"/>
  <c r="K11" i="2" s="1"/>
  <c r="E68" i="2"/>
  <c r="L499" i="2"/>
  <c r="H475" i="2"/>
  <c r="F11" i="10" s="1"/>
  <c r="M102" i="2"/>
  <c r="P518" i="2"/>
  <c r="N40" i="10" s="1"/>
  <c r="K37" i="2"/>
  <c r="P36" i="2"/>
  <c r="X480" i="2"/>
  <c r="Z68" i="2"/>
  <c r="Z82" i="2"/>
  <c r="R24" i="2"/>
  <c r="D512" i="2"/>
  <c r="M169" i="2"/>
  <c r="P24" i="2"/>
  <c r="E251" i="2"/>
  <c r="N33" i="2"/>
  <c r="K51" i="1" s="1"/>
  <c r="C28" i="10"/>
  <c r="F13" i="2"/>
  <c r="G13" i="2"/>
  <c r="G37" i="2"/>
  <c r="O127" i="1"/>
  <c r="O188" i="1" s="1"/>
  <c r="D345" i="2"/>
  <c r="D344" i="2" s="1"/>
  <c r="M344" i="2"/>
  <c r="E162" i="2"/>
  <c r="K24" i="2"/>
  <c r="J475" i="2"/>
  <c r="H11" i="10" s="1"/>
  <c r="G24" i="2"/>
  <c r="M64" i="2"/>
  <c r="M61" i="2" s="1"/>
  <c r="O24" i="2"/>
  <c r="H24" i="2"/>
  <c r="D528" i="2"/>
  <c r="D527" i="2" s="1"/>
  <c r="N483" i="2"/>
  <c r="L12" i="10" s="1"/>
  <c r="P30" i="2"/>
  <c r="M512" i="2"/>
  <c r="N76" i="1"/>
  <c r="N75" i="1" s="1"/>
  <c r="N86" i="1" s="1"/>
  <c r="G137" i="1"/>
  <c r="G199" i="1" s="1"/>
  <c r="C76" i="1"/>
  <c r="C75" i="1" s="1"/>
  <c r="C86" i="1" s="1"/>
  <c r="U69" i="1"/>
  <c r="D64" i="1"/>
  <c r="D63" i="1" s="1"/>
  <c r="D85" i="1" s="1"/>
  <c r="N31" i="1"/>
  <c r="N132" i="1" s="1"/>
  <c r="N194" i="1" s="1"/>
  <c r="O31" i="1"/>
  <c r="O26" i="1" s="1"/>
  <c r="M31" i="1"/>
  <c r="M132" i="1" s="1"/>
  <c r="M194" i="1" s="1"/>
  <c r="O540" i="2"/>
  <c r="O539" i="2" s="1"/>
  <c r="L20" i="10"/>
  <c r="E33" i="1"/>
  <c r="D14" i="6"/>
  <c r="F34" i="1"/>
  <c r="F137" i="1" s="1"/>
  <c r="I19" i="10"/>
  <c r="M76" i="6"/>
  <c r="M248" i="6"/>
  <c r="M247" i="6" s="1"/>
  <c r="M233" i="6" s="1"/>
  <c r="M232" i="6" s="1"/>
  <c r="E137" i="1"/>
  <c r="E199" i="1" s="1"/>
  <c r="E210" i="1" s="1"/>
  <c r="M139" i="1"/>
  <c r="M201" i="1" s="1"/>
  <c r="M33" i="1"/>
  <c r="D139" i="1"/>
  <c r="D201" i="1" s="1"/>
  <c r="D33" i="1"/>
  <c r="D488" i="2"/>
  <c r="N127" i="1"/>
  <c r="N188" i="1" s="1"/>
  <c r="I50" i="2"/>
  <c r="I44" i="2" s="1"/>
  <c r="G8" i="10" s="1"/>
  <c r="B37" i="1"/>
  <c r="B33" i="1" s="1"/>
  <c r="E45" i="2"/>
  <c r="I37" i="2"/>
  <c r="I36" i="2" s="1"/>
  <c r="G7" i="10" s="1"/>
  <c r="X37" i="2"/>
  <c r="N45" i="2"/>
  <c r="N27" i="2"/>
  <c r="K38" i="1" s="1"/>
  <c r="K139" i="1" s="1"/>
  <c r="K201" i="1" s="1"/>
  <c r="L27" i="2"/>
  <c r="I38" i="1" s="1"/>
  <c r="I139" i="1" s="1"/>
  <c r="I201" i="1" s="1"/>
  <c r="I37" i="1"/>
  <c r="I138" i="1" s="1"/>
  <c r="I200" i="1" s="1"/>
  <c r="L45" i="2"/>
  <c r="L44" i="2" s="1"/>
  <c r="J8" i="10" s="1"/>
  <c r="H37" i="2"/>
  <c r="E139" i="2"/>
  <c r="H26" i="10"/>
  <c r="E58" i="2"/>
  <c r="M60" i="2"/>
  <c r="D60" i="2" s="1"/>
  <c r="D58" i="2" s="1"/>
  <c r="D534" i="2"/>
  <c r="Z534" i="2" s="1"/>
  <c r="M525" i="2"/>
  <c r="M524" i="2" s="1"/>
  <c r="M523" i="2" s="1"/>
  <c r="K41" i="10" s="1"/>
  <c r="M533" i="2"/>
  <c r="M532" i="2" s="1"/>
  <c r="D511" i="2"/>
  <c r="M477" i="2"/>
  <c r="M26" i="2"/>
  <c r="M256" i="2"/>
  <c r="D258" i="2"/>
  <c r="D256" i="2" s="1"/>
  <c r="D251" i="2" s="1"/>
  <c r="D237" i="2"/>
  <c r="D235" i="2" s="1"/>
  <c r="D231" i="2" s="1"/>
  <c r="M235" i="2"/>
  <c r="M231" i="2" s="1"/>
  <c r="D230" i="2"/>
  <c r="D229" i="2" s="1"/>
  <c r="M229" i="2"/>
  <c r="M224" i="2" s="1"/>
  <c r="N51" i="1"/>
  <c r="N52" i="1" s="1"/>
  <c r="O51" i="1"/>
  <c r="O52" i="1" s="1"/>
  <c r="M51" i="1"/>
  <c r="M52" i="1" s="1"/>
  <c r="D395" i="2"/>
  <c r="D383" i="2" s="1"/>
  <c r="D382" i="2" s="1"/>
  <c r="D336" i="2"/>
  <c r="D335" i="2" s="1"/>
  <c r="D331" i="2" s="1"/>
  <c r="M335" i="2"/>
  <c r="M331" i="2" s="1"/>
  <c r="M47" i="2"/>
  <c r="M28" i="2" s="1"/>
  <c r="J39" i="1" s="1"/>
  <c r="N60" i="1"/>
  <c r="N59" i="1" s="1"/>
  <c r="E32" i="2"/>
  <c r="B45" i="1" s="1"/>
  <c r="B145" i="1" s="1"/>
  <c r="B207" i="1" s="1"/>
  <c r="E390" i="2"/>
  <c r="M14" i="3"/>
  <c r="J19" i="1" s="1"/>
  <c r="X9" i="3"/>
  <c r="E17" i="3"/>
  <c r="E15" i="3" s="1"/>
  <c r="E11" i="3" s="1"/>
  <c r="M15" i="3"/>
  <c r="N9" i="9"/>
  <c r="D47" i="9"/>
  <c r="D42" i="9"/>
  <c r="D79" i="9"/>
  <c r="D67" i="9"/>
  <c r="D66" i="9" s="1"/>
  <c r="D65" i="9" s="1"/>
  <c r="M66" i="9"/>
  <c r="M65" i="9" s="1"/>
  <c r="G61" i="1"/>
  <c r="C61" i="1"/>
  <c r="C59" i="1" s="1"/>
  <c r="C87" i="1" s="1"/>
  <c r="E61" i="1"/>
  <c r="M68" i="7"/>
  <c r="D245" i="6"/>
  <c r="D237" i="6" s="1"/>
  <c r="D236" i="6" s="1"/>
  <c r="D235" i="6" s="1"/>
  <c r="M237" i="6"/>
  <c r="K65" i="1"/>
  <c r="K64" i="1" s="1"/>
  <c r="K63" i="1" s="1"/>
  <c r="K85" i="1" s="1"/>
  <c r="M65" i="1"/>
  <c r="N11" i="5"/>
  <c r="N10" i="5" s="1"/>
  <c r="O38" i="10"/>
  <c r="J11" i="5"/>
  <c r="F11" i="5"/>
  <c r="N38" i="10"/>
  <c r="H11" i="5"/>
  <c r="D20" i="5"/>
  <c r="M19" i="5"/>
  <c r="M18" i="5" s="1"/>
  <c r="M22" i="4"/>
  <c r="L28" i="1"/>
  <c r="E46" i="1"/>
  <c r="E147" i="1" s="1"/>
  <c r="E209" i="1" s="1"/>
  <c r="L126" i="1"/>
  <c r="L187" i="1" s="1"/>
  <c r="O92" i="1"/>
  <c r="E137" i="3"/>
  <c r="E134" i="3" s="1"/>
  <c r="E23" i="3"/>
  <c r="E21" i="3" s="1"/>
  <c r="E18" i="3" s="1"/>
  <c r="D144" i="3"/>
  <c r="P76" i="5"/>
  <c r="I80" i="1"/>
  <c r="I140" i="1" s="1"/>
  <c r="I202" i="1" s="1"/>
  <c r="N147" i="1"/>
  <c r="N209" i="1" s="1"/>
  <c r="M147" i="1"/>
  <c r="M209" i="1" s="1"/>
  <c r="O147" i="1"/>
  <c r="O209" i="1" s="1"/>
  <c r="U70" i="1"/>
  <c r="W77" i="1" s="1"/>
  <c r="X20" i="2"/>
  <c r="D112" i="5"/>
  <c r="D75" i="5"/>
  <c r="D73" i="5" s="1"/>
  <c r="L38" i="10"/>
  <c r="M38" i="10"/>
  <c r="L84" i="5"/>
  <c r="L83" i="5" s="1"/>
  <c r="P38" i="10"/>
  <c r="M76" i="1"/>
  <c r="M75" i="1" s="1"/>
  <c r="M86" i="1" s="1"/>
  <c r="E76" i="1"/>
  <c r="E75" i="1" s="1"/>
  <c r="E86" i="1" s="1"/>
  <c r="D76" i="1"/>
  <c r="D75" i="1" s="1"/>
  <c r="D86" i="1" s="1"/>
  <c r="L128" i="1"/>
  <c r="L189" i="1" s="1"/>
  <c r="L68" i="1"/>
  <c r="N33" i="1"/>
  <c r="D90" i="3"/>
  <c r="D89" i="3" s="1"/>
  <c r="M89" i="3"/>
  <c r="D130" i="3"/>
  <c r="L125" i="1"/>
  <c r="L191" i="1" s="1"/>
  <c r="G46" i="1"/>
  <c r="G147" i="1" s="1"/>
  <c r="G209" i="1" s="1"/>
  <c r="E103" i="1"/>
  <c r="E101" i="1" s="1"/>
  <c r="M18" i="7"/>
  <c r="J80" i="1"/>
  <c r="H76" i="1"/>
  <c r="L74" i="1"/>
  <c r="L76" i="1"/>
  <c r="G76" i="1"/>
  <c r="G75" i="1" s="1"/>
  <c r="G86" i="1" s="1"/>
  <c r="G100" i="1" s="1"/>
  <c r="H61" i="1"/>
  <c r="C103" i="1"/>
  <c r="C101" i="1" s="1"/>
  <c r="F76" i="1"/>
  <c r="F75" i="1" s="1"/>
  <c r="F86" i="1" s="1"/>
  <c r="H83" i="1"/>
  <c r="H82" i="1" s="1"/>
  <c r="M30" i="10"/>
  <c r="M25" i="10" s="1"/>
  <c r="X30" i="10"/>
  <c r="I65" i="1"/>
  <c r="I64" i="1" s="1"/>
  <c r="I63" i="1" s="1"/>
  <c r="I85" i="1" s="1"/>
  <c r="E59" i="1"/>
  <c r="E87" i="1" s="1"/>
  <c r="U72" i="1"/>
  <c r="M125" i="1"/>
  <c r="M191" i="1" s="1"/>
  <c r="H19" i="1"/>
  <c r="H124" i="1" s="1"/>
  <c r="H186" i="1" s="1"/>
  <c r="X19" i="10"/>
  <c r="E98" i="1"/>
  <c r="E92" i="1" s="1"/>
  <c r="C98" i="1"/>
  <c r="C92" i="1" s="1"/>
  <c r="W19" i="10"/>
  <c r="H34" i="1"/>
  <c r="F65" i="1"/>
  <c r="F64" i="1" s="1"/>
  <c r="F63" i="1" s="1"/>
  <c r="F85" i="1" s="1"/>
  <c r="AA16" i="4"/>
  <c r="B67" i="1"/>
  <c r="B64" i="1" s="1"/>
  <c r="M21" i="4"/>
  <c r="B74" i="1"/>
  <c r="B73" i="1" s="1"/>
  <c r="L82" i="1"/>
  <c r="N21" i="4"/>
  <c r="N13" i="4" s="1"/>
  <c r="F103" i="1"/>
  <c r="F101" i="1" s="1"/>
  <c r="K76" i="1"/>
  <c r="K75" i="1" s="1"/>
  <c r="K86" i="1" s="1"/>
  <c r="AA17" i="4"/>
  <c r="H68" i="1"/>
  <c r="H123" i="1" s="1"/>
  <c r="H185" i="1" s="1"/>
  <c r="B185" i="1"/>
  <c r="A133" i="1"/>
  <c r="P123" i="1"/>
  <c r="P63" i="1"/>
  <c r="P85" i="1" s="1"/>
  <c r="H103" i="1"/>
  <c r="H101" i="1" s="1"/>
  <c r="D103" i="1"/>
  <c r="D101" i="1" s="1"/>
  <c r="C18" i="1"/>
  <c r="C122" i="1" s="1"/>
  <c r="Z92" i="3"/>
  <c r="F31" i="1"/>
  <c r="F132" i="1" s="1"/>
  <c r="F194" i="1" s="1"/>
  <c r="E18" i="1"/>
  <c r="E122" i="1" s="1"/>
  <c r="K34" i="1"/>
  <c r="K137" i="1" s="1"/>
  <c r="K199" i="1" s="1"/>
  <c r="I34" i="1"/>
  <c r="I137" i="1" s="1"/>
  <c r="I199" i="1" s="1"/>
  <c r="N145" i="1"/>
  <c r="N207" i="1" s="1"/>
  <c r="N41" i="1"/>
  <c r="O122" i="1"/>
  <c r="O17" i="1"/>
  <c r="G128" i="1"/>
  <c r="G189" i="1" s="1"/>
  <c r="M145" i="1"/>
  <c r="M207" i="1" s="1"/>
  <c r="M41" i="1"/>
  <c r="I536" i="2"/>
  <c r="F61" i="1"/>
  <c r="F59" i="1" s="1"/>
  <c r="E546" i="2"/>
  <c r="E545" i="2" s="1"/>
  <c r="B103" i="1" s="1"/>
  <c r="B101" i="1" s="1"/>
  <c r="B78" i="1"/>
  <c r="B76" i="1" s="1"/>
  <c r="B75" i="1" s="1"/>
  <c r="B86" i="1" s="1"/>
  <c r="U42" i="1"/>
  <c r="B143" i="1"/>
  <c r="B205" i="1" s="1"/>
  <c r="K30" i="2"/>
  <c r="H46" i="1"/>
  <c r="H147" i="1" s="1"/>
  <c r="H209" i="1" s="1"/>
  <c r="F19" i="2"/>
  <c r="C31" i="1"/>
  <c r="J540" i="2"/>
  <c r="J539" i="2" s="1"/>
  <c r="G65" i="1"/>
  <c r="G64" i="1" s="1"/>
  <c r="G63" i="1" s="1"/>
  <c r="G85" i="1" s="1"/>
  <c r="M127" i="1"/>
  <c r="M188" i="1" s="1"/>
  <c r="M28" i="1"/>
  <c r="M128" i="1"/>
  <c r="M189" i="1" s="1"/>
  <c r="K138" i="1"/>
  <c r="K200" i="1" s="1"/>
  <c r="I30" i="2"/>
  <c r="F46" i="1"/>
  <c r="F147" i="1" s="1"/>
  <c r="F209" i="1" s="1"/>
  <c r="K540" i="2"/>
  <c r="K539" i="2" s="1"/>
  <c r="H65" i="1"/>
  <c r="G536" i="2"/>
  <c r="D61" i="1"/>
  <c r="D59" i="1" s="1"/>
  <c r="D87" i="1" s="1"/>
  <c r="L127" i="1"/>
  <c r="L188" i="1" s="1"/>
  <c r="D18" i="1"/>
  <c r="D122" i="1" s="1"/>
  <c r="O41" i="1"/>
  <c r="D41" i="1"/>
  <c r="G142" i="1"/>
  <c r="G204" i="1" s="1"/>
  <c r="R10" i="8"/>
  <c r="P13" i="10"/>
  <c r="U20" i="1"/>
  <c r="J125" i="1"/>
  <c r="J191" i="1" s="1"/>
  <c r="C141" i="1"/>
  <c r="C203" i="1" s="1"/>
  <c r="C33" i="1"/>
  <c r="L33" i="1"/>
  <c r="O207" i="1"/>
  <c r="O90" i="1"/>
  <c r="O116" i="1"/>
  <c r="O112" i="1"/>
  <c r="I141" i="1"/>
  <c r="I203" i="1" s="1"/>
  <c r="G141" i="1"/>
  <c r="G203" i="1" s="1"/>
  <c r="G33" i="1"/>
  <c r="N112" i="1"/>
  <c r="N90" i="1"/>
  <c r="N116" i="1"/>
  <c r="P10" i="8"/>
  <c r="N13" i="10"/>
  <c r="Q10" i="8"/>
  <c r="Q9" i="8" s="1"/>
  <c r="O13" i="10"/>
  <c r="U30" i="1"/>
  <c r="U130" i="1" s="1"/>
  <c r="U192" i="1" s="1"/>
  <c r="J130" i="1"/>
  <c r="J192" i="1" s="1"/>
  <c r="M13" i="10"/>
  <c r="E142" i="1"/>
  <c r="E204" i="1" s="1"/>
  <c r="C142" i="1"/>
  <c r="C204" i="1" s="1"/>
  <c r="C41" i="1"/>
  <c r="L199" i="1"/>
  <c r="A148" i="1"/>
  <c r="R11" i="5"/>
  <c r="M14" i="5"/>
  <c r="N122" i="1"/>
  <c r="N17" i="1"/>
  <c r="I128" i="1"/>
  <c r="I189" i="1" s="1"/>
  <c r="AA20" i="4"/>
  <c r="D110" i="4"/>
  <c r="D109" i="4" s="1"/>
  <c r="D104" i="4" s="1"/>
  <c r="M109" i="4"/>
  <c r="M104" i="4" s="1"/>
  <c r="D99" i="4"/>
  <c r="D98" i="4" s="1"/>
  <c r="D94" i="4" s="1"/>
  <c r="M98" i="4"/>
  <c r="M94" i="4" s="1"/>
  <c r="D47" i="4"/>
  <c r="D46" i="4" s="1"/>
  <c r="M46" i="4"/>
  <c r="M67" i="4"/>
  <c r="M12" i="13"/>
  <c r="K9" i="9"/>
  <c r="K8" i="9" s="1"/>
  <c r="D31" i="9"/>
  <c r="X11" i="9"/>
  <c r="E9" i="9"/>
  <c r="E8" i="9" s="1"/>
  <c r="J11" i="9"/>
  <c r="P8" i="9"/>
  <c r="X9" i="9"/>
  <c r="X8" i="9" s="1"/>
  <c r="M33" i="7"/>
  <c r="M36" i="7"/>
  <c r="M16" i="7"/>
  <c r="D89" i="7"/>
  <c r="M89" i="7"/>
  <c r="D84" i="7"/>
  <c r="M84" i="7"/>
  <c r="M80" i="7" s="1"/>
  <c r="D48" i="7"/>
  <c r="M48" i="7"/>
  <c r="M44" i="7" s="1"/>
  <c r="D39" i="7"/>
  <c r="D38" i="7" s="1"/>
  <c r="M39" i="7"/>
  <c r="M38" i="7" s="1"/>
  <c r="J67" i="1"/>
  <c r="M24" i="7"/>
  <c r="M23" i="7" s="1"/>
  <c r="M10" i="7"/>
  <c r="M8" i="7" s="1"/>
  <c r="M14" i="7"/>
  <c r="J68" i="1" s="1"/>
  <c r="J123" i="1" s="1"/>
  <c r="J185" i="1" s="1"/>
  <c r="M87" i="7"/>
  <c r="D80" i="7"/>
  <c r="D53" i="7"/>
  <c r="D50" i="7" s="1"/>
  <c r="M53" i="7"/>
  <c r="M50" i="7" s="1"/>
  <c r="H20" i="10"/>
  <c r="F232" i="6"/>
  <c r="G20" i="10"/>
  <c r="M75" i="6"/>
  <c r="K31" i="10" s="1"/>
  <c r="K26" i="10" s="1"/>
  <c r="D18" i="4"/>
  <c r="D220" i="3"/>
  <c r="D219" i="3" s="1"/>
  <c r="M219" i="3"/>
  <c r="M218" i="3" s="1"/>
  <c r="D208" i="3"/>
  <c r="D207" i="3" s="1"/>
  <c r="M207" i="3"/>
  <c r="E206" i="3"/>
  <c r="D116" i="8"/>
  <c r="M32" i="8"/>
  <c r="J44" i="1" s="1"/>
  <c r="D59" i="8"/>
  <c r="D58" i="8" s="1"/>
  <c r="M58" i="8"/>
  <c r="D47" i="8"/>
  <c r="M26" i="8"/>
  <c r="J36" i="1" s="1"/>
  <c r="U36" i="1" s="1"/>
  <c r="M61" i="8"/>
  <c r="M54" i="8"/>
  <c r="M20" i="8"/>
  <c r="D46" i="8"/>
  <c r="M25" i="8"/>
  <c r="M119" i="8"/>
  <c r="D22" i="8"/>
  <c r="E11" i="10"/>
  <c r="I475" i="2"/>
  <c r="G11" i="10" s="1"/>
  <c r="O19" i="2"/>
  <c r="Z200" i="3"/>
  <c r="H13" i="6"/>
  <c r="J233" i="6"/>
  <c r="I14" i="6"/>
  <c r="I13" i="6" s="1"/>
  <c r="Q10" i="6"/>
  <c r="M236" i="6"/>
  <c r="M235" i="6" s="1"/>
  <c r="H232" i="6"/>
  <c r="J20" i="10"/>
  <c r="I20" i="10"/>
  <c r="K75" i="6"/>
  <c r="H98" i="1" s="1"/>
  <c r="H92" i="1" s="1"/>
  <c r="G232" i="6"/>
  <c r="X232" i="6"/>
  <c r="E20" i="10"/>
  <c r="C19" i="10"/>
  <c r="O30" i="10"/>
  <c r="O25" i="10" s="1"/>
  <c r="V125" i="1"/>
  <c r="X236" i="6"/>
  <c r="X235" i="6" s="1"/>
  <c r="K39" i="10"/>
  <c r="E41" i="4"/>
  <c r="AB43" i="4" s="1"/>
  <c r="X476" i="2"/>
  <c r="X475" i="2" s="1"/>
  <c r="X518" i="2"/>
  <c r="X14" i="2"/>
  <c r="X21" i="2"/>
  <c r="X42" i="2"/>
  <c r="X15" i="2"/>
  <c r="V24" i="1"/>
  <c r="X18" i="2"/>
  <c r="X16" i="2"/>
  <c r="E212" i="3"/>
  <c r="L128" i="3"/>
  <c r="L9" i="3" s="1"/>
  <c r="L8" i="3" s="1"/>
  <c r="M190" i="8"/>
  <c r="M189" i="8" s="1"/>
  <c r="M183" i="8"/>
  <c r="M182" i="8" s="1"/>
  <c r="I9" i="3"/>
  <c r="I8" i="3" s="1"/>
  <c r="H10" i="10"/>
  <c r="H28" i="10"/>
  <c r="E14" i="1"/>
  <c r="M61" i="1"/>
  <c r="M59" i="1" s="1"/>
  <c r="I20" i="2"/>
  <c r="F29" i="1" s="1"/>
  <c r="F128" i="1" s="1"/>
  <c r="F189" i="1" s="1"/>
  <c r="D625" i="2"/>
  <c r="D624" i="2" s="1"/>
  <c r="M625" i="2"/>
  <c r="M624" i="2" s="1"/>
  <c r="J483" i="2"/>
  <c r="H12" i="10" s="1"/>
  <c r="F9" i="2"/>
  <c r="O19" i="6"/>
  <c r="O13" i="6" s="1"/>
  <c r="AA16" i="7"/>
  <c r="E483" i="2"/>
  <c r="C12" i="10" s="1"/>
  <c r="R30" i="2"/>
  <c r="F11" i="9"/>
  <c r="Z207" i="2"/>
  <c r="E20" i="2"/>
  <c r="B29" i="1" s="1"/>
  <c r="O518" i="2"/>
  <c r="M40" i="10" s="1"/>
  <c r="P475" i="2"/>
  <c r="N11" i="10" s="1"/>
  <c r="M201" i="2"/>
  <c r="D102" i="2"/>
  <c r="G30" i="2"/>
  <c r="E337" i="2"/>
  <c r="E259" i="2"/>
  <c r="F30" i="2"/>
  <c r="F23" i="2" s="1"/>
  <c r="C99" i="1" s="1"/>
  <c r="O14" i="2"/>
  <c r="Q23" i="8"/>
  <c r="R19" i="2"/>
  <c r="R483" i="2"/>
  <c r="P12" i="10" s="1"/>
  <c r="Z560" i="2"/>
  <c r="E55" i="2"/>
  <c r="Z527" i="2"/>
  <c r="E198" i="2"/>
  <c r="R536" i="2"/>
  <c r="Q30" i="2"/>
  <c r="Q23" i="2" s="1"/>
  <c r="N99" i="1" s="1"/>
  <c r="N518" i="2"/>
  <c r="L40" i="10" s="1"/>
  <c r="D519" i="2"/>
  <c r="L33" i="2"/>
  <c r="I46" i="1" s="1"/>
  <c r="I147" i="1" s="1"/>
  <c r="I209" i="1" s="1"/>
  <c r="P13" i="2"/>
  <c r="L484" i="2"/>
  <c r="L475" i="2"/>
  <c r="J11" i="10" s="1"/>
  <c r="Q475" i="2"/>
  <c r="O11" i="10" s="1"/>
  <c r="E540" i="2"/>
  <c r="E539" i="2" s="1"/>
  <c r="D492" i="2"/>
  <c r="D491" i="2" s="1"/>
  <c r="E359" i="2"/>
  <c r="N14" i="2"/>
  <c r="N13" i="2" s="1"/>
  <c r="R44" i="2"/>
  <c r="P8" i="10" s="1"/>
  <c r="L487" i="2"/>
  <c r="Z214" i="2"/>
  <c r="H483" i="2"/>
  <c r="F12" i="10" s="1"/>
  <c r="Q483" i="2"/>
  <c r="O12" i="10" s="1"/>
  <c r="P483" i="2"/>
  <c r="N12" i="10" s="1"/>
  <c r="K475" i="2"/>
  <c r="I11" i="10" s="1"/>
  <c r="P44" i="2"/>
  <c r="N8" i="10" s="1"/>
  <c r="Z54" i="2"/>
  <c r="O381" i="2"/>
  <c r="M28" i="10" s="1"/>
  <c r="N124" i="2"/>
  <c r="R475" i="2"/>
  <c r="O475" i="2"/>
  <c r="F475" i="2"/>
  <c r="D11" i="10" s="1"/>
  <c r="L540" i="2"/>
  <c r="L539" i="2" s="1"/>
  <c r="J30" i="2"/>
  <c r="E50" i="2"/>
  <c r="D61" i="2"/>
  <c r="I61" i="1"/>
  <c r="Z189" i="2"/>
  <c r="Q13" i="2"/>
  <c r="H30" i="2"/>
  <c r="J50" i="2"/>
  <c r="J44" i="2" s="1"/>
  <c r="H8" i="10" s="1"/>
  <c r="E24" i="2"/>
  <c r="J65" i="1"/>
  <c r="S14" i="4"/>
  <c r="S13" i="4" s="1"/>
  <c r="M24" i="4"/>
  <c r="M14" i="4"/>
  <c r="M13" i="4" s="1"/>
  <c r="M10" i="4"/>
  <c r="E33" i="2"/>
  <c r="L21" i="2"/>
  <c r="L42" i="2"/>
  <c r="L36" i="2" s="1"/>
  <c r="J7" i="10" s="1"/>
  <c r="K21" i="2"/>
  <c r="K42" i="2"/>
  <c r="G21" i="2"/>
  <c r="D31" i="1" s="1"/>
  <c r="G42" i="2"/>
  <c r="J21" i="2"/>
  <c r="G31" i="1" s="1"/>
  <c r="G132" i="1" s="1"/>
  <c r="G194" i="1" s="1"/>
  <c r="J42" i="2"/>
  <c r="J36" i="2" s="1"/>
  <c r="H7" i="10" s="1"/>
  <c r="H21" i="2"/>
  <c r="E31" i="1" s="1"/>
  <c r="H42" i="2"/>
  <c r="H36" i="2" s="1"/>
  <c r="F7" i="10" s="1"/>
  <c r="O145" i="9"/>
  <c r="D91" i="5"/>
  <c r="D85" i="5"/>
  <c r="M85" i="5"/>
  <c r="M84" i="5" s="1"/>
  <c r="M36" i="5"/>
  <c r="M33" i="5" s="1"/>
  <c r="M16" i="5"/>
  <c r="M13" i="5" s="1"/>
  <c r="C39" i="10"/>
  <c r="M111" i="5"/>
  <c r="D111" i="5"/>
  <c r="M87" i="5"/>
  <c r="M105" i="5"/>
  <c r="M104" i="5" s="1"/>
  <c r="M81" i="5"/>
  <c r="M99" i="5"/>
  <c r="M98" i="5" s="1"/>
  <c r="M78" i="5"/>
  <c r="L16" i="5"/>
  <c r="L13" i="5" s="1"/>
  <c r="H44" i="2"/>
  <c r="F8" i="10" s="1"/>
  <c r="O44" i="2"/>
  <c r="M8" i="10" s="1"/>
  <c r="Q44" i="2"/>
  <c r="O8" i="10" s="1"/>
  <c r="F44" i="2"/>
  <c r="D8" i="10" s="1"/>
  <c r="N21" i="2"/>
  <c r="AA21" i="2" s="1"/>
  <c r="Q19" i="2"/>
  <c r="P19" i="2"/>
  <c r="I60" i="1"/>
  <c r="E42" i="2"/>
  <c r="Q536" i="2"/>
  <c r="N480" i="2"/>
  <c r="N475" i="2" s="1"/>
  <c r="L11" i="10" s="1"/>
  <c r="N50" i="2"/>
  <c r="N44" i="2" s="1"/>
  <c r="L8" i="10" s="1"/>
  <c r="F483" i="2"/>
  <c r="D12" i="10" s="1"/>
  <c r="K50" i="2"/>
  <c r="K44" i="2" s="1"/>
  <c r="I8" i="10" s="1"/>
  <c r="L28" i="2"/>
  <c r="I39" i="1" s="1"/>
  <c r="I143" i="1" s="1"/>
  <c r="I205" i="1" s="1"/>
  <c r="O487" i="2"/>
  <c r="O483" i="2" s="1"/>
  <c r="M12" i="10" s="1"/>
  <c r="D390" i="2"/>
  <c r="D387" i="2" s="1"/>
  <c r="L390" i="2"/>
  <c r="L32" i="2"/>
  <c r="I45" i="1" s="1"/>
  <c r="J14" i="2"/>
  <c r="J13" i="2" s="1"/>
  <c r="M616" i="2"/>
  <c r="M615" i="2" s="1"/>
  <c r="J102" i="1" s="1"/>
  <c r="U102" i="1" s="1"/>
  <c r="I28" i="10"/>
  <c r="K14" i="2"/>
  <c r="K13" i="2" s="1"/>
  <c r="I14" i="2"/>
  <c r="L14" i="2"/>
  <c r="E8" i="10"/>
  <c r="M31" i="9"/>
  <c r="F8" i="9"/>
  <c r="M62" i="9"/>
  <c r="M61" i="9" s="1"/>
  <c r="D62" i="9"/>
  <c r="D61" i="9" s="1"/>
  <c r="Z61" i="9" s="1"/>
  <c r="M59" i="9"/>
  <c r="M56" i="9" s="1"/>
  <c r="D46" i="9"/>
  <c r="D45" i="9" s="1"/>
  <c r="M46" i="9"/>
  <c r="M45" i="9" s="1"/>
  <c r="M28" i="9"/>
  <c r="M27" i="9" s="1"/>
  <c r="D28" i="9"/>
  <c r="D27" i="9" s="1"/>
  <c r="H8" i="9"/>
  <c r="G8" i="9"/>
  <c r="D25" i="9"/>
  <c r="M25" i="9"/>
  <c r="M23" i="9"/>
  <c r="D23" i="9"/>
  <c r="M50" i="9"/>
  <c r="M49" i="9" s="1"/>
  <c r="D50" i="9"/>
  <c r="D49" i="9" s="1"/>
  <c r="M43" i="9"/>
  <c r="M40" i="9" s="1"/>
  <c r="D43" i="9"/>
  <c r="J35" i="10"/>
  <c r="D32" i="3"/>
  <c r="F25" i="10"/>
  <c r="N18" i="7"/>
  <c r="N17" i="7" s="1"/>
  <c r="N12" i="7"/>
  <c r="N11" i="7" s="1"/>
  <c r="M26" i="13"/>
  <c r="P11" i="8"/>
  <c r="P9" i="8" s="1"/>
  <c r="I11" i="8"/>
  <c r="Q12" i="8"/>
  <c r="O12" i="8"/>
  <c r="R12" i="8"/>
  <c r="M115" i="8"/>
  <c r="D31" i="8"/>
  <c r="M100" i="8"/>
  <c r="M98" i="8"/>
  <c r="D92" i="8"/>
  <c r="M92" i="8"/>
  <c r="D49" i="8"/>
  <c r="M74" i="8"/>
  <c r="K18" i="10" s="1"/>
  <c r="V18" i="10" s="1"/>
  <c r="D70" i="8"/>
  <c r="M70" i="8"/>
  <c r="M69" i="8" s="1"/>
  <c r="K17" i="10" s="1"/>
  <c r="M17" i="8"/>
  <c r="M40" i="8"/>
  <c r="D14" i="8"/>
  <c r="M105" i="8"/>
  <c r="M104" i="8" s="1"/>
  <c r="M94" i="8"/>
  <c r="D94" i="8"/>
  <c r="D25" i="8"/>
  <c r="M45" i="8"/>
  <c r="M44" i="8" s="1"/>
  <c r="K16" i="10" s="1"/>
  <c r="V16" i="10" s="1"/>
  <c r="M125" i="8"/>
  <c r="M112" i="8"/>
  <c r="Z107" i="8"/>
  <c r="M19" i="8"/>
  <c r="J27" i="1" s="1"/>
  <c r="M77" i="8"/>
  <c r="M33" i="8"/>
  <c r="D27" i="8"/>
  <c r="D75" i="8"/>
  <c r="D74" i="8" s="1"/>
  <c r="D21" i="8"/>
  <c r="M36" i="8"/>
  <c r="M14" i="8"/>
  <c r="M13" i="8" s="1"/>
  <c r="N27" i="4"/>
  <c r="M42" i="4"/>
  <c r="M41" i="4" s="1"/>
  <c r="M22" i="6"/>
  <c r="D19" i="10"/>
  <c r="M70" i="6"/>
  <c r="J9" i="3"/>
  <c r="J8" i="3" s="1"/>
  <c r="F9" i="3"/>
  <c r="F8" i="3" s="1"/>
  <c r="P9" i="3"/>
  <c r="P8" i="3" s="1"/>
  <c r="K9" i="3"/>
  <c r="K8" i="3" s="1"/>
  <c r="Z116" i="3"/>
  <c r="H9" i="3"/>
  <c r="G9" i="3"/>
  <c r="G8" i="3" s="1"/>
  <c r="D9" i="10"/>
  <c r="J10" i="10"/>
  <c r="D204" i="3"/>
  <c r="D200" i="3" s="1"/>
  <c r="M204" i="3"/>
  <c r="M200" i="3" s="1"/>
  <c r="M137" i="3"/>
  <c r="M132" i="3"/>
  <c r="E9" i="10"/>
  <c r="M117" i="3"/>
  <c r="D119" i="3"/>
  <c r="D117" i="3" s="1"/>
  <c r="M96" i="3"/>
  <c r="D96" i="3"/>
  <c r="D92" i="3" s="1"/>
  <c r="M87" i="3"/>
  <c r="M86" i="3" s="1"/>
  <c r="D87" i="3"/>
  <c r="D86" i="3" s="1"/>
  <c r="D78" i="3"/>
  <c r="D77" i="3" s="1"/>
  <c r="M77" i="3"/>
  <c r="M212" i="3"/>
  <c r="M209" i="3"/>
  <c r="M206" i="3" s="1"/>
  <c r="M135" i="3"/>
  <c r="D124" i="3"/>
  <c r="D123" i="3" s="1"/>
  <c r="M123" i="3"/>
  <c r="D84" i="3"/>
  <c r="D80" i="3" s="1"/>
  <c r="M84" i="3"/>
  <c r="M80" i="3" s="1"/>
  <c r="M69" i="3"/>
  <c r="D70" i="3"/>
  <c r="D69" i="3" s="1"/>
  <c r="D58" i="3"/>
  <c r="D57" i="3"/>
  <c r="D14" i="3" s="1"/>
  <c r="Q9" i="3"/>
  <c r="I10" i="10"/>
  <c r="F9" i="10"/>
  <c r="M125" i="3"/>
  <c r="D126" i="3"/>
  <c r="D125" i="3" s="1"/>
  <c r="D221" i="3"/>
  <c r="D218" i="3" s="1"/>
  <c r="D276" i="6" s="1"/>
  <c r="M149" i="3"/>
  <c r="M146" i="3" s="1"/>
  <c r="D150" i="3"/>
  <c r="D149" i="3" s="1"/>
  <c r="D146" i="3" s="1"/>
  <c r="M141" i="3"/>
  <c r="M140" i="3" s="1"/>
  <c r="D142" i="3"/>
  <c r="M120" i="3"/>
  <c r="D121" i="3"/>
  <c r="D120" i="3" s="1"/>
  <c r="M92" i="3"/>
  <c r="M75" i="3"/>
  <c r="D76" i="3"/>
  <c r="D75" i="3" s="1"/>
  <c r="M72" i="3"/>
  <c r="D73" i="3"/>
  <c r="D72" i="3" s="1"/>
  <c r="G9" i="10"/>
  <c r="D29" i="3"/>
  <c r="D28" i="3" s="1"/>
  <c r="M29" i="3"/>
  <c r="M28" i="3" s="1"/>
  <c r="D10" i="10"/>
  <c r="D66" i="3"/>
  <c r="D23" i="3" s="1"/>
  <c r="H9" i="10"/>
  <c r="F10" i="10"/>
  <c r="D118" i="2"/>
  <c r="M641" i="2"/>
  <c r="M640" i="2" s="1"/>
  <c r="M55" i="2"/>
  <c r="M40" i="2"/>
  <c r="M18" i="2" s="1"/>
  <c r="J24" i="1" s="1"/>
  <c r="U24" i="1" s="1"/>
  <c r="D55" i="2"/>
  <c r="M515" i="2"/>
  <c r="D515" i="2"/>
  <c r="D514" i="2" s="1"/>
  <c r="M243" i="2"/>
  <c r="D243" i="2"/>
  <c r="M184" i="2"/>
  <c r="D184" i="2"/>
  <c r="M178" i="2"/>
  <c r="D178" i="2"/>
  <c r="M171" i="2"/>
  <c r="D171" i="2"/>
  <c r="D168" i="2" s="1"/>
  <c r="M152" i="2"/>
  <c r="M372" i="2"/>
  <c r="D372" i="2"/>
  <c r="M367" i="2"/>
  <c r="D371" i="2"/>
  <c r="M608" i="2"/>
  <c r="M607" i="2" s="1"/>
  <c r="D608" i="2"/>
  <c r="D607" i="2" s="1"/>
  <c r="D581" i="2"/>
  <c r="D580" i="2" s="1"/>
  <c r="M565" i="2"/>
  <c r="M564" i="2" s="1"/>
  <c r="M248" i="2"/>
  <c r="D248" i="2"/>
  <c r="D245" i="2" s="1"/>
  <c r="M204" i="2"/>
  <c r="M203" i="2" s="1"/>
  <c r="D204" i="2"/>
  <c r="D203" i="2" s="1"/>
  <c r="M199" i="2"/>
  <c r="D199" i="2"/>
  <c r="D198" i="2" s="1"/>
  <c r="M195" i="2"/>
  <c r="M194" i="2" s="1"/>
  <c r="D195" i="2"/>
  <c r="D194" i="2" s="1"/>
  <c r="M181" i="2"/>
  <c r="D181" i="2"/>
  <c r="M347" i="2"/>
  <c r="D347" i="2"/>
  <c r="M130" i="2"/>
  <c r="M129" i="2" s="1"/>
  <c r="D130" i="2"/>
  <c r="D129" i="2" s="1"/>
  <c r="M83" i="2"/>
  <c r="D83" i="2"/>
  <c r="M76" i="2"/>
  <c r="D77" i="2"/>
  <c r="M106" i="2"/>
  <c r="D106" i="2"/>
  <c r="M91" i="2"/>
  <c r="D91" i="2"/>
  <c r="M78" i="2"/>
  <c r="D80" i="2"/>
  <c r="M186" i="2"/>
  <c r="D186" i="2"/>
  <c r="D25" i="10"/>
  <c r="E25" i="10"/>
  <c r="E40" i="2"/>
  <c r="E18" i="2" s="1"/>
  <c r="B24" i="1" s="1"/>
  <c r="B129" i="1" s="1"/>
  <c r="B190" i="1" s="1"/>
  <c r="N524" i="2"/>
  <c r="N523" i="2" s="1"/>
  <c r="L41" i="10" s="1"/>
  <c r="M396" i="2"/>
  <c r="M217" i="2"/>
  <c r="D217" i="2"/>
  <c r="M174" i="2"/>
  <c r="M173" i="2" s="1"/>
  <c r="D174" i="2"/>
  <c r="D173" i="2" s="1"/>
  <c r="M165" i="2"/>
  <c r="D165" i="2"/>
  <c r="M163" i="2"/>
  <c r="M48" i="2"/>
  <c r="M29" i="2" s="1"/>
  <c r="J40" i="1" s="1"/>
  <c r="M154" i="2"/>
  <c r="D154" i="2"/>
  <c r="M146" i="2"/>
  <c r="D146" i="2"/>
  <c r="M125" i="2"/>
  <c r="M364" i="2"/>
  <c r="M632" i="2"/>
  <c r="M589" i="2"/>
  <c r="M588" i="2" s="1"/>
  <c r="D589" i="2"/>
  <c r="D588" i="2" s="1"/>
  <c r="M573" i="2"/>
  <c r="M572" i="2" s="1"/>
  <c r="M538" i="2" s="1"/>
  <c r="D573" i="2"/>
  <c r="D572" i="2" s="1"/>
  <c r="M211" i="2"/>
  <c r="M210" i="2" s="1"/>
  <c r="D211" i="2"/>
  <c r="D210" i="2" s="1"/>
  <c r="M160" i="2"/>
  <c r="D160" i="2"/>
  <c r="D157" i="2" s="1"/>
  <c r="M149" i="2"/>
  <c r="D149" i="2"/>
  <c r="M127" i="2"/>
  <c r="D127" i="2"/>
  <c r="M87" i="2"/>
  <c r="D87" i="2"/>
  <c r="M69" i="2"/>
  <c r="M68" i="2" s="1"/>
  <c r="D71" i="2"/>
  <c r="D69" i="2" s="1"/>
  <c r="D68" i="2" s="1"/>
  <c r="M116" i="2"/>
  <c r="D116" i="2"/>
  <c r="M108" i="2"/>
  <c r="D108" i="2"/>
  <c r="M99" i="2"/>
  <c r="D99" i="2"/>
  <c r="M94" i="2"/>
  <c r="D94" i="2"/>
  <c r="D484" i="2"/>
  <c r="M215" i="2"/>
  <c r="D215" i="2"/>
  <c r="M378" i="2"/>
  <c r="D379" i="2"/>
  <c r="D378" i="2" s="1"/>
  <c r="N390" i="2"/>
  <c r="N32" i="2"/>
  <c r="K45" i="1" s="1"/>
  <c r="M352" i="2"/>
  <c r="D352" i="2"/>
  <c r="D349" i="2" s="1"/>
  <c r="M118" i="2"/>
  <c r="E393" i="2"/>
  <c r="E273" i="2"/>
  <c r="M549" i="2"/>
  <c r="J78" i="1" s="1"/>
  <c r="M488" i="2"/>
  <c r="M496" i="2"/>
  <c r="M481" i="2"/>
  <c r="M479" i="2"/>
  <c r="M17" i="2" s="1"/>
  <c r="M492" i="2"/>
  <c r="G355" i="2"/>
  <c r="G11" i="2" s="1"/>
  <c r="D641" i="2"/>
  <c r="D640" i="2" s="1"/>
  <c r="M399" i="2"/>
  <c r="M398" i="2" s="1"/>
  <c r="M510" i="2"/>
  <c r="M394" i="2"/>
  <c r="M113" i="2"/>
  <c r="J19" i="10"/>
  <c r="D241" i="6"/>
  <c r="D240" i="6" s="1"/>
  <c r="D239" i="6" s="1"/>
  <c r="D256" i="6"/>
  <c r="D255" i="6" s="1"/>
  <c r="O9" i="3"/>
  <c r="L13" i="6"/>
  <c r="G19" i="10"/>
  <c r="D76" i="6"/>
  <c r="D7" i="10"/>
  <c r="P13" i="6"/>
  <c r="P236" i="6"/>
  <c r="P235" i="6" s="1"/>
  <c r="Q13" i="6"/>
  <c r="D209" i="3"/>
  <c r="D206" i="3" s="1"/>
  <c r="L18" i="9"/>
  <c r="L17" i="9" s="1"/>
  <c r="I98" i="1" s="1"/>
  <c r="I92" i="1" s="1"/>
  <c r="L10" i="5"/>
  <c r="N36" i="2"/>
  <c r="D45" i="7"/>
  <c r="D44" i="7" s="1"/>
  <c r="D10" i="7"/>
  <c r="J10" i="8"/>
  <c r="H15" i="10"/>
  <c r="M15" i="10"/>
  <c r="O10" i="8"/>
  <c r="I14" i="10"/>
  <c r="G26" i="10"/>
  <c r="L236" i="6"/>
  <c r="L235" i="6" s="1"/>
  <c r="Z188" i="3"/>
  <c r="F20" i="10"/>
  <c r="K23" i="4"/>
  <c r="G23" i="4"/>
  <c r="E475" i="2"/>
  <c r="C11" i="10" s="1"/>
  <c r="N177" i="2"/>
  <c r="N157" i="2"/>
  <c r="K14" i="4"/>
  <c r="K13" i="4" s="1"/>
  <c r="D61" i="8"/>
  <c r="N32" i="3"/>
  <c r="J16" i="10"/>
  <c r="L15" i="7"/>
  <c r="I232" i="6"/>
  <c r="E232" i="6"/>
  <c r="J236" i="6"/>
  <c r="J235" i="6" s="1"/>
  <c r="D20" i="10"/>
  <c r="I23" i="4"/>
  <c r="E23" i="4"/>
  <c r="C30" i="10"/>
  <c r="Q8" i="9"/>
  <c r="J18" i="9"/>
  <c r="J17" i="9" s="1"/>
  <c r="N179" i="8"/>
  <c r="L190" i="8"/>
  <c r="L189" i="8" s="1"/>
  <c r="N11" i="9"/>
  <c r="L11" i="8"/>
  <c r="L9" i="8" s="1"/>
  <c r="D72" i="8"/>
  <c r="D69" i="8" s="1"/>
  <c r="J24" i="8"/>
  <c r="N18" i="8"/>
  <c r="C15" i="10"/>
  <c r="N13" i="8"/>
  <c r="L18" i="7"/>
  <c r="I103" i="1" s="1"/>
  <c r="I101" i="1" s="1"/>
  <c r="H17" i="7"/>
  <c r="O12" i="7"/>
  <c r="O11" i="7" s="1"/>
  <c r="J12" i="7"/>
  <c r="J11" i="7" s="1"/>
  <c r="O234" i="6"/>
  <c r="O232" i="6" s="1"/>
  <c r="E236" i="6"/>
  <c r="E235" i="6" s="1"/>
  <c r="O25" i="6"/>
  <c r="O21" i="6" s="1"/>
  <c r="K87" i="5"/>
  <c r="K83" i="5" s="1"/>
  <c r="E19" i="5"/>
  <c r="E18" i="5" s="1"/>
  <c r="N16" i="5"/>
  <c r="N14" i="5"/>
  <c r="E14" i="5"/>
  <c r="N24" i="4"/>
  <c r="N23" i="4" s="1"/>
  <c r="E21" i="4"/>
  <c r="E14" i="4"/>
  <c r="D213" i="3"/>
  <c r="D212" i="3" s="1"/>
  <c r="D277" i="6" s="1"/>
  <c r="L12" i="9"/>
  <c r="L11" i="9" s="1"/>
  <c r="D135" i="8"/>
  <c r="D134" i="8" s="1"/>
  <c r="J111" i="8"/>
  <c r="D13" i="10"/>
  <c r="F9" i="8"/>
  <c r="K61" i="8"/>
  <c r="I16" i="10" s="1"/>
  <c r="D36" i="8"/>
  <c r="I13" i="8"/>
  <c r="K12" i="7"/>
  <c r="K11" i="7" s="1"/>
  <c r="E8" i="7"/>
  <c r="D14" i="7"/>
  <c r="D12" i="7" s="1"/>
  <c r="D24" i="7"/>
  <c r="D23" i="7" s="1"/>
  <c r="D8" i="7"/>
  <c r="N232" i="6"/>
  <c r="L22" i="6"/>
  <c r="N27" i="5"/>
  <c r="L39" i="10" s="1"/>
  <c r="D30" i="5"/>
  <c r="O21" i="4"/>
  <c r="O13" i="4" s="1"/>
  <c r="AA28" i="4"/>
  <c r="N17" i="10"/>
  <c r="W17" i="10" s="1"/>
  <c r="K11" i="8"/>
  <c r="G15" i="10"/>
  <c r="I10" i="8"/>
  <c r="I9" i="8" s="1"/>
  <c r="L12" i="7"/>
  <c r="L11" i="7" s="1"/>
  <c r="E12" i="7"/>
  <c r="E11" i="7" s="1"/>
  <c r="L20" i="7"/>
  <c r="J19" i="6"/>
  <c r="J13" i="6" s="1"/>
  <c r="E16" i="5"/>
  <c r="C38" i="10"/>
  <c r="D24" i="4"/>
  <c r="AA25" i="4"/>
  <c r="D135" i="3"/>
  <c r="M21" i="10"/>
  <c r="Z176" i="3"/>
  <c r="D553" i="2"/>
  <c r="D552" i="2" s="1"/>
  <c r="L207" i="2"/>
  <c r="D207" i="2"/>
  <c r="L177" i="2"/>
  <c r="Z128" i="3"/>
  <c r="K60" i="1"/>
  <c r="H536" i="2"/>
  <c r="E14" i="2"/>
  <c r="I34" i="10"/>
  <c r="D212" i="8"/>
  <c r="D211" i="8" s="1"/>
  <c r="D190" i="8"/>
  <c r="D189" i="8" s="1"/>
  <c r="F178" i="8" s="1"/>
  <c r="N11" i="8"/>
  <c r="L17" i="10"/>
  <c r="G9" i="8"/>
  <c r="P13" i="8"/>
  <c r="P12" i="8" s="1"/>
  <c r="D81" i="8"/>
  <c r="D80" i="8" s="1"/>
  <c r="D17" i="8"/>
  <c r="O11" i="8"/>
  <c r="H17" i="10"/>
  <c r="J11" i="8"/>
  <c r="J17" i="10"/>
  <c r="D45" i="8"/>
  <c r="D44" i="8" s="1"/>
  <c r="L15" i="10"/>
  <c r="N10" i="8"/>
  <c r="I15" i="10"/>
  <c r="K10" i="8"/>
  <c r="K13" i="8"/>
  <c r="K12" i="8" s="1"/>
  <c r="O18" i="7"/>
  <c r="L103" i="1" s="1"/>
  <c r="F17" i="7"/>
  <c r="AA14" i="7"/>
  <c r="J232" i="6"/>
  <c r="D244" i="6"/>
  <c r="D243" i="6" s="1"/>
  <c r="D234" i="6" s="1"/>
  <c r="N31" i="10"/>
  <c r="N26" i="10" s="1"/>
  <c r="D71" i="6"/>
  <c r="L25" i="6"/>
  <c r="D88" i="5"/>
  <c r="D87" i="5" s="1"/>
  <c r="D108" i="5"/>
  <c r="D34" i="5"/>
  <c r="D14" i="5"/>
  <c r="D76" i="4"/>
  <c r="D73" i="4" s="1"/>
  <c r="D27" i="4"/>
  <c r="D42" i="4"/>
  <c r="AB17" i="4"/>
  <c r="P23" i="4"/>
  <c r="L9" i="9"/>
  <c r="L8" i="9" s="1"/>
  <c r="J34" i="10"/>
  <c r="J25" i="10" s="1"/>
  <c r="H34" i="10"/>
  <c r="J9" i="9"/>
  <c r="J8" i="9" s="1"/>
  <c r="R9" i="8"/>
  <c r="I115" i="8"/>
  <c r="I111" i="8" s="1"/>
  <c r="I32" i="8"/>
  <c r="F44" i="1" s="1"/>
  <c r="J30" i="8"/>
  <c r="O24" i="8"/>
  <c r="O23" i="8" s="1"/>
  <c r="L24" i="8"/>
  <c r="L23" i="8" s="1"/>
  <c r="F13" i="8"/>
  <c r="F12" i="8" s="1"/>
  <c r="E105" i="8"/>
  <c r="E104" i="8" s="1"/>
  <c r="C13" i="10" s="1"/>
  <c r="E14" i="8"/>
  <c r="E13" i="8" s="1"/>
  <c r="E12" i="8" s="1"/>
  <c r="K24" i="8"/>
  <c r="J13" i="8"/>
  <c r="J12" i="8" s="1"/>
  <c r="K30" i="8"/>
  <c r="K8" i="7"/>
  <c r="J31" i="10"/>
  <c r="D80" i="5"/>
  <c r="N19" i="5"/>
  <c r="N18" i="5" s="1"/>
  <c r="I18" i="8"/>
  <c r="H9" i="8"/>
  <c r="AA13" i="7"/>
  <c r="D29" i="7"/>
  <c r="D28" i="7" s="1"/>
  <c r="D20" i="7"/>
  <c r="AA15" i="7"/>
  <c r="N236" i="6"/>
  <c r="N235" i="6" s="1"/>
  <c r="D252" i="6"/>
  <c r="D251" i="6" s="1"/>
  <c r="E13" i="6"/>
  <c r="D86" i="5"/>
  <c r="D84" i="5" s="1"/>
  <c r="O10" i="5"/>
  <c r="D55" i="4"/>
  <c r="D54" i="4" s="1"/>
  <c r="J13" i="4"/>
  <c r="AA14" i="4"/>
  <c r="Z632" i="2"/>
  <c r="L210" i="2"/>
  <c r="N168" i="2"/>
  <c r="L157" i="2"/>
  <c r="I98" i="2"/>
  <c r="I11" i="2" s="1"/>
  <c r="D98" i="1"/>
  <c r="D92" i="1" s="1"/>
  <c r="D521" i="2"/>
  <c r="D31" i="2"/>
  <c r="F536" i="2"/>
  <c r="D273" i="2"/>
  <c r="D73" i="6" l="1"/>
  <c r="D20" i="6"/>
  <c r="D26" i="6"/>
  <c r="D78" i="6"/>
  <c r="D75" i="6" s="1"/>
  <c r="Z21" i="6" s="1"/>
  <c r="D70" i="6"/>
  <c r="D11" i="6" s="1"/>
  <c r="D22" i="6"/>
  <c r="L26" i="1"/>
  <c r="M101" i="1"/>
  <c r="M100" i="1" s="1"/>
  <c r="D287" i="6"/>
  <c r="X287" i="6" s="1"/>
  <c r="X276" i="6"/>
  <c r="W7" i="10"/>
  <c r="W34" i="10"/>
  <c r="N25" i="10"/>
  <c r="W38" i="10"/>
  <c r="D288" i="6"/>
  <c r="X288" i="6" s="1"/>
  <c r="X277" i="6"/>
  <c r="K30" i="10"/>
  <c r="K25" i="10" s="1"/>
  <c r="M11" i="6"/>
  <c r="W30" i="10"/>
  <c r="G25" i="10"/>
  <c r="D22" i="9"/>
  <c r="M10" i="9"/>
  <c r="M537" i="2"/>
  <c r="N11" i="2"/>
  <c r="D561" i="2"/>
  <c r="D560" i="2" s="1"/>
  <c r="D538" i="2" s="1"/>
  <c r="D539" i="2"/>
  <c r="M361" i="2"/>
  <c r="M239" i="2"/>
  <c r="M251" i="2"/>
  <c r="M337" i="2"/>
  <c r="O10" i="2"/>
  <c r="L11" i="2"/>
  <c r="M349" i="2"/>
  <c r="M374" i="2"/>
  <c r="M514" i="2"/>
  <c r="D38" i="2"/>
  <c r="M10" i="13"/>
  <c r="M17" i="1"/>
  <c r="O16" i="1"/>
  <c r="D10" i="4"/>
  <c r="K35" i="10"/>
  <c r="V35" i="10" s="1"/>
  <c r="D16" i="2"/>
  <c r="M162" i="2"/>
  <c r="M359" i="2"/>
  <c r="D399" i="2"/>
  <c r="D398" i="2" s="1"/>
  <c r="Z509" i="2"/>
  <c r="K536" i="2"/>
  <c r="L51" i="1"/>
  <c r="L46" i="1"/>
  <c r="L41" i="1" s="1"/>
  <c r="L32" i="1" s="1"/>
  <c r="L49" i="1" s="1"/>
  <c r="W25" i="10"/>
  <c r="M43" i="2"/>
  <c r="M42" i="2" s="1"/>
  <c r="H59" i="1"/>
  <c r="L98" i="1"/>
  <c r="L92" i="1" s="1"/>
  <c r="M134" i="3"/>
  <c r="D52" i="2"/>
  <c r="M16" i="2"/>
  <c r="J21" i="1" s="1"/>
  <c r="L387" i="2"/>
  <c r="J29" i="10" s="1"/>
  <c r="J26" i="10" s="1"/>
  <c r="E387" i="2"/>
  <c r="C29" i="10" s="1"/>
  <c r="C26" i="10" s="1"/>
  <c r="K9" i="2"/>
  <c r="M499" i="2"/>
  <c r="D43" i="2"/>
  <c r="D14" i="1"/>
  <c r="D90" i="1" s="1"/>
  <c r="N387" i="2"/>
  <c r="L29" i="10" s="1"/>
  <c r="J60" i="1"/>
  <c r="U61" i="1"/>
  <c r="N100" i="1"/>
  <c r="K46" i="1"/>
  <c r="K52" i="1" s="1"/>
  <c r="R12" i="2"/>
  <c r="X10" i="2"/>
  <c r="X9" i="2" s="1"/>
  <c r="I76" i="1"/>
  <c r="I75" i="1" s="1"/>
  <c r="I86" i="1" s="1"/>
  <c r="I100" i="1" s="1"/>
  <c r="X13" i="2"/>
  <c r="V60" i="1"/>
  <c r="P43" i="10"/>
  <c r="M13" i="1"/>
  <c r="Q9" i="2"/>
  <c r="W40" i="10"/>
  <c r="Z518" i="2"/>
  <c r="V40" i="10"/>
  <c r="V41" i="10"/>
  <c r="K9" i="8"/>
  <c r="Z47" i="9"/>
  <c r="D83" i="5"/>
  <c r="J50" i="1"/>
  <c r="J22" i="1"/>
  <c r="D41" i="4"/>
  <c r="L21" i="6"/>
  <c r="D368" i="2"/>
  <c r="D367" i="2" s="1"/>
  <c r="O32" i="1"/>
  <c r="O49" i="1" s="1"/>
  <c r="O135" i="1" s="1"/>
  <c r="O212" i="1" s="1"/>
  <c r="D148" i="1"/>
  <c r="Y69" i="1"/>
  <c r="Y66" i="1"/>
  <c r="U65" i="1"/>
  <c r="D32" i="1"/>
  <c r="D49" i="1" s="1"/>
  <c r="E47" i="10" s="1"/>
  <c r="X68" i="1"/>
  <c r="U67" i="1"/>
  <c r="X67" i="1"/>
  <c r="V28" i="1"/>
  <c r="X28" i="1"/>
  <c r="X19" i="1"/>
  <c r="L73" i="1"/>
  <c r="V65" i="1"/>
  <c r="V122" i="1" s="1"/>
  <c r="X65" i="1"/>
  <c r="X24" i="1"/>
  <c r="Y24" i="1" s="1"/>
  <c r="Y30" i="1"/>
  <c r="U27" i="1"/>
  <c r="X27" i="1"/>
  <c r="X71" i="1"/>
  <c r="Y71" i="1" s="1"/>
  <c r="Y70" i="1"/>
  <c r="Y20" i="1"/>
  <c r="O59" i="1"/>
  <c r="O106" i="1" s="1"/>
  <c r="W81" i="1"/>
  <c r="Y72" i="1"/>
  <c r="O23" i="2"/>
  <c r="L99" i="1" s="1"/>
  <c r="L101" i="1"/>
  <c r="O132" i="1"/>
  <c r="O194" i="1" s="1"/>
  <c r="F10" i="6"/>
  <c r="P23" i="2"/>
  <c r="M99" i="1" s="1"/>
  <c r="M93" i="1" s="1"/>
  <c r="D374" i="2"/>
  <c r="H23" i="2"/>
  <c r="E99" i="1" s="1"/>
  <c r="E97" i="1" s="1"/>
  <c r="J23" i="2"/>
  <c r="G36" i="2"/>
  <c r="E7" i="10" s="1"/>
  <c r="E43" i="10" s="1"/>
  <c r="K36" i="2"/>
  <c r="I7" i="10" s="1"/>
  <c r="G23" i="2"/>
  <c r="D99" i="1" s="1"/>
  <c r="D93" i="1" s="1"/>
  <c r="M484" i="2"/>
  <c r="P9" i="2"/>
  <c r="E54" i="2"/>
  <c r="O9" i="2"/>
  <c r="G60" i="1"/>
  <c r="G59" i="1" s="1"/>
  <c r="G87" i="1" s="1"/>
  <c r="I23" i="2"/>
  <c r="F12" i="2"/>
  <c r="K23" i="2"/>
  <c r="R23" i="2"/>
  <c r="O99" i="1" s="1"/>
  <c r="M393" i="2"/>
  <c r="M509" i="2"/>
  <c r="M98" i="2"/>
  <c r="M157" i="2"/>
  <c r="D183" i="2"/>
  <c r="M168" i="2"/>
  <c r="Z36" i="2"/>
  <c r="H14" i="1"/>
  <c r="H90" i="1" s="1"/>
  <c r="D98" i="2"/>
  <c r="M58" i="2"/>
  <c r="M198" i="2"/>
  <c r="N24" i="2"/>
  <c r="X36" i="2"/>
  <c r="C100" i="1"/>
  <c r="F87" i="1"/>
  <c r="L131" i="1"/>
  <c r="L193" i="1" s="1"/>
  <c r="N26" i="1"/>
  <c r="N16" i="1" s="1"/>
  <c r="V29" i="1"/>
  <c r="X19" i="2"/>
  <c r="M19" i="6"/>
  <c r="N93" i="1"/>
  <c r="C14" i="1"/>
  <c r="C90" i="1" s="1"/>
  <c r="O184" i="1"/>
  <c r="M148" i="1"/>
  <c r="M210" i="1"/>
  <c r="N32" i="1"/>
  <c r="N49" i="1" s="1"/>
  <c r="N135" i="1" s="1"/>
  <c r="N212" i="1" s="1"/>
  <c r="M14" i="6"/>
  <c r="F33" i="1"/>
  <c r="H13" i="1"/>
  <c r="I31" i="10"/>
  <c r="I26" i="10" s="1"/>
  <c r="I44" i="10" s="1"/>
  <c r="H19" i="10"/>
  <c r="K31" i="1"/>
  <c r="K132" i="1" s="1"/>
  <c r="K194" i="1" s="1"/>
  <c r="O148" i="1"/>
  <c r="G41" i="1"/>
  <c r="G32" i="1" s="1"/>
  <c r="G49" i="1" s="1"/>
  <c r="N148" i="1"/>
  <c r="M122" i="1"/>
  <c r="M184" i="1" s="1"/>
  <c r="N210" i="1"/>
  <c r="U125" i="1"/>
  <c r="U191" i="1" s="1"/>
  <c r="M32" i="1"/>
  <c r="M49" i="1" s="1"/>
  <c r="M91" i="1" s="1"/>
  <c r="N44" i="10"/>
  <c r="V30" i="10"/>
  <c r="P536" i="2"/>
  <c r="L483" i="2"/>
  <c r="J12" i="10" s="1"/>
  <c r="K33" i="1"/>
  <c r="E37" i="2"/>
  <c r="E36" i="2" s="1"/>
  <c r="C7" i="10" s="1"/>
  <c r="M45" i="2"/>
  <c r="M37" i="2"/>
  <c r="I59" i="1"/>
  <c r="I87" i="1" s="1"/>
  <c r="O44" i="10"/>
  <c r="E90" i="1"/>
  <c r="W9" i="10"/>
  <c r="C17" i="1"/>
  <c r="E41" i="1"/>
  <c r="E32" i="1" s="1"/>
  <c r="E49" i="1" s="1"/>
  <c r="E135" i="1" s="1"/>
  <c r="J139" i="1"/>
  <c r="J201" i="1" s="1"/>
  <c r="U139" i="1"/>
  <c r="U201" i="1" s="1"/>
  <c r="N106" i="1"/>
  <c r="J144" i="1"/>
  <c r="J206" i="1" s="1"/>
  <c r="U40" i="1"/>
  <c r="U144" i="1" s="1"/>
  <c r="U206" i="1" s="1"/>
  <c r="D477" i="2"/>
  <c r="D476" i="2" s="1"/>
  <c r="D510" i="2"/>
  <c r="D509" i="2" s="1"/>
  <c r="D10" i="2" s="1"/>
  <c r="D525" i="2"/>
  <c r="D524" i="2" s="1"/>
  <c r="D523" i="2" s="1"/>
  <c r="D533" i="2"/>
  <c r="D532" i="2" s="1"/>
  <c r="L60" i="1"/>
  <c r="D133" i="3"/>
  <c r="D132" i="3" s="1"/>
  <c r="M12" i="3"/>
  <c r="M11" i="3" s="1"/>
  <c r="D65" i="3"/>
  <c r="D62" i="3" s="1"/>
  <c r="D20" i="3"/>
  <c r="D19" i="3" s="1"/>
  <c r="D12" i="9"/>
  <c r="D41" i="9"/>
  <c r="D40" i="9" s="1"/>
  <c r="D14" i="9"/>
  <c r="K38" i="10"/>
  <c r="D41" i="5"/>
  <c r="D38" i="5" s="1"/>
  <c r="M25" i="6"/>
  <c r="M21" i="6" s="1"/>
  <c r="E17" i="1"/>
  <c r="H41" i="1"/>
  <c r="O210" i="1"/>
  <c r="K59" i="1"/>
  <c r="K106" i="1" s="1"/>
  <c r="H64" i="1"/>
  <c r="H63" i="1" s="1"/>
  <c r="H85" i="1" s="1"/>
  <c r="F100" i="1"/>
  <c r="M64" i="1"/>
  <c r="M63" i="1" s="1"/>
  <c r="M85" i="1" s="1"/>
  <c r="E100" i="1"/>
  <c r="G148" i="1"/>
  <c r="C148" i="1"/>
  <c r="P44" i="10"/>
  <c r="C32" i="1"/>
  <c r="C49" i="1" s="1"/>
  <c r="C119" i="1" s="1"/>
  <c r="E148" i="1"/>
  <c r="G210" i="1"/>
  <c r="J143" i="1"/>
  <c r="J205" i="1" s="1"/>
  <c r="U39" i="1"/>
  <c r="U143" i="1" s="1"/>
  <c r="U205" i="1" s="1"/>
  <c r="D141" i="3"/>
  <c r="D140" i="3" s="1"/>
  <c r="D12" i="3"/>
  <c r="D138" i="3"/>
  <c r="D21" i="3" s="1"/>
  <c r="M77" i="5"/>
  <c r="M76" i="5" s="1"/>
  <c r="L61" i="1"/>
  <c r="L64" i="1"/>
  <c r="D22" i="4"/>
  <c r="D21" i="4" s="1"/>
  <c r="D17" i="1"/>
  <c r="D100" i="1"/>
  <c r="H87" i="1"/>
  <c r="H75" i="1"/>
  <c r="H86" i="1" s="1"/>
  <c r="H100" i="1" s="1"/>
  <c r="B63" i="1"/>
  <c r="B85" i="1" s="1"/>
  <c r="G98" i="1"/>
  <c r="G92" i="1" s="1"/>
  <c r="L123" i="1"/>
  <c r="L185" i="1" s="1"/>
  <c r="K98" i="1"/>
  <c r="K92" i="1" s="1"/>
  <c r="L124" i="1"/>
  <c r="L186" i="1" s="1"/>
  <c r="L14" i="1"/>
  <c r="L18" i="1"/>
  <c r="L132" i="1"/>
  <c r="L194" i="1" s="1"/>
  <c r="U68" i="1"/>
  <c r="V131" i="1"/>
  <c r="V17" i="10"/>
  <c r="M44" i="10"/>
  <c r="W13" i="10"/>
  <c r="U28" i="1"/>
  <c r="U131" i="1" s="1"/>
  <c r="U193" i="1" s="1"/>
  <c r="M15" i="7"/>
  <c r="J74" i="1"/>
  <c r="X74" i="1" s="1"/>
  <c r="M20" i="7"/>
  <c r="M17" i="7" s="1"/>
  <c r="J83" i="1"/>
  <c r="L75" i="1"/>
  <c r="L86" i="1" s="1"/>
  <c r="J140" i="1"/>
  <c r="J202" i="1" s="1"/>
  <c r="U80" i="1"/>
  <c r="U140" i="1" s="1"/>
  <c r="U202" i="1" s="1"/>
  <c r="V31" i="10"/>
  <c r="H137" i="1"/>
  <c r="H33" i="1"/>
  <c r="L7" i="10"/>
  <c r="V20" i="10"/>
  <c r="P185" i="1"/>
  <c r="P195" i="1" s="1"/>
  <c r="P133" i="1"/>
  <c r="P134" i="1" s="1"/>
  <c r="K103" i="1"/>
  <c r="K101" i="1" s="1"/>
  <c r="K100" i="1" s="1"/>
  <c r="B138" i="1"/>
  <c r="B200" i="1" s="1"/>
  <c r="P106" i="1"/>
  <c r="P121" i="1"/>
  <c r="J124" i="1"/>
  <c r="J186" i="1" s="1"/>
  <c r="U19" i="1"/>
  <c r="U124" i="1" s="1"/>
  <c r="N9" i="3"/>
  <c r="N8" i="3" s="1"/>
  <c r="J34" i="1"/>
  <c r="D13" i="1"/>
  <c r="D89" i="1" s="1"/>
  <c r="F199" i="1"/>
  <c r="C93" i="1"/>
  <c r="C97" i="1"/>
  <c r="I145" i="1"/>
  <c r="I207" i="1" s="1"/>
  <c r="I210" i="1" s="1"/>
  <c r="I41" i="1"/>
  <c r="K145" i="1"/>
  <c r="F14" i="1"/>
  <c r="F90" i="1" s="1"/>
  <c r="L13" i="2"/>
  <c r="I18" i="1"/>
  <c r="E132" i="1"/>
  <c r="E194" i="1" s="1"/>
  <c r="E26" i="1"/>
  <c r="D132" i="1"/>
  <c r="D194" i="1" s="1"/>
  <c r="D26" i="1"/>
  <c r="K19" i="2"/>
  <c r="K12" i="2" s="1"/>
  <c r="H31" i="1"/>
  <c r="L19" i="2"/>
  <c r="I31" i="1"/>
  <c r="J64" i="1"/>
  <c r="O43" i="10"/>
  <c r="F26" i="1"/>
  <c r="I33" i="1"/>
  <c r="H18" i="1"/>
  <c r="G26" i="1"/>
  <c r="U78" i="1"/>
  <c r="J76" i="1"/>
  <c r="J129" i="1"/>
  <c r="J190" i="1" s="1"/>
  <c r="U129" i="1"/>
  <c r="U190" i="1" s="1"/>
  <c r="I13" i="2"/>
  <c r="F18" i="1"/>
  <c r="E30" i="2"/>
  <c r="E23" i="2" s="1"/>
  <c r="B99" i="1" s="1"/>
  <c r="B93" i="1" s="1"/>
  <c r="B46" i="1"/>
  <c r="E536" i="2"/>
  <c r="B61" i="1"/>
  <c r="B59" i="1" s="1"/>
  <c r="B87" i="1" s="1"/>
  <c r="O13" i="2"/>
  <c r="O12" i="2" s="1"/>
  <c r="W11" i="10"/>
  <c r="B128" i="1"/>
  <c r="B189" i="1" s="1"/>
  <c r="K18" i="1"/>
  <c r="G18" i="1"/>
  <c r="M131" i="1"/>
  <c r="M193" i="1" s="1"/>
  <c r="M26" i="1"/>
  <c r="C132" i="1"/>
  <c r="C194" i="1" s="1"/>
  <c r="C26" i="1"/>
  <c r="B100" i="1"/>
  <c r="F142" i="1"/>
  <c r="F204" i="1" s="1"/>
  <c r="F41" i="1"/>
  <c r="M111" i="8"/>
  <c r="M14" i="1"/>
  <c r="V14" i="1" s="1"/>
  <c r="X11" i="8"/>
  <c r="B18" i="1"/>
  <c r="G14" i="10"/>
  <c r="J9" i="8"/>
  <c r="G14" i="1"/>
  <c r="G90" i="1" s="1"/>
  <c r="Z9" i="8"/>
  <c r="L13" i="1"/>
  <c r="J141" i="1"/>
  <c r="J203" i="1" s="1"/>
  <c r="U141" i="1"/>
  <c r="U203" i="1" s="1"/>
  <c r="U44" i="1"/>
  <c r="U142" i="1" s="1"/>
  <c r="U204" i="1" s="1"/>
  <c r="J142" i="1"/>
  <c r="J204" i="1" s="1"/>
  <c r="N92" i="1"/>
  <c r="X10" i="8"/>
  <c r="F13" i="1"/>
  <c r="V39" i="10"/>
  <c r="C13" i="1"/>
  <c r="F10" i="5"/>
  <c r="H10" i="5"/>
  <c r="G13" i="1"/>
  <c r="J10" i="5"/>
  <c r="N13" i="1"/>
  <c r="Q10" i="5"/>
  <c r="P10" i="5"/>
  <c r="D184" i="1"/>
  <c r="D195" i="1" s="1"/>
  <c r="N184" i="1"/>
  <c r="N195" i="1" s="1"/>
  <c r="N133" i="1"/>
  <c r="C184" i="1"/>
  <c r="C195" i="1" s="1"/>
  <c r="E184" i="1"/>
  <c r="E195" i="1" s="1"/>
  <c r="R10" i="5"/>
  <c r="O13" i="1"/>
  <c r="M23" i="4"/>
  <c r="W79" i="1"/>
  <c r="V21" i="1"/>
  <c r="V126" i="1" s="1"/>
  <c r="V68" i="1"/>
  <c r="V123" i="1" s="1"/>
  <c r="V19" i="1"/>
  <c r="M9" i="13"/>
  <c r="V32" i="10"/>
  <c r="M22" i="9"/>
  <c r="M9" i="9" s="1"/>
  <c r="M12" i="7"/>
  <c r="D36" i="7"/>
  <c r="D16" i="7"/>
  <c r="D15" i="7" s="1"/>
  <c r="D11" i="7" s="1"/>
  <c r="D33" i="7"/>
  <c r="D32" i="7" s="1"/>
  <c r="AB11" i="7" s="1"/>
  <c r="D18" i="7"/>
  <c r="D17" i="7" s="1"/>
  <c r="D87" i="7"/>
  <c r="D86" i="7" s="1"/>
  <c r="M86" i="7"/>
  <c r="M32" i="7"/>
  <c r="M97" i="8"/>
  <c r="D20" i="8"/>
  <c r="Z31" i="8" s="1"/>
  <c r="D16" i="8"/>
  <c r="D55" i="8"/>
  <c r="D54" i="8" s="1"/>
  <c r="D15" i="8"/>
  <c r="Z25" i="8" s="1"/>
  <c r="M35" i="8"/>
  <c r="M10" i="8" s="1"/>
  <c r="Q8" i="3"/>
  <c r="F98" i="1"/>
  <c r="V132" i="1"/>
  <c r="H10" i="6"/>
  <c r="L10" i="6"/>
  <c r="I10" i="6"/>
  <c r="G10" i="6"/>
  <c r="P10" i="6"/>
  <c r="X11" i="5"/>
  <c r="X10" i="5" s="1"/>
  <c r="E9" i="3"/>
  <c r="E8" i="3" s="1"/>
  <c r="X8" i="3"/>
  <c r="Q12" i="2"/>
  <c r="V129" i="1"/>
  <c r="D105" i="2"/>
  <c r="Z105" i="2" s="1"/>
  <c r="M151" i="2"/>
  <c r="H8" i="3"/>
  <c r="M74" i="3"/>
  <c r="C9" i="10"/>
  <c r="K14" i="1"/>
  <c r="D115" i="8"/>
  <c r="D32" i="8"/>
  <c r="Z32" i="8" s="1"/>
  <c r="D112" i="8"/>
  <c r="D26" i="8"/>
  <c r="D24" i="8" s="1"/>
  <c r="D74" i="3"/>
  <c r="E10" i="10"/>
  <c r="E44" i="10" s="1"/>
  <c r="Z27" i="8"/>
  <c r="Z17" i="8"/>
  <c r="I14" i="1"/>
  <c r="M546" i="2"/>
  <c r="M545" i="2" s="1"/>
  <c r="J103" i="1" s="1"/>
  <c r="U103" i="1" s="1"/>
  <c r="I19" i="2"/>
  <c r="D633" i="2"/>
  <c r="D632" i="2" s="1"/>
  <c r="D394" i="2"/>
  <c r="N12" i="8"/>
  <c r="Z381" i="2"/>
  <c r="E355" i="2"/>
  <c r="E44" i="2"/>
  <c r="C8" i="10" s="1"/>
  <c r="D112" i="2"/>
  <c r="D518" i="2"/>
  <c r="L536" i="2"/>
  <c r="P12" i="2"/>
  <c r="M112" i="2"/>
  <c r="D40" i="2"/>
  <c r="D18" i="2" s="1"/>
  <c r="J61" i="1"/>
  <c r="M11" i="10"/>
  <c r="Z475" i="2"/>
  <c r="E21" i="2"/>
  <c r="S10" i="4"/>
  <c r="AA10" i="4" s="1"/>
  <c r="AB10" i="4" s="1"/>
  <c r="H19" i="2"/>
  <c r="H12" i="2" s="1"/>
  <c r="G19" i="2"/>
  <c r="G12" i="2" s="1"/>
  <c r="J19" i="2"/>
  <c r="J12" i="2" s="1"/>
  <c r="D78" i="2"/>
  <c r="D105" i="5"/>
  <c r="N13" i="5"/>
  <c r="D104" i="5"/>
  <c r="D78" i="5"/>
  <c r="D77" i="5" s="1"/>
  <c r="D76" i="5" s="1"/>
  <c r="D99" i="5"/>
  <c r="D98" i="5" s="1"/>
  <c r="M10" i="5"/>
  <c r="D36" i="5"/>
  <c r="D33" i="5" s="1"/>
  <c r="D16" i="5"/>
  <c r="D13" i="5" s="1"/>
  <c r="M83" i="5"/>
  <c r="F44" i="10"/>
  <c r="D44" i="10"/>
  <c r="N19" i="2"/>
  <c r="N12" i="2" s="1"/>
  <c r="D177" i="2"/>
  <c r="M90" i="2"/>
  <c r="M82" i="2"/>
  <c r="D54" i="2"/>
  <c r="D42" i="2"/>
  <c r="I25" i="10"/>
  <c r="H9" i="2"/>
  <c r="M105" i="2"/>
  <c r="L24" i="2"/>
  <c r="D355" i="2"/>
  <c r="D616" i="2"/>
  <c r="D615" i="2" s="1"/>
  <c r="L30" i="2"/>
  <c r="M18" i="9"/>
  <c r="M17" i="9" s="1"/>
  <c r="D18" i="9"/>
  <c r="D17" i="9" s="1"/>
  <c r="M12" i="9"/>
  <c r="M14" i="9"/>
  <c r="M24" i="8"/>
  <c r="M18" i="8"/>
  <c r="M12" i="8" s="1"/>
  <c r="M540" i="2"/>
  <c r="M539" i="2" s="1"/>
  <c r="D33" i="8"/>
  <c r="D77" i="8"/>
  <c r="D19" i="8"/>
  <c r="D108" i="8"/>
  <c r="M91" i="8"/>
  <c r="K13" i="10" s="1"/>
  <c r="V13" i="10" s="1"/>
  <c r="M30" i="8"/>
  <c r="D100" i="8"/>
  <c r="K23" i="8"/>
  <c r="Z18" i="8"/>
  <c r="D40" i="8"/>
  <c r="D35" i="8" s="1"/>
  <c r="M11" i="8"/>
  <c r="D91" i="8"/>
  <c r="D98" i="8"/>
  <c r="D53" i="3"/>
  <c r="D52" i="3" s="1"/>
  <c r="D68" i="3"/>
  <c r="M122" i="3"/>
  <c r="M129" i="3"/>
  <c r="M128" i="3" s="1"/>
  <c r="M116" i="3"/>
  <c r="K21" i="10"/>
  <c r="V21" i="10" s="1"/>
  <c r="K22" i="10"/>
  <c r="V22" i="10" s="1"/>
  <c r="M68" i="3"/>
  <c r="D122" i="3"/>
  <c r="D116" i="3"/>
  <c r="M124" i="2"/>
  <c r="M145" i="2"/>
  <c r="M476" i="2"/>
  <c r="M487" i="2"/>
  <c r="D487" i="2"/>
  <c r="D483" i="2" s="1"/>
  <c r="N30" i="2"/>
  <c r="M33" i="2"/>
  <c r="M50" i="2"/>
  <c r="D163" i="2"/>
  <c r="D48" i="2"/>
  <c r="D29" i="2" s="1"/>
  <c r="D162" i="2"/>
  <c r="M20" i="2"/>
  <c r="J29" i="1" s="1"/>
  <c r="M385" i="2"/>
  <c r="M381" i="2" s="1"/>
  <c r="J37" i="1"/>
  <c r="U37" i="1" s="1"/>
  <c r="M75" i="2"/>
  <c r="D343" i="2"/>
  <c r="D152" i="2"/>
  <c r="D151" i="2" s="1"/>
  <c r="D26" i="2"/>
  <c r="D239" i="2"/>
  <c r="M54" i="2"/>
  <c r="D43" i="10"/>
  <c r="M491" i="2"/>
  <c r="M480" i="2"/>
  <c r="D480" i="2"/>
  <c r="D214" i="2"/>
  <c r="D364" i="2"/>
  <c r="D361" i="2" s="1"/>
  <c r="D124" i="2"/>
  <c r="D145" i="2"/>
  <c r="M214" i="2"/>
  <c r="D396" i="2"/>
  <c r="D90" i="2"/>
  <c r="Z90" i="2" s="1"/>
  <c r="D76" i="2"/>
  <c r="D47" i="2"/>
  <c r="D28" i="2" s="1"/>
  <c r="D82" i="2"/>
  <c r="D546" i="2"/>
  <c r="D565" i="2"/>
  <c r="M343" i="2"/>
  <c r="M177" i="2"/>
  <c r="M183" i="2"/>
  <c r="M390" i="2"/>
  <c r="M32" i="2"/>
  <c r="J45" i="1" s="1"/>
  <c r="U45" i="1" s="1"/>
  <c r="M14" i="2"/>
  <c r="J18" i="1" s="1"/>
  <c r="D233" i="6"/>
  <c r="J10" i="6"/>
  <c r="D25" i="6"/>
  <c r="E25" i="6"/>
  <c r="E21" i="6" s="1"/>
  <c r="F19" i="10"/>
  <c r="F43" i="10" s="1"/>
  <c r="E10" i="6"/>
  <c r="J9" i="10"/>
  <c r="J43" i="10" s="1"/>
  <c r="G43" i="10"/>
  <c r="J9" i="2"/>
  <c r="E13" i="2"/>
  <c r="AB15" i="4"/>
  <c r="AB16" i="4" s="1"/>
  <c r="C10" i="10"/>
  <c r="D19" i="6"/>
  <c r="D13" i="6" s="1"/>
  <c r="D105" i="8"/>
  <c r="Z106" i="8"/>
  <c r="H25" i="10"/>
  <c r="D14" i="4"/>
  <c r="N9" i="8"/>
  <c r="O9" i="8"/>
  <c r="N19" i="6"/>
  <c r="N13" i="6" s="1"/>
  <c r="D27" i="5"/>
  <c r="I12" i="8"/>
  <c r="E13" i="4"/>
  <c r="AA12" i="7"/>
  <c r="L17" i="7"/>
  <c r="E10" i="8"/>
  <c r="E9" i="8" s="1"/>
  <c r="J23" i="8"/>
  <c r="C25" i="10"/>
  <c r="O536" i="2"/>
  <c r="O8" i="3"/>
  <c r="AA20" i="7"/>
  <c r="I30" i="8"/>
  <c r="I23" i="8" s="1"/>
  <c r="O17" i="7"/>
  <c r="AA17" i="7" s="1"/>
  <c r="N536" i="2"/>
  <c r="D23" i="4"/>
  <c r="O10" i="6"/>
  <c r="D13" i="8"/>
  <c r="H14" i="10"/>
  <c r="H44" i="10" s="1"/>
  <c r="E13" i="5"/>
  <c r="K19" i="6"/>
  <c r="K13" i="6" s="1"/>
  <c r="D21" i="6" l="1"/>
  <c r="H43" i="10"/>
  <c r="M94" i="1"/>
  <c r="M11" i="7"/>
  <c r="L147" i="1"/>
  <c r="L209" i="1" s="1"/>
  <c r="L210" i="1" s="1"/>
  <c r="D8" i="9"/>
  <c r="K41" i="1"/>
  <c r="D537" i="2"/>
  <c r="U60" i="1" s="1"/>
  <c r="U59" i="1" s="1"/>
  <c r="M10" i="2"/>
  <c r="E11" i="2"/>
  <c r="M355" i="2"/>
  <c r="M11" i="2"/>
  <c r="D37" i="2"/>
  <c r="D36" i="2" s="1"/>
  <c r="M16" i="1"/>
  <c r="M48" i="1" s="1"/>
  <c r="L97" i="1"/>
  <c r="L96" i="1" s="1"/>
  <c r="M8" i="9"/>
  <c r="K34" i="10"/>
  <c r="V34" i="10" s="1"/>
  <c r="K13" i="1"/>
  <c r="K89" i="1" s="1"/>
  <c r="L52" i="1"/>
  <c r="M21" i="2"/>
  <c r="G9" i="2"/>
  <c r="L100" i="1"/>
  <c r="U21" i="1"/>
  <c r="U126" i="1" s="1"/>
  <c r="U187" i="1" s="1"/>
  <c r="X21" i="1"/>
  <c r="J126" i="1"/>
  <c r="J187" i="1" s="1"/>
  <c r="X12" i="2"/>
  <c r="K147" i="1"/>
  <c r="K209" i="1" s="1"/>
  <c r="M387" i="2"/>
  <c r="K29" i="10" s="1"/>
  <c r="Z23" i="2"/>
  <c r="Y68" i="1"/>
  <c r="Z9" i="2"/>
  <c r="F99" i="1"/>
  <c r="F93" i="1" s="1"/>
  <c r="D135" i="1"/>
  <c r="D197" i="1" s="1"/>
  <c r="O133" i="1"/>
  <c r="U18" i="1"/>
  <c r="U122" i="1" s="1"/>
  <c r="U184" i="1" s="1"/>
  <c r="E50" i="10"/>
  <c r="X64" i="1"/>
  <c r="E93" i="1"/>
  <c r="D97" i="1"/>
  <c r="D96" i="1" s="1"/>
  <c r="L63" i="1"/>
  <c r="L85" i="1" s="1"/>
  <c r="N43" i="10"/>
  <c r="W43" i="10" s="1"/>
  <c r="D104" i="8"/>
  <c r="X29" i="1"/>
  <c r="D11" i="8"/>
  <c r="X9" i="8"/>
  <c r="D30" i="8"/>
  <c r="Z23" i="8"/>
  <c r="Z26" i="6"/>
  <c r="O197" i="1"/>
  <c r="D119" i="1"/>
  <c r="D91" i="1"/>
  <c r="D149" i="1" s="1"/>
  <c r="X22" i="1"/>
  <c r="U22" i="1"/>
  <c r="J14" i="1"/>
  <c r="J90" i="1" s="1"/>
  <c r="D19" i="5"/>
  <c r="D18" i="5" s="1"/>
  <c r="Z20" i="5"/>
  <c r="G99" i="1"/>
  <c r="G93" i="1" s="1"/>
  <c r="P47" i="10"/>
  <c r="P50" i="10" s="1"/>
  <c r="J44" i="10"/>
  <c r="O119" i="1"/>
  <c r="O91" i="1"/>
  <c r="O149" i="1" s="1"/>
  <c r="Y65" i="1"/>
  <c r="N197" i="1"/>
  <c r="F32" i="1"/>
  <c r="F49" i="1" s="1"/>
  <c r="F135" i="1" s="1"/>
  <c r="O195" i="1"/>
  <c r="Y27" i="1"/>
  <c r="X60" i="1"/>
  <c r="Y28" i="1"/>
  <c r="Y67" i="1"/>
  <c r="V85" i="1"/>
  <c r="W85" i="1" s="1"/>
  <c r="X61" i="1"/>
  <c r="Y61" i="1" s="1"/>
  <c r="J46" i="1"/>
  <c r="U46" i="1" s="1"/>
  <c r="J51" i="1"/>
  <c r="O93" i="1"/>
  <c r="L17" i="1"/>
  <c r="X18" i="1"/>
  <c r="V13" i="1"/>
  <c r="V12" i="1" s="1"/>
  <c r="W46" i="10" s="1"/>
  <c r="O48" i="1"/>
  <c r="O121" i="1" s="1"/>
  <c r="Y19" i="1"/>
  <c r="N48" i="1"/>
  <c r="N121" i="1" s="1"/>
  <c r="N196" i="1" s="1"/>
  <c r="J137" i="1"/>
  <c r="J199" i="1" s="1"/>
  <c r="U34" i="1"/>
  <c r="U33" i="1" s="1"/>
  <c r="D15" i="3"/>
  <c r="N23" i="2"/>
  <c r="K99" i="1" s="1"/>
  <c r="K93" i="1" s="1"/>
  <c r="H99" i="1"/>
  <c r="H97" i="1" s="1"/>
  <c r="M135" i="1"/>
  <c r="M212" i="1" s="1"/>
  <c r="M213" i="1" s="1"/>
  <c r="I12" i="2"/>
  <c r="K28" i="10"/>
  <c r="V25" i="10" s="1"/>
  <c r="M483" i="2"/>
  <c r="K12" i="10" s="1"/>
  <c r="V12" i="10" s="1"/>
  <c r="M44" i="2"/>
  <c r="N91" i="1"/>
  <c r="N149" i="1" s="1"/>
  <c r="O47" i="10"/>
  <c r="O50" i="10" s="1"/>
  <c r="J31" i="1"/>
  <c r="M149" i="1"/>
  <c r="N119" i="1"/>
  <c r="D10" i="6"/>
  <c r="D11" i="3"/>
  <c r="K26" i="1"/>
  <c r="V19" i="10"/>
  <c r="M10" i="6"/>
  <c r="Z7" i="6" s="1"/>
  <c r="N47" i="10"/>
  <c r="N50" i="10" s="1"/>
  <c r="N213" i="1"/>
  <c r="M106" i="1"/>
  <c r="M119" i="1"/>
  <c r="L12" i="2"/>
  <c r="D393" i="2"/>
  <c r="D11" i="2" s="1"/>
  <c r="D88" i="1"/>
  <c r="L112" i="1"/>
  <c r="D45" i="2"/>
  <c r="D32" i="2"/>
  <c r="M195" i="1"/>
  <c r="C16" i="1"/>
  <c r="C48" i="1" s="1"/>
  <c r="C117" i="1" s="1"/>
  <c r="C118" i="1" s="1"/>
  <c r="K32" i="1"/>
  <c r="K49" i="1" s="1"/>
  <c r="K135" i="1" s="1"/>
  <c r="L116" i="1"/>
  <c r="L43" i="10"/>
  <c r="W43" i="1"/>
  <c r="I148" i="1"/>
  <c r="E96" i="1"/>
  <c r="E119" i="1"/>
  <c r="L93" i="1"/>
  <c r="D16" i="1"/>
  <c r="D48" i="1" s="1"/>
  <c r="D117" i="1" s="1"/>
  <c r="D118" i="1" s="1"/>
  <c r="L119" i="1"/>
  <c r="L90" i="1"/>
  <c r="M43" i="10"/>
  <c r="F47" i="10"/>
  <c r="F50" i="10" s="1"/>
  <c r="M133" i="1"/>
  <c r="C91" i="1"/>
  <c r="C149" i="1" s="1"/>
  <c r="D14" i="2"/>
  <c r="D13" i="2" s="1"/>
  <c r="E133" i="1"/>
  <c r="C133" i="1"/>
  <c r="C96" i="1"/>
  <c r="E91" i="1"/>
  <c r="E149" i="1" s="1"/>
  <c r="E16" i="1"/>
  <c r="E48" i="1" s="1"/>
  <c r="E117" i="1" s="1"/>
  <c r="E118" i="1" s="1"/>
  <c r="H32" i="1"/>
  <c r="H49" i="1" s="1"/>
  <c r="H135" i="1" s="1"/>
  <c r="J127" i="1"/>
  <c r="J188" i="1" s="1"/>
  <c r="Z19" i="9"/>
  <c r="Z16" i="8"/>
  <c r="D232" i="6"/>
  <c r="L91" i="1"/>
  <c r="D47" i="10"/>
  <c r="D50" i="10" s="1"/>
  <c r="D133" i="1"/>
  <c r="D94" i="1"/>
  <c r="O213" i="1"/>
  <c r="L135" i="1"/>
  <c r="L197" i="1" s="1"/>
  <c r="C135" i="1"/>
  <c r="C197" i="1" s="1"/>
  <c r="D12" i="1"/>
  <c r="D107" i="1" s="1"/>
  <c r="F148" i="1"/>
  <c r="F210" i="1"/>
  <c r="L59" i="1"/>
  <c r="J33" i="1"/>
  <c r="J138" i="1"/>
  <c r="J200" i="1" s="1"/>
  <c r="M21" i="3"/>
  <c r="M18" i="3" s="1"/>
  <c r="D18" i="3"/>
  <c r="D137" i="3"/>
  <c r="D134" i="3" s="1"/>
  <c r="N97" i="1"/>
  <c r="E13" i="1"/>
  <c r="E12" i="1" s="1"/>
  <c r="E107" i="1" s="1"/>
  <c r="D13" i="4"/>
  <c r="U123" i="1"/>
  <c r="U185" i="1" s="1"/>
  <c r="L89" i="1"/>
  <c r="L44" i="10"/>
  <c r="U186" i="1"/>
  <c r="Z26" i="8"/>
  <c r="L122" i="1"/>
  <c r="K115" i="1"/>
  <c r="L12" i="1"/>
  <c r="J82" i="1"/>
  <c r="U83" i="1"/>
  <c r="U82" i="1" s="1"/>
  <c r="J75" i="1"/>
  <c r="J86" i="1" s="1"/>
  <c r="U86" i="1" s="1"/>
  <c r="J73" i="1"/>
  <c r="J63" i="1" s="1"/>
  <c r="U74" i="1"/>
  <c r="U73" i="1" s="1"/>
  <c r="J59" i="1"/>
  <c r="L111" i="1"/>
  <c r="I13" i="1"/>
  <c r="I12" i="1" s="1"/>
  <c r="I107" i="1" s="1"/>
  <c r="H148" i="1"/>
  <c r="H199" i="1"/>
  <c r="H210" i="1" s="1"/>
  <c r="V64" i="1"/>
  <c r="V63" i="1" s="1"/>
  <c r="L115" i="1"/>
  <c r="P183" i="1"/>
  <c r="P196" i="1"/>
  <c r="G10" i="10"/>
  <c r="G44" i="10" s="1"/>
  <c r="B98" i="1"/>
  <c r="B92" i="1" s="1"/>
  <c r="J145" i="1"/>
  <c r="K90" i="1"/>
  <c r="K116" i="1"/>
  <c r="K112" i="1"/>
  <c r="J122" i="1"/>
  <c r="J184" i="1" s="1"/>
  <c r="J17" i="1"/>
  <c r="I116" i="1"/>
  <c r="I112" i="1"/>
  <c r="I90" i="1"/>
  <c r="G17" i="1"/>
  <c r="G16" i="1" s="1"/>
  <c r="G48" i="1" s="1"/>
  <c r="G122" i="1"/>
  <c r="B147" i="1"/>
  <c r="B41" i="1"/>
  <c r="B32" i="1" s="1"/>
  <c r="B49" i="1" s="1"/>
  <c r="F122" i="1"/>
  <c r="F17" i="1"/>
  <c r="F16" i="1" s="1"/>
  <c r="F48" i="1" s="1"/>
  <c r="U76" i="1"/>
  <c r="U138" i="1"/>
  <c r="U200" i="1" s="1"/>
  <c r="I132" i="1"/>
  <c r="I194" i="1" s="1"/>
  <c r="I26" i="1"/>
  <c r="H132" i="1"/>
  <c r="H194" i="1" s="1"/>
  <c r="H26" i="1"/>
  <c r="I17" i="1"/>
  <c r="I122" i="1"/>
  <c r="K207" i="1"/>
  <c r="I32" i="1"/>
  <c r="E19" i="2"/>
  <c r="E12" i="2" s="1"/>
  <c r="B31" i="1"/>
  <c r="K17" i="1"/>
  <c r="K16" i="1" s="1"/>
  <c r="K122" i="1"/>
  <c r="H122" i="1"/>
  <c r="H17" i="1"/>
  <c r="U64" i="1"/>
  <c r="F12" i="1"/>
  <c r="F107" i="1" s="1"/>
  <c r="F89" i="1"/>
  <c r="F88" i="1" s="1"/>
  <c r="H12" i="1"/>
  <c r="H107" i="1" s="1"/>
  <c r="H89" i="1"/>
  <c r="H88" i="1" s="1"/>
  <c r="B13" i="1"/>
  <c r="W14" i="1"/>
  <c r="M90" i="1"/>
  <c r="M116" i="1"/>
  <c r="M112" i="1"/>
  <c r="G135" i="1"/>
  <c r="G119" i="1"/>
  <c r="G91" i="1"/>
  <c r="G149" i="1" s="1"/>
  <c r="F97" i="1"/>
  <c r="F92" i="1"/>
  <c r="B17" i="1"/>
  <c r="B122" i="1"/>
  <c r="E197" i="1"/>
  <c r="E212" i="1"/>
  <c r="K14" i="10"/>
  <c r="V14" i="10" s="1"/>
  <c r="M89" i="1"/>
  <c r="M111" i="1"/>
  <c r="M115" i="1"/>
  <c r="M12" i="1"/>
  <c r="N89" i="1"/>
  <c r="N88" i="1" s="1"/>
  <c r="N111" i="1"/>
  <c r="N115" i="1"/>
  <c r="N114" i="1" s="1"/>
  <c r="N12" i="1"/>
  <c r="G89" i="1"/>
  <c r="G88" i="1" s="1"/>
  <c r="G12" i="1"/>
  <c r="G107" i="1" s="1"/>
  <c r="V38" i="10"/>
  <c r="O89" i="1"/>
  <c r="O88" i="1" s="1"/>
  <c r="O111" i="1"/>
  <c r="O115" i="1"/>
  <c r="O114" i="1" s="1"/>
  <c r="O12" i="1"/>
  <c r="N183" i="1"/>
  <c r="C89" i="1"/>
  <c r="C88" i="1" s="1"/>
  <c r="C12" i="1"/>
  <c r="C107" i="1" s="1"/>
  <c r="J101" i="1"/>
  <c r="V124" i="1"/>
  <c r="V127" i="1"/>
  <c r="V61" i="1"/>
  <c r="V59" i="1" s="1"/>
  <c r="Z23" i="3"/>
  <c r="AB12" i="7"/>
  <c r="D129" i="3"/>
  <c r="D128" i="3" s="1"/>
  <c r="D9" i="3" s="1"/>
  <c r="K15" i="10"/>
  <c r="V15" i="10" s="1"/>
  <c r="D111" i="8"/>
  <c r="D23" i="8"/>
  <c r="Z15" i="8"/>
  <c r="M13" i="6"/>
  <c r="Z13" i="6" s="1"/>
  <c r="Z8" i="3"/>
  <c r="O46" i="10"/>
  <c r="O49" i="10" s="1"/>
  <c r="V17" i="1"/>
  <c r="V128" i="1"/>
  <c r="V26" i="1"/>
  <c r="Z33" i="8"/>
  <c r="B14" i="1"/>
  <c r="B90" i="1" s="1"/>
  <c r="W39" i="1"/>
  <c r="W36" i="1"/>
  <c r="D11" i="9"/>
  <c r="M23" i="8"/>
  <c r="D75" i="2"/>
  <c r="D564" i="2"/>
  <c r="L23" i="2"/>
  <c r="I99" i="1" s="1"/>
  <c r="D536" i="2"/>
  <c r="I43" i="10"/>
  <c r="Z43" i="2"/>
  <c r="M19" i="2"/>
  <c r="D21" i="2"/>
  <c r="I9" i="2"/>
  <c r="Z40" i="2"/>
  <c r="M36" i="2"/>
  <c r="K7" i="10" s="1"/>
  <c r="V7" i="10" s="1"/>
  <c r="M536" i="2"/>
  <c r="D545" i="2"/>
  <c r="M30" i="2"/>
  <c r="M11" i="9"/>
  <c r="M9" i="8"/>
  <c r="M13" i="2"/>
  <c r="M12" i="2" s="1"/>
  <c r="M24" i="2"/>
  <c r="D10" i="8"/>
  <c r="D18" i="8"/>
  <c r="D12" i="8" s="1"/>
  <c r="D97" i="8"/>
  <c r="M9" i="3"/>
  <c r="Z39" i="2"/>
  <c r="D24" i="2"/>
  <c r="M475" i="2"/>
  <c r="K11" i="10" s="1"/>
  <c r="V11" i="10" s="1"/>
  <c r="D385" i="2"/>
  <c r="D381" i="2" s="1"/>
  <c r="D20" i="2"/>
  <c r="D33" i="2"/>
  <c r="D50" i="2"/>
  <c r="D475" i="2"/>
  <c r="J2" i="6"/>
  <c r="L9" i="2"/>
  <c r="N8" i="9"/>
  <c r="N9" i="2"/>
  <c r="N10" i="6"/>
  <c r="C20" i="10"/>
  <c r="K10" i="6"/>
  <c r="C43" i="10"/>
  <c r="K210" i="1" l="1"/>
  <c r="L148" i="1"/>
  <c r="V28" i="10"/>
  <c r="W49" i="10"/>
  <c r="Z20" i="6"/>
  <c r="Y21" i="1"/>
  <c r="K12" i="1"/>
  <c r="K107" i="1" s="1"/>
  <c r="K88" i="1"/>
  <c r="K111" i="1"/>
  <c r="D212" i="1"/>
  <c r="L16" i="1"/>
  <c r="L48" i="1" s="1"/>
  <c r="L88" i="1"/>
  <c r="X14" i="1"/>
  <c r="K148" i="1"/>
  <c r="V26" i="10"/>
  <c r="V29" i="10"/>
  <c r="U41" i="1"/>
  <c r="U32" i="1" s="1"/>
  <c r="U49" i="1" s="1"/>
  <c r="U91" i="1" s="1"/>
  <c r="U14" i="1"/>
  <c r="H93" i="1"/>
  <c r="U29" i="1"/>
  <c r="W45" i="1" s="1"/>
  <c r="Z32" i="2"/>
  <c r="D30" i="2"/>
  <c r="D23" i="2" s="1"/>
  <c r="W91" i="1" s="1"/>
  <c r="U75" i="1"/>
  <c r="N46" i="10"/>
  <c r="N49" i="10" s="1"/>
  <c r="M121" i="1"/>
  <c r="M196" i="1" s="1"/>
  <c r="M117" i="1"/>
  <c r="Z30" i="2"/>
  <c r="J128" i="1"/>
  <c r="J189" i="1" s="1"/>
  <c r="Y18" i="1"/>
  <c r="F119" i="1"/>
  <c r="U17" i="1"/>
  <c r="M97" i="1"/>
  <c r="G97" i="1"/>
  <c r="G96" i="1" s="1"/>
  <c r="N94" i="1"/>
  <c r="J41" i="1"/>
  <c r="J32" i="1" s="1"/>
  <c r="J49" i="1" s="1"/>
  <c r="U127" i="1"/>
  <c r="U188" i="1" s="1"/>
  <c r="F96" i="1"/>
  <c r="O117" i="1"/>
  <c r="O118" i="1" s="1"/>
  <c r="J98" i="1"/>
  <c r="U98" i="1" s="1"/>
  <c r="U92" i="1" s="1"/>
  <c r="K97" i="1"/>
  <c r="K96" i="1" s="1"/>
  <c r="X17" i="1"/>
  <c r="Y17" i="1" s="1"/>
  <c r="O94" i="1"/>
  <c r="D9" i="8"/>
  <c r="U13" i="1"/>
  <c r="K8" i="10"/>
  <c r="V8" i="10" s="1"/>
  <c r="Y22" i="1"/>
  <c r="X59" i="1"/>
  <c r="Y59" i="1" s="1"/>
  <c r="O134" i="1"/>
  <c r="N134" i="1"/>
  <c r="F91" i="1"/>
  <c r="F94" i="1" s="1"/>
  <c r="D121" i="1"/>
  <c r="D183" i="1" s="1"/>
  <c r="J52" i="1"/>
  <c r="U51" i="1"/>
  <c r="N117" i="1"/>
  <c r="N118" i="1" s="1"/>
  <c r="X73" i="1"/>
  <c r="Y73" i="1" s="1"/>
  <c r="Y74" i="1"/>
  <c r="Y60" i="1"/>
  <c r="J85" i="1"/>
  <c r="U85" i="1" s="1"/>
  <c r="X85" i="1" s="1"/>
  <c r="X63" i="1"/>
  <c r="V43" i="10"/>
  <c r="O97" i="1"/>
  <c r="J132" i="1"/>
  <c r="J194" i="1" s="1"/>
  <c r="U31" i="1"/>
  <c r="W46" i="1" s="1"/>
  <c r="X31" i="1"/>
  <c r="V48" i="1"/>
  <c r="V121" i="1" s="1"/>
  <c r="D134" i="1"/>
  <c r="W13" i="1"/>
  <c r="O107" i="1"/>
  <c r="L107" i="1"/>
  <c r="N107" i="1"/>
  <c r="M107" i="1"/>
  <c r="U63" i="1"/>
  <c r="Y64" i="1"/>
  <c r="M197" i="1"/>
  <c r="K91" i="1"/>
  <c r="K94" i="1" s="1"/>
  <c r="C121" i="1"/>
  <c r="C183" i="1" s="1"/>
  <c r="N104" i="1"/>
  <c r="J26" i="1"/>
  <c r="J16" i="1" s="1"/>
  <c r="Z15" i="6"/>
  <c r="U137" i="1"/>
  <c r="U199" i="1" s="1"/>
  <c r="H96" i="1"/>
  <c r="K119" i="1"/>
  <c r="C94" i="1"/>
  <c r="L212" i="1"/>
  <c r="L213" i="1" s="1"/>
  <c r="N96" i="1"/>
  <c r="L114" i="1"/>
  <c r="E121" i="1"/>
  <c r="E183" i="1" s="1"/>
  <c r="E94" i="1"/>
  <c r="H91" i="1"/>
  <c r="H149" i="1" s="1"/>
  <c r="H212" i="1"/>
  <c r="H213" i="1" s="1"/>
  <c r="H197" i="1"/>
  <c r="C134" i="1"/>
  <c r="E89" i="1"/>
  <c r="E88" i="1" s="1"/>
  <c r="E134" i="1" s="1"/>
  <c r="C212" i="1"/>
  <c r="K114" i="1"/>
  <c r="H119" i="1"/>
  <c r="L149" i="1"/>
  <c r="J13" i="1"/>
  <c r="L104" i="1"/>
  <c r="L94" i="1"/>
  <c r="J147" i="1"/>
  <c r="J209" i="1" s="1"/>
  <c r="L106" i="1"/>
  <c r="H16" i="1"/>
  <c r="H48" i="1" s="1"/>
  <c r="I46" i="10" s="1"/>
  <c r="I49" i="10" s="1"/>
  <c r="M88" i="1"/>
  <c r="B209" i="1"/>
  <c r="B210" i="1" s="1"/>
  <c r="B148" i="1"/>
  <c r="U147" i="1"/>
  <c r="U209" i="1" s="1"/>
  <c r="M114" i="1"/>
  <c r="B97" i="1"/>
  <c r="B96" i="1" s="1"/>
  <c r="L133" i="1"/>
  <c r="L184" i="1"/>
  <c r="L195" i="1" s="1"/>
  <c r="I89" i="1"/>
  <c r="I88" i="1" s="1"/>
  <c r="I115" i="1"/>
  <c r="I114" i="1" s="1"/>
  <c r="I111" i="1"/>
  <c r="V133" i="1"/>
  <c r="K212" i="1"/>
  <c r="K213" i="1" s="1"/>
  <c r="K197" i="1"/>
  <c r="H133" i="1"/>
  <c r="H134" i="1" s="1"/>
  <c r="H184" i="1"/>
  <c r="H195" i="1" s="1"/>
  <c r="B132" i="1"/>
  <c r="B194" i="1" s="1"/>
  <c r="B26" i="1"/>
  <c r="B16" i="1" s="1"/>
  <c r="B48" i="1" s="1"/>
  <c r="I133" i="1"/>
  <c r="I184" i="1"/>
  <c r="I195" i="1" s="1"/>
  <c r="O183" i="1"/>
  <c r="O196" i="1"/>
  <c r="F121" i="1"/>
  <c r="F117" i="1"/>
  <c r="B135" i="1"/>
  <c r="B119" i="1"/>
  <c r="B91" i="1"/>
  <c r="G133" i="1"/>
  <c r="G134" i="1" s="1"/>
  <c r="G184" i="1"/>
  <c r="G195" i="1" s="1"/>
  <c r="I93" i="1"/>
  <c r="I97" i="1"/>
  <c r="I96" i="1" s="1"/>
  <c r="K133" i="1"/>
  <c r="K134" i="1" s="1"/>
  <c r="K184" i="1"/>
  <c r="K195" i="1" s="1"/>
  <c r="I49" i="1"/>
  <c r="J47" i="10" s="1"/>
  <c r="J50" i="10" s="1"/>
  <c r="I16" i="1"/>
  <c r="I48" i="1" s="1"/>
  <c r="J46" i="10" s="1"/>
  <c r="J49" i="10" s="1"/>
  <c r="F184" i="1"/>
  <c r="F195" i="1" s="1"/>
  <c r="F133" i="1"/>
  <c r="F134" i="1" s="1"/>
  <c r="G121" i="1"/>
  <c r="G117" i="1"/>
  <c r="U145" i="1"/>
  <c r="J207" i="1"/>
  <c r="B184" i="1"/>
  <c r="G197" i="1"/>
  <c r="G212" i="1"/>
  <c r="G213" i="1" s="1"/>
  <c r="K43" i="10"/>
  <c r="F212" i="1"/>
  <c r="F197" i="1"/>
  <c r="B12" i="1"/>
  <c r="B107" i="1" s="1"/>
  <c r="B89" i="1"/>
  <c r="B88" i="1" s="1"/>
  <c r="G94" i="1"/>
  <c r="D10" i="5"/>
  <c r="J100" i="1"/>
  <c r="U101" i="1"/>
  <c r="V16" i="1"/>
  <c r="V90" i="1"/>
  <c r="V89" i="1"/>
  <c r="P46" i="10"/>
  <c r="P49" i="10" s="1"/>
  <c r="D8" i="3"/>
  <c r="E9" i="2"/>
  <c r="W34" i="1"/>
  <c r="W78" i="1"/>
  <c r="W38" i="1"/>
  <c r="W44" i="1"/>
  <c r="W125" i="1"/>
  <c r="H46" i="10"/>
  <c r="H49" i="10" s="1"/>
  <c r="E46" i="10"/>
  <c r="E49" i="10" s="1"/>
  <c r="D19" i="2"/>
  <c r="D12" i="2" s="1"/>
  <c r="M23" i="2"/>
  <c r="G46" i="10"/>
  <c r="G49" i="10" s="1"/>
  <c r="D46" i="10"/>
  <c r="D49" i="10" s="1"/>
  <c r="M9" i="2"/>
  <c r="F46" i="10"/>
  <c r="F49" i="10" s="1"/>
  <c r="W37" i="1"/>
  <c r="M8" i="3"/>
  <c r="D44" i="2"/>
  <c r="C44" i="10"/>
  <c r="I47" i="10"/>
  <c r="I50" i="10" s="1"/>
  <c r="L47" i="10"/>
  <c r="L50" i="10" s="1"/>
  <c r="C47" i="10"/>
  <c r="H47" i="10"/>
  <c r="H50" i="10" s="1"/>
  <c r="F149" i="1" l="1"/>
  <c r="Y63" i="1"/>
  <c r="M96" i="1"/>
  <c r="M104" i="1"/>
  <c r="V44" i="10"/>
  <c r="L134" i="1"/>
  <c r="L117" i="1"/>
  <c r="L118" i="1" s="1"/>
  <c r="L121" i="1"/>
  <c r="L183" i="1" s="1"/>
  <c r="M46" i="10"/>
  <c r="M49" i="10" s="1"/>
  <c r="U106" i="1"/>
  <c r="Z18" i="3"/>
  <c r="K48" i="1"/>
  <c r="K121" i="1" s="1"/>
  <c r="K196" i="1" s="1"/>
  <c r="D9" i="2"/>
  <c r="U128" i="1"/>
  <c r="U189" i="1" s="1"/>
  <c r="K149" i="1"/>
  <c r="U116" i="1"/>
  <c r="Y14" i="1"/>
  <c r="U90" i="1"/>
  <c r="U12" i="1"/>
  <c r="U107" i="1" s="1"/>
  <c r="U26" i="1"/>
  <c r="U16" i="1" s="1"/>
  <c r="U48" i="1" s="1"/>
  <c r="M118" i="1"/>
  <c r="J195" i="1"/>
  <c r="Y29" i="1"/>
  <c r="J133" i="1"/>
  <c r="M183" i="1"/>
  <c r="W92" i="1"/>
  <c r="K44" i="10"/>
  <c r="J92" i="1"/>
  <c r="J99" i="1"/>
  <c r="U99" i="1" s="1"/>
  <c r="U93" i="1" s="1"/>
  <c r="D196" i="1"/>
  <c r="M134" i="1"/>
  <c r="J106" i="1"/>
  <c r="K104" i="1"/>
  <c r="E196" i="1"/>
  <c r="H94" i="1"/>
  <c r="O104" i="1"/>
  <c r="O96" i="1"/>
  <c r="X16" i="1"/>
  <c r="X26" i="1"/>
  <c r="U132" i="1"/>
  <c r="U194" i="1" s="1"/>
  <c r="V194" i="1" s="1"/>
  <c r="Y31" i="1"/>
  <c r="J89" i="1"/>
  <c r="J88" i="1" s="1"/>
  <c r="X13" i="1"/>
  <c r="Y13" i="1" s="1"/>
  <c r="C196" i="1"/>
  <c r="B121" i="1"/>
  <c r="B183" i="1" s="1"/>
  <c r="B117" i="1"/>
  <c r="J12" i="1"/>
  <c r="J210" i="1"/>
  <c r="H117" i="1"/>
  <c r="B195" i="1"/>
  <c r="J148" i="1"/>
  <c r="H121" i="1"/>
  <c r="H183" i="1" s="1"/>
  <c r="B133" i="1"/>
  <c r="B134" i="1" s="1"/>
  <c r="V88" i="1"/>
  <c r="I134" i="1"/>
  <c r="I121" i="1"/>
  <c r="I117" i="1"/>
  <c r="I118" i="1" s="1"/>
  <c r="I91" i="1"/>
  <c r="I135" i="1"/>
  <c r="I119" i="1"/>
  <c r="B149" i="1"/>
  <c r="B94" i="1"/>
  <c r="B212" i="1"/>
  <c r="B197" i="1"/>
  <c r="F196" i="1"/>
  <c r="F183" i="1"/>
  <c r="U148" i="1"/>
  <c r="U207" i="1"/>
  <c r="G196" i="1"/>
  <c r="G183" i="1"/>
  <c r="J135" i="1"/>
  <c r="J91" i="1"/>
  <c r="U89" i="1"/>
  <c r="U115" i="1"/>
  <c r="U100" i="1"/>
  <c r="C46" i="10"/>
  <c r="G47" i="10"/>
  <c r="G50" i="10" s="1"/>
  <c r="M47" i="10"/>
  <c r="M50" i="10" s="1"/>
  <c r="C50" i="10"/>
  <c r="C49" i="10"/>
  <c r="U88" i="1" l="1"/>
  <c r="K183" i="1"/>
  <c r="L196" i="1"/>
  <c r="L46" i="10"/>
  <c r="L49" i="10" s="1"/>
  <c r="K117" i="1"/>
  <c r="K118" i="1" s="1"/>
  <c r="U114" i="1"/>
  <c r="Y26" i="1"/>
  <c r="J134" i="1"/>
  <c r="J93" i="1"/>
  <c r="J97" i="1"/>
  <c r="J96" i="1" s="1"/>
  <c r="J48" i="1"/>
  <c r="W48" i="1" s="1"/>
  <c r="W50" i="1" s="1"/>
  <c r="U195" i="1"/>
  <c r="B196" i="1"/>
  <c r="Y16" i="1"/>
  <c r="U133" i="1"/>
  <c r="U134" i="1" s="1"/>
  <c r="J107" i="1"/>
  <c r="X15" i="1"/>
  <c r="Y15" i="1" s="1"/>
  <c r="X12" i="1"/>
  <c r="Y12" i="1" s="1"/>
  <c r="V46" i="10"/>
  <c r="U119" i="1"/>
  <c r="H196" i="1"/>
  <c r="U135" i="1"/>
  <c r="U212" i="1" s="1"/>
  <c r="J94" i="1"/>
  <c r="U97" i="1"/>
  <c r="W93" i="1" s="1"/>
  <c r="U197" i="1"/>
  <c r="U210" i="1"/>
  <c r="I94" i="1"/>
  <c r="I149" i="1"/>
  <c r="I196" i="1"/>
  <c r="I183" i="1"/>
  <c r="I212" i="1"/>
  <c r="I213" i="1" s="1"/>
  <c r="I197" i="1"/>
  <c r="J197" i="1"/>
  <c r="J212" i="1"/>
  <c r="J213" i="1" s="1"/>
  <c r="J149" i="1"/>
  <c r="J104" i="1"/>
  <c r="K47" i="10"/>
  <c r="K50" i="10" s="1"/>
  <c r="J121" i="1" l="1"/>
  <c r="J196" i="1" s="1"/>
  <c r="U104" i="1"/>
  <c r="X48" i="1"/>
  <c r="K46" i="10"/>
  <c r="K49" i="10" s="1"/>
  <c r="U121" i="1"/>
  <c r="U196" i="1" s="1"/>
  <c r="U117" i="1"/>
  <c r="U118" i="1" s="1"/>
  <c r="U96" i="1"/>
  <c r="U94" i="1"/>
  <c r="U149" i="1"/>
  <c r="U213" i="1"/>
  <c r="AA194" i="1"/>
  <c r="V49" i="10"/>
  <c r="J183" i="1" l="1"/>
  <c r="U183" i="1"/>
  <c r="X50" i="1"/>
  <c r="V47" i="10"/>
  <c r="V50" i="10" s="1"/>
  <c r="D199" i="6" l="1"/>
</calcChain>
</file>

<file path=xl/comments1.xml><?xml version="1.0" encoding="utf-8"?>
<comments xmlns="http://schemas.openxmlformats.org/spreadsheetml/2006/main">
  <authors>
    <author xml:space="preserve"> Wioletta Stachera</author>
  </authors>
  <commentList>
    <comment ref="K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czerwona kolumna do usunięcia po pobraniu danych</t>
        </r>
      </text>
    </comment>
    <comment ref="K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czerwona kolumna do usunięcia po pobraniu danych</t>
        </r>
      </text>
    </comment>
  </commentList>
</comments>
</file>

<file path=xl/comments2.xml><?xml version="1.0" encoding="utf-8"?>
<comments xmlns="http://schemas.openxmlformats.org/spreadsheetml/2006/main">
  <authors>
    <author>WStachera</author>
    <author>Magdalena Szczerba</author>
  </authors>
  <commentList>
    <comment ref="J3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J5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I12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28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4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40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5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52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64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64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</commentList>
</comments>
</file>

<file path=xl/comments3.xml><?xml version="1.0" encoding="utf-8"?>
<comments xmlns="http://schemas.openxmlformats.org/spreadsheetml/2006/main">
  <authors>
    <author xml:space="preserve"> Wioletta Stachera</author>
  </authors>
  <commentList>
    <comment ref="P24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kwota 8.150 do usunięcia
</t>
        </r>
      </text>
    </comment>
  </commentList>
</comments>
</file>

<file path=xl/comments4.xml><?xml version="1.0" encoding="utf-8"?>
<comments xmlns="http://schemas.openxmlformats.org/spreadsheetml/2006/main">
  <authors>
    <author>WStachera</author>
  </authors>
  <commentList>
    <comment ref="I104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I10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latach 2010 - 2013 podatek VAT niekwalifikowalny (bez refundacji po stronie dochodów)</t>
        </r>
      </text>
    </comment>
    <comment ref="I11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M11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<sst xmlns="http://schemas.openxmlformats.org/spreadsheetml/2006/main" count="3593" uniqueCount="565">
  <si>
    <r>
      <t xml:space="preserve">Tabela Nr 6  </t>
    </r>
    <r>
      <rPr>
        <i/>
        <sz val="12"/>
        <color indexed="8"/>
        <rFont val="Arial CE"/>
        <charset val="238"/>
      </rPr>
      <t xml:space="preserve">do załącznika Nr 3 </t>
    </r>
  </si>
  <si>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</si>
  <si>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</si>
  <si>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</si>
  <si>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</si>
  <si>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</si>
  <si>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do 2009 r.</t>
  </si>
  <si>
    <t>2007 r.</t>
  </si>
  <si>
    <t>2008 r.</t>
  </si>
  <si>
    <t>2009 r.</t>
  </si>
  <si>
    <t>2010 r.</t>
  </si>
  <si>
    <t>2011 r.</t>
  </si>
  <si>
    <t>2012 r.</t>
  </si>
  <si>
    <t>2013 r.</t>
  </si>
  <si>
    <t>2014 r.</t>
  </si>
  <si>
    <t>2015 r.</t>
  </si>
  <si>
    <t>2016 r.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</si>
  <si>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</si>
  <si>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</si>
  <si>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</si>
  <si>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</si>
  <si>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</si>
  <si>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</si>
  <si>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</si>
  <si>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</si>
  <si>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</si>
  <si>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</si>
  <si>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</si>
  <si>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</si>
  <si>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</si>
  <si>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</si>
  <si>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</si>
  <si>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</si>
  <si>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</si>
  <si>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</si>
  <si>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</si>
  <si>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</si>
  <si>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</si>
  <si>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</si>
  <si>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</si>
  <si>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</si>
  <si>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</si>
  <si>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r>
      <t xml:space="preserve"> - wydatki bieżące</t>
    </r>
    <r>
      <rPr>
        <b/>
        <sz val="12"/>
        <color indexed="8"/>
        <rFont val="Arial CE"/>
        <charset val="238"/>
      </rPr>
      <t xml:space="preserve"> </t>
    </r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</si>
  <si>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</si>
  <si>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</si>
  <si>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</si>
  <si>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</si>
  <si>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</si>
  <si>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</si>
  <si>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VAT niekwalifikowalny we WPROW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</si>
  <si>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</si>
  <si>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</si>
  <si>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</si>
  <si>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</si>
  <si>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</si>
  <si>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</si>
  <si>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</si>
  <si>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</si>
  <si>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</si>
  <si>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 xml:space="preserve"> - DOCHODY BIEĄŻCE</t>
  </si>
  <si>
    <t>Część II - POZOSTAŁE</t>
  </si>
  <si>
    <t>Razem</t>
  </si>
  <si>
    <t>Soprawdzenie z PlanemB i Bestią (bez pozabudżetowych)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</si>
  <si>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</si>
  <si>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</si>
  <si>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</si>
  <si>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</si>
  <si>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</si>
  <si>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</si>
  <si>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</si>
  <si>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</si>
  <si>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</si>
  <si>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</si>
  <si>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</si>
  <si>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</si>
  <si>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</si>
  <si>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</si>
  <si>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</si>
  <si>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</si>
  <si>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</si>
  <si>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</si>
  <si>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</si>
  <si>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</si>
  <si>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</si>
  <si>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</si>
  <si>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</si>
  <si>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</si>
  <si>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</si>
  <si>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</si>
  <si>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</si>
  <si>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</si>
  <si>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</si>
  <si>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</si>
  <si>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</si>
  <si>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</si>
  <si>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</si>
  <si>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</si>
  <si>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</si>
  <si>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</si>
  <si>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</si>
  <si>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</si>
  <si>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</si>
  <si>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/ WIiT
w ramach RPO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</si>
  <si>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</si>
  <si>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</si>
  <si>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</si>
  <si>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</si>
  <si>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</si>
  <si>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</si>
  <si>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</si>
  <si>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</si>
  <si>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</si>
  <si>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</si>
  <si>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</si>
  <si>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</si>
  <si>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środki z budżetu UE, z tego: 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</si>
  <si>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</si>
  <si>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</si>
  <si>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</si>
  <si>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</si>
  <si>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</si>
  <si>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</si>
  <si>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</si>
  <si>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</si>
  <si>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</si>
  <si>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</si>
  <si>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</si>
  <si>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Promocja taboru kolejowego zakupionego w ramach PO IiŚ (2014-2015)</t>
  </si>
  <si>
    <t>bieżące</t>
  </si>
  <si>
    <t>WWT</t>
  </si>
  <si>
    <t>rozdz. 60095</t>
  </si>
  <si>
    <t>rodz. 60095</t>
  </si>
  <si>
    <t>II. POZOSTAŁE  PRZEDSIĘWZIĘCIA W ZAKRESIE TRANSPORTU I ŁĄCZNOŚCI</t>
  </si>
  <si>
    <t>Utrzymanie i naprawy pojazdów szynowych Województwa (2015 -2018)</t>
  </si>
  <si>
    <t>dotacja celowa od innych jst</t>
  </si>
  <si>
    <t>Przebudowa i rozbudowa przejścia drogowego przez m. Gryfino na drodze woj. Nr 120  (2011-2013)</t>
  </si>
  <si>
    <t>6.</t>
  </si>
  <si>
    <r>
      <t xml:space="preserve">Tabela Nr 6B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</si>
  <si>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</si>
  <si>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</si>
  <si>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</si>
  <si>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</si>
  <si>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5</t>
  </si>
  <si>
    <t>6</t>
  </si>
  <si>
    <t>7</t>
  </si>
  <si>
    <t>8</t>
  </si>
  <si>
    <t>9</t>
  </si>
  <si>
    <t>Wojewódzki Urząd Pracy w Szczecinie</t>
  </si>
  <si>
    <t>rozdz. 
85332</t>
  </si>
  <si>
    <t>Centrum Obsługi Inwestorów i Eksporterów</t>
  </si>
  <si>
    <t>dotacja z budżetu województwa dla jos</t>
  </si>
  <si>
    <t>dotacje celowe od innych jst (pomoc finansowa i porozumienia)</t>
  </si>
  <si>
    <t>Wojewódzki Szpital Zespolony w Szczecinie 
pod nadzorem Wydziału Zdrowia</t>
  </si>
  <si>
    <t>rozdz. 85111</t>
  </si>
  <si>
    <t>środki własne jos</t>
  </si>
  <si>
    <t>Rozbudowa Szpitala Dziecięcego SPS ZOZ "Zdroje" w Szczecinie - utworzenie Zachodniopomorskiego Centrum Opieki Nad Kobietą i Dzieckiem (2010-2016)</t>
  </si>
  <si>
    <t>dotacja z budżetu wojewodztwa dla jos</t>
  </si>
  <si>
    <t>rozdz. 75704</t>
  </si>
  <si>
    <t>środki  z budżetu województwa</t>
  </si>
  <si>
    <t>Poręczenie kredytu dla Szpitala Wojewódzkiego w Koszalinie (2009-2017)</t>
  </si>
  <si>
    <t>Utworzenie Centrum Diagnostyki Obrazowej w Samodzielnym Publicznym Wojewódzkim Szpitalu Zespolonym w Szczecinie w ramach w ramach osi VII RPO (2014-2015)</t>
  </si>
  <si>
    <t xml:space="preserve">                                                                                   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</si>
  <si>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</si>
  <si>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</si>
  <si>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</si>
  <si>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</si>
  <si>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</si>
  <si>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</si>
  <si>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</si>
  <si>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</si>
  <si>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</si>
  <si>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</si>
  <si>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</si>
  <si>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</si>
  <si>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</si>
  <si>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</si>
  <si>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</si>
  <si>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</si>
  <si>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</si>
  <si>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</si>
  <si>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</si>
  <si>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</si>
  <si>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t xml:space="preserve">I. PRZEDSIĘWZIĘCIA FINANSOWANE PRZY WSPÓŁUDZIALE ŚRODKÓW, O KTÓRYCH MOWA W ART. 5 UST. 1 PKT 2 I 3 UFP W ZAKRESIE ADMINISTRACJI I  TELEKOMUNIKACJI </t>
  </si>
  <si>
    <t xml:space="preserve">
Wydział Zarządzania Strategicznego</t>
  </si>
  <si>
    <t>rozdz. 75018</t>
  </si>
  <si>
    <t>Główny Punkt Informacyjny Funduszy Europejskich (GPI) przy ul.Kuśnierskiej 12b w ramach PO Pomoc Techniczna  - zakupy inwestycyjne (2009-2011)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</si>
  <si>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</si>
  <si>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</si>
  <si>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</si>
  <si>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</si>
  <si>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</si>
  <si>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>e-Administracja i e-Turystyka w województwie zachodniopomorskim w ramach działania 3.2 Osi III RPO WZ (2011-2015)</t>
  </si>
  <si>
    <t>rozdz. 60052</t>
  </si>
  <si>
    <t xml:space="preserve">II. POZOSTAŁE  PRZEDSIĘWZIĘCIA  W ZAKRESIE ADMINISTRACJI I  TELEKOMUNIKACJI </t>
  </si>
  <si>
    <t>rozdz. 70005</t>
  </si>
  <si>
    <t>Biuro Geodety Województwa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</si>
  <si>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</si>
  <si>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</si>
  <si>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</si>
  <si>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</si>
  <si>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</si>
  <si>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</si>
  <si>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</si>
  <si>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</si>
  <si>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</si>
  <si>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 xml:space="preserve">Wydział Rolnictwa i Rybactwa
</t>
  </si>
  <si>
    <t>rozdz. 05011</t>
  </si>
  <si>
    <t xml:space="preserve">Budowa niebieskiego korytarza ekologicznego wzdłuż doliny rzeki Iny i jej dopływów w ramach Instrumentu Finansowego LIFE+ (2011-2016) </t>
  </si>
  <si>
    <t>Zachodniopomorski Zarząd Melioracji i Urządzeń Wodnych pod nadzorem Wydziału Rolnictwa i Rybactwa</t>
  </si>
  <si>
    <t>rozdz. 01008</t>
  </si>
  <si>
    <t xml:space="preserve">Budowa niebieskiego korytarza ekologicznego wzdłuż doliny rzeki Regi  i jej dopływów w ramach Instrumentu Finansowego LIFE+ (2012-2017) </t>
  </si>
  <si>
    <t>Pomoc Techniczna  w ramach PROW, Schematu I, II i III (2007-2015)</t>
  </si>
  <si>
    <t xml:space="preserve">Wydział  Programów Rozwoju Obszarów Wiejskich 
</t>
  </si>
  <si>
    <t>rozdz. 01041</t>
  </si>
  <si>
    <t>Pomoc Techniczna  w ramach PROW, Schematu I, II i III - zakupy inwestycyjne (2007-2015)</t>
  </si>
  <si>
    <t xml:space="preserve">Wydział  Programów Rozwoju Obszarów Wiejskich </t>
  </si>
  <si>
    <t>rodz. 90005</t>
  </si>
  <si>
    <t>Zabezpieczenie przeciwpowodziowe doliny rzeki Parsęty poniżej m. Osówko, w tym m. Kołobrzegu, Karlina i Białogardu w ramach PO IiŚ, Priorytetu III, Działania 3.1. (2010-2013)</t>
  </si>
  <si>
    <t xml:space="preserve">Zachodniopomorski Zarząd Melioracji i Urządzeń Wodnych pod nadzorem Wydziału Rolnictwa i Rybactwa
</t>
  </si>
  <si>
    <t xml:space="preserve">II. POZOSTAŁE  PRZEDSIĘWZIĘCIA W ZAKRESIE ROLNICTWA I OCHRONY ŚRODOWISKA </t>
  </si>
  <si>
    <t>Zbiornik retencyjny na rzece Dzierżęcince (2012-2013)</t>
  </si>
  <si>
    <r>
      <t xml:space="preserve">Tabela Nr 6H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</si>
  <si>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W ZAKRESIE KULTURY FIZYCZNEJ  I TURYSTYKI</t>
  </si>
  <si>
    <t>rozdz. 63003</t>
  </si>
  <si>
    <t>rodz.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</si>
  <si>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</si>
  <si>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</si>
  <si>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</si>
  <si>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</si>
  <si>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</si>
  <si>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 xml:space="preserve">ZESTAWIENIE DOCHODÓW I WYDATKÓW  PLANOWANYCH  NA  PRZEDSIĘWZIĘCIA FINANSOWANE PRZY WSPÓŁUDZIALE ŚRODKÓW, O KTÓRYCH MOWA W ART. 5 UST. 1 PKT 2 I 3 UFP, WG  ŹRÓDEŁ FINANSOWANIA </t>
  </si>
  <si>
    <t>RPO WZ  -  wydatki</t>
  </si>
  <si>
    <t>RPO WZ  -  dochody</t>
  </si>
  <si>
    <t>PO KL - wydatki</t>
  </si>
  <si>
    <t>PO KL - dochody</t>
  </si>
  <si>
    <t>PO IiŚ - wydatki</t>
  </si>
  <si>
    <t>PO IiŚ - dochody</t>
  </si>
  <si>
    <t>PROW - wydatki</t>
  </si>
  <si>
    <t>PROW - dochody</t>
  </si>
  <si>
    <t>PO RYBY - wydatki</t>
  </si>
  <si>
    <t>PO RYBY - dochody</t>
  </si>
  <si>
    <t>Instrument Finansowy LIFE+ (wydatki)</t>
  </si>
  <si>
    <t>Instrument Finansowy LIFE+ (dochody)</t>
  </si>
  <si>
    <t>PO Pomoc Techniczna - wydatki</t>
  </si>
  <si>
    <t>PO Pomoc Techniczna - dochody</t>
  </si>
  <si>
    <t>PO Innowacyjna Gospodarka - wydatki</t>
  </si>
  <si>
    <t>PO Innowacyjna Gospodarka - dochody</t>
  </si>
  <si>
    <t>Program EWT - wydatki</t>
  </si>
  <si>
    <t>Program EWT- dochody</t>
  </si>
  <si>
    <t>IW INTERREG IVA Pomoc Tech.  - wydatki</t>
  </si>
  <si>
    <t>IW  INTERREG IVA Pomoc Tech.  - dochody</t>
  </si>
  <si>
    <t>Program Południowy Bałtyk - wydatki</t>
  </si>
  <si>
    <t>Program Południowy Bałtyk  - dochody</t>
  </si>
  <si>
    <t>OGÓŁEM    WYDATKI</t>
  </si>
  <si>
    <t>OGÓŁEM  DOCHODY</t>
  </si>
  <si>
    <t>sprawdzenie z załacznika Nr 2 - WYDATKI</t>
  </si>
  <si>
    <t>sprawdzenie z załacznika Nr 2 - DOCHODY</t>
  </si>
  <si>
    <t>RÓŻNICE</t>
  </si>
  <si>
    <t>Akademia Sztuki             w Szczecinie pod nadzorem Wydziału Edukacji  i Sportu</t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</si>
  <si>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</si>
  <si>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</si>
  <si>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</si>
  <si>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I. PRZEDSIĘWZIĘCIA FINANSOWANE PRZY WSPÓŁUDZIALE ŚRODKÓW, O KTÓRYCH MOWA W ART. 5 UST. 1 PKT 2 I 3 UFP W ZAKRESIE ROZWOJU REGIONALNEGO I PLANOWANIA PRZESTRZENNEGO</t>
  </si>
  <si>
    <t>rodz. 71095</t>
  </si>
  <si>
    <t>rodz. 75862</t>
  </si>
  <si>
    <t>Modernizacja budynku internatu przy pl. Orła Białego 2 
w Szczecinie Akademii Sztuki w Szczecinie  (2013-2015)</t>
  </si>
  <si>
    <t>rozdz. 85111/
85195</t>
  </si>
  <si>
    <r>
      <t>Tabela Nr 6F</t>
    </r>
    <r>
      <rPr>
        <i/>
        <sz val="12"/>
        <rFont val="Arial CE"/>
        <charset val="238"/>
      </rPr>
      <t xml:space="preserve">  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</si>
  <si>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</si>
  <si>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rozdz. 75095</t>
  </si>
  <si>
    <t>Wieloletnie umowy mające na celu zapewnienie ciągłości działania Urzędu Marszałkowskiego Województwa Zachodniopomorskiego (2012 - 2019)</t>
  </si>
  <si>
    <t>2019 r.</t>
  </si>
  <si>
    <t xml:space="preserve">2020 r. </t>
  </si>
  <si>
    <t xml:space="preserve">2008 r. </t>
  </si>
  <si>
    <t xml:space="preserve">Zrealizowane nakłady/uzyskane dochody </t>
  </si>
  <si>
    <t>do 2013 r.</t>
  </si>
  <si>
    <t>2020 r.</t>
  </si>
  <si>
    <t>Akademia Sztuki   
w Szczecinie 
pod nadzorem Wydziału Edukacji  
i Sportu</t>
  </si>
  <si>
    <t xml:space="preserve">Dofinansowanie kolejowych przewozów pasażerskich (2013-2020) </t>
  </si>
  <si>
    <t xml:space="preserve">Usługi telekomunikacyjne dla pojazdów szynowych Województwa (2015-2020)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</si>
  <si>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</si>
  <si>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</si>
  <si>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</si>
  <si>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</si>
  <si>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Pomoc Techniczna w ramach  PO WER - wydatki</t>
  </si>
  <si>
    <t>Pomoc Techniczna w ramach  PO WER - dochody</t>
  </si>
  <si>
    <t>rozdz. 92502</t>
  </si>
  <si>
    <t>Parki Krajobrazowe Województwa Zachodniopomorskiego nadzór WTiG</t>
  </si>
  <si>
    <t>Środki z budżetu krajowego, z tego:</t>
  </si>
  <si>
    <t>rozdz. 75863</t>
  </si>
  <si>
    <t>Pozostałe projekty współfinansowane ze śrdoków Unii Europejskiej - wydatki</t>
  </si>
  <si>
    <t>Pozostałe projekty współfinansowane ze śrdoków Unii Europejskiej -  dochody</t>
  </si>
  <si>
    <t>Poręczenie kredytu obrotowego dla Specjalistycznego Szpitala w Szczecinie Zdunowie  (2015-2019)</t>
  </si>
  <si>
    <t>22.</t>
  </si>
  <si>
    <t>23.</t>
  </si>
  <si>
    <r>
      <t xml:space="preserve">Uwaga!  </t>
    </r>
    <r>
      <rPr>
        <i/>
        <sz val="9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</si>
  <si>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</si>
  <si>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</si>
  <si>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</si>
  <si>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</si>
  <si>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</si>
  <si>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</si>
  <si>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</si>
  <si>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 / WIiT</t>
  </si>
  <si>
    <t>WZS/ WIiT</t>
  </si>
  <si>
    <t>rodz.  75863</t>
  </si>
  <si>
    <t>Pomoc Techniczna  w ramach PROW - zakupy inwestycyjne (2015-2019)</t>
  </si>
  <si>
    <t>ZZDW / WZS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</si>
  <si>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</si>
  <si>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</si>
  <si>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</si>
  <si>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</si>
  <si>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</si>
  <si>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PROJEKTY  REALIZOWANE  W  RAMACH  IW  INTERREG</t>
  </si>
  <si>
    <t>środki z Unii Europejskiej (refundacja)</t>
  </si>
  <si>
    <t>IW INTERREG NA LATA 2014 - 2020</t>
  </si>
  <si>
    <t>spr źródeł</t>
  </si>
  <si>
    <t>spr doch suma dziedzin</t>
  </si>
  <si>
    <t>Przebudowa mostu k. miejscowości Żelimucha w ciągu drogi woj. Nr 166 (2015 - 2016)</t>
  </si>
  <si>
    <t>*   Umowa poręczenia została zawarta na okres od 2015 do 2030 r. z limitem poręczenia w wysokości 5.000.000 zł. Zwolnione środki stanowiące zabezpieczenie spłaty kredytu zaplanowane w latach 2015-2018 będą przenoszone na lata następne.</t>
  </si>
  <si>
    <t>poręczenia dla ZOZ-ów</t>
  </si>
  <si>
    <t>◄ kwota poręczeń w latach 2021-2027</t>
  </si>
  <si>
    <t xml:space="preserve">rozdz.
 </t>
  </si>
  <si>
    <t xml:space="preserve">rozdz. 
</t>
  </si>
  <si>
    <t>rozdz.</t>
  </si>
  <si>
    <t>czekam na pismo do uzunięcia</t>
  </si>
  <si>
    <t>PROJEKTY  REALIZOWANE  W  RAMACH RPO WZ 2007-2013 oraz RPO WZ 2014 - 2020</t>
  </si>
  <si>
    <t>Limity zobowiązań 2016-2020 i lata następne</t>
  </si>
  <si>
    <t>Limit` 16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</si>
  <si>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</si>
  <si>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</si>
  <si>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</si>
  <si>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</si>
  <si>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</si>
  <si>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</si>
  <si>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</si>
  <si>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</si>
  <si>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rozdz. 75018
75095
90011</t>
  </si>
  <si>
    <t>do 2014 r.</t>
  </si>
  <si>
    <t>2023 r.</t>
  </si>
  <si>
    <t>2021 r.</t>
  </si>
  <si>
    <t>2022 r.</t>
  </si>
  <si>
    <t>do ukrycia</t>
  </si>
  <si>
    <t>Limity zobowiązań 2016-2023 i lata następne</t>
  </si>
  <si>
    <t>do  2014 r.</t>
  </si>
  <si>
    <t xml:space="preserve">2021 r. </t>
  </si>
  <si>
    <t xml:space="preserve">2022 r. </t>
  </si>
  <si>
    <t xml:space="preserve">2023 r. </t>
  </si>
  <si>
    <t>Limity zobowiązań 2016-2023  i lata następne</t>
  </si>
  <si>
    <t>do 2014</t>
  </si>
  <si>
    <t>Oś X, Pomoc techniczna RPO WZ 2014 - 2020 (2015-2023)</t>
  </si>
  <si>
    <t>Zakupy inwestycyjne w ramach Osi X - Pomoc techniczna RPO WZ 2014 - 2020 (2015-2023)</t>
  </si>
  <si>
    <t>Poręczenie kredytu dla Szpitala Specjalistycznego w Szczecinie Zdunowie (2014-2022)</t>
  </si>
  <si>
    <t>Poręczenie kredytu inwestycyjnego dla Samodzielnego Publicznego Wojewódzkiego Szpitala Zespolonego w Szczecinie (2015-2027)**</t>
  </si>
  <si>
    <r>
      <t xml:space="preserve">** W latach 2024- 2027 kwota poręczenia dla Samodzielnego Publicznego Wojewódzkiego Szpitala zespolonego w Szczecinie wynosi </t>
    </r>
    <r>
      <rPr>
        <b/>
        <i/>
        <sz val="8"/>
        <rFont val="Arial CE"/>
        <charset val="238"/>
      </rPr>
      <t>2.514.288 zł.</t>
    </r>
  </si>
  <si>
    <r>
      <t>Limit zobowiązań na lata 2016-20</t>
    </r>
    <r>
      <rPr>
        <b/>
        <sz val="10"/>
        <color indexed="8"/>
        <rFont val="Arial CE"/>
        <charset val="238"/>
      </rPr>
      <t>23</t>
    </r>
    <r>
      <rPr>
        <b/>
        <sz val="10"/>
        <color indexed="8"/>
        <rFont val="Arial CE"/>
        <family val="2"/>
        <charset val="238"/>
      </rPr>
      <t xml:space="preserve"> 
i lata następne</t>
    </r>
  </si>
  <si>
    <t>Limit zobowiązań 
w latach 
2016-2023</t>
  </si>
  <si>
    <t>Prognozowane nakłady  /dochody w latach 2016 - 2023</t>
  </si>
  <si>
    <t>Zachodniopomorskie Centrum Kształcenia Zawodowego i Ustawicznego w Szczecinie - nadzór WEiS</t>
  </si>
  <si>
    <t>rozdz. 80130</t>
  </si>
  <si>
    <t>Poręczenie pożyczki dla Regionalnego Szpitala w Kołobrzegu na dofinansowanie realizacji zadania inwestycyjnego pn. Poprawa efektywności energetycznej budynków Szpitala Regionalnego w Kołobrzegu (2016 - 2028)****</t>
  </si>
  <si>
    <t>Podniesienie jakości i dostępności kardiologicznych usług medycznych w SPWSZ w Szczecinie poprzez modernizację szpitalnych oddziałów kardiologicznych w ramach osi VII RPO (2014-2016)</t>
  </si>
  <si>
    <t>Zwiększenie dostępności i jakości usług medycznych poprzez wyposażenie w sprzęt i urządzenia medyczne SPS ZOZ  Zdroje w Szczecinie w ramach osi VII RPO (2014-2016)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</si>
  <si>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</si>
  <si>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</si>
  <si>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</si>
  <si>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</si>
  <si>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r>
      <t xml:space="preserve">****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</si>
  <si>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t>Sieć Punktów Informacyjnych Funduszy Europejskich (PIFE) w Województwie Zachodniopomorskim w ramach PO Pomoc Techniczna (2015-2020)</t>
  </si>
  <si>
    <t>Prognozowane nakłady inwestycyjne /dochody 
w latach 2016 - 2023</t>
  </si>
  <si>
    <t>Prognozowane nakłady inwestycyjne / dochody z tytułu realizacji projektów 
w latach 2016-2023</t>
  </si>
  <si>
    <t>II. POZOSTAŁE  PRZEDSIĘWZIĘCIA  W ZAKRESIE ROZWOJU REGIONALNEGO I PLANOWANIA PRZESTRZENNEGO</t>
  </si>
  <si>
    <t>rozdz. 71003</t>
  </si>
  <si>
    <t>C.</t>
  </si>
  <si>
    <t>D.</t>
  </si>
  <si>
    <t xml:space="preserve">Wykonanie 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</si>
  <si>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</si>
  <si>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</si>
  <si>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</si>
  <si>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</si>
  <si>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</si>
  <si>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</si>
  <si>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</si>
  <si>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</si>
  <si>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</si>
  <si>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</si>
  <si>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</si>
  <si>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</si>
  <si>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</si>
  <si>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</si>
  <si>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</si>
  <si>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</si>
  <si>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TENTacle – wykorzystanie korytarzy sieci bazowej TEN-T w ramach IW INTERREG VB (2016-2019)</t>
  </si>
  <si>
    <t>m</t>
  </si>
  <si>
    <t>b</t>
  </si>
  <si>
    <t>Konsolidacja UM dochody</t>
  </si>
  <si>
    <t>rozdz. 75863
75864</t>
  </si>
  <si>
    <t>► różnica na turystyce</t>
  </si>
  <si>
    <t>PROJEKTY WYŁĄCZANE Z WPF</t>
  </si>
  <si>
    <t>Lp.</t>
  </si>
  <si>
    <t>Wydatki</t>
  </si>
  <si>
    <t>Dochody</t>
  </si>
  <si>
    <t>19.</t>
  </si>
  <si>
    <t>21.</t>
  </si>
  <si>
    <t>► różnica na drodze Wełtyń i oświacie (37 zł)</t>
  </si>
  <si>
    <t>WOiRZL</t>
  </si>
  <si>
    <t>Umowa leasingu samochodu osobowego (2016 - 2019)</t>
  </si>
  <si>
    <t xml:space="preserve">Wsparcie gmin w opracowaniu albo aktualizacji programów rewitalizacji w ramach PO Pomoc Techniczna (2016 - 2018) </t>
  </si>
  <si>
    <t>9a</t>
  </si>
  <si>
    <t>9b</t>
  </si>
  <si>
    <t>9c</t>
  </si>
  <si>
    <r>
      <t xml:space="preserve">Przebudowa drogi woj. nr 203 na odcinku Koszalin - Iwięcino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(2007-2016)</t>
    </r>
  </si>
  <si>
    <r>
      <t xml:space="preserve">Przebudowa drogi woj. nr 114 na odcinku Trzebież - Police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(2008-2016)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</si>
  <si>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(2016-2018)</t>
    </r>
  </si>
  <si>
    <r>
      <t xml:space="preserve">Zakup kolejowego taboru pasażerskiego o napędzie spalinowym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</si>
  <si>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</si>
  <si>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</si>
  <si>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r>
      <t xml:space="preserve">Modernizacja skrzydła północnego Zamku Książąt Pomorskich w Szczecinie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(2012-2015) </t>
    </r>
  </si>
  <si>
    <t>Poręczenie kredytu dla Szpitala Specjalistycznego 
w Szczecinie Zdunowie na pokrycie wkładu własnego (2016-2018)*</t>
  </si>
  <si>
    <t>Wsparcie techniczne Interreg VA Południowy Bałtyk (2015-2020)</t>
  </si>
  <si>
    <t>Pomoc Techniczna  w ramach PROW (2015-2023)</t>
  </si>
  <si>
    <t xml:space="preserve">rozdz.
</t>
  </si>
  <si>
    <t>25.</t>
  </si>
  <si>
    <t>26.</t>
  </si>
  <si>
    <t>27.</t>
  </si>
  <si>
    <t>środki z budżetu województwa (subwencja)</t>
  </si>
  <si>
    <t>28.</t>
  </si>
  <si>
    <t xml:space="preserve">rozdz. </t>
  </si>
  <si>
    <t>Przebudowa i rozbudowa przejścia drogowego przez m. Tanowo na drodze woj. Nr 115 w ramach IW INTERREG V A (2010-2017)</t>
  </si>
  <si>
    <t>Przebudowa i rozbudowa przejścia drogi woj. nr 125 przez m. Golice i m. Klępicz w ramach IW INTERREG V A (2016-2017)</t>
  </si>
  <si>
    <t>Przebudowa i rozbudowa przejścia drogi woj. nr 114 przez m. Brzózki w ramach IW INTERREG V A (2016-2017)</t>
  </si>
  <si>
    <t>Przebudowa i rozbudowa przejścia drogi woj. nr 122 przez m. Krzywin (etap II) w ramach IW INTERREG V A (2018-2019)</t>
  </si>
  <si>
    <t>Przebudowa i rozbudowa przejścia drogi woj. nr 125 przez m. Moryń i m. Bielin w ramach IW INTERREG V A (2018-2019)</t>
  </si>
  <si>
    <t>Wymiana i rozbudowa parku maszyn i urządzeń ZZDW w Koszalinie (2016-2017)</t>
  </si>
  <si>
    <t>IW INTERREG drogi - wydatki</t>
  </si>
  <si>
    <t>IW  INTERREG   drogi - dochody</t>
  </si>
  <si>
    <t>Oś X, Pomoc techniczna RPO WZ 2014-2020 (2015-2023)</t>
  </si>
  <si>
    <t>Monitoring i analizy porealizacyjne inwestycji (2013-2016)</t>
  </si>
  <si>
    <t>Zimowe utrzymanie dróg (2011-2019)</t>
  </si>
  <si>
    <t>Obsługa i utrzymanie mostów zwodzonych i mostu granicznego (2011-2019)</t>
  </si>
  <si>
    <t>Analizy porealizacyjne i monitoring inwestycji (2016-2019)</t>
  </si>
  <si>
    <t>Pomoc Techniczna w ramach  Programu EWT  INTERREG IVA (2008 - 2015)</t>
  </si>
  <si>
    <t>Konsolidacja siedziby Urzędu Marszałkowskiego Województwa Zachodniopomorskiego - razem etap A i B  (2016-2020)</t>
  </si>
  <si>
    <t>Wypłata odszkodowań za nieruchomości pod planowane inwestycje drogowe  (2012-2016)</t>
  </si>
  <si>
    <t>rozdz. 
60001
75863</t>
  </si>
  <si>
    <r>
      <t xml:space="preserve">Przebudowa drogi wojewódzkiej nr 102 na odcinku Międzywodzie -Dziwnów </t>
    </r>
    <r>
      <rPr>
        <sz val="9"/>
        <rFont val="Arial CE"/>
        <charset val="238"/>
      </rPr>
      <t xml:space="preserve">w </t>
    </r>
    <r>
      <rPr>
        <sz val="9"/>
        <rFont val="Arial CE"/>
        <family val="2"/>
        <charset val="238"/>
      </rPr>
      <t>ramach Osi V RPO</t>
    </r>
    <r>
      <rPr>
        <b/>
        <sz val="9"/>
        <rFont val="Arial CE"/>
        <family val="2"/>
        <charset val="238"/>
      </rPr>
      <t xml:space="preserve"> (2016-2017)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</si>
  <si>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</si>
  <si>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151 na odcinku Świdwin - Łobez </t>
    </r>
    <r>
      <rPr>
        <sz val="9"/>
        <rFont val="Arial CE"/>
        <charset val="238"/>
      </rPr>
      <t>(etap I przebudowa mostu w m. Łobez)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charset val="238"/>
      </rPr>
      <t>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</si>
  <si>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(2013-2017)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</si>
  <si>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(2016-2017)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</si>
  <si>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</si>
  <si>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t>Decyzja o dofinansowaniu projektu Nr RPZP.05.06.00-32-0001/16-00 z 1.08.2016</t>
  </si>
  <si>
    <t>Brak decyzji</t>
  </si>
  <si>
    <t>Wspieranie innowacyjnych ekosystemów przedsiębiorczości w regionach na rzecz młodych przedsiębiorców (iEER) w ramach Interreg VC (2016-2020)</t>
  </si>
  <si>
    <t>rozdz. 
15011</t>
  </si>
  <si>
    <t>Ubezpieczenie taboru kolejowego Województwa (2011-2019)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</si>
  <si>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</si>
  <si>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</si>
  <si>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</si>
  <si>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</si>
  <si>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</si>
  <si>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</si>
  <si>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</si>
  <si>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Szlaki rowerowe na wybranych odcinkach wałów przeciwpowodziowych w województwie zachodniopomorskim w ramach Osi IV RPO (2017-2018)</t>
  </si>
  <si>
    <t>IW INTERREG VC - wydatki</t>
  </si>
  <si>
    <t>IW  INTERREG VC - dochody</t>
  </si>
  <si>
    <t>k</t>
  </si>
  <si>
    <t>rozdz. 85149</t>
  </si>
  <si>
    <t>Doposażenie klinik i oddziałów torakochirurgii  w sprzęt do leczenia raka płuca (2016 - 2017)</t>
  </si>
  <si>
    <t>WWT/
WOiRZL</t>
  </si>
  <si>
    <t>ROPS/
WOiRZL</t>
  </si>
  <si>
    <t>WUP 
w Szczecinie</t>
  </si>
  <si>
    <t>WUP
 w Szczecinie</t>
  </si>
  <si>
    <t>WUP
 w Szczecinie
pod nadzorem WZS</t>
  </si>
  <si>
    <t>Specjalistyczny Szpital im. A. Sokołowskiego 
w Szczecinie - Zdunowo 
pod nadzorem WZ i WZS</t>
  </si>
  <si>
    <t>SPS ZOZ ZDROJE Szczecin 
pod nadzorem WZ</t>
  </si>
  <si>
    <t>SPS ZOZ ZDROJE Szczecin 
pod nadzorem 
WZ i WZS</t>
  </si>
  <si>
    <t>Specjalistyczny Szpital im. A. Sokołowskiego 
w Szczecinie - Zdunowo pod nadzorem WZ</t>
  </si>
  <si>
    <t>Szpital Wojewódzki 
w Koszalinie pod nadzorem WZ</t>
  </si>
  <si>
    <t>Wojewódzki Szpital Zespolony w Szczecinie 
pod nadzorem WZ</t>
  </si>
  <si>
    <t>Wojewódzki Szpital Zespolony w Szczecinie 
pod nadzorem
 WZ i WZS</t>
  </si>
  <si>
    <t>Regionalny Szpital 
w Kołobrzegu 
pod nadzorem WZ</t>
  </si>
  <si>
    <t>WZS</t>
  </si>
  <si>
    <t>WSIiI</t>
  </si>
  <si>
    <t>WZS, WWRPO, WOiRZL, GM</t>
  </si>
  <si>
    <t>WZS, WWRPO</t>
  </si>
  <si>
    <t>WIiN, WZS</t>
  </si>
  <si>
    <t>WIiN</t>
  </si>
  <si>
    <t>WA, WSIiI</t>
  </si>
  <si>
    <t>Ekonomia społeczna kluczem do sukcesu w ramach działania 7.5 RPO WZ (2016 - 2017)</t>
  </si>
  <si>
    <t>Wspieranie realizacji zadań publicznych Województwa Zachodniopomorskiego w zakresie upowszechniania kultury fizycznej (2014-2019)</t>
  </si>
  <si>
    <t>ZZMiUW pod nadzorem WRiR</t>
  </si>
  <si>
    <t xml:space="preserve">WPROW 
</t>
  </si>
  <si>
    <t>RBGP WZ w Szczecinie pod nadzorem WZS</t>
  </si>
  <si>
    <r>
      <t xml:space="preserve">Budowa obejścia m. Dobra w ciągu drogi nr 144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(2011-2016)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</si>
  <si>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(2007-2017)</t>
    </r>
  </si>
  <si>
    <r>
      <t>Przebudowa drogi wojewódzkiej nr 142 na odcinku Szczecin - Krzywnica</t>
    </r>
    <r>
      <rPr>
        <sz val="9"/>
        <rFont val="Arial CE"/>
        <charset val="238"/>
      </rPr>
      <t xml:space="preserve"> w </t>
    </r>
    <r>
      <rPr>
        <sz val="9"/>
        <rFont val="Arial CE"/>
        <family val="2"/>
        <charset val="238"/>
      </rPr>
      <t>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</si>
  <si>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(2010-2017)</t>
    </r>
  </si>
  <si>
    <r>
      <t xml:space="preserve">Zakup i modernizacja kolejowego taboru pasażerskiego o napędzie elektrycznym </t>
    </r>
    <r>
      <rPr>
        <sz val="9"/>
        <rFont val="Arial CE"/>
        <family val="2"/>
        <charset val="238"/>
      </rPr>
      <t xml:space="preserve">w ramach Osi V RPO </t>
    </r>
    <r>
      <rPr>
        <b/>
        <sz val="9"/>
        <rFont val="Arial CE"/>
        <family val="2"/>
        <charset val="238"/>
      </rPr>
      <t>(2014-2016)</t>
    </r>
  </si>
  <si>
    <r>
      <t xml:space="preserve">Budowa sieci tras rowerowych Pomorza Zachodniego - Trasa Pojezierna </t>
    </r>
    <r>
      <rPr>
        <sz val="9"/>
        <rFont val="Arial CE"/>
        <charset val="238"/>
      </rPr>
      <t xml:space="preserve">w ramach Osi IV RPO </t>
    </r>
    <r>
      <rPr>
        <b/>
        <sz val="9"/>
        <rFont val="Arial CE"/>
        <charset val="238"/>
      </rPr>
      <t>(2016-2018)</t>
    </r>
  </si>
  <si>
    <r>
      <t xml:space="preserve">Budowa sieci tras rowerowych Pomorza Zachodniego - Trasa Nadmorska </t>
    </r>
    <r>
      <rPr>
        <sz val="9"/>
        <rFont val="Arial CE"/>
        <charset val="238"/>
      </rPr>
      <t>w ramach Osi IV RPO</t>
    </r>
    <r>
      <rPr>
        <b/>
        <sz val="9"/>
        <rFont val="Arial CE"/>
        <family val="2"/>
        <charset val="238"/>
      </rPr>
      <t xml:space="preserve"> (2016-2018)</t>
    </r>
  </si>
  <si>
    <r>
      <t>Bałtyckie Obszary Energii - Perspektywa Planistyczna BEA-APP</t>
    </r>
    <r>
      <rPr>
        <sz val="9"/>
        <rFont val="Arial CE"/>
        <charset val="238"/>
      </rPr>
      <t xml:space="preserve"> w ramach programu EWT Region Morza Bałtyckiego (2016-2019)</t>
    </r>
  </si>
  <si>
    <t>Przebudowa drogi wojewódzkiej nr 120 - przejście przez Wełtyń w ramach IW INTERREG V A (2016-2017)</t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</si>
  <si>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</si>
  <si>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>Młodzież w działaniu, Prowadzenie Punktu Informacji Europejskiej</t>
    </r>
    <r>
      <rPr>
        <sz val="11"/>
        <color theme="1"/>
        <rFont val="Arial CE"/>
        <charset val="238"/>
      </rPr>
      <t xml:space="preserve"> (środki Komisji Europejskiej), </t>
    </r>
    <r>
      <rPr>
        <b/>
        <sz val="11"/>
        <color theme="1"/>
        <rFont val="Arial CE"/>
        <charset val="238"/>
      </rPr>
      <t>GRUNTVIG</t>
    </r>
    <r>
      <rPr>
        <b/>
        <sz val="11"/>
        <color theme="1"/>
        <rFont val="Arial CE"/>
        <family val="2"/>
        <charset val="238"/>
      </rPr>
      <t xml:space="preserve"> - wydatki</t>
    </r>
  </si>
  <si>
    <r>
      <t xml:space="preserve">Młodzież w działaniu, Prowadzenie Punktu Informacji Europejskiej </t>
    </r>
    <r>
      <rPr>
        <sz val="11"/>
        <color theme="1"/>
        <rFont val="Arial CE"/>
        <charset val="238"/>
      </rPr>
      <t xml:space="preserve">(środki Komisji Europejskiej), </t>
    </r>
    <r>
      <rPr>
        <b/>
        <sz val="11"/>
        <color theme="1"/>
        <rFont val="Arial CE"/>
        <charset val="238"/>
      </rPr>
      <t>GRUNTVIG</t>
    </r>
    <r>
      <rPr>
        <sz val="11"/>
        <color theme="1"/>
        <rFont val="Arial CE"/>
        <charset val="238"/>
      </rPr>
      <t xml:space="preserve"> </t>
    </r>
    <r>
      <rPr>
        <b/>
        <sz val="11"/>
        <color theme="1"/>
        <rFont val="Arial CE"/>
        <family val="2"/>
        <charset val="238"/>
      </rPr>
      <t>- dochody</t>
    </r>
  </si>
  <si>
    <t>DOCHODY ŁĄCZNIE - 
stan na 15 listopada 2016 r.</t>
  </si>
  <si>
    <t>Bieżące utrzymanie dróg i mostów (2017-2020)</t>
  </si>
  <si>
    <t>Przebudowa dróg i mostów (2017-2020)</t>
  </si>
  <si>
    <t>Studium wykonalności Zachodniego Drogowego Obejścia Miasta Szczecina wraz z Raportem oddziaływania na środowisko (2009-2017)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</si>
  <si>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</si>
  <si>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</si>
  <si>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</si>
  <si>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</si>
  <si>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</si>
  <si>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</si>
  <si>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</si>
  <si>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</si>
  <si>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</si>
  <si>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</si>
  <si>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Rozbudowa części środkowej budynku głównego wraz z dostosowaniem oddziałów chirurgicznych do wymogów fachowo-sanitarnych  w Specjalistycznym Szpitalu im. A.Sokołowskiego w Szczecinie-Zdunowie w ramach osi VII RPO (2006-2016)</t>
  </si>
  <si>
    <t xml:space="preserve">Modernizacja skrzydła północnego Zamku Książąt Pomorskich w Szczecinie w ramach RPO WZ, Osi VI: Rozwój Funkcji Metropolitalnych (2012-2015) </t>
  </si>
  <si>
    <t>Budowa Centrum Nauki w Szczecinie w ramach osi IX RPO WZ 2014-2020 (2011-2022)</t>
  </si>
  <si>
    <t>rozdz. 92109</t>
  </si>
  <si>
    <t>Zamek Książąt Pomorskich w Szczecinie - nadzór WKNiDN</t>
  </si>
  <si>
    <t>Budowa pawilonu wystawowego służącego celom Centrum Dialogu Przełomy w ramach RPO WZ, Osi VI: Rozwój funkcji Metropolitalnych (2009-2015)</t>
  </si>
  <si>
    <t>Przebudowa Opery na Zamku w Szczecinie w ramach RPO WZ, Osi VI: Rozwój  Funkcji Metropolitalnych (2009 - 2015)</t>
  </si>
  <si>
    <t>Muzeum Narodowe w Szczecinie - Muzeum tradycji regionalnych w ramach RPO WZ, Osi VI: Rozwój Funkcji Metropolitalnych (2014-2015)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</si>
  <si>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</t>
    </r>
    <r>
      <rPr>
        <b/>
        <sz val="9"/>
        <rFont val="Arial CE"/>
        <charset val="238"/>
      </rPr>
      <t>2017</t>
    </r>
    <r>
      <rPr>
        <b/>
        <sz val="9"/>
        <rFont val="Arial CE"/>
        <family val="2"/>
        <charset val="238"/>
      </rPr>
      <t>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</si>
  <si>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</t>
    </r>
    <r>
      <rPr>
        <b/>
        <sz val="9"/>
        <rFont val="Arial CE"/>
        <charset val="238"/>
      </rPr>
      <t>2017</t>
    </r>
    <r>
      <rPr>
        <b/>
        <sz val="9"/>
        <rFont val="Arial CE"/>
        <family val="2"/>
        <charset val="238"/>
      </rPr>
      <t>)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</si>
  <si>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(2009-2017)</t>
    </r>
  </si>
  <si>
    <r>
      <t>Przebudowa drogi woj. nr 163 na odcinku Czaplinek - Wałcz (etap I)</t>
    </r>
    <r>
      <rPr>
        <sz val="9"/>
        <rFont val="Arial CE"/>
        <family val="2"/>
        <charset val="238"/>
      </rPr>
      <t xml:space="preserve"> w ramach Osi II RPO</t>
    </r>
    <r>
      <rPr>
        <b/>
        <sz val="9"/>
        <rFont val="Arial CE"/>
        <family val="2"/>
        <charset val="238"/>
      </rPr>
      <t xml:space="preserve"> (2007-</t>
    </r>
    <r>
      <rPr>
        <b/>
        <sz val="9"/>
        <rFont val="Arial CE"/>
        <charset val="238"/>
      </rPr>
      <t>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</si>
  <si>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</t>
    </r>
    <r>
      <rPr>
        <b/>
        <sz val="9"/>
        <rFont val="Arial CE"/>
        <charset val="238"/>
      </rPr>
      <t>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</si>
  <si>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</t>
    </r>
    <r>
      <rPr>
        <b/>
        <sz val="9"/>
        <rFont val="Arial CE"/>
        <charset val="238"/>
      </rPr>
      <t>-2017)</t>
    </r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</si>
  <si>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(2016-2020)</t>
    </r>
  </si>
  <si>
    <t>WYDATKI ŁĄCZNIE - 
stan na  13 grudnia  2016 r.</t>
  </si>
  <si>
    <t>DOCHODY ŁĄCZNIE - 
stan na 13 grudnia 2016 r.</t>
  </si>
  <si>
    <t>WYDATKI ŁĄCZNIE - 
stan na 15 listopada 2016 r.</t>
  </si>
  <si>
    <t>rozdz. 
71012</t>
  </si>
  <si>
    <t>rozdz. 71012</t>
  </si>
  <si>
    <t>Wspólny Sekretariat - Pomoc Techniczna w ramach  Programu Współpracy INTERREG VA (2016-2022)</t>
  </si>
  <si>
    <t xml:space="preserve">
WWT/
WOiRZL</t>
  </si>
  <si>
    <t>Wspólny Sekretariat - Pomoc Techniczna w ramach  Programu Współpracy INTERREG VA- wydatki</t>
  </si>
  <si>
    <t xml:space="preserve">Wspólny Sekretariat - Pomoc Techniczna w ramach  Programu Współpracy INTERREG VA- dochody </t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</si>
  <si>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</si>
  <si>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t>Zakup pasażerskiego taboru kolejowego do obsługi połączeń międzywojewódzkich przez Województwa: Lubuskie i Zachodniopomorskie w ramach PO Infrastruktura i Środowisko (2013-2015)</t>
  </si>
  <si>
    <r>
      <t xml:space="preserve">Poznaj Pomorze Zachodnie. Oznakowanie turystyczne regionu </t>
    </r>
    <r>
      <rPr>
        <sz val="9"/>
        <rFont val="Arial CE"/>
        <charset val="238"/>
      </rPr>
      <t>w ramach RPO WZ, Osi V</t>
    </r>
    <r>
      <rPr>
        <b/>
        <sz val="9"/>
        <rFont val="Arial CE"/>
        <family val="2"/>
        <charset val="238"/>
      </rPr>
      <t xml:space="preserve"> (2012-2016)</t>
    </r>
  </si>
  <si>
    <r>
      <t xml:space="preserve">Poznaj Pomorze Zachodnie. Oznakowanie turystyczne regionu </t>
    </r>
    <r>
      <rPr>
        <sz val="9"/>
        <rFont val="Arial CE"/>
        <charset val="238"/>
      </rPr>
      <t>w ramach RPO WZ, Osi V -</t>
    </r>
    <r>
      <rPr>
        <b/>
        <sz val="9"/>
        <rFont val="Arial CE"/>
        <charset val="238"/>
      </rPr>
      <t xml:space="preserve"> wydatki inwestycyjne</t>
    </r>
    <r>
      <rPr>
        <b/>
        <sz val="9"/>
        <rFont val="Arial CE"/>
        <family val="2"/>
        <charset val="238"/>
      </rPr>
      <t xml:space="preserve"> (2012-2015)</t>
    </r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</si>
  <si>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ramach RPO WZ, Osi IV</t>
    </r>
    <r>
      <rPr>
        <b/>
        <sz val="9"/>
        <rFont val="Arial CE"/>
        <family val="2"/>
        <charset val="238"/>
      </rPr>
      <t xml:space="preserve"> (2016-2018)</t>
    </r>
  </si>
  <si>
    <t xml:space="preserve">Zakupy inwestycyjne w ramach wsparcia gmin w opracowaniu albo aktualizacji programów rewitalizacji w ramach PO Pomoc Techniczna (2016 - 2018) </t>
  </si>
  <si>
    <r>
      <t xml:space="preserve">Zrównoważona mobilność na obszarze ostatniej mili w regionach turystycznych (LAST MILE) </t>
    </r>
    <r>
      <rPr>
        <sz val="9"/>
        <rFont val="Arial CE"/>
        <charset val="238"/>
      </rPr>
      <t>w ramach programu EWT Region Morza Bałtyckiego (2016-2020)</t>
    </r>
  </si>
  <si>
    <t>RAZEM  ZMNIEJSZENIE WYDATKÓW</t>
  </si>
  <si>
    <t>Oś Priorytetowa VI, Pomoc Techniczna w ramach  PO WER 2014 - 2020 (2015-2020)</t>
  </si>
  <si>
    <t>Oś Priorytetowa VI, Pomoc Techniczna w ramach  PO WER 2014-2020 - wydatki majątkowe (2015-2020)</t>
  </si>
  <si>
    <t>Modernizacja i remont dziedzińców Zamku Książąt Pomorskich w Szczecinie (2017-2018)</t>
  </si>
  <si>
    <t>*</t>
  </si>
  <si>
    <t xml:space="preserve">Plan dochodów na 2016 r. obejmuje dochody bieżące (wyodrębnione w związku z otrzymaniem decyzji o dofinansowaniu projektów i możliwoscią refundacji kosztów pośrednich stanowiących 2 % kwalifikowanych kosztów bezpośrednich) i majątkowe. </t>
  </si>
  <si>
    <t>Zlecanie wykonania i udostępniania map topograficznych i tematycznych opracowań numerycznych, prowadzenie wojewódzkich baz danych oraz standardowych opracowań kartograficznych (2016-2017)</t>
  </si>
  <si>
    <t>Gospodarowanie nieruchomościami należącymi do zasobu Województwa Zachodniopomorskiego (2010-2017)</t>
  </si>
  <si>
    <t>majątkowe/
bieżące*</t>
  </si>
  <si>
    <t>TABELE DO OBJAŚNIEŃ</t>
  </si>
  <si>
    <t>rozdz. 
15011
75018</t>
  </si>
  <si>
    <t>rozdz. 71095</t>
  </si>
  <si>
    <t xml:space="preserve"> - Gmina i Miasto Koszalin/AZR</t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</si>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</sst>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"/>
    <numFmt numFmtId="165" formatCode="#,##0.0"/>
    <numFmt numFmtId="167" formatCode="#,##0_ ;\-#,##0\ "/>
  </numFmts>
  <fonts count="140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 CE"/>
      <family val="2"/>
      <charset val="238"/>
    </font>
    <font>
      <i/>
      <sz val="8"/>
      <color indexed="8"/>
      <name val="Arial CE"/>
      <charset val="238"/>
    </font>
    <font>
      <b/>
      <i/>
      <sz val="12"/>
      <color indexed="8"/>
      <name val="Arial CE"/>
      <charset val="238"/>
    </font>
    <font>
      <i/>
      <sz val="12"/>
      <color indexed="8"/>
      <name val="Arial CE"/>
      <charset val="238"/>
    </font>
    <font>
      <sz val="10"/>
      <color indexed="8"/>
      <name val="Arial"/>
      <family val="2"/>
      <charset val="238"/>
    </font>
    <font>
      <i/>
      <sz val="9"/>
      <color indexed="8"/>
      <name val="Arial CE"/>
      <charset val="238"/>
    </font>
    <font>
      <b/>
      <sz val="18"/>
      <color indexed="8"/>
      <name val="Arial CE"/>
      <charset val="238"/>
    </font>
    <font>
      <b/>
      <sz val="16"/>
      <color indexed="8"/>
      <name val="Arial CE"/>
      <charset val="238"/>
    </font>
    <font>
      <b/>
      <sz val="16"/>
      <color indexed="8"/>
      <name val="Arial CE"/>
      <family val="2"/>
      <charset val="238"/>
    </font>
    <font>
      <b/>
      <sz val="14"/>
      <color indexed="8"/>
      <name val="Arial CE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sz val="9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0"/>
      <color indexed="8"/>
      <name val="Arial CE"/>
      <charset val="238"/>
    </font>
    <font>
      <sz val="11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b/>
      <sz val="11"/>
      <color indexed="8"/>
      <name val="Arial CE"/>
      <charset val="238"/>
    </font>
    <font>
      <b/>
      <i/>
      <sz val="10"/>
      <color indexed="8"/>
      <name val="Arial CE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 CE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i/>
      <sz val="10"/>
      <color indexed="8"/>
      <name val="Arial"/>
      <family val="2"/>
      <charset val="238"/>
    </font>
    <font>
      <i/>
      <sz val="11"/>
      <color indexed="8"/>
      <name val="Arial CE"/>
      <charset val="238"/>
    </font>
    <font>
      <b/>
      <sz val="9"/>
      <color indexed="8"/>
      <name val="Arial CE"/>
      <family val="2"/>
      <charset val="238"/>
    </font>
    <font>
      <b/>
      <sz val="9"/>
      <color indexed="8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i/>
      <sz val="10"/>
      <color indexed="8"/>
      <name val="Arial CE"/>
      <charset val="238"/>
    </font>
    <font>
      <i/>
      <sz val="10"/>
      <color indexed="8"/>
      <name val="Arial CE"/>
      <family val="2"/>
      <charset val="238"/>
    </font>
    <font>
      <b/>
      <sz val="8"/>
      <color indexed="8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9"/>
      <name val="Arial CE"/>
      <family val="2"/>
      <charset val="238"/>
    </font>
    <font>
      <sz val="10"/>
      <color theme="1"/>
      <name val="Arial CE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0"/>
      <color rgb="FF0000FF"/>
      <name val="Arial"/>
      <family val="2"/>
      <charset val="238"/>
    </font>
    <font>
      <b/>
      <sz val="10"/>
      <color rgb="FF0000FF"/>
      <name val="Arial CE"/>
      <family val="2"/>
      <charset val="238"/>
    </font>
    <font>
      <b/>
      <sz val="10"/>
      <color rgb="FF0000FF"/>
      <name val="Arial CE"/>
      <charset val="238"/>
    </font>
    <font>
      <b/>
      <i/>
      <sz val="10"/>
      <name val="Arial"/>
      <family val="2"/>
      <charset val="238"/>
    </font>
    <font>
      <b/>
      <sz val="11"/>
      <color rgb="FFFF0000"/>
      <name val="Arial CE"/>
      <charset val="238"/>
    </font>
    <font>
      <b/>
      <i/>
      <sz val="12"/>
      <name val="Arial Black"/>
      <family val="2"/>
      <charset val="238"/>
    </font>
    <font>
      <sz val="11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00FF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b/>
      <i/>
      <sz val="10"/>
      <color rgb="FFFF0000"/>
      <name val="Arial CE"/>
      <family val="2"/>
      <charset val="238"/>
    </font>
    <font>
      <b/>
      <i/>
      <sz val="11"/>
      <color rgb="FFFF0000"/>
      <name val="Arial CE"/>
      <family val="2"/>
      <charset val="238"/>
    </font>
    <font>
      <b/>
      <sz val="11"/>
      <name val="Arial CE"/>
      <charset val="238"/>
    </font>
    <font>
      <b/>
      <i/>
      <sz val="10"/>
      <color rgb="FFFF0000"/>
      <name val="Arial CE"/>
      <charset val="238"/>
    </font>
    <font>
      <b/>
      <i/>
      <sz val="11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i/>
      <sz val="9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"/>
      <family val="2"/>
      <charset val="238"/>
    </font>
    <font>
      <sz val="10"/>
      <color rgb="FF0000FF"/>
      <name val="Bookman Old Style"/>
      <family val="1"/>
      <charset val="238"/>
    </font>
    <font>
      <i/>
      <sz val="10"/>
      <color rgb="FFFF0000"/>
      <name val="Arial CE"/>
      <charset val="238"/>
    </font>
    <font>
      <b/>
      <i/>
      <sz val="11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i/>
      <sz val="10"/>
      <name val="Arial CE"/>
      <family val="2"/>
      <charset val="238"/>
    </font>
    <font>
      <b/>
      <sz val="16"/>
      <color theme="1"/>
      <name val="Arial CE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10"/>
      <color theme="1"/>
      <name val="Arial CE"/>
      <charset val="238"/>
    </font>
    <font>
      <b/>
      <sz val="10"/>
      <color theme="1"/>
      <name val="Arial"/>
      <family val="2"/>
      <charset val="238"/>
    </font>
    <font>
      <sz val="9"/>
      <color theme="1"/>
      <name val="Arial CE"/>
      <family val="2"/>
      <charset val="238"/>
    </font>
    <font>
      <sz val="9"/>
      <color theme="1"/>
      <name val="Arial CE"/>
      <charset val="238"/>
    </font>
    <font>
      <b/>
      <sz val="11"/>
      <color theme="1"/>
      <name val="Arial CE"/>
      <family val="2"/>
      <charset val="238"/>
    </font>
    <font>
      <b/>
      <sz val="11"/>
      <color theme="1"/>
      <name val="Arial CE"/>
      <charset val="238"/>
    </font>
    <font>
      <sz val="11"/>
      <color theme="1"/>
      <name val="Arial CE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 CE"/>
      <charset val="238"/>
    </font>
    <font>
      <i/>
      <sz val="10"/>
      <color theme="1"/>
      <name val="Arial CE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 CE"/>
      <charset val="238"/>
    </font>
    <font>
      <sz val="11"/>
      <color theme="1"/>
      <name val="Arial CE"/>
      <charset val="238"/>
    </font>
    <font>
      <b/>
      <sz val="8"/>
      <color theme="1"/>
      <name val="Arial CE"/>
      <charset val="238"/>
    </font>
    <font>
      <i/>
      <sz val="12"/>
      <name val="Arial"/>
      <family val="2"/>
      <charset val="238"/>
    </font>
    <font>
      <b/>
      <sz val="16"/>
      <color indexed="8"/>
      <name val="Arial Black"/>
      <family val="2"/>
      <charset val="238"/>
    </font>
    <font>
      <b/>
      <sz val="11"/>
      <name val="Arial CE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gray125">
        <fgColor indexed="11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13"/>
        <bgColor indexed="15"/>
      </patternFill>
    </fill>
    <fill>
      <patternFill patternType="mediumGray">
        <fgColor indexed="13"/>
        <bgColor indexed="47"/>
      </patternFill>
    </fill>
    <fill>
      <patternFill patternType="mediumGray">
        <fgColor indexed="13"/>
        <bgColor indexed="42"/>
      </patternFill>
    </fill>
    <fill>
      <patternFill patternType="mediumGray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rgb="FFFFFF00"/>
      </patternFill>
    </fill>
    <fill>
      <patternFill patternType="mediumGray">
        <fgColor indexed="11"/>
        <bgColor theme="8" tint="0.59999389629810485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8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2" fillId="0" borderId="0"/>
    <xf numFmtId="0" fontId="3" fillId="0" borderId="0"/>
    <xf numFmtId="0" fontId="3" fillId="0" borderId="0"/>
    <xf numFmtId="0" fontId="74" fillId="0" borderId="0"/>
    <xf numFmtId="0" fontId="7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6" fillId="43" borderId="0">
      <alignment horizontal="left" vertical="top"/>
    </xf>
    <xf numFmtId="0" fontId="77" fillId="43" borderId="0">
      <alignment horizontal="center" vertical="top"/>
    </xf>
    <xf numFmtId="0" fontId="76" fillId="43" borderId="0">
      <alignment horizontal="left" vertical="top"/>
    </xf>
    <xf numFmtId="0" fontId="76" fillId="43" borderId="0">
      <alignment horizontal="left" vertical="top"/>
    </xf>
    <xf numFmtId="0" fontId="76" fillId="43" borderId="0">
      <alignment horizontal="right" vertical="top"/>
    </xf>
    <xf numFmtId="0" fontId="77" fillId="44" borderId="0">
      <alignment horizontal="left" vertical="top"/>
    </xf>
    <xf numFmtId="0" fontId="77" fillId="44" borderId="0">
      <alignment horizontal="right" vertical="top"/>
    </xf>
    <xf numFmtId="0" fontId="77" fillId="44" borderId="0">
      <alignment horizontal="right" vertical="top"/>
    </xf>
    <xf numFmtId="0" fontId="77" fillId="44" borderId="0">
      <alignment horizontal="right" vertical="top"/>
    </xf>
    <xf numFmtId="0" fontId="77" fillId="45" borderId="0">
      <alignment horizontal="left" vertical="top"/>
    </xf>
    <xf numFmtId="0" fontId="77" fillId="45" borderId="0">
      <alignment horizontal="right" vertical="top"/>
    </xf>
    <xf numFmtId="0" fontId="77" fillId="45" borderId="0">
      <alignment horizontal="right" vertical="top"/>
    </xf>
    <xf numFmtId="0" fontId="78" fillId="43" borderId="0">
      <alignment horizontal="center" vertical="top"/>
    </xf>
    <xf numFmtId="0" fontId="77" fillId="45" borderId="0">
      <alignment horizontal="right" vertical="top"/>
    </xf>
    <xf numFmtId="0" fontId="76" fillId="46" borderId="0">
      <alignment horizontal="left" vertical="top"/>
    </xf>
    <xf numFmtId="0" fontId="76" fillId="46" borderId="0">
      <alignment horizontal="right" vertical="top"/>
    </xf>
    <xf numFmtId="0" fontId="76" fillId="46" borderId="0">
      <alignment horizontal="right" vertical="top"/>
    </xf>
    <xf numFmtId="0" fontId="76" fillId="46" borderId="0">
      <alignment horizontal="right" vertical="top"/>
    </xf>
    <xf numFmtId="0" fontId="76" fillId="43" borderId="0">
      <alignment horizontal="left" vertical="top"/>
    </xf>
    <xf numFmtId="0" fontId="76" fillId="43" borderId="0">
      <alignment horizontal="right" vertical="top"/>
    </xf>
    <xf numFmtId="0" fontId="76" fillId="43" borderId="0">
      <alignment horizontal="right" vertical="top"/>
    </xf>
    <xf numFmtId="0" fontId="76" fillId="43" borderId="0">
      <alignment horizontal="right" vertical="top"/>
    </xf>
    <xf numFmtId="0" fontId="79" fillId="47" borderId="0">
      <alignment horizontal="left" vertical="top"/>
    </xf>
    <xf numFmtId="0" fontId="80" fillId="43" borderId="0">
      <alignment horizontal="left" vertical="top"/>
    </xf>
    <xf numFmtId="0" fontId="81" fillId="43" borderId="0">
      <alignment horizontal="left" vertical="top"/>
    </xf>
    <xf numFmtId="0" fontId="77" fillId="43" borderId="0">
      <alignment horizontal="right" vertical="top"/>
    </xf>
    <xf numFmtId="0" fontId="77" fillId="43" borderId="0">
      <alignment horizontal="right" vertical="top"/>
    </xf>
    <xf numFmtId="0" fontId="81" fillId="48" borderId="0">
      <alignment horizontal="left"/>
    </xf>
    <xf numFmtId="0" fontId="81" fillId="48" borderId="0">
      <alignment horizontal="left"/>
    </xf>
    <xf numFmtId="0" fontId="81" fillId="48" borderId="0">
      <alignment horizontal="right"/>
    </xf>
    <xf numFmtId="0" fontId="82" fillId="48" borderId="0">
      <alignment horizontal="right"/>
    </xf>
    <xf numFmtId="0" fontId="81" fillId="47" borderId="0">
      <alignment horizontal="left" vertical="top"/>
    </xf>
    <xf numFmtId="0" fontId="77" fillId="47" borderId="0">
      <alignment horizontal="right" vertical="top"/>
    </xf>
    <xf numFmtId="0" fontId="77" fillId="47" borderId="0">
      <alignment horizontal="right" vertical="top"/>
    </xf>
    <xf numFmtId="0" fontId="76" fillId="43" borderId="0">
      <alignment horizontal="left" vertical="center"/>
    </xf>
    <xf numFmtId="0" fontId="79" fillId="48" borderId="0">
      <alignment horizontal="left" vertical="top"/>
    </xf>
    <xf numFmtId="0" fontId="79" fillId="48" borderId="0">
      <alignment horizontal="left" vertical="top"/>
    </xf>
    <xf numFmtId="0" fontId="79" fillId="47" borderId="0">
      <alignment horizontal="left" vertical="top"/>
    </xf>
    <xf numFmtId="0" fontId="79" fillId="47" borderId="0">
      <alignment horizontal="left" vertical="top"/>
    </xf>
    <xf numFmtId="0" fontId="79" fillId="47" borderId="0">
      <alignment horizontal="left" vertical="top"/>
    </xf>
    <xf numFmtId="0" fontId="79" fillId="48" borderId="0">
      <alignment horizontal="left" vertical="top"/>
    </xf>
    <xf numFmtId="0" fontId="81" fillId="43" borderId="0">
      <alignment horizontal="left"/>
    </xf>
    <xf numFmtId="0" fontId="81" fillId="43" borderId="0">
      <alignment horizontal="left"/>
    </xf>
    <xf numFmtId="0" fontId="81" fillId="43" borderId="0">
      <alignment horizontal="right"/>
    </xf>
    <xf numFmtId="0" fontId="82" fillId="43" borderId="0">
      <alignment horizontal="right"/>
    </xf>
    <xf numFmtId="4" fontId="83" fillId="13" borderId="89" applyNumberFormat="0" applyProtection="0">
      <alignment vertical="center"/>
    </xf>
    <xf numFmtId="4" fontId="84" fillId="13" borderId="89" applyNumberFormat="0" applyProtection="0">
      <alignment vertical="center"/>
    </xf>
    <xf numFmtId="4" fontId="83" fillId="13" borderId="89" applyNumberFormat="0" applyProtection="0">
      <alignment horizontal="left" vertical="center" indent="1"/>
    </xf>
    <xf numFmtId="4" fontId="83" fillId="13" borderId="89" applyNumberFormat="0" applyProtection="0">
      <alignment horizontal="left" vertical="center" indent="1"/>
    </xf>
    <xf numFmtId="0" fontId="3" fillId="11" borderId="89" applyNumberFormat="0" applyProtection="0">
      <alignment horizontal="left" vertical="center" indent="1"/>
    </xf>
    <xf numFmtId="4" fontId="83" fillId="36" borderId="89" applyNumberFormat="0" applyProtection="0">
      <alignment horizontal="right" vertical="center"/>
    </xf>
    <xf numFmtId="4" fontId="83" fillId="49" borderId="89" applyNumberFormat="0" applyProtection="0">
      <alignment horizontal="right" vertical="center"/>
    </xf>
    <xf numFmtId="4" fontId="83" fillId="50" borderId="89" applyNumberFormat="0" applyProtection="0">
      <alignment horizontal="right" vertical="center"/>
    </xf>
    <xf numFmtId="4" fontId="83" fillId="12" borderId="89" applyNumberFormat="0" applyProtection="0">
      <alignment horizontal="right" vertical="center"/>
    </xf>
    <xf numFmtId="4" fontId="83" fillId="51" borderId="89" applyNumberFormat="0" applyProtection="0">
      <alignment horizontal="right" vertical="center"/>
    </xf>
    <xf numFmtId="4" fontId="83" fillId="15" borderId="89" applyNumberFormat="0" applyProtection="0">
      <alignment horizontal="right" vertical="center"/>
    </xf>
    <xf numFmtId="4" fontId="83" fillId="17" borderId="89" applyNumberFormat="0" applyProtection="0">
      <alignment horizontal="right" vertical="center"/>
    </xf>
    <xf numFmtId="4" fontId="83" fillId="16" borderId="89" applyNumberFormat="0" applyProtection="0">
      <alignment horizontal="right" vertical="center"/>
    </xf>
    <xf numFmtId="4" fontId="83" fillId="19" borderId="89" applyNumberFormat="0" applyProtection="0">
      <alignment horizontal="right" vertical="center"/>
    </xf>
    <xf numFmtId="4" fontId="85" fillId="52" borderId="89" applyNumberFormat="0" applyProtection="0">
      <alignment horizontal="left" vertical="center" indent="1"/>
    </xf>
    <xf numFmtId="4" fontId="83" fillId="53" borderId="90" applyNumberFormat="0" applyProtection="0">
      <alignment horizontal="left" vertical="center" indent="1"/>
    </xf>
    <xf numFmtId="4" fontId="86" fillId="54" borderId="0" applyNumberFormat="0" applyProtection="0">
      <alignment horizontal="left" vertical="center" indent="1"/>
    </xf>
    <xf numFmtId="0" fontId="3" fillId="11" borderId="89" applyNumberFormat="0" applyProtection="0">
      <alignment horizontal="left" vertical="center" indent="1"/>
    </xf>
    <xf numFmtId="4" fontId="8" fillId="53" borderId="89" applyNumberFormat="0" applyProtection="0">
      <alignment horizontal="left" vertical="center" indent="1"/>
    </xf>
    <xf numFmtId="4" fontId="8" fillId="55" borderId="89" applyNumberFormat="0" applyProtection="0">
      <alignment horizontal="left" vertical="center" indent="1"/>
    </xf>
    <xf numFmtId="0" fontId="3" fillId="55" borderId="89" applyNumberFormat="0" applyProtection="0">
      <alignment horizontal="left" vertical="center" indent="1"/>
    </xf>
    <xf numFmtId="0" fontId="3" fillId="55" borderId="89" applyNumberFormat="0" applyProtection="0">
      <alignment horizontal="left" vertical="center" indent="1"/>
    </xf>
    <xf numFmtId="0" fontId="3" fillId="30" borderId="89" applyNumberFormat="0" applyProtection="0">
      <alignment horizontal="left" vertical="center" indent="1"/>
    </xf>
    <xf numFmtId="0" fontId="3" fillId="30" borderId="89" applyNumberFormat="0" applyProtection="0">
      <alignment horizontal="left" vertical="center" indent="1"/>
    </xf>
    <xf numFmtId="0" fontId="3" fillId="33" borderId="89" applyNumberFormat="0" applyProtection="0">
      <alignment horizontal="left" vertical="center" indent="1"/>
    </xf>
    <xf numFmtId="0" fontId="3" fillId="33" borderId="89" applyNumberFormat="0" applyProtection="0">
      <alignment horizontal="left" vertical="center" indent="1"/>
    </xf>
    <xf numFmtId="0" fontId="3" fillId="11" borderId="89" applyNumberFormat="0" applyProtection="0">
      <alignment horizontal="left" vertical="center" indent="1"/>
    </xf>
    <xf numFmtId="0" fontId="3" fillId="11" borderId="89" applyNumberFormat="0" applyProtection="0">
      <alignment horizontal="left" vertical="center" indent="1"/>
    </xf>
    <xf numFmtId="4" fontId="83" fillId="20" borderId="89" applyNumberFormat="0" applyProtection="0">
      <alignment vertical="center"/>
    </xf>
    <xf numFmtId="4" fontId="84" fillId="20" borderId="89" applyNumberFormat="0" applyProtection="0">
      <alignment vertical="center"/>
    </xf>
    <xf numFmtId="4" fontId="83" fillId="20" borderId="89" applyNumberFormat="0" applyProtection="0">
      <alignment horizontal="left" vertical="center" indent="1"/>
    </xf>
    <xf numFmtId="4" fontId="83" fillId="20" borderId="89" applyNumberFormat="0" applyProtection="0">
      <alignment horizontal="left" vertical="center" indent="1"/>
    </xf>
    <xf numFmtId="4" fontId="83" fillId="53" borderId="89" applyNumberFormat="0" applyProtection="0">
      <alignment horizontal="right" vertical="center"/>
    </xf>
    <xf numFmtId="4" fontId="84" fillId="53" borderId="89" applyNumberFormat="0" applyProtection="0">
      <alignment horizontal="right" vertical="center"/>
    </xf>
    <xf numFmtId="0" fontId="3" fillId="11" borderId="89" applyNumberFormat="0" applyProtection="0">
      <alignment horizontal="left" vertical="center" indent="1"/>
    </xf>
    <xf numFmtId="0" fontId="3" fillId="11" borderId="89" applyNumberFormat="0" applyProtection="0">
      <alignment horizontal="left" vertical="center" indent="1"/>
    </xf>
    <xf numFmtId="0" fontId="87" fillId="0" borderId="0"/>
    <xf numFmtId="4" fontId="88" fillId="53" borderId="89" applyNumberFormat="0" applyProtection="0">
      <alignment horizontal="right" vertical="center"/>
    </xf>
    <xf numFmtId="44" fontId="75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0" fontId="16" fillId="0" borderId="0"/>
    <xf numFmtId="4" fontId="83" fillId="13" borderId="100" applyNumberFormat="0" applyProtection="0">
      <alignment vertical="center"/>
    </xf>
    <xf numFmtId="4" fontId="84" fillId="13" borderId="100" applyNumberFormat="0" applyProtection="0">
      <alignment vertical="center"/>
    </xf>
    <xf numFmtId="4" fontId="83" fillId="13" borderId="100" applyNumberFormat="0" applyProtection="0">
      <alignment horizontal="left" vertical="center" indent="1"/>
    </xf>
    <xf numFmtId="4" fontId="83" fillId="13" borderId="100" applyNumberFormat="0" applyProtection="0">
      <alignment horizontal="left" vertical="center" indent="1"/>
    </xf>
    <xf numFmtId="0" fontId="3" fillId="11" borderId="100" applyNumberFormat="0" applyProtection="0">
      <alignment horizontal="left" vertical="center" indent="1"/>
    </xf>
    <xf numFmtId="4" fontId="83" fillId="36" borderId="100" applyNumberFormat="0" applyProtection="0">
      <alignment horizontal="right" vertical="center"/>
    </xf>
    <xf numFmtId="4" fontId="83" fillId="49" borderId="100" applyNumberFormat="0" applyProtection="0">
      <alignment horizontal="right" vertical="center"/>
    </xf>
    <xf numFmtId="4" fontId="83" fillId="50" borderId="100" applyNumberFormat="0" applyProtection="0">
      <alignment horizontal="right" vertical="center"/>
    </xf>
    <xf numFmtId="4" fontId="83" fillId="12" borderId="100" applyNumberFormat="0" applyProtection="0">
      <alignment horizontal="right" vertical="center"/>
    </xf>
    <xf numFmtId="4" fontId="83" fillId="51" borderId="100" applyNumberFormat="0" applyProtection="0">
      <alignment horizontal="right" vertical="center"/>
    </xf>
    <xf numFmtId="4" fontId="83" fillId="15" borderId="100" applyNumberFormat="0" applyProtection="0">
      <alignment horizontal="right" vertical="center"/>
    </xf>
    <xf numFmtId="4" fontId="83" fillId="17" borderId="100" applyNumberFormat="0" applyProtection="0">
      <alignment horizontal="right" vertical="center"/>
    </xf>
    <xf numFmtId="4" fontId="83" fillId="16" borderId="100" applyNumberFormat="0" applyProtection="0">
      <alignment horizontal="right" vertical="center"/>
    </xf>
    <xf numFmtId="4" fontId="83" fillId="19" borderId="100" applyNumberFormat="0" applyProtection="0">
      <alignment horizontal="right" vertical="center"/>
    </xf>
    <xf numFmtId="4" fontId="85" fillId="52" borderId="100" applyNumberFormat="0" applyProtection="0">
      <alignment horizontal="left" vertical="center" indent="1"/>
    </xf>
    <xf numFmtId="4" fontId="83" fillId="53" borderId="101" applyNumberFormat="0" applyProtection="0">
      <alignment horizontal="left" vertical="center" indent="1"/>
    </xf>
    <xf numFmtId="0" fontId="3" fillId="11" borderId="100" applyNumberFormat="0" applyProtection="0">
      <alignment horizontal="left" vertical="center" indent="1"/>
    </xf>
    <xf numFmtId="4" fontId="8" fillId="53" borderId="100" applyNumberFormat="0" applyProtection="0">
      <alignment horizontal="left" vertical="center" indent="1"/>
    </xf>
    <xf numFmtId="4" fontId="8" fillId="55" borderId="100" applyNumberFormat="0" applyProtection="0">
      <alignment horizontal="left" vertical="center" indent="1"/>
    </xf>
    <xf numFmtId="0" fontId="3" fillId="55" borderId="100" applyNumberFormat="0" applyProtection="0">
      <alignment horizontal="left" vertical="center" indent="1"/>
    </xf>
    <xf numFmtId="0" fontId="3" fillId="55" borderId="100" applyNumberFormat="0" applyProtection="0">
      <alignment horizontal="left" vertical="center" indent="1"/>
    </xf>
    <xf numFmtId="0" fontId="3" fillId="30" borderId="100" applyNumberFormat="0" applyProtection="0">
      <alignment horizontal="left" vertical="center" indent="1"/>
    </xf>
    <xf numFmtId="0" fontId="3" fillId="30" borderId="100" applyNumberFormat="0" applyProtection="0">
      <alignment horizontal="left" vertical="center" indent="1"/>
    </xf>
    <xf numFmtId="0" fontId="3" fillId="33" borderId="100" applyNumberFormat="0" applyProtection="0">
      <alignment horizontal="left" vertical="center" indent="1"/>
    </xf>
    <xf numFmtId="0" fontId="3" fillId="33" borderId="100" applyNumberFormat="0" applyProtection="0">
      <alignment horizontal="left" vertical="center" indent="1"/>
    </xf>
    <xf numFmtId="0" fontId="3" fillId="11" borderId="100" applyNumberFormat="0" applyProtection="0">
      <alignment horizontal="left" vertical="center" indent="1"/>
    </xf>
    <xf numFmtId="0" fontId="3" fillId="11" borderId="100" applyNumberFormat="0" applyProtection="0">
      <alignment horizontal="left" vertical="center" indent="1"/>
    </xf>
    <xf numFmtId="4" fontId="83" fillId="20" borderId="100" applyNumberFormat="0" applyProtection="0">
      <alignment vertical="center"/>
    </xf>
    <xf numFmtId="4" fontId="84" fillId="20" borderId="100" applyNumberFormat="0" applyProtection="0">
      <alignment vertical="center"/>
    </xf>
    <xf numFmtId="4" fontId="83" fillId="20" borderId="100" applyNumberFormat="0" applyProtection="0">
      <alignment horizontal="left" vertical="center" indent="1"/>
    </xf>
    <xf numFmtId="4" fontId="83" fillId="20" borderId="100" applyNumberFormat="0" applyProtection="0">
      <alignment horizontal="left" vertical="center" indent="1"/>
    </xf>
    <xf numFmtId="4" fontId="83" fillId="53" borderId="100" applyNumberFormat="0" applyProtection="0">
      <alignment horizontal="right" vertical="center"/>
    </xf>
    <xf numFmtId="4" fontId="84" fillId="53" borderId="100" applyNumberFormat="0" applyProtection="0">
      <alignment horizontal="right" vertical="center"/>
    </xf>
    <xf numFmtId="0" fontId="3" fillId="11" borderId="100" applyNumberFormat="0" applyProtection="0">
      <alignment horizontal="left" vertical="center" indent="1"/>
    </xf>
    <xf numFmtId="0" fontId="3" fillId="11" borderId="100" applyNumberFormat="0" applyProtection="0">
      <alignment horizontal="left" vertical="center" indent="1"/>
    </xf>
    <xf numFmtId="4" fontId="88" fillId="53" borderId="100" applyNumberFormat="0" applyProtection="0">
      <alignment horizontal="right" vertical="center"/>
    </xf>
    <xf numFmtId="0" fontId="3" fillId="0" borderId="0"/>
    <xf numFmtId="4" fontId="83" fillId="13" borderId="159" applyNumberFormat="0" applyProtection="0">
      <alignment horizontal="left" vertical="center" indent="1"/>
    </xf>
    <xf numFmtId="4" fontId="83" fillId="12" borderId="168" applyNumberFormat="0" applyProtection="0">
      <alignment horizontal="right" vertical="center"/>
    </xf>
    <xf numFmtId="4" fontId="83" fillId="13" borderId="159" applyNumberFormat="0" applyProtection="0">
      <alignment horizontal="left" vertical="center" indent="1"/>
    </xf>
    <xf numFmtId="4" fontId="84" fillId="13" borderId="159" applyNumberFormat="0" applyProtection="0">
      <alignment vertical="center"/>
    </xf>
    <xf numFmtId="4" fontId="83" fillId="13" borderId="159" applyNumberFormat="0" applyProtection="0">
      <alignment vertical="center"/>
    </xf>
    <xf numFmtId="4" fontId="83" fillId="17" borderId="168" applyNumberFormat="0" applyProtection="0">
      <alignment horizontal="right" vertical="center"/>
    </xf>
    <xf numFmtId="4" fontId="85" fillId="52" borderId="168" applyNumberFormat="0" applyProtection="0">
      <alignment horizontal="left" vertical="center" indent="1"/>
    </xf>
    <xf numFmtId="0" fontId="1" fillId="0" borderId="0"/>
    <xf numFmtId="4" fontId="83" fillId="13" borderId="167" applyNumberFormat="0" applyProtection="0">
      <alignment vertical="center"/>
    </xf>
    <xf numFmtId="4" fontId="84" fillId="13" borderId="167" applyNumberFormat="0" applyProtection="0">
      <alignment vertical="center"/>
    </xf>
    <xf numFmtId="4" fontId="83" fillId="13" borderId="167" applyNumberFormat="0" applyProtection="0">
      <alignment horizontal="left" vertical="center" indent="1"/>
    </xf>
    <xf numFmtId="4" fontId="83" fillId="13" borderId="167" applyNumberFormat="0" applyProtection="0">
      <alignment horizontal="left" vertical="center" indent="1"/>
    </xf>
    <xf numFmtId="0" fontId="3" fillId="11" borderId="167" applyNumberFormat="0" applyProtection="0">
      <alignment horizontal="left" vertical="center" indent="1"/>
    </xf>
    <xf numFmtId="4" fontId="83" fillId="36" borderId="167" applyNumberFormat="0" applyProtection="0">
      <alignment horizontal="right" vertical="center"/>
    </xf>
    <xf numFmtId="4" fontId="83" fillId="49" borderId="167" applyNumberFormat="0" applyProtection="0">
      <alignment horizontal="right" vertical="center"/>
    </xf>
    <xf numFmtId="4" fontId="83" fillId="50" borderId="167" applyNumberFormat="0" applyProtection="0">
      <alignment horizontal="right" vertical="center"/>
    </xf>
    <xf numFmtId="4" fontId="83" fillId="12" borderId="167" applyNumberFormat="0" applyProtection="0">
      <alignment horizontal="right" vertical="center"/>
    </xf>
    <xf numFmtId="4" fontId="83" fillId="51" borderId="167" applyNumberFormat="0" applyProtection="0">
      <alignment horizontal="right" vertical="center"/>
    </xf>
    <xf numFmtId="4" fontId="83" fillId="15" borderId="167" applyNumberFormat="0" applyProtection="0">
      <alignment horizontal="right" vertical="center"/>
    </xf>
    <xf numFmtId="4" fontId="83" fillId="17" borderId="167" applyNumberFormat="0" applyProtection="0">
      <alignment horizontal="right" vertical="center"/>
    </xf>
    <xf numFmtId="4" fontId="83" fillId="16" borderId="167" applyNumberFormat="0" applyProtection="0">
      <alignment horizontal="right" vertical="center"/>
    </xf>
    <xf numFmtId="4" fontId="83" fillId="19" borderId="167" applyNumberFormat="0" applyProtection="0">
      <alignment horizontal="right" vertical="center"/>
    </xf>
    <xf numFmtId="4" fontId="85" fillId="52" borderId="167" applyNumberFormat="0" applyProtection="0">
      <alignment horizontal="left" vertical="center" indent="1"/>
    </xf>
    <xf numFmtId="0" fontId="3" fillId="30" borderId="167" applyNumberFormat="0" applyProtection="0">
      <alignment horizontal="left" vertical="center" indent="1"/>
    </xf>
    <xf numFmtId="0" fontId="3" fillId="33" borderId="167" applyNumberFormat="0" applyProtection="0">
      <alignment horizontal="left" vertical="center" indent="1"/>
    </xf>
    <xf numFmtId="0" fontId="3" fillId="33" borderId="167" applyNumberFormat="0" applyProtection="0">
      <alignment horizontal="left" vertical="center" indent="1"/>
    </xf>
    <xf numFmtId="0" fontId="3" fillId="11" borderId="167" applyNumberFormat="0" applyProtection="0">
      <alignment horizontal="left" vertical="center" indent="1"/>
    </xf>
    <xf numFmtId="4" fontId="83" fillId="20" borderId="167" applyNumberFormat="0" applyProtection="0">
      <alignment vertical="center"/>
    </xf>
    <xf numFmtId="4" fontId="84" fillId="20" borderId="167" applyNumberFormat="0" applyProtection="0">
      <alignment vertical="center"/>
    </xf>
    <xf numFmtId="4" fontId="83" fillId="20" borderId="167" applyNumberFormat="0" applyProtection="0">
      <alignment horizontal="left" vertical="center" indent="1"/>
    </xf>
    <xf numFmtId="4" fontId="83" fillId="20" borderId="167" applyNumberFormat="0" applyProtection="0">
      <alignment horizontal="left" vertical="center" indent="1"/>
    </xf>
    <xf numFmtId="4" fontId="83" fillId="53" borderId="167" applyNumberFormat="0" applyProtection="0">
      <alignment horizontal="right" vertical="center"/>
    </xf>
    <xf numFmtId="4" fontId="84" fillId="53" borderId="167" applyNumberFormat="0" applyProtection="0">
      <alignment horizontal="right" vertical="center"/>
    </xf>
    <xf numFmtId="4" fontId="83" fillId="13" borderId="173" applyNumberFormat="0" applyProtection="0">
      <alignment vertical="center"/>
    </xf>
    <xf numFmtId="4" fontId="88" fillId="53" borderId="167" applyNumberFormat="0" applyProtection="0">
      <alignment horizontal="right" vertical="center"/>
    </xf>
    <xf numFmtId="0" fontId="3" fillId="11" borderId="167" applyNumberFormat="0" applyProtection="0">
      <alignment horizontal="left" vertical="center" indent="1"/>
    </xf>
    <xf numFmtId="0" fontId="3" fillId="11" borderId="167" applyNumberFormat="0" applyProtection="0">
      <alignment horizontal="left" vertical="center" indent="1"/>
    </xf>
    <xf numFmtId="4" fontId="8" fillId="53" borderId="167" applyNumberFormat="0" applyProtection="0">
      <alignment horizontal="left" vertical="center" indent="1"/>
    </xf>
    <xf numFmtId="0" fontId="3" fillId="55" borderId="167" applyNumberFormat="0" applyProtection="0">
      <alignment horizontal="left" vertical="center" indent="1"/>
    </xf>
    <xf numFmtId="4" fontId="83" fillId="13" borderId="154" applyNumberFormat="0" applyProtection="0">
      <alignment vertical="center"/>
    </xf>
    <xf numFmtId="4" fontId="84" fillId="13" borderId="154" applyNumberFormat="0" applyProtection="0">
      <alignment vertical="center"/>
    </xf>
    <xf numFmtId="4" fontId="83" fillId="13" borderId="154" applyNumberFormat="0" applyProtection="0">
      <alignment horizontal="left" vertical="center" indent="1"/>
    </xf>
    <xf numFmtId="4" fontId="83" fillId="13" borderId="154" applyNumberFormat="0" applyProtection="0">
      <alignment horizontal="left" vertical="center" indent="1"/>
    </xf>
    <xf numFmtId="0" fontId="3" fillId="11" borderId="154" applyNumberFormat="0" applyProtection="0">
      <alignment horizontal="left" vertical="center" indent="1"/>
    </xf>
    <xf numFmtId="4" fontId="83" fillId="36" borderId="154" applyNumberFormat="0" applyProtection="0">
      <alignment horizontal="right" vertical="center"/>
    </xf>
    <xf numFmtId="4" fontId="83" fillId="49" borderId="154" applyNumberFormat="0" applyProtection="0">
      <alignment horizontal="right" vertical="center"/>
    </xf>
    <xf numFmtId="4" fontId="83" fillId="50" borderId="154" applyNumberFormat="0" applyProtection="0">
      <alignment horizontal="right" vertical="center"/>
    </xf>
    <xf numFmtId="4" fontId="83" fillId="12" borderId="154" applyNumberFormat="0" applyProtection="0">
      <alignment horizontal="right" vertical="center"/>
    </xf>
    <xf numFmtId="4" fontId="83" fillId="51" borderId="154" applyNumberFormat="0" applyProtection="0">
      <alignment horizontal="right" vertical="center"/>
    </xf>
    <xf numFmtId="4" fontId="83" fillId="15" borderId="154" applyNumberFormat="0" applyProtection="0">
      <alignment horizontal="right" vertical="center"/>
    </xf>
    <xf numFmtId="4" fontId="83" fillId="17" borderId="154" applyNumberFormat="0" applyProtection="0">
      <alignment horizontal="right" vertical="center"/>
    </xf>
    <xf numFmtId="4" fontId="83" fillId="16" borderId="154" applyNumberFormat="0" applyProtection="0">
      <alignment horizontal="right" vertical="center"/>
    </xf>
    <xf numFmtId="4" fontId="83" fillId="19" borderId="154" applyNumberFormat="0" applyProtection="0">
      <alignment horizontal="right" vertical="center"/>
    </xf>
    <xf numFmtId="4" fontId="85" fillId="52" borderId="154" applyNumberFormat="0" applyProtection="0">
      <alignment horizontal="left" vertical="center" indent="1"/>
    </xf>
    <xf numFmtId="4" fontId="83" fillId="53" borderId="155" applyNumberFormat="0" applyProtection="0">
      <alignment horizontal="left" vertical="center" indent="1"/>
    </xf>
    <xf numFmtId="0" fontId="3" fillId="11" borderId="154" applyNumberFormat="0" applyProtection="0">
      <alignment horizontal="left" vertical="center" indent="1"/>
    </xf>
    <xf numFmtId="4" fontId="8" fillId="53" borderId="154" applyNumberFormat="0" applyProtection="0">
      <alignment horizontal="left" vertical="center" indent="1"/>
    </xf>
    <xf numFmtId="4" fontId="8" fillId="55" borderId="154" applyNumberFormat="0" applyProtection="0">
      <alignment horizontal="left" vertical="center" indent="1"/>
    </xf>
    <xf numFmtId="0" fontId="3" fillId="55" borderId="154" applyNumberFormat="0" applyProtection="0">
      <alignment horizontal="left" vertical="center" indent="1"/>
    </xf>
    <xf numFmtId="0" fontId="3" fillId="55" borderId="154" applyNumberFormat="0" applyProtection="0">
      <alignment horizontal="left" vertical="center" indent="1"/>
    </xf>
    <xf numFmtId="0" fontId="3" fillId="30" borderId="154" applyNumberFormat="0" applyProtection="0">
      <alignment horizontal="left" vertical="center" indent="1"/>
    </xf>
    <xf numFmtId="0" fontId="3" fillId="30" borderId="154" applyNumberFormat="0" applyProtection="0">
      <alignment horizontal="left" vertical="center" indent="1"/>
    </xf>
    <xf numFmtId="0" fontId="3" fillId="33" borderId="154" applyNumberFormat="0" applyProtection="0">
      <alignment horizontal="left" vertical="center" indent="1"/>
    </xf>
    <xf numFmtId="0" fontId="3" fillId="33" borderId="154" applyNumberFormat="0" applyProtection="0">
      <alignment horizontal="left" vertical="center" indent="1"/>
    </xf>
    <xf numFmtId="0" fontId="3" fillId="11" borderId="154" applyNumberFormat="0" applyProtection="0">
      <alignment horizontal="left" vertical="center" indent="1"/>
    </xf>
    <xf numFmtId="0" fontId="3" fillId="11" borderId="154" applyNumberFormat="0" applyProtection="0">
      <alignment horizontal="left" vertical="center" indent="1"/>
    </xf>
    <xf numFmtId="4" fontId="83" fillId="20" borderId="154" applyNumberFormat="0" applyProtection="0">
      <alignment vertical="center"/>
    </xf>
    <xf numFmtId="4" fontId="84" fillId="20" borderId="154" applyNumberFormat="0" applyProtection="0">
      <alignment vertical="center"/>
    </xf>
    <xf numFmtId="4" fontId="83" fillId="20" borderId="154" applyNumberFormat="0" applyProtection="0">
      <alignment horizontal="left" vertical="center" indent="1"/>
    </xf>
    <xf numFmtId="4" fontId="83" fillId="20" borderId="154" applyNumberFormat="0" applyProtection="0">
      <alignment horizontal="left" vertical="center" indent="1"/>
    </xf>
    <xf numFmtId="4" fontId="83" fillId="53" borderId="154" applyNumberFormat="0" applyProtection="0">
      <alignment horizontal="right" vertical="center"/>
    </xf>
    <xf numFmtId="4" fontId="84" fillId="53" borderId="154" applyNumberFormat="0" applyProtection="0">
      <alignment horizontal="right" vertical="center"/>
    </xf>
    <xf numFmtId="0" fontId="3" fillId="11" borderId="154" applyNumberFormat="0" applyProtection="0">
      <alignment horizontal="left" vertical="center" indent="1"/>
    </xf>
    <xf numFmtId="0" fontId="3" fillId="11" borderId="154" applyNumberFormat="0" applyProtection="0">
      <alignment horizontal="left" vertical="center" indent="1"/>
    </xf>
    <xf numFmtId="4" fontId="88" fillId="53" borderId="154" applyNumberFormat="0" applyProtection="0">
      <alignment horizontal="right" vertical="center"/>
    </xf>
    <xf numFmtId="0" fontId="3" fillId="11" borderId="167" applyNumberFormat="0" applyProtection="0">
      <alignment horizontal="left" vertical="center" indent="1"/>
    </xf>
    <xf numFmtId="0" fontId="3" fillId="0" borderId="0"/>
    <xf numFmtId="4" fontId="83" fillId="13" borderId="157" applyNumberFormat="0" applyProtection="0">
      <alignment vertical="center"/>
    </xf>
    <xf numFmtId="4" fontId="84" fillId="13" borderId="157" applyNumberFormat="0" applyProtection="0">
      <alignment vertical="center"/>
    </xf>
    <xf numFmtId="4" fontId="83" fillId="13" borderId="157" applyNumberFormat="0" applyProtection="0">
      <alignment horizontal="left" vertical="center" indent="1"/>
    </xf>
    <xf numFmtId="4" fontId="83" fillId="13" borderId="157" applyNumberFormat="0" applyProtection="0">
      <alignment horizontal="left" vertical="center" indent="1"/>
    </xf>
    <xf numFmtId="0" fontId="3" fillId="11" borderId="157" applyNumberFormat="0" applyProtection="0">
      <alignment horizontal="left" vertical="center" indent="1"/>
    </xf>
    <xf numFmtId="4" fontId="83" fillId="36" borderId="157" applyNumberFormat="0" applyProtection="0">
      <alignment horizontal="right" vertical="center"/>
    </xf>
    <xf numFmtId="4" fontId="83" fillId="49" borderId="157" applyNumberFormat="0" applyProtection="0">
      <alignment horizontal="right" vertical="center"/>
    </xf>
    <xf numFmtId="4" fontId="83" fillId="50" borderId="157" applyNumberFormat="0" applyProtection="0">
      <alignment horizontal="right" vertical="center"/>
    </xf>
    <xf numFmtId="4" fontId="83" fillId="12" borderId="157" applyNumberFormat="0" applyProtection="0">
      <alignment horizontal="right" vertical="center"/>
    </xf>
    <xf numFmtId="4" fontId="83" fillId="51" borderId="157" applyNumberFormat="0" applyProtection="0">
      <alignment horizontal="right" vertical="center"/>
    </xf>
    <xf numFmtId="4" fontId="83" fillId="15" borderId="157" applyNumberFormat="0" applyProtection="0">
      <alignment horizontal="right" vertical="center"/>
    </xf>
    <xf numFmtId="4" fontId="83" fillId="17" borderId="157" applyNumberFormat="0" applyProtection="0">
      <alignment horizontal="right" vertical="center"/>
    </xf>
    <xf numFmtId="4" fontId="83" fillId="16" borderId="157" applyNumberFormat="0" applyProtection="0">
      <alignment horizontal="right" vertical="center"/>
    </xf>
    <xf numFmtId="4" fontId="83" fillId="19" borderId="157" applyNumberFormat="0" applyProtection="0">
      <alignment horizontal="right" vertical="center"/>
    </xf>
    <xf numFmtId="4" fontId="85" fillId="52" borderId="157" applyNumberFormat="0" applyProtection="0">
      <alignment horizontal="left" vertical="center" indent="1"/>
    </xf>
    <xf numFmtId="4" fontId="83" fillId="53" borderId="158" applyNumberFormat="0" applyProtection="0">
      <alignment horizontal="left" vertical="center" indent="1"/>
    </xf>
    <xf numFmtId="0" fontId="3" fillId="11" borderId="157" applyNumberFormat="0" applyProtection="0">
      <alignment horizontal="left" vertical="center" indent="1"/>
    </xf>
    <xf numFmtId="4" fontId="8" fillId="53" borderId="157" applyNumberFormat="0" applyProtection="0">
      <alignment horizontal="left" vertical="center" indent="1"/>
    </xf>
    <xf numFmtId="4" fontId="8" fillId="55" borderId="157" applyNumberFormat="0" applyProtection="0">
      <alignment horizontal="left" vertical="center" indent="1"/>
    </xf>
    <xf numFmtId="0" fontId="3" fillId="55" borderId="157" applyNumberFormat="0" applyProtection="0">
      <alignment horizontal="left" vertical="center" indent="1"/>
    </xf>
    <xf numFmtId="0" fontId="3" fillId="55" borderId="157" applyNumberFormat="0" applyProtection="0">
      <alignment horizontal="left" vertical="center" indent="1"/>
    </xf>
    <xf numFmtId="0" fontId="3" fillId="30" borderId="157" applyNumberFormat="0" applyProtection="0">
      <alignment horizontal="left" vertical="center" indent="1"/>
    </xf>
    <xf numFmtId="0" fontId="3" fillId="30" borderId="157" applyNumberFormat="0" applyProtection="0">
      <alignment horizontal="left" vertical="center" indent="1"/>
    </xf>
    <xf numFmtId="0" fontId="3" fillId="33" borderId="157" applyNumberFormat="0" applyProtection="0">
      <alignment horizontal="left" vertical="center" indent="1"/>
    </xf>
    <xf numFmtId="0" fontId="3" fillId="33" borderId="157" applyNumberFormat="0" applyProtection="0">
      <alignment horizontal="left" vertical="center" indent="1"/>
    </xf>
    <xf numFmtId="0" fontId="3" fillId="11" borderId="157" applyNumberFormat="0" applyProtection="0">
      <alignment horizontal="left" vertical="center" indent="1"/>
    </xf>
    <xf numFmtId="0" fontId="3" fillId="11" borderId="157" applyNumberFormat="0" applyProtection="0">
      <alignment horizontal="left" vertical="center" indent="1"/>
    </xf>
    <xf numFmtId="4" fontId="83" fillId="20" borderId="157" applyNumberFormat="0" applyProtection="0">
      <alignment vertical="center"/>
    </xf>
    <xf numFmtId="4" fontId="84" fillId="20" borderId="157" applyNumberFormat="0" applyProtection="0">
      <alignment vertical="center"/>
    </xf>
    <xf numFmtId="4" fontId="83" fillId="20" borderId="157" applyNumberFormat="0" applyProtection="0">
      <alignment horizontal="left" vertical="center" indent="1"/>
    </xf>
    <xf numFmtId="4" fontId="83" fillId="20" borderId="157" applyNumberFormat="0" applyProtection="0">
      <alignment horizontal="left" vertical="center" indent="1"/>
    </xf>
    <xf numFmtId="4" fontId="83" fillId="53" borderId="157" applyNumberFormat="0" applyProtection="0">
      <alignment horizontal="right" vertical="center"/>
    </xf>
    <xf numFmtId="4" fontId="84" fillId="53" borderId="157" applyNumberFormat="0" applyProtection="0">
      <alignment horizontal="right" vertical="center"/>
    </xf>
    <xf numFmtId="0" fontId="3" fillId="11" borderId="157" applyNumberFormat="0" applyProtection="0">
      <alignment horizontal="left" vertical="center" indent="1"/>
    </xf>
    <xf numFmtId="0" fontId="3" fillId="11" borderId="157" applyNumberFormat="0" applyProtection="0">
      <alignment horizontal="left" vertical="center" indent="1"/>
    </xf>
    <xf numFmtId="4" fontId="88" fillId="53" borderId="157" applyNumberFormat="0" applyProtection="0">
      <alignment horizontal="right" vertical="center"/>
    </xf>
    <xf numFmtId="0" fontId="3" fillId="11" borderId="159" applyNumberFormat="0" applyProtection="0">
      <alignment horizontal="left" vertical="center" indent="1"/>
    </xf>
    <xf numFmtId="4" fontId="83" fillId="36" borderId="159" applyNumberFormat="0" applyProtection="0">
      <alignment horizontal="right" vertical="center"/>
    </xf>
    <xf numFmtId="4" fontId="83" fillId="49" borderId="159" applyNumberFormat="0" applyProtection="0">
      <alignment horizontal="right" vertical="center"/>
    </xf>
    <xf numFmtId="4" fontId="83" fillId="50" borderId="159" applyNumberFormat="0" applyProtection="0">
      <alignment horizontal="right" vertical="center"/>
    </xf>
    <xf numFmtId="4" fontId="83" fillId="12" borderId="159" applyNumberFormat="0" applyProtection="0">
      <alignment horizontal="right" vertical="center"/>
    </xf>
    <xf numFmtId="4" fontId="83" fillId="51" borderId="159" applyNumberFormat="0" applyProtection="0">
      <alignment horizontal="right" vertical="center"/>
    </xf>
    <xf numFmtId="4" fontId="83" fillId="15" borderId="159" applyNumberFormat="0" applyProtection="0">
      <alignment horizontal="right" vertical="center"/>
    </xf>
    <xf numFmtId="4" fontId="83" fillId="17" borderId="159" applyNumberFormat="0" applyProtection="0">
      <alignment horizontal="right" vertical="center"/>
    </xf>
    <xf numFmtId="4" fontId="83" fillId="16" borderId="159" applyNumberFormat="0" applyProtection="0">
      <alignment horizontal="right" vertical="center"/>
    </xf>
    <xf numFmtId="4" fontId="83" fillId="19" borderId="159" applyNumberFormat="0" applyProtection="0">
      <alignment horizontal="right" vertical="center"/>
    </xf>
    <xf numFmtId="4" fontId="85" fillId="52" borderId="159" applyNumberFormat="0" applyProtection="0">
      <alignment horizontal="left" vertical="center" indent="1"/>
    </xf>
    <xf numFmtId="4" fontId="83" fillId="53" borderId="160" applyNumberFormat="0" applyProtection="0">
      <alignment horizontal="left" vertical="center" indent="1"/>
    </xf>
    <xf numFmtId="4" fontId="83" fillId="53" borderId="165" applyNumberFormat="0" applyProtection="0">
      <alignment horizontal="left" vertical="center" indent="1"/>
    </xf>
    <xf numFmtId="0" fontId="3" fillId="11" borderId="159" applyNumberFormat="0" applyProtection="0">
      <alignment horizontal="left" vertical="center" indent="1"/>
    </xf>
    <xf numFmtId="4" fontId="8" fillId="53" borderId="159" applyNumberFormat="0" applyProtection="0">
      <alignment horizontal="left" vertical="center" indent="1"/>
    </xf>
    <xf numFmtId="4" fontId="8" fillId="55" borderId="159" applyNumberFormat="0" applyProtection="0">
      <alignment horizontal="left" vertical="center" indent="1"/>
    </xf>
    <xf numFmtId="0" fontId="3" fillId="55" borderId="159" applyNumberFormat="0" applyProtection="0">
      <alignment horizontal="left" vertical="center" indent="1"/>
    </xf>
    <xf numFmtId="0" fontId="3" fillId="55" borderId="159" applyNumberFormat="0" applyProtection="0">
      <alignment horizontal="left" vertical="center" indent="1"/>
    </xf>
    <xf numFmtId="0" fontId="3" fillId="30" borderId="159" applyNumberFormat="0" applyProtection="0">
      <alignment horizontal="left" vertical="center" indent="1"/>
    </xf>
    <xf numFmtId="0" fontId="3" fillId="30" borderId="159" applyNumberFormat="0" applyProtection="0">
      <alignment horizontal="left" vertical="center" indent="1"/>
    </xf>
    <xf numFmtId="0" fontId="3" fillId="33" borderId="159" applyNumberFormat="0" applyProtection="0">
      <alignment horizontal="left" vertical="center" indent="1"/>
    </xf>
    <xf numFmtId="0" fontId="3" fillId="33" borderId="159" applyNumberFormat="0" applyProtection="0">
      <alignment horizontal="left" vertical="center" indent="1"/>
    </xf>
    <xf numFmtId="0" fontId="3" fillId="11" borderId="159" applyNumberFormat="0" applyProtection="0">
      <alignment horizontal="left" vertical="center" indent="1"/>
    </xf>
    <xf numFmtId="0" fontId="3" fillId="11" borderId="159" applyNumberFormat="0" applyProtection="0">
      <alignment horizontal="left" vertical="center" indent="1"/>
    </xf>
    <xf numFmtId="4" fontId="83" fillId="20" borderId="159" applyNumberFormat="0" applyProtection="0">
      <alignment vertical="center"/>
    </xf>
    <xf numFmtId="4" fontId="84" fillId="20" borderId="159" applyNumberFormat="0" applyProtection="0">
      <alignment vertical="center"/>
    </xf>
    <xf numFmtId="4" fontId="83" fillId="20" borderId="159" applyNumberFormat="0" applyProtection="0">
      <alignment horizontal="left" vertical="center" indent="1"/>
    </xf>
    <xf numFmtId="4" fontId="83" fillId="20" borderId="159" applyNumberFormat="0" applyProtection="0">
      <alignment horizontal="left" vertical="center" indent="1"/>
    </xf>
    <xf numFmtId="4" fontId="83" fillId="53" borderId="159" applyNumberFormat="0" applyProtection="0">
      <alignment horizontal="right" vertical="center"/>
    </xf>
    <xf numFmtId="4" fontId="84" fillId="53" borderId="159" applyNumberFormat="0" applyProtection="0">
      <alignment horizontal="right" vertical="center"/>
    </xf>
    <xf numFmtId="0" fontId="3" fillId="11" borderId="159" applyNumberFormat="0" applyProtection="0">
      <alignment horizontal="left" vertical="center" indent="1"/>
    </xf>
    <xf numFmtId="0" fontId="3" fillId="11" borderId="159" applyNumberFormat="0" applyProtection="0">
      <alignment horizontal="left" vertical="center" indent="1"/>
    </xf>
    <xf numFmtId="4" fontId="8" fillId="55" borderId="168" applyNumberFormat="0" applyProtection="0">
      <alignment horizontal="left" vertical="center" indent="1"/>
    </xf>
    <xf numFmtId="4" fontId="88" fillId="53" borderId="159" applyNumberFormat="0" applyProtection="0">
      <alignment horizontal="right" vertical="center"/>
    </xf>
    <xf numFmtId="0" fontId="3" fillId="30" borderId="167" applyNumberFormat="0" applyProtection="0">
      <alignment horizontal="left" vertical="center" indent="1"/>
    </xf>
    <xf numFmtId="4" fontId="8" fillId="55" borderId="167" applyNumberFormat="0" applyProtection="0">
      <alignment horizontal="left" vertical="center" indent="1"/>
    </xf>
    <xf numFmtId="0" fontId="3" fillId="11" borderId="167" applyNumberFormat="0" applyProtection="0">
      <alignment horizontal="left" vertical="center" indent="1"/>
    </xf>
    <xf numFmtId="4" fontId="83" fillId="13" borderId="159" applyNumberFormat="0" applyProtection="0">
      <alignment vertical="center"/>
    </xf>
    <xf numFmtId="4" fontId="84" fillId="13" borderId="159" applyNumberFormat="0" applyProtection="0">
      <alignment vertical="center"/>
    </xf>
    <xf numFmtId="4" fontId="83" fillId="13" borderId="159" applyNumberFormat="0" applyProtection="0">
      <alignment horizontal="left" vertical="center" indent="1"/>
    </xf>
    <xf numFmtId="4" fontId="83" fillId="13" borderId="159" applyNumberFormat="0" applyProtection="0">
      <alignment horizontal="left" vertical="center" indent="1"/>
    </xf>
    <xf numFmtId="0" fontId="3" fillId="11" borderId="159" applyNumberFormat="0" applyProtection="0">
      <alignment horizontal="left" vertical="center" indent="1"/>
    </xf>
    <xf numFmtId="4" fontId="83" fillId="36" borderId="159" applyNumberFormat="0" applyProtection="0">
      <alignment horizontal="right" vertical="center"/>
    </xf>
    <xf numFmtId="4" fontId="83" fillId="49" borderId="159" applyNumberFormat="0" applyProtection="0">
      <alignment horizontal="right" vertical="center"/>
    </xf>
    <xf numFmtId="4" fontId="83" fillId="50" borderId="159" applyNumberFormat="0" applyProtection="0">
      <alignment horizontal="right" vertical="center"/>
    </xf>
    <xf numFmtId="4" fontId="83" fillId="12" borderId="159" applyNumberFormat="0" applyProtection="0">
      <alignment horizontal="right" vertical="center"/>
    </xf>
    <xf numFmtId="4" fontId="83" fillId="51" borderId="159" applyNumberFormat="0" applyProtection="0">
      <alignment horizontal="right" vertical="center"/>
    </xf>
    <xf numFmtId="4" fontId="83" fillId="15" borderId="159" applyNumberFormat="0" applyProtection="0">
      <alignment horizontal="right" vertical="center"/>
    </xf>
    <xf numFmtId="4" fontId="83" fillId="17" borderId="159" applyNumberFormat="0" applyProtection="0">
      <alignment horizontal="right" vertical="center"/>
    </xf>
    <xf numFmtId="4" fontId="83" fillId="16" borderId="159" applyNumberFormat="0" applyProtection="0">
      <alignment horizontal="right" vertical="center"/>
    </xf>
    <xf numFmtId="4" fontId="83" fillId="19" borderId="159" applyNumberFormat="0" applyProtection="0">
      <alignment horizontal="right" vertical="center"/>
    </xf>
    <xf numFmtId="4" fontId="85" fillId="52" borderId="159" applyNumberFormat="0" applyProtection="0">
      <alignment horizontal="left" vertical="center" indent="1"/>
    </xf>
    <xf numFmtId="4" fontId="83" fillId="53" borderId="161" applyNumberFormat="0" applyProtection="0">
      <alignment horizontal="left" vertical="center" indent="1"/>
    </xf>
    <xf numFmtId="0" fontId="3" fillId="11" borderId="159" applyNumberFormat="0" applyProtection="0">
      <alignment horizontal="left" vertical="center" indent="1"/>
    </xf>
    <xf numFmtId="4" fontId="8" fillId="53" borderId="159" applyNumberFormat="0" applyProtection="0">
      <alignment horizontal="left" vertical="center" indent="1"/>
    </xf>
    <xf numFmtId="4" fontId="8" fillId="55" borderId="159" applyNumberFormat="0" applyProtection="0">
      <alignment horizontal="left" vertical="center" indent="1"/>
    </xf>
    <xf numFmtId="0" fontId="3" fillId="55" borderId="159" applyNumberFormat="0" applyProtection="0">
      <alignment horizontal="left" vertical="center" indent="1"/>
    </xf>
    <xf numFmtId="0" fontId="3" fillId="55" borderId="159" applyNumberFormat="0" applyProtection="0">
      <alignment horizontal="left" vertical="center" indent="1"/>
    </xf>
    <xf numFmtId="0" fontId="3" fillId="30" borderId="159" applyNumberFormat="0" applyProtection="0">
      <alignment horizontal="left" vertical="center" indent="1"/>
    </xf>
    <xf numFmtId="0" fontId="3" fillId="30" borderId="159" applyNumberFormat="0" applyProtection="0">
      <alignment horizontal="left" vertical="center" indent="1"/>
    </xf>
    <xf numFmtId="0" fontId="3" fillId="33" borderId="159" applyNumberFormat="0" applyProtection="0">
      <alignment horizontal="left" vertical="center" indent="1"/>
    </xf>
    <xf numFmtId="0" fontId="3" fillId="33" borderId="159" applyNumberFormat="0" applyProtection="0">
      <alignment horizontal="left" vertical="center" indent="1"/>
    </xf>
    <xf numFmtId="0" fontId="3" fillId="11" borderId="159" applyNumberFormat="0" applyProtection="0">
      <alignment horizontal="left" vertical="center" indent="1"/>
    </xf>
    <xf numFmtId="0" fontId="3" fillId="11" borderId="159" applyNumberFormat="0" applyProtection="0">
      <alignment horizontal="left" vertical="center" indent="1"/>
    </xf>
    <xf numFmtId="4" fontId="83" fillId="20" borderId="159" applyNumberFormat="0" applyProtection="0">
      <alignment vertical="center"/>
    </xf>
    <xf numFmtId="4" fontId="84" fillId="20" borderId="159" applyNumberFormat="0" applyProtection="0">
      <alignment vertical="center"/>
    </xf>
    <xf numFmtId="4" fontId="83" fillId="20" borderId="159" applyNumberFormat="0" applyProtection="0">
      <alignment horizontal="left" vertical="center" indent="1"/>
    </xf>
    <xf numFmtId="4" fontId="83" fillId="20" borderId="159" applyNumberFormat="0" applyProtection="0">
      <alignment horizontal="left" vertical="center" indent="1"/>
    </xf>
    <xf numFmtId="4" fontId="83" fillId="53" borderId="159" applyNumberFormat="0" applyProtection="0">
      <alignment horizontal="right" vertical="center"/>
    </xf>
    <xf numFmtId="4" fontId="84" fillId="53" borderId="159" applyNumberFormat="0" applyProtection="0">
      <alignment horizontal="right" vertical="center"/>
    </xf>
    <xf numFmtId="0" fontId="3" fillId="11" borderId="159" applyNumberFormat="0" applyProtection="0">
      <alignment horizontal="left" vertical="center" indent="1"/>
    </xf>
    <xf numFmtId="0" fontId="3" fillId="11" borderId="159" applyNumberFormat="0" applyProtection="0">
      <alignment horizontal="left" vertical="center" indent="1"/>
    </xf>
    <xf numFmtId="4" fontId="88" fillId="53" borderId="159" applyNumberFormat="0" applyProtection="0">
      <alignment horizontal="right" vertical="center"/>
    </xf>
    <xf numFmtId="0" fontId="3" fillId="55" borderId="167" applyNumberFormat="0" applyProtection="0">
      <alignment horizontal="left" vertical="center" indent="1"/>
    </xf>
    <xf numFmtId="4" fontId="83" fillId="13" borderId="168" applyNumberFormat="0" applyProtection="0">
      <alignment vertical="center"/>
    </xf>
    <xf numFmtId="4" fontId="84" fillId="13" borderId="168" applyNumberFormat="0" applyProtection="0">
      <alignment vertical="center"/>
    </xf>
    <xf numFmtId="4" fontId="83" fillId="13" borderId="168" applyNumberFormat="0" applyProtection="0">
      <alignment horizontal="left" vertical="center" indent="1"/>
    </xf>
    <xf numFmtId="4" fontId="83" fillId="13" borderId="168" applyNumberFormat="0" applyProtection="0">
      <alignment horizontal="left" vertical="center" indent="1"/>
    </xf>
    <xf numFmtId="0" fontId="3" fillId="11" borderId="168" applyNumberFormat="0" applyProtection="0">
      <alignment horizontal="left" vertical="center" indent="1"/>
    </xf>
    <xf numFmtId="4" fontId="83" fillId="36" borderId="168" applyNumberFormat="0" applyProtection="0">
      <alignment horizontal="right" vertical="center"/>
    </xf>
    <xf numFmtId="4" fontId="83" fillId="49" borderId="168" applyNumberFormat="0" applyProtection="0">
      <alignment horizontal="right" vertical="center"/>
    </xf>
    <xf numFmtId="4" fontId="83" fillId="53" borderId="162" applyNumberFormat="0" applyProtection="0">
      <alignment horizontal="left" vertical="center" indent="1"/>
    </xf>
    <xf numFmtId="4" fontId="83" fillId="53" borderId="169" applyNumberFormat="0" applyProtection="0">
      <alignment horizontal="left" vertical="center" indent="1"/>
    </xf>
    <xf numFmtId="0" fontId="3" fillId="11" borderId="168" applyNumberFormat="0" applyProtection="0">
      <alignment horizontal="left" vertical="center" indent="1"/>
    </xf>
    <xf numFmtId="4" fontId="8" fillId="53" borderId="168" applyNumberFormat="0" applyProtection="0">
      <alignment horizontal="left" vertical="center" indent="1"/>
    </xf>
    <xf numFmtId="0" fontId="3" fillId="55" borderId="168" applyNumberFormat="0" applyProtection="0">
      <alignment horizontal="left" vertical="center" indent="1"/>
    </xf>
    <xf numFmtId="0" fontId="3" fillId="55" borderId="168" applyNumberFormat="0" applyProtection="0">
      <alignment horizontal="left" vertical="center" indent="1"/>
    </xf>
    <xf numFmtId="0" fontId="3" fillId="30" borderId="168" applyNumberFormat="0" applyProtection="0">
      <alignment horizontal="left" vertical="center" indent="1"/>
    </xf>
    <xf numFmtId="0" fontId="3" fillId="30" borderId="168" applyNumberFormat="0" applyProtection="0">
      <alignment horizontal="left" vertical="center" indent="1"/>
    </xf>
    <xf numFmtId="0" fontId="3" fillId="33" borderId="168" applyNumberFormat="0" applyProtection="0">
      <alignment horizontal="left" vertical="center" indent="1"/>
    </xf>
    <xf numFmtId="0" fontId="3" fillId="33" borderId="168" applyNumberFormat="0" applyProtection="0">
      <alignment horizontal="left" vertical="center" indent="1"/>
    </xf>
    <xf numFmtId="0" fontId="3" fillId="11" borderId="168" applyNumberFormat="0" applyProtection="0">
      <alignment horizontal="left" vertical="center" indent="1"/>
    </xf>
    <xf numFmtId="4" fontId="84" fillId="20" borderId="168" applyNumberFormat="0" applyProtection="0">
      <alignment vertical="center"/>
    </xf>
    <xf numFmtId="4" fontId="83" fillId="20" borderId="168" applyNumberFormat="0" applyProtection="0">
      <alignment horizontal="left" vertical="center" indent="1"/>
    </xf>
    <xf numFmtId="4" fontId="83" fillId="20" borderId="168" applyNumberFormat="0" applyProtection="0">
      <alignment horizontal="left" vertical="center" indent="1"/>
    </xf>
    <xf numFmtId="4" fontId="83" fillId="53" borderId="168" applyNumberFormat="0" applyProtection="0">
      <alignment horizontal="right" vertical="center"/>
    </xf>
    <xf numFmtId="4" fontId="84" fillId="53" borderId="168" applyNumberFormat="0" applyProtection="0">
      <alignment horizontal="right" vertical="center"/>
    </xf>
    <xf numFmtId="0" fontId="3" fillId="11" borderId="168" applyNumberFormat="0" applyProtection="0">
      <alignment horizontal="left" vertical="center" indent="1"/>
    </xf>
    <xf numFmtId="4" fontId="83" fillId="51" borderId="168" applyNumberFormat="0" applyProtection="0">
      <alignment horizontal="right" vertical="center"/>
    </xf>
    <xf numFmtId="0" fontId="3" fillId="11" borderId="168" applyNumberFormat="0" applyProtection="0">
      <alignment horizontal="left" vertical="center" indent="1"/>
    </xf>
    <xf numFmtId="4" fontId="83" fillId="15" borderId="168" applyNumberFormat="0" applyProtection="0">
      <alignment horizontal="right" vertical="center"/>
    </xf>
    <xf numFmtId="4" fontId="83" fillId="16" borderId="168" applyNumberFormat="0" applyProtection="0">
      <alignment horizontal="right" vertical="center"/>
    </xf>
    <xf numFmtId="4" fontId="83" fillId="50" borderId="168" applyNumberFormat="0" applyProtection="0">
      <alignment horizontal="right" vertical="center"/>
    </xf>
    <xf numFmtId="0" fontId="3" fillId="11" borderId="168" applyNumberFormat="0" applyProtection="0">
      <alignment horizontal="left" vertical="center" indent="1"/>
    </xf>
    <xf numFmtId="4" fontId="83" fillId="20" borderId="168" applyNumberFormat="0" applyProtection="0">
      <alignment vertical="center"/>
    </xf>
    <xf numFmtId="4" fontId="83" fillId="13" borderId="163" applyNumberFormat="0" applyProtection="0">
      <alignment vertical="center"/>
    </xf>
    <xf numFmtId="4" fontId="84" fillId="13" borderId="163" applyNumberFormat="0" applyProtection="0">
      <alignment vertical="center"/>
    </xf>
    <xf numFmtId="4" fontId="83" fillId="13" borderId="163" applyNumberFormat="0" applyProtection="0">
      <alignment horizontal="left" vertical="center" indent="1"/>
    </xf>
    <xf numFmtId="4" fontId="83" fillId="13" borderId="163" applyNumberFormat="0" applyProtection="0">
      <alignment horizontal="left" vertical="center" indent="1"/>
    </xf>
    <xf numFmtId="0" fontId="3" fillId="11" borderId="163" applyNumberFormat="0" applyProtection="0">
      <alignment horizontal="left" vertical="center" indent="1"/>
    </xf>
    <xf numFmtId="4" fontId="83" fillId="36" borderId="163" applyNumberFormat="0" applyProtection="0">
      <alignment horizontal="right" vertical="center"/>
    </xf>
    <xf numFmtId="4" fontId="83" fillId="49" borderId="163" applyNumberFormat="0" applyProtection="0">
      <alignment horizontal="right" vertical="center"/>
    </xf>
    <xf numFmtId="4" fontId="83" fillId="50" borderId="163" applyNumberFormat="0" applyProtection="0">
      <alignment horizontal="right" vertical="center"/>
    </xf>
    <xf numFmtId="4" fontId="83" fillId="12" borderId="163" applyNumberFormat="0" applyProtection="0">
      <alignment horizontal="right" vertical="center"/>
    </xf>
    <xf numFmtId="4" fontId="83" fillId="51" borderId="163" applyNumberFormat="0" applyProtection="0">
      <alignment horizontal="right" vertical="center"/>
    </xf>
    <xf numFmtId="4" fontId="83" fillId="15" borderId="163" applyNumberFormat="0" applyProtection="0">
      <alignment horizontal="right" vertical="center"/>
    </xf>
    <xf numFmtId="4" fontId="83" fillId="17" borderId="163" applyNumberFormat="0" applyProtection="0">
      <alignment horizontal="right" vertical="center"/>
    </xf>
    <xf numFmtId="4" fontId="83" fillId="16" borderId="163" applyNumberFormat="0" applyProtection="0">
      <alignment horizontal="right" vertical="center"/>
    </xf>
    <xf numFmtId="4" fontId="83" fillId="19" borderId="163" applyNumberFormat="0" applyProtection="0">
      <alignment horizontal="right" vertical="center"/>
    </xf>
    <xf numFmtId="4" fontId="85" fillId="52" borderId="163" applyNumberFormat="0" applyProtection="0">
      <alignment horizontal="left" vertical="center" indent="1"/>
    </xf>
    <xf numFmtId="4" fontId="83" fillId="53" borderId="164" applyNumberFormat="0" applyProtection="0">
      <alignment horizontal="left" vertical="center" indent="1"/>
    </xf>
    <xf numFmtId="0" fontId="3" fillId="11" borderId="163" applyNumberFormat="0" applyProtection="0">
      <alignment horizontal="left" vertical="center" indent="1"/>
    </xf>
    <xf numFmtId="4" fontId="8" fillId="53" borderId="163" applyNumberFormat="0" applyProtection="0">
      <alignment horizontal="left" vertical="center" indent="1"/>
    </xf>
    <xf numFmtId="4" fontId="8" fillId="55" borderId="163" applyNumberFormat="0" applyProtection="0">
      <alignment horizontal="left" vertical="center" indent="1"/>
    </xf>
    <xf numFmtId="0" fontId="3" fillId="55" borderId="163" applyNumberFormat="0" applyProtection="0">
      <alignment horizontal="left" vertical="center" indent="1"/>
    </xf>
    <xf numFmtId="0" fontId="3" fillId="55" borderId="163" applyNumberFormat="0" applyProtection="0">
      <alignment horizontal="left" vertical="center" indent="1"/>
    </xf>
    <xf numFmtId="0" fontId="3" fillId="30" borderId="163" applyNumberFormat="0" applyProtection="0">
      <alignment horizontal="left" vertical="center" indent="1"/>
    </xf>
    <xf numFmtId="0" fontId="3" fillId="30" borderId="163" applyNumberFormat="0" applyProtection="0">
      <alignment horizontal="left" vertical="center" indent="1"/>
    </xf>
    <xf numFmtId="0" fontId="3" fillId="33" borderId="163" applyNumberFormat="0" applyProtection="0">
      <alignment horizontal="left" vertical="center" indent="1"/>
    </xf>
    <xf numFmtId="0" fontId="3" fillId="33" borderId="163" applyNumberFormat="0" applyProtection="0">
      <alignment horizontal="left" vertical="center" indent="1"/>
    </xf>
    <xf numFmtId="0" fontId="3" fillId="11" borderId="163" applyNumberFormat="0" applyProtection="0">
      <alignment horizontal="left" vertical="center" indent="1"/>
    </xf>
    <xf numFmtId="0" fontId="3" fillId="11" borderId="163" applyNumberFormat="0" applyProtection="0">
      <alignment horizontal="left" vertical="center" indent="1"/>
    </xf>
    <xf numFmtId="4" fontId="83" fillId="20" borderId="163" applyNumberFormat="0" applyProtection="0">
      <alignment vertical="center"/>
    </xf>
    <xf numFmtId="4" fontId="84" fillId="20" borderId="163" applyNumberFormat="0" applyProtection="0">
      <alignment vertical="center"/>
    </xf>
    <xf numFmtId="4" fontId="83" fillId="20" borderId="163" applyNumberFormat="0" applyProtection="0">
      <alignment horizontal="left" vertical="center" indent="1"/>
    </xf>
    <xf numFmtId="4" fontId="83" fillId="20" borderId="163" applyNumberFormat="0" applyProtection="0">
      <alignment horizontal="left" vertical="center" indent="1"/>
    </xf>
    <xf numFmtId="4" fontId="83" fillId="53" borderId="163" applyNumberFormat="0" applyProtection="0">
      <alignment horizontal="right" vertical="center"/>
    </xf>
    <xf numFmtId="4" fontId="84" fillId="53" borderId="163" applyNumberFormat="0" applyProtection="0">
      <alignment horizontal="right" vertical="center"/>
    </xf>
    <xf numFmtId="0" fontId="3" fillId="11" borderId="163" applyNumberFormat="0" applyProtection="0">
      <alignment horizontal="left" vertical="center" indent="1"/>
    </xf>
    <xf numFmtId="0" fontId="3" fillId="11" borderId="163" applyNumberFormat="0" applyProtection="0">
      <alignment horizontal="left" vertical="center" indent="1"/>
    </xf>
    <xf numFmtId="4" fontId="88" fillId="53" borderId="163" applyNumberFormat="0" applyProtection="0">
      <alignment horizontal="right" vertical="center"/>
    </xf>
    <xf numFmtId="4" fontId="83" fillId="53" borderId="172" applyNumberFormat="0" applyProtection="0">
      <alignment horizontal="left" vertical="center" indent="1"/>
    </xf>
    <xf numFmtId="4" fontId="83" fillId="53" borderId="166" applyNumberFormat="0" applyProtection="0">
      <alignment horizontal="left" vertical="center" indent="1"/>
    </xf>
    <xf numFmtId="4" fontId="83" fillId="19" borderId="168" applyNumberFormat="0" applyProtection="0">
      <alignment horizontal="right" vertical="center"/>
    </xf>
    <xf numFmtId="4" fontId="88" fillId="53" borderId="168" applyNumberFormat="0" applyProtection="0">
      <alignment horizontal="right" vertical="center"/>
    </xf>
    <xf numFmtId="4" fontId="83" fillId="13" borderId="170" applyNumberFormat="0" applyProtection="0">
      <alignment vertical="center"/>
    </xf>
    <xf numFmtId="4" fontId="84" fillId="13" borderId="170" applyNumberFormat="0" applyProtection="0">
      <alignment vertical="center"/>
    </xf>
    <xf numFmtId="4" fontId="83" fillId="13" borderId="170" applyNumberFormat="0" applyProtection="0">
      <alignment horizontal="left" vertical="center" indent="1"/>
    </xf>
    <xf numFmtId="4" fontId="83" fillId="13" borderId="170" applyNumberFormat="0" applyProtection="0">
      <alignment horizontal="left" vertical="center" indent="1"/>
    </xf>
    <xf numFmtId="0" fontId="3" fillId="11" borderId="170" applyNumberFormat="0" applyProtection="0">
      <alignment horizontal="left" vertical="center" indent="1"/>
    </xf>
    <xf numFmtId="4" fontId="83" fillId="36" borderId="170" applyNumberFormat="0" applyProtection="0">
      <alignment horizontal="right" vertical="center"/>
    </xf>
    <xf numFmtId="4" fontId="83" fillId="49" borderId="170" applyNumberFormat="0" applyProtection="0">
      <alignment horizontal="right" vertical="center"/>
    </xf>
    <xf numFmtId="4" fontId="83" fillId="50" borderId="170" applyNumberFormat="0" applyProtection="0">
      <alignment horizontal="right" vertical="center"/>
    </xf>
    <xf numFmtId="4" fontId="83" fillId="12" borderId="170" applyNumberFormat="0" applyProtection="0">
      <alignment horizontal="right" vertical="center"/>
    </xf>
    <xf numFmtId="4" fontId="83" fillId="51" borderId="170" applyNumberFormat="0" applyProtection="0">
      <alignment horizontal="right" vertical="center"/>
    </xf>
    <xf numFmtId="4" fontId="83" fillId="15" borderId="170" applyNumberFormat="0" applyProtection="0">
      <alignment horizontal="right" vertical="center"/>
    </xf>
    <xf numFmtId="4" fontId="83" fillId="17" borderId="170" applyNumberFormat="0" applyProtection="0">
      <alignment horizontal="right" vertical="center"/>
    </xf>
    <xf numFmtId="4" fontId="83" fillId="16" borderId="170" applyNumberFormat="0" applyProtection="0">
      <alignment horizontal="right" vertical="center"/>
    </xf>
    <xf numFmtId="4" fontId="83" fillId="19" borderId="170" applyNumberFormat="0" applyProtection="0">
      <alignment horizontal="right" vertical="center"/>
    </xf>
    <xf numFmtId="4" fontId="85" fillId="52" borderId="170" applyNumberFormat="0" applyProtection="0">
      <alignment horizontal="left" vertical="center" indent="1"/>
    </xf>
    <xf numFmtId="4" fontId="83" fillId="53" borderId="171" applyNumberFormat="0" applyProtection="0">
      <alignment horizontal="left" vertical="center" indent="1"/>
    </xf>
    <xf numFmtId="0" fontId="3" fillId="11" borderId="170" applyNumberFormat="0" applyProtection="0">
      <alignment horizontal="left" vertical="center" indent="1"/>
    </xf>
    <xf numFmtId="4" fontId="8" fillId="53" borderId="170" applyNumberFormat="0" applyProtection="0">
      <alignment horizontal="left" vertical="center" indent="1"/>
    </xf>
    <xf numFmtId="4" fontId="8" fillId="55" borderId="170" applyNumberFormat="0" applyProtection="0">
      <alignment horizontal="left" vertical="center" indent="1"/>
    </xf>
    <xf numFmtId="0" fontId="3" fillId="55" borderId="170" applyNumberFormat="0" applyProtection="0">
      <alignment horizontal="left" vertical="center" indent="1"/>
    </xf>
    <xf numFmtId="0" fontId="3" fillId="55" borderId="170" applyNumberFormat="0" applyProtection="0">
      <alignment horizontal="left" vertical="center" indent="1"/>
    </xf>
    <xf numFmtId="0" fontId="3" fillId="30" borderId="170" applyNumberFormat="0" applyProtection="0">
      <alignment horizontal="left" vertical="center" indent="1"/>
    </xf>
    <xf numFmtId="0" fontId="3" fillId="30" borderId="170" applyNumberFormat="0" applyProtection="0">
      <alignment horizontal="left" vertical="center" indent="1"/>
    </xf>
    <xf numFmtId="0" fontId="3" fillId="33" borderId="170" applyNumberFormat="0" applyProtection="0">
      <alignment horizontal="left" vertical="center" indent="1"/>
    </xf>
    <xf numFmtId="0" fontId="3" fillId="33" borderId="170" applyNumberFormat="0" applyProtection="0">
      <alignment horizontal="left" vertical="center" indent="1"/>
    </xf>
    <xf numFmtId="0" fontId="3" fillId="11" borderId="170" applyNumberFormat="0" applyProtection="0">
      <alignment horizontal="left" vertical="center" indent="1"/>
    </xf>
    <xf numFmtId="0" fontId="3" fillId="11" borderId="170" applyNumberFormat="0" applyProtection="0">
      <alignment horizontal="left" vertical="center" indent="1"/>
    </xf>
    <xf numFmtId="4" fontId="83" fillId="20" borderId="170" applyNumberFormat="0" applyProtection="0">
      <alignment vertical="center"/>
    </xf>
    <xf numFmtId="4" fontId="84" fillId="20" borderId="170" applyNumberFormat="0" applyProtection="0">
      <alignment vertical="center"/>
    </xf>
    <xf numFmtId="4" fontId="83" fillId="20" borderId="170" applyNumberFormat="0" applyProtection="0">
      <alignment horizontal="left" vertical="center" indent="1"/>
    </xf>
    <xf numFmtId="4" fontId="83" fillId="20" borderId="170" applyNumberFormat="0" applyProtection="0">
      <alignment horizontal="left" vertical="center" indent="1"/>
    </xf>
    <xf numFmtId="4" fontId="83" fillId="53" borderId="170" applyNumberFormat="0" applyProtection="0">
      <alignment horizontal="right" vertical="center"/>
    </xf>
    <xf numFmtId="4" fontId="84" fillId="53" borderId="170" applyNumberFormat="0" applyProtection="0">
      <alignment horizontal="right" vertical="center"/>
    </xf>
    <xf numFmtId="0" fontId="3" fillId="11" borderId="170" applyNumberFormat="0" applyProtection="0">
      <alignment horizontal="left" vertical="center" indent="1"/>
    </xf>
    <xf numFmtId="0" fontId="3" fillId="11" borderId="170" applyNumberFormat="0" applyProtection="0">
      <alignment horizontal="left" vertical="center" indent="1"/>
    </xf>
    <xf numFmtId="4" fontId="88" fillId="53" borderId="170" applyNumberFormat="0" applyProtection="0">
      <alignment horizontal="right" vertical="center"/>
    </xf>
    <xf numFmtId="4" fontId="84" fillId="13" borderId="173" applyNumberFormat="0" applyProtection="0">
      <alignment vertical="center"/>
    </xf>
    <xf numFmtId="4" fontId="83" fillId="13" borderId="173" applyNumberFormat="0" applyProtection="0">
      <alignment horizontal="left" vertical="center" indent="1"/>
    </xf>
    <xf numFmtId="4" fontId="83" fillId="13" borderId="173" applyNumberFormat="0" applyProtection="0">
      <alignment horizontal="left" vertical="center" indent="1"/>
    </xf>
    <xf numFmtId="0" fontId="3" fillId="11" borderId="173" applyNumberFormat="0" applyProtection="0">
      <alignment horizontal="left" vertical="center" indent="1"/>
    </xf>
    <xf numFmtId="4" fontId="83" fillId="36" borderId="173" applyNumberFormat="0" applyProtection="0">
      <alignment horizontal="right" vertical="center"/>
    </xf>
    <xf numFmtId="4" fontId="83" fillId="49" borderId="173" applyNumberFormat="0" applyProtection="0">
      <alignment horizontal="right" vertical="center"/>
    </xf>
    <xf numFmtId="4" fontId="83" fillId="50" borderId="173" applyNumberFormat="0" applyProtection="0">
      <alignment horizontal="right" vertical="center"/>
    </xf>
    <xf numFmtId="4" fontId="83" fillId="12" borderId="173" applyNumberFormat="0" applyProtection="0">
      <alignment horizontal="right" vertical="center"/>
    </xf>
    <xf numFmtId="4" fontId="83" fillId="51" borderId="173" applyNumberFormat="0" applyProtection="0">
      <alignment horizontal="right" vertical="center"/>
    </xf>
    <xf numFmtId="4" fontId="83" fillId="15" borderId="173" applyNumberFormat="0" applyProtection="0">
      <alignment horizontal="right" vertical="center"/>
    </xf>
    <xf numFmtId="4" fontId="83" fillId="17" borderId="173" applyNumberFormat="0" applyProtection="0">
      <alignment horizontal="right" vertical="center"/>
    </xf>
    <xf numFmtId="4" fontId="83" fillId="16" borderId="173" applyNumberFormat="0" applyProtection="0">
      <alignment horizontal="right" vertical="center"/>
    </xf>
    <xf numFmtId="4" fontId="83" fillId="19" borderId="173" applyNumberFormat="0" applyProtection="0">
      <alignment horizontal="right" vertical="center"/>
    </xf>
    <xf numFmtId="4" fontId="85" fillId="52" borderId="173" applyNumberFormat="0" applyProtection="0">
      <alignment horizontal="left" vertical="center" indent="1"/>
    </xf>
    <xf numFmtId="4" fontId="83" fillId="53" borderId="174" applyNumberFormat="0" applyProtection="0">
      <alignment horizontal="left" vertical="center" indent="1"/>
    </xf>
    <xf numFmtId="0" fontId="3" fillId="11" borderId="173" applyNumberFormat="0" applyProtection="0">
      <alignment horizontal="left" vertical="center" indent="1"/>
    </xf>
    <xf numFmtId="4" fontId="8" fillId="53" borderId="173" applyNumberFormat="0" applyProtection="0">
      <alignment horizontal="left" vertical="center" indent="1"/>
    </xf>
    <xf numFmtId="4" fontId="8" fillId="55" borderId="173" applyNumberFormat="0" applyProtection="0">
      <alignment horizontal="left" vertical="center" indent="1"/>
    </xf>
    <xf numFmtId="0" fontId="3" fillId="55" borderId="173" applyNumberFormat="0" applyProtection="0">
      <alignment horizontal="left" vertical="center" indent="1"/>
    </xf>
    <xf numFmtId="0" fontId="3" fillId="55" borderId="173" applyNumberFormat="0" applyProtection="0">
      <alignment horizontal="left" vertical="center" indent="1"/>
    </xf>
    <xf numFmtId="0" fontId="3" fillId="30" borderId="173" applyNumberFormat="0" applyProtection="0">
      <alignment horizontal="left" vertical="center" indent="1"/>
    </xf>
    <xf numFmtId="0" fontId="3" fillId="30" borderId="173" applyNumberFormat="0" applyProtection="0">
      <alignment horizontal="left" vertical="center" indent="1"/>
    </xf>
    <xf numFmtId="0" fontId="3" fillId="33" borderId="173" applyNumberFormat="0" applyProtection="0">
      <alignment horizontal="left" vertical="center" indent="1"/>
    </xf>
    <xf numFmtId="0" fontId="3" fillId="33" borderId="173" applyNumberFormat="0" applyProtection="0">
      <alignment horizontal="left" vertical="center" indent="1"/>
    </xf>
    <xf numFmtId="0" fontId="3" fillId="11" borderId="173" applyNumberFormat="0" applyProtection="0">
      <alignment horizontal="left" vertical="center" indent="1"/>
    </xf>
    <xf numFmtId="0" fontId="3" fillId="11" borderId="173" applyNumberFormat="0" applyProtection="0">
      <alignment horizontal="left" vertical="center" indent="1"/>
    </xf>
    <xf numFmtId="4" fontId="83" fillId="20" borderId="173" applyNumberFormat="0" applyProtection="0">
      <alignment vertical="center"/>
    </xf>
    <xf numFmtId="4" fontId="84" fillId="20" borderId="173" applyNumberFormat="0" applyProtection="0">
      <alignment vertical="center"/>
    </xf>
    <xf numFmtId="4" fontId="83" fillId="20" borderId="173" applyNumberFormat="0" applyProtection="0">
      <alignment horizontal="left" vertical="center" indent="1"/>
    </xf>
    <xf numFmtId="4" fontId="83" fillId="20" borderId="173" applyNumberFormat="0" applyProtection="0">
      <alignment horizontal="left" vertical="center" indent="1"/>
    </xf>
    <xf numFmtId="4" fontId="83" fillId="53" borderId="173" applyNumberFormat="0" applyProtection="0">
      <alignment horizontal="right" vertical="center"/>
    </xf>
    <xf numFmtId="4" fontId="84" fillId="53" borderId="173" applyNumberFormat="0" applyProtection="0">
      <alignment horizontal="right" vertical="center"/>
    </xf>
    <xf numFmtId="0" fontId="3" fillId="11" borderId="173" applyNumberFormat="0" applyProtection="0">
      <alignment horizontal="left" vertical="center" indent="1"/>
    </xf>
    <xf numFmtId="0" fontId="3" fillId="11" borderId="173" applyNumberFormat="0" applyProtection="0">
      <alignment horizontal="left" vertical="center" indent="1"/>
    </xf>
    <xf numFmtId="4" fontId="88" fillId="53" borderId="173" applyNumberFormat="0" applyProtection="0">
      <alignment horizontal="right" vertical="center"/>
    </xf>
  </cellStyleXfs>
  <cellXfs count="410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8" fillId="0" borderId="0" xfId="0" applyFont="1"/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3" fontId="4" fillId="0" borderId="0" xfId="0" applyNumberFormat="1" applyFont="1"/>
    <xf numFmtId="0" fontId="17" fillId="0" borderId="14" xfId="0" applyFont="1" applyBorder="1" applyAlignment="1">
      <alignment horizontal="center"/>
    </xf>
    <xf numFmtId="0" fontId="17" fillId="0" borderId="4" xfId="0" quotePrefix="1" applyFont="1" applyBorder="1" applyAlignment="1">
      <alignment horizontal="center"/>
    </xf>
    <xf numFmtId="3" fontId="17" fillId="0" borderId="4" xfId="0" applyNumberFormat="1" applyFont="1" applyBorder="1" applyAlignment="1">
      <alignment horizontal="center"/>
    </xf>
    <xf numFmtId="3" fontId="17" fillId="0" borderId="15" xfId="0" applyNumberFormat="1" applyFont="1" applyBorder="1" applyAlignment="1">
      <alignment horizontal="center"/>
    </xf>
    <xf numFmtId="3" fontId="17" fillId="0" borderId="15" xfId="0" quotePrefix="1" applyNumberFormat="1" applyFont="1" applyBorder="1" applyAlignment="1">
      <alignment horizontal="center"/>
    </xf>
    <xf numFmtId="3" fontId="17" fillId="0" borderId="2" xfId="0" quotePrefix="1" applyNumberFormat="1" applyFont="1" applyBorder="1" applyAlignment="1">
      <alignment horizontal="center"/>
    </xf>
    <xf numFmtId="0" fontId="17" fillId="3" borderId="5" xfId="0" quotePrefix="1" applyFont="1" applyFill="1" applyBorder="1" applyAlignment="1">
      <alignment horizontal="center"/>
    </xf>
    <xf numFmtId="0" fontId="18" fillId="4" borderId="16" xfId="4" applyFont="1" applyFill="1" applyBorder="1" applyAlignment="1">
      <alignment horizontal="left" vertical="center"/>
    </xf>
    <xf numFmtId="3" fontId="18" fillId="4" borderId="17" xfId="0" applyNumberFormat="1" applyFont="1" applyFill="1" applyBorder="1" applyAlignment="1">
      <alignment horizontal="right" vertical="center" wrapText="1"/>
    </xf>
    <xf numFmtId="3" fontId="18" fillId="5" borderId="1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4" borderId="20" xfId="0" applyFont="1" applyFill="1" applyBorder="1" applyAlignment="1">
      <alignment horizontal="left" vertical="center"/>
    </xf>
    <xf numFmtId="3" fontId="15" fillId="4" borderId="9" xfId="0" quotePrefix="1" applyNumberFormat="1" applyFont="1" applyFill="1" applyBorder="1" applyAlignment="1">
      <alignment horizontal="right" vertical="center"/>
    </xf>
    <xf numFmtId="3" fontId="14" fillId="4" borderId="9" xfId="0" quotePrefix="1" applyNumberFormat="1" applyFont="1" applyFill="1" applyBorder="1" applyAlignment="1">
      <alignment horizontal="right" vertical="center"/>
    </xf>
    <xf numFmtId="3" fontId="19" fillId="3" borderId="21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/>
    </xf>
    <xf numFmtId="0" fontId="15" fillId="4" borderId="22" xfId="0" applyFont="1" applyFill="1" applyBorder="1" applyAlignment="1">
      <alignment horizontal="left" vertical="center"/>
    </xf>
    <xf numFmtId="3" fontId="15" fillId="4" borderId="23" xfId="0" quotePrefix="1" applyNumberFormat="1" applyFont="1" applyFill="1" applyBorder="1" applyAlignment="1">
      <alignment horizontal="right" vertical="center"/>
    </xf>
    <xf numFmtId="3" fontId="14" fillId="4" borderId="23" xfId="0" quotePrefix="1" applyNumberFormat="1" applyFont="1" applyFill="1" applyBorder="1" applyAlignment="1">
      <alignment horizontal="right" vertical="center"/>
    </xf>
    <xf numFmtId="3" fontId="19" fillId="3" borderId="25" xfId="0" applyNumberFormat="1" applyFont="1" applyFill="1" applyBorder="1" applyAlignment="1">
      <alignment vertical="center" wrapText="1"/>
    </xf>
    <xf numFmtId="0" fontId="17" fillId="0" borderId="26" xfId="0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vertical="center" wrapText="1"/>
    </xf>
    <xf numFmtId="3" fontId="17" fillId="2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8" fillId="6" borderId="28" xfId="4" applyFont="1" applyFill="1" applyBorder="1" applyAlignment="1">
      <alignment horizontal="left" vertical="center"/>
    </xf>
    <xf numFmtId="3" fontId="18" fillId="6" borderId="29" xfId="0" applyNumberFormat="1" applyFont="1" applyFill="1" applyBorder="1" applyAlignment="1">
      <alignment horizontal="right" vertical="center" wrapText="1"/>
    </xf>
    <xf numFmtId="3" fontId="18" fillId="6" borderId="30" xfId="0" applyNumberFormat="1" applyFont="1" applyFill="1" applyBorder="1" applyAlignment="1">
      <alignment horizontal="right" vertical="center" wrapText="1"/>
    </xf>
    <xf numFmtId="3" fontId="18" fillId="7" borderId="32" xfId="0" applyNumberFormat="1" applyFont="1" applyFill="1" applyBorder="1" applyAlignment="1">
      <alignment horizontal="right" vertical="center" wrapText="1"/>
    </xf>
    <xf numFmtId="3" fontId="20" fillId="0" borderId="0" xfId="0" applyNumberFormat="1" applyFont="1" applyFill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8" borderId="20" xfId="4" applyFont="1" applyFill="1" applyBorder="1" applyAlignment="1">
      <alignment vertical="center"/>
    </xf>
    <xf numFmtId="3" fontId="21" fillId="8" borderId="9" xfId="0" applyNumberFormat="1" applyFont="1" applyFill="1" applyBorder="1" applyAlignment="1">
      <alignment horizontal="right" vertical="center" wrapText="1"/>
    </xf>
    <xf numFmtId="3" fontId="21" fillId="9" borderId="2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/>
    <xf numFmtId="0" fontId="4" fillId="0" borderId="20" xfId="0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vertical="center" wrapText="1"/>
    </xf>
    <xf numFmtId="43" fontId="4" fillId="0" borderId="9" xfId="1" applyFont="1" applyFill="1" applyBorder="1" applyAlignment="1">
      <alignment vertical="center" wrapText="1"/>
    </xf>
    <xf numFmtId="3" fontId="4" fillId="0" borderId="29" xfId="0" applyNumberFormat="1" applyFont="1" applyFill="1" applyBorder="1" applyAlignment="1">
      <alignment vertical="center" wrapText="1"/>
    </xf>
    <xf numFmtId="43" fontId="4" fillId="0" borderId="29" xfId="1" applyFont="1" applyFill="1" applyBorder="1" applyAlignment="1">
      <alignment vertical="center" wrapText="1"/>
    </xf>
    <xf numFmtId="43" fontId="4" fillId="0" borderId="30" xfId="1" applyFont="1" applyFill="1" applyBorder="1" applyAlignment="1">
      <alignment vertical="center" wrapText="1"/>
    </xf>
    <xf numFmtId="3" fontId="4" fillId="0" borderId="30" xfId="0" applyNumberFormat="1" applyFont="1" applyFill="1" applyBorder="1" applyAlignment="1">
      <alignment vertical="center" wrapText="1"/>
    </xf>
    <xf numFmtId="3" fontId="4" fillId="0" borderId="27" xfId="0" applyNumberFormat="1" applyFont="1" applyFill="1" applyBorder="1" applyAlignment="1">
      <alignment vertical="center" wrapText="1"/>
    </xf>
    <xf numFmtId="43" fontId="4" fillId="0" borderId="27" xfId="1" applyFont="1" applyFill="1" applyBorder="1" applyAlignment="1">
      <alignment vertical="center" wrapText="1"/>
    </xf>
    <xf numFmtId="0" fontId="21" fillId="8" borderId="20" xfId="4" applyFont="1" applyFill="1" applyBorder="1" applyAlignment="1">
      <alignment vertical="center" wrapText="1"/>
    </xf>
    <xf numFmtId="3" fontId="21" fillId="8" borderId="29" xfId="0" applyNumberFormat="1" applyFont="1" applyFill="1" applyBorder="1" applyAlignment="1">
      <alignment vertical="center" wrapText="1"/>
    </xf>
    <xf numFmtId="3" fontId="21" fillId="9" borderId="32" xfId="0" applyNumberFormat="1" applyFont="1" applyFill="1" applyBorder="1" applyAlignment="1">
      <alignment vertical="center" wrapText="1"/>
    </xf>
    <xf numFmtId="0" fontId="18" fillId="6" borderId="28" xfId="4" applyFont="1" applyFill="1" applyBorder="1" applyAlignment="1">
      <alignment horizontal="left"/>
    </xf>
    <xf numFmtId="3" fontId="22" fillId="6" borderId="29" xfId="0" applyNumberFormat="1" applyFont="1" applyFill="1" applyBorder="1" applyAlignment="1">
      <alignment wrapText="1"/>
    </xf>
    <xf numFmtId="3" fontId="18" fillId="6" borderId="30" xfId="0" applyNumberFormat="1" applyFont="1" applyFill="1" applyBorder="1" applyAlignment="1">
      <alignment wrapText="1"/>
    </xf>
    <xf numFmtId="3" fontId="22" fillId="6" borderId="30" xfId="0" applyNumberFormat="1" applyFont="1" applyFill="1" applyBorder="1" applyAlignment="1">
      <alignment wrapText="1"/>
    </xf>
    <xf numFmtId="0" fontId="20" fillId="0" borderId="0" xfId="0" applyFont="1" applyFill="1" applyBorder="1" applyAlignment="1"/>
    <xf numFmtId="3" fontId="23" fillId="8" borderId="29" xfId="0" applyNumberFormat="1" applyFont="1" applyFill="1" applyBorder="1" applyAlignment="1">
      <alignment vertical="center" wrapText="1"/>
    </xf>
    <xf numFmtId="3" fontId="19" fillId="2" borderId="9" xfId="0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vertical="center" wrapText="1"/>
    </xf>
    <xf numFmtId="43" fontId="19" fillId="2" borderId="9" xfId="1" applyFont="1" applyFill="1" applyBorder="1" applyAlignment="1">
      <alignment vertical="center" wrapText="1"/>
    </xf>
    <xf numFmtId="43" fontId="4" fillId="0" borderId="35" xfId="1" applyFont="1" applyFill="1" applyBorder="1" applyAlignment="1">
      <alignment vertical="center" wrapText="1"/>
    </xf>
    <xf numFmtId="3" fontId="23" fillId="8" borderId="30" xfId="0" applyNumberFormat="1" applyFont="1" applyFill="1" applyBorder="1" applyAlignment="1">
      <alignment vertical="center" wrapText="1"/>
    </xf>
    <xf numFmtId="0" fontId="17" fillId="0" borderId="28" xfId="0" applyFont="1" applyFill="1" applyBorder="1" applyAlignment="1">
      <alignment vertical="center" wrapText="1"/>
    </xf>
    <xf numFmtId="3" fontId="17" fillId="0" borderId="9" xfId="0" applyNumberFormat="1" applyFont="1" applyFill="1" applyBorder="1" applyAlignment="1">
      <alignment vertical="center" wrapText="1"/>
    </xf>
    <xf numFmtId="3" fontId="17" fillId="0" borderId="8" xfId="0" applyNumberFormat="1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3" fontId="17" fillId="0" borderId="13" xfId="0" applyNumberFormat="1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3" fontId="18" fillId="4" borderId="44" xfId="0" applyNumberFormat="1" applyFont="1" applyFill="1" applyBorder="1" applyAlignment="1">
      <alignment horizontal="right" vertical="center" wrapText="1"/>
    </xf>
    <xf numFmtId="3" fontId="18" fillId="5" borderId="45" xfId="0" applyNumberFormat="1" applyFont="1" applyFill="1" applyBorder="1" applyAlignment="1">
      <alignment horizontal="right" vertical="center" wrapText="1"/>
    </xf>
    <xf numFmtId="0" fontId="15" fillId="4" borderId="22" xfId="0" applyFont="1" applyFill="1" applyBorder="1" applyAlignment="1">
      <alignment horizontal="left"/>
    </xf>
    <xf numFmtId="3" fontId="15" fillId="4" borderId="23" xfId="0" quotePrefix="1" applyNumberFormat="1" applyFont="1" applyFill="1" applyBorder="1" applyAlignment="1">
      <alignment horizontal="right"/>
    </xf>
    <xf numFmtId="3" fontId="15" fillId="4" borderId="47" xfId="0" quotePrefix="1" applyNumberFormat="1" applyFont="1" applyFill="1" applyBorder="1" applyAlignment="1">
      <alignment horizontal="right"/>
    </xf>
    <xf numFmtId="3" fontId="15" fillId="4" borderId="48" xfId="0" quotePrefix="1" applyNumberFormat="1" applyFont="1" applyFill="1" applyBorder="1" applyAlignment="1">
      <alignment horizontal="right"/>
    </xf>
    <xf numFmtId="3" fontId="17" fillId="0" borderId="27" xfId="0" applyNumberFormat="1" applyFont="1" applyFill="1" applyBorder="1" applyAlignment="1">
      <alignment vertical="center" wrapText="1"/>
    </xf>
    <xf numFmtId="3" fontId="18" fillId="6" borderId="34" xfId="0" applyNumberFormat="1" applyFont="1" applyFill="1" applyBorder="1" applyAlignment="1">
      <alignment horizontal="right" vertical="center" wrapText="1"/>
    </xf>
    <xf numFmtId="3" fontId="18" fillId="7" borderId="49" xfId="0" applyNumberFormat="1" applyFont="1" applyFill="1" applyBorder="1" applyAlignment="1">
      <alignment horizontal="right" vertical="center" wrapText="1"/>
    </xf>
    <xf numFmtId="3" fontId="23" fillId="8" borderId="9" xfId="0" applyNumberFormat="1" applyFont="1" applyFill="1" applyBorder="1" applyAlignment="1">
      <alignment horizontal="right" vertical="center" wrapText="1"/>
    </xf>
    <xf numFmtId="3" fontId="21" fillId="8" borderId="35" xfId="0" applyNumberFormat="1" applyFont="1" applyFill="1" applyBorder="1" applyAlignment="1">
      <alignment horizontal="right" vertical="center" wrapText="1"/>
    </xf>
    <xf numFmtId="3" fontId="23" fillId="8" borderId="35" xfId="0" applyNumberFormat="1" applyFont="1" applyFill="1" applyBorder="1" applyAlignment="1">
      <alignment horizontal="right" vertical="center" wrapText="1"/>
    </xf>
    <xf numFmtId="3" fontId="23" fillId="8" borderId="36" xfId="0" applyNumberFormat="1" applyFont="1" applyFill="1" applyBorder="1" applyAlignment="1">
      <alignment horizontal="right" vertical="center" wrapText="1"/>
    </xf>
    <xf numFmtId="3" fontId="23" fillId="9" borderId="46" xfId="0" applyNumberFormat="1" applyFont="1" applyFill="1" applyBorder="1" applyAlignment="1">
      <alignment horizontal="right" vertical="center" wrapText="1"/>
    </xf>
    <xf numFmtId="3" fontId="4" fillId="0" borderId="35" xfId="0" applyNumberFormat="1" applyFont="1" applyFill="1" applyBorder="1" applyAlignment="1">
      <alignment vertical="center" wrapText="1"/>
    </xf>
    <xf numFmtId="3" fontId="4" fillId="2" borderId="36" xfId="0" applyNumberFormat="1" applyFont="1" applyFill="1" applyBorder="1" applyAlignment="1">
      <alignment vertical="center" wrapText="1"/>
    </xf>
    <xf numFmtId="43" fontId="23" fillId="8" borderId="29" xfId="1" applyFont="1" applyFill="1" applyBorder="1" applyAlignment="1">
      <alignment vertical="center" wrapText="1"/>
    </xf>
    <xf numFmtId="3" fontId="23" fillId="8" borderId="34" xfId="0" applyNumberFormat="1" applyFont="1" applyFill="1" applyBorder="1" applyAlignment="1">
      <alignment vertical="center" wrapText="1"/>
    </xf>
    <xf numFmtId="3" fontId="22" fillId="6" borderId="29" xfId="0" applyNumberFormat="1" applyFont="1" applyFill="1" applyBorder="1" applyAlignment="1">
      <alignment vertical="center" wrapText="1"/>
    </xf>
    <xf numFmtId="3" fontId="18" fillId="6" borderId="30" xfId="0" applyNumberFormat="1" applyFont="1" applyFill="1" applyBorder="1" applyAlignment="1">
      <alignment vertical="center" wrapText="1"/>
    </xf>
    <xf numFmtId="3" fontId="22" fillId="6" borderId="30" xfId="0" applyNumberFormat="1" applyFont="1" applyFill="1" applyBorder="1" applyAlignment="1">
      <alignment vertical="center" wrapText="1"/>
    </xf>
    <xf numFmtId="3" fontId="22" fillId="6" borderId="34" xfId="0" applyNumberFormat="1" applyFont="1" applyFill="1" applyBorder="1" applyAlignment="1">
      <alignment vertical="center" wrapText="1"/>
    </xf>
    <xf numFmtId="43" fontId="4" fillId="2" borderId="9" xfId="1" applyFont="1" applyFill="1" applyBorder="1" applyAlignment="1">
      <alignment vertical="center" wrapText="1"/>
    </xf>
    <xf numFmtId="43" fontId="23" fillId="8" borderId="30" xfId="1" applyFont="1" applyFill="1" applyBorder="1" applyAlignment="1">
      <alignment vertical="center" wrapText="1"/>
    </xf>
    <xf numFmtId="0" fontId="24" fillId="4" borderId="38" xfId="0" applyFont="1" applyFill="1" applyBorder="1" applyAlignment="1">
      <alignment vertical="center"/>
    </xf>
    <xf numFmtId="3" fontId="22" fillId="4" borderId="39" xfId="0" applyNumberFormat="1" applyFont="1" applyFill="1" applyBorder="1" applyAlignment="1">
      <alignment vertical="center" wrapText="1"/>
    </xf>
    <xf numFmtId="3" fontId="18" fillId="4" borderId="39" xfId="0" applyNumberFormat="1" applyFont="1" applyFill="1" applyBorder="1" applyAlignment="1">
      <alignment vertical="center" wrapText="1"/>
    </xf>
    <xf numFmtId="3" fontId="22" fillId="4" borderId="50" xfId="0" applyNumberFormat="1" applyFont="1" applyFill="1" applyBorder="1" applyAlignment="1">
      <alignment vertical="center" wrapText="1"/>
    </xf>
    <xf numFmtId="3" fontId="22" fillId="4" borderId="51" xfId="0" applyNumberFormat="1" applyFont="1" applyFill="1" applyBorder="1" applyAlignment="1">
      <alignment vertical="center" wrapText="1"/>
    </xf>
    <xf numFmtId="3" fontId="22" fillId="4" borderId="52" xfId="0" applyNumberFormat="1" applyFont="1" applyFill="1" applyBorder="1" applyAlignment="1">
      <alignment vertical="center" wrapText="1"/>
    </xf>
    <xf numFmtId="3" fontId="22" fillId="4" borderId="12" xfId="0" applyNumberFormat="1" applyFont="1" applyFill="1" applyBorder="1" applyAlignment="1">
      <alignment vertical="center" wrapText="1"/>
    </xf>
    <xf numFmtId="3" fontId="18" fillId="4" borderId="12" xfId="0" applyNumberFormat="1" applyFont="1" applyFill="1" applyBorder="1" applyAlignment="1">
      <alignment vertical="center" wrapText="1"/>
    </xf>
    <xf numFmtId="3" fontId="22" fillId="4" borderId="23" xfId="0" applyNumberFormat="1" applyFont="1" applyFill="1" applyBorder="1" applyAlignment="1">
      <alignment vertical="center" wrapText="1"/>
    </xf>
    <xf numFmtId="3" fontId="22" fillId="4" borderId="25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3" fontId="22" fillId="2" borderId="0" xfId="0" applyNumberFormat="1" applyFont="1" applyFill="1" applyBorder="1" applyAlignment="1">
      <alignment vertical="center" wrapText="1"/>
    </xf>
    <xf numFmtId="3" fontId="20" fillId="2" borderId="0" xfId="0" applyNumberFormat="1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0" fontId="18" fillId="13" borderId="53" xfId="4" applyFont="1" applyFill="1" applyBorder="1" applyAlignment="1">
      <alignment horizontal="left" vertical="center"/>
    </xf>
    <xf numFmtId="3" fontId="22" fillId="13" borderId="54" xfId="0" applyNumberFormat="1" applyFont="1" applyFill="1" applyBorder="1" applyAlignment="1">
      <alignment vertical="center" wrapText="1"/>
    </xf>
    <xf numFmtId="3" fontId="22" fillId="13" borderId="55" xfId="0" applyNumberFormat="1" applyFont="1" applyFill="1" applyBorder="1" applyAlignment="1">
      <alignment vertical="center" wrapText="1"/>
    </xf>
    <xf numFmtId="3" fontId="22" fillId="13" borderId="56" xfId="0" applyNumberFormat="1" applyFont="1" applyFill="1" applyBorder="1" applyAlignment="1">
      <alignment vertical="center" wrapText="1"/>
    </xf>
    <xf numFmtId="0" fontId="26" fillId="13" borderId="20" xfId="0" applyFont="1" applyFill="1" applyBorder="1" applyAlignment="1">
      <alignment vertical="center"/>
    </xf>
    <xf numFmtId="3" fontId="27" fillId="13" borderId="35" xfId="0" applyNumberFormat="1" applyFont="1" applyFill="1" applyBorder="1" applyAlignment="1">
      <alignment vertical="center" wrapText="1"/>
    </xf>
    <xf numFmtId="3" fontId="27" fillId="13" borderId="7" xfId="0" applyNumberFormat="1" applyFont="1" applyFill="1" applyBorder="1" applyAlignment="1">
      <alignment vertical="center" wrapText="1"/>
    </xf>
    <xf numFmtId="3" fontId="27" fillId="13" borderId="21" xfId="0" applyNumberFormat="1" applyFont="1" applyFill="1" applyBorder="1" applyAlignment="1">
      <alignment vertical="center" wrapText="1"/>
    </xf>
    <xf numFmtId="0" fontId="18" fillId="13" borderId="57" xfId="4" applyFont="1" applyFill="1" applyBorder="1" applyAlignment="1">
      <alignment horizontal="left" vertical="center"/>
    </xf>
    <xf numFmtId="3" fontId="22" fillId="13" borderId="58" xfId="0" applyNumberFormat="1" applyFont="1" applyFill="1" applyBorder="1" applyAlignment="1">
      <alignment vertical="center" wrapText="1"/>
    </xf>
    <xf numFmtId="3" fontId="22" fillId="13" borderId="59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3" fontId="22" fillId="13" borderId="60" xfId="0" applyNumberFormat="1" applyFont="1" applyFill="1" applyBorder="1" applyAlignment="1">
      <alignment horizontal="center" vertical="center" wrapText="1"/>
    </xf>
    <xf numFmtId="0" fontId="28" fillId="13" borderId="0" xfId="4" applyFont="1" applyFill="1" applyBorder="1" applyAlignment="1">
      <alignment horizontal="center" vertical="center"/>
    </xf>
    <xf numFmtId="3" fontId="22" fillId="13" borderId="0" xfId="0" applyNumberFormat="1" applyFont="1" applyFill="1" applyBorder="1" applyAlignment="1">
      <alignment vertical="center" wrapText="1"/>
    </xf>
    <xf numFmtId="0" fontId="18" fillId="13" borderId="0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>
      <alignment vertical="center" wrapText="1"/>
    </xf>
    <xf numFmtId="0" fontId="18" fillId="0" borderId="53" xfId="4" applyFont="1" applyFill="1" applyBorder="1" applyAlignment="1">
      <alignment horizontal="left" vertical="center"/>
    </xf>
    <xf numFmtId="3" fontId="22" fillId="0" borderId="54" xfId="0" applyNumberFormat="1" applyFont="1" applyFill="1" applyBorder="1" applyAlignment="1">
      <alignment vertical="center" wrapText="1"/>
    </xf>
    <xf numFmtId="3" fontId="22" fillId="0" borderId="55" xfId="0" applyNumberFormat="1" applyFont="1" applyFill="1" applyBorder="1" applyAlignment="1">
      <alignment vertical="center" wrapText="1"/>
    </xf>
    <xf numFmtId="0" fontId="29" fillId="0" borderId="20" xfId="0" applyFont="1" applyFill="1" applyBorder="1" applyAlignment="1">
      <alignment vertical="center"/>
    </xf>
    <xf numFmtId="3" fontId="30" fillId="0" borderId="35" xfId="0" applyNumberFormat="1" applyFont="1" applyFill="1" applyBorder="1" applyAlignment="1">
      <alignment vertical="center" wrapText="1"/>
    </xf>
    <xf numFmtId="3" fontId="27" fillId="0" borderId="7" xfId="0" applyNumberFormat="1" applyFont="1" applyFill="1" applyBorder="1" applyAlignment="1">
      <alignment vertical="center" wrapText="1"/>
    </xf>
    <xf numFmtId="0" fontId="18" fillId="13" borderId="61" xfId="4" applyFont="1" applyFill="1" applyBorder="1" applyAlignment="1">
      <alignment horizontal="left" vertical="center"/>
    </xf>
    <xf numFmtId="3" fontId="22" fillId="13" borderId="61" xfId="0" applyNumberFormat="1" applyFont="1" applyFill="1" applyBorder="1" applyAlignment="1">
      <alignment vertical="center" wrapText="1"/>
    </xf>
    <xf numFmtId="3" fontId="18" fillId="2" borderId="0" xfId="0" applyNumberFormat="1" applyFont="1" applyFill="1" applyBorder="1" applyAlignment="1">
      <alignment vertical="center" wrapText="1"/>
    </xf>
    <xf numFmtId="0" fontId="23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3" fontId="14" fillId="2" borderId="3" xfId="0" applyNumberFormat="1" applyFont="1" applyFill="1" applyBorder="1" applyAlignment="1">
      <alignment vertical="center" wrapText="1"/>
    </xf>
    <xf numFmtId="3" fontId="14" fillId="14" borderId="3" xfId="0" applyNumberFormat="1" applyFont="1" applyFill="1" applyBorder="1" applyAlignment="1">
      <alignment vertical="center" wrapText="1"/>
    </xf>
    <xf numFmtId="3" fontId="14" fillId="2" borderId="66" xfId="0" applyNumberFormat="1" applyFont="1" applyFill="1" applyBorder="1" applyAlignment="1">
      <alignment vertical="center" wrapText="1"/>
    </xf>
    <xf numFmtId="3" fontId="31" fillId="2" borderId="0" xfId="0" applyNumberFormat="1" applyFont="1" applyFill="1" applyBorder="1" applyAlignment="1">
      <alignment vertical="center" wrapText="1"/>
    </xf>
    <xf numFmtId="3" fontId="31" fillId="14" borderId="0" xfId="0" applyNumberFormat="1" applyFont="1" applyFill="1" applyBorder="1" applyAlignment="1">
      <alignment vertical="center" wrapText="1"/>
    </xf>
    <xf numFmtId="3" fontId="31" fillId="2" borderId="67" xfId="0" applyNumberFormat="1" applyFont="1" applyFill="1" applyBorder="1" applyAlignment="1">
      <alignment vertical="center" wrapText="1"/>
    </xf>
    <xf numFmtId="3" fontId="17" fillId="2" borderId="68" xfId="0" applyNumberFormat="1" applyFont="1" applyFill="1" applyBorder="1" applyAlignment="1">
      <alignment vertical="center" wrapText="1"/>
    </xf>
    <xf numFmtId="3" fontId="17" fillId="2" borderId="24" xfId="0" applyNumberFormat="1" applyFont="1" applyFill="1" applyBorder="1" applyAlignment="1">
      <alignment vertical="center" wrapText="1"/>
    </xf>
    <xf numFmtId="3" fontId="31" fillId="2" borderId="24" xfId="0" applyNumberFormat="1" applyFont="1" applyFill="1" applyBorder="1" applyAlignment="1">
      <alignment vertical="center" wrapText="1"/>
    </xf>
    <xf numFmtId="3" fontId="31" fillId="14" borderId="24" xfId="0" applyNumberFormat="1" applyFont="1" applyFill="1" applyBorder="1" applyAlignment="1">
      <alignment vertical="center" wrapText="1"/>
    </xf>
    <xf numFmtId="3" fontId="31" fillId="2" borderId="69" xfId="0" applyNumberFormat="1" applyFont="1" applyFill="1" applyBorder="1" applyAlignment="1">
      <alignment vertical="center" wrapText="1"/>
    </xf>
    <xf numFmtId="3" fontId="32" fillId="0" borderId="0" xfId="0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vertical="center" wrapText="1"/>
    </xf>
    <xf numFmtId="3" fontId="20" fillId="2" borderId="0" xfId="0" applyNumberFormat="1" applyFont="1" applyFill="1" applyBorder="1" applyAlignment="1">
      <alignment vertical="center" wrapText="1"/>
    </xf>
    <xf numFmtId="0" fontId="4" fillId="15" borderId="15" xfId="0" applyFont="1" applyFill="1" applyBorder="1"/>
    <xf numFmtId="0" fontId="4" fillId="15" borderId="3" xfId="0" applyFont="1" applyFill="1" applyBorder="1"/>
    <xf numFmtId="3" fontId="15" fillId="15" borderId="12" xfId="0" applyNumberFormat="1" applyFont="1" applyFill="1" applyBorder="1" applyAlignment="1">
      <alignment vertical="center"/>
    </xf>
    <xf numFmtId="3" fontId="14" fillId="15" borderId="12" xfId="0" applyNumberFormat="1" applyFont="1" applyFill="1" applyBorder="1" applyAlignment="1">
      <alignment vertical="center"/>
    </xf>
    <xf numFmtId="3" fontId="15" fillId="15" borderId="24" xfId="0" applyNumberFormat="1" applyFont="1" applyFill="1" applyBorder="1" applyAlignment="1">
      <alignment vertical="center"/>
    </xf>
    <xf numFmtId="0" fontId="33" fillId="6" borderId="20" xfId="0" applyFont="1" applyFill="1" applyBorder="1" applyAlignment="1">
      <alignment vertical="center" wrapText="1"/>
    </xf>
    <xf numFmtId="3" fontId="34" fillId="6" borderId="70" xfId="0" applyNumberFormat="1" applyFont="1" applyFill="1" applyBorder="1"/>
    <xf numFmtId="3" fontId="19" fillId="6" borderId="70" xfId="0" applyNumberFormat="1" applyFont="1" applyFill="1" applyBorder="1"/>
    <xf numFmtId="3" fontId="34" fillId="6" borderId="30" xfId="0" applyNumberFormat="1" applyFont="1" applyFill="1" applyBorder="1"/>
    <xf numFmtId="3" fontId="34" fillId="6" borderId="29" xfId="0" applyNumberFormat="1" applyFont="1" applyFill="1" applyBorder="1"/>
    <xf numFmtId="3" fontId="19" fillId="6" borderId="35" xfId="0" applyNumberFormat="1" applyFont="1" applyFill="1" applyBorder="1"/>
    <xf numFmtId="0" fontId="17" fillId="6" borderId="28" xfId="0" applyFont="1" applyFill="1" applyBorder="1" applyAlignment="1">
      <alignment vertical="center" wrapText="1"/>
    </xf>
    <xf numFmtId="3" fontId="19" fillId="6" borderId="71" xfId="0" applyNumberFormat="1" applyFont="1" applyFill="1" applyBorder="1"/>
    <xf numFmtId="3" fontId="19" fillId="6" borderId="71" xfId="0" applyNumberFormat="1" applyFont="1" applyFill="1" applyBorder="1" applyAlignment="1">
      <alignment vertical="center"/>
    </xf>
    <xf numFmtId="3" fontId="19" fillId="6" borderId="30" xfId="0" applyNumberFormat="1" applyFont="1" applyFill="1" applyBorder="1"/>
    <xf numFmtId="3" fontId="19" fillId="6" borderId="63" xfId="0" applyNumberFormat="1" applyFont="1" applyFill="1" applyBorder="1"/>
    <xf numFmtId="0" fontId="17" fillId="6" borderId="37" xfId="0" applyFont="1" applyFill="1" applyBorder="1" applyAlignment="1">
      <alignment vertical="center" wrapText="1"/>
    </xf>
    <xf numFmtId="3" fontId="16" fillId="6" borderId="47" xfId="0" applyNumberFormat="1" applyFont="1" applyFill="1" applyBorder="1"/>
    <xf numFmtId="3" fontId="19" fillId="6" borderId="47" xfId="0" applyNumberFormat="1" applyFont="1" applyFill="1" applyBorder="1"/>
    <xf numFmtId="3" fontId="35" fillId="12" borderId="0" xfId="0" applyNumberFormat="1" applyFont="1" applyFill="1" applyBorder="1"/>
    <xf numFmtId="3" fontId="36" fillId="12" borderId="0" xfId="0" applyNumberFormat="1" applyFont="1" applyFill="1" applyBorder="1"/>
    <xf numFmtId="3" fontId="35" fillId="12" borderId="27" xfId="0" applyNumberFormat="1" applyFont="1" applyFill="1" applyBorder="1"/>
    <xf numFmtId="3" fontId="35" fillId="12" borderId="13" xfId="0" applyNumberFormat="1" applyFont="1" applyFill="1" applyBorder="1"/>
    <xf numFmtId="0" fontId="15" fillId="8" borderId="0" xfId="0" applyFont="1" applyFill="1" applyBorder="1" applyAlignment="1">
      <alignment horizontal="right"/>
    </xf>
    <xf numFmtId="3" fontId="35" fillId="8" borderId="0" xfId="0" applyNumberFormat="1" applyFont="1" applyFill="1" applyBorder="1"/>
    <xf numFmtId="0" fontId="15" fillId="15" borderId="51" xfId="0" applyFont="1" applyFill="1" applyBorder="1" applyAlignment="1">
      <alignment horizontal="center" wrapText="1"/>
    </xf>
    <xf numFmtId="3" fontId="15" fillId="15" borderId="39" xfId="0" applyNumberFormat="1" applyFont="1" applyFill="1" applyBorder="1"/>
    <xf numFmtId="3" fontId="14" fillId="15" borderId="39" xfId="0" applyNumberFormat="1" applyFont="1" applyFill="1" applyBorder="1"/>
    <xf numFmtId="3" fontId="15" fillId="15" borderId="51" xfId="0" applyNumberFormat="1" applyFont="1" applyFill="1" applyBorder="1" applyAlignment="1">
      <alignment horizontal="center"/>
    </xf>
    <xf numFmtId="0" fontId="17" fillId="6" borderId="20" xfId="0" applyFont="1" applyFill="1" applyBorder="1" applyAlignment="1">
      <alignment vertical="center" wrapText="1"/>
    </xf>
    <xf numFmtId="3" fontId="4" fillId="6" borderId="70" xfId="0" applyNumberFormat="1" applyFont="1" applyFill="1" applyBorder="1"/>
    <xf numFmtId="3" fontId="4" fillId="6" borderId="17" xfId="0" applyNumberFormat="1" applyFont="1" applyFill="1" applyBorder="1"/>
    <xf numFmtId="3" fontId="4" fillId="6" borderId="30" xfId="0" applyNumberFormat="1" applyFont="1" applyFill="1" applyBorder="1"/>
    <xf numFmtId="3" fontId="4" fillId="6" borderId="29" xfId="0" applyNumberFormat="1" applyFont="1" applyFill="1" applyBorder="1"/>
    <xf numFmtId="0" fontId="17" fillId="6" borderId="73" xfId="0" applyFont="1" applyFill="1" applyBorder="1" applyAlignment="1">
      <alignment vertical="center" wrapText="1"/>
    </xf>
    <xf numFmtId="3" fontId="4" fillId="6" borderId="63" xfId="0" applyNumberFormat="1" applyFont="1" applyFill="1" applyBorder="1"/>
    <xf numFmtId="3" fontId="4" fillId="6" borderId="47" xfId="0" applyNumberFormat="1" applyFont="1" applyFill="1" applyBorder="1"/>
    <xf numFmtId="3" fontId="4" fillId="6" borderId="72" xfId="0" applyNumberFormat="1" applyFont="1" applyFill="1" applyBorder="1"/>
    <xf numFmtId="3" fontId="4" fillId="12" borderId="0" xfId="0" applyNumberFormat="1" applyFont="1" applyFill="1" applyBorder="1" applyAlignment="1">
      <alignment horizontal="right"/>
    </xf>
    <xf numFmtId="0" fontId="4" fillId="12" borderId="8" xfId="0" applyFont="1" applyFill="1" applyBorder="1" applyAlignment="1">
      <alignment horizontal="right"/>
    </xf>
    <xf numFmtId="3" fontId="35" fillId="12" borderId="8" xfId="0" applyNumberFormat="1" applyFont="1" applyFill="1" applyBorder="1"/>
    <xf numFmtId="0" fontId="4" fillId="16" borderId="15" xfId="0" applyFont="1" applyFill="1" applyBorder="1"/>
    <xf numFmtId="0" fontId="4" fillId="16" borderId="2" xfId="0" applyFont="1" applyFill="1" applyBorder="1"/>
    <xf numFmtId="0" fontId="4" fillId="16" borderId="3" xfId="0" applyFont="1" applyFill="1" applyBorder="1"/>
    <xf numFmtId="0" fontId="4" fillId="16" borderId="5" xfId="0" applyFont="1" applyFill="1" applyBorder="1"/>
    <xf numFmtId="0" fontId="4" fillId="16" borderId="4" xfId="0" applyFont="1" applyFill="1" applyBorder="1"/>
    <xf numFmtId="3" fontId="15" fillId="16" borderId="12" xfId="5" applyNumberFormat="1" applyFont="1" applyFill="1" applyBorder="1"/>
    <xf numFmtId="3" fontId="14" fillId="16" borderId="12" xfId="5" applyNumberFormat="1" applyFont="1" applyFill="1" applyBorder="1"/>
    <xf numFmtId="3" fontId="15" fillId="16" borderId="74" xfId="5" applyNumberFormat="1" applyFont="1" applyFill="1" applyBorder="1"/>
    <xf numFmtId="0" fontId="17" fillId="8" borderId="20" xfId="0" applyFont="1" applyFill="1" applyBorder="1" applyAlignment="1">
      <alignment vertical="center" wrapText="1"/>
    </xf>
    <xf numFmtId="3" fontId="4" fillId="8" borderId="30" xfId="0" applyNumberFormat="1" applyFont="1" applyFill="1" applyBorder="1"/>
    <xf numFmtId="3" fontId="4" fillId="8" borderId="71" xfId="0" applyNumberFormat="1" applyFont="1" applyFill="1" applyBorder="1"/>
    <xf numFmtId="3" fontId="4" fillId="8" borderId="31" xfId="0" applyNumberFormat="1" applyFont="1" applyFill="1" applyBorder="1"/>
    <xf numFmtId="0" fontId="17" fillId="8" borderId="28" xfId="0" applyFont="1" applyFill="1" applyBorder="1" applyAlignment="1">
      <alignment vertical="center" wrapText="1"/>
    </xf>
    <xf numFmtId="0" fontId="17" fillId="8" borderId="28" xfId="0" applyFont="1" applyFill="1" applyBorder="1" applyAlignment="1">
      <alignment vertical="center"/>
    </xf>
    <xf numFmtId="0" fontId="17" fillId="8" borderId="73" xfId="0" applyFont="1" applyFill="1" applyBorder="1" applyAlignment="1">
      <alignment vertical="center"/>
    </xf>
    <xf numFmtId="3" fontId="4" fillId="8" borderId="63" xfId="0" applyNumberFormat="1" applyFont="1" applyFill="1" applyBorder="1"/>
    <xf numFmtId="3" fontId="4" fillId="8" borderId="62" xfId="0" applyNumberFormat="1" applyFont="1" applyFill="1" applyBorder="1"/>
    <xf numFmtId="0" fontId="17" fillId="8" borderId="37" xfId="0" applyFont="1" applyFill="1" applyBorder="1" applyAlignment="1">
      <alignment vertical="center" wrapText="1"/>
    </xf>
    <xf numFmtId="3" fontId="4" fillId="8" borderId="47" xfId="0" applyNumberFormat="1" applyFont="1" applyFill="1" applyBorder="1"/>
    <xf numFmtId="3" fontId="4" fillId="8" borderId="75" xfId="0" applyNumberFormat="1" applyFont="1" applyFill="1" applyBorder="1"/>
    <xf numFmtId="3" fontId="4" fillId="8" borderId="77" xfId="0" applyNumberFormat="1" applyFont="1" applyFill="1" applyBorder="1"/>
    <xf numFmtId="0" fontId="17" fillId="17" borderId="0" xfId="0" applyFont="1" applyFill="1" applyBorder="1" applyAlignment="1">
      <alignment vertical="center" wrapText="1"/>
    </xf>
    <xf numFmtId="3" fontId="36" fillId="17" borderId="0" xfId="0" applyNumberFormat="1" applyFont="1" applyFill="1" applyBorder="1"/>
    <xf numFmtId="3" fontId="36" fillId="17" borderId="13" xfId="0" applyNumberFormat="1" applyFont="1" applyFill="1" applyBorder="1"/>
    <xf numFmtId="3" fontId="36" fillId="17" borderId="11" xfId="0" applyNumberFormat="1" applyFont="1" applyFill="1" applyBorder="1"/>
    <xf numFmtId="0" fontId="9" fillId="8" borderId="0" xfId="0" applyFont="1" applyFill="1" applyBorder="1" applyAlignment="1">
      <alignment horizontal="right" vertical="center" wrapText="1"/>
    </xf>
    <xf numFmtId="3" fontId="36" fillId="8" borderId="0" xfId="0" applyNumberFormat="1" applyFont="1" applyFill="1" applyBorder="1"/>
    <xf numFmtId="3" fontId="36" fillId="8" borderId="13" xfId="0" applyNumberFormat="1" applyFont="1" applyFill="1" applyBorder="1"/>
    <xf numFmtId="3" fontId="36" fillId="8" borderId="11" xfId="0" applyNumberFormat="1" applyFont="1" applyFill="1" applyBorder="1"/>
    <xf numFmtId="3" fontId="14" fillId="8" borderId="0" xfId="0" applyNumberFormat="1" applyFont="1" applyFill="1" applyBorder="1"/>
    <xf numFmtId="3" fontId="14" fillId="8" borderId="13" xfId="0" applyNumberFormat="1" applyFont="1" applyFill="1" applyBorder="1"/>
    <xf numFmtId="3" fontId="14" fillId="8" borderId="11" xfId="0" applyNumberFormat="1" applyFont="1" applyFill="1" applyBorder="1"/>
    <xf numFmtId="0" fontId="15" fillId="16" borderId="51" xfId="0" applyFont="1" applyFill="1" applyBorder="1" applyAlignment="1">
      <alignment horizontal="center" wrapText="1"/>
    </xf>
    <xf numFmtId="3" fontId="14" fillId="16" borderId="39" xfId="5" applyNumberFormat="1" applyFont="1" applyFill="1" applyBorder="1"/>
    <xf numFmtId="3" fontId="14" fillId="16" borderId="78" xfId="5" applyNumberFormat="1" applyFont="1" applyFill="1" applyBorder="1"/>
    <xf numFmtId="3" fontId="14" fillId="16" borderId="52" xfId="5" applyNumberFormat="1" applyFont="1" applyFill="1" applyBorder="1"/>
    <xf numFmtId="3" fontId="14" fillId="16" borderId="50" xfId="5" applyNumberFormat="1" applyFont="1" applyFill="1" applyBorder="1"/>
    <xf numFmtId="3" fontId="4" fillId="8" borderId="70" xfId="0" applyNumberFormat="1" applyFont="1" applyFill="1" applyBorder="1"/>
    <xf numFmtId="3" fontId="4" fillId="8" borderId="79" xfId="0" applyNumberFormat="1" applyFont="1" applyFill="1" applyBorder="1"/>
    <xf numFmtId="3" fontId="4" fillId="8" borderId="19" xfId="0" applyNumberFormat="1" applyFont="1" applyFill="1" applyBorder="1"/>
    <xf numFmtId="3" fontId="4" fillId="8" borderId="17" xfId="0" applyNumberFormat="1" applyFont="1" applyFill="1" applyBorder="1"/>
    <xf numFmtId="0" fontId="17" fillId="8" borderId="73" xfId="0" applyFont="1" applyFill="1" applyBorder="1" applyAlignment="1">
      <alignment vertical="center" wrapText="1"/>
    </xf>
    <xf numFmtId="0" fontId="4" fillId="17" borderId="0" xfId="0" applyFont="1" applyFill="1" applyBorder="1" applyAlignment="1">
      <alignment horizontal="right"/>
    </xf>
    <xf numFmtId="3" fontId="23" fillId="17" borderId="0" xfId="0" applyNumberFormat="1" applyFont="1" applyFill="1" applyBorder="1"/>
    <xf numFmtId="3" fontId="23" fillId="17" borderId="13" xfId="0" applyNumberFormat="1" applyFont="1" applyFill="1" applyBorder="1"/>
    <xf numFmtId="3" fontId="23" fillId="17" borderId="11" xfId="0" applyNumberFormat="1" applyFont="1" applyFill="1" applyBorder="1"/>
    <xf numFmtId="3" fontId="4" fillId="17" borderId="0" xfId="0" applyNumberFormat="1" applyFont="1" applyFill="1" applyBorder="1"/>
    <xf numFmtId="0" fontId="15" fillId="0" borderId="27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17" fillId="11" borderId="20" xfId="0" applyFont="1" applyFill="1" applyBorder="1" applyAlignment="1">
      <alignment vertical="center" wrapText="1"/>
    </xf>
    <xf numFmtId="3" fontId="19" fillId="11" borderId="70" xfId="0" applyNumberFormat="1" applyFont="1" applyFill="1" applyBorder="1"/>
    <xf numFmtId="3" fontId="19" fillId="11" borderId="79" xfId="0" applyNumberFormat="1" applyFont="1" applyFill="1" applyBorder="1"/>
    <xf numFmtId="3" fontId="19" fillId="11" borderId="19" xfId="0" applyNumberFormat="1" applyFont="1" applyFill="1" applyBorder="1"/>
    <xf numFmtId="3" fontId="19" fillId="11" borderId="17" xfId="0" applyNumberFormat="1" applyFont="1" applyFill="1" applyBorder="1"/>
    <xf numFmtId="0" fontId="17" fillId="11" borderId="28" xfId="0" applyFont="1" applyFill="1" applyBorder="1" applyAlignment="1">
      <alignment vertical="center" wrapText="1"/>
    </xf>
    <xf numFmtId="3" fontId="19" fillId="11" borderId="30" xfId="0" applyNumberFormat="1" applyFont="1" applyFill="1" applyBorder="1"/>
    <xf numFmtId="3" fontId="19" fillId="11" borderId="71" xfId="0" applyNumberFormat="1" applyFont="1" applyFill="1" applyBorder="1"/>
    <xf numFmtId="0" fontId="17" fillId="11" borderId="73" xfId="0" applyFont="1" applyFill="1" applyBorder="1" applyAlignment="1">
      <alignment vertical="center" wrapText="1"/>
    </xf>
    <xf numFmtId="0" fontId="17" fillId="11" borderId="37" xfId="0" applyFont="1" applyFill="1" applyBorder="1" applyAlignment="1">
      <alignment vertical="center" wrapText="1"/>
    </xf>
    <xf numFmtId="3" fontId="19" fillId="11" borderId="47" xfId="0" applyNumberFormat="1" applyFont="1" applyFill="1" applyBorder="1"/>
    <xf numFmtId="3" fontId="19" fillId="11" borderId="75" xfId="0" applyNumberFormat="1" applyFont="1" applyFill="1" applyBorder="1"/>
    <xf numFmtId="3" fontId="19" fillId="11" borderId="77" xfId="0" applyNumberFormat="1" applyFont="1" applyFill="1" applyBorder="1"/>
    <xf numFmtId="0" fontId="15" fillId="18" borderId="51" xfId="0" applyFont="1" applyFill="1" applyBorder="1" applyAlignment="1">
      <alignment horizontal="right"/>
    </xf>
    <xf numFmtId="3" fontId="35" fillId="18" borderId="51" xfId="0" applyNumberFormat="1" applyFont="1" applyFill="1" applyBorder="1" applyAlignment="1">
      <alignment vertical="top"/>
    </xf>
    <xf numFmtId="3" fontId="36" fillId="18" borderId="51" xfId="0" applyNumberFormat="1" applyFont="1" applyFill="1" applyBorder="1" applyAlignment="1">
      <alignment vertical="top"/>
    </xf>
    <xf numFmtId="3" fontId="35" fillId="18" borderId="39" xfId="0" applyNumberFormat="1" applyFont="1" applyFill="1" applyBorder="1" applyAlignment="1">
      <alignment vertical="top"/>
    </xf>
    <xf numFmtId="3" fontId="35" fillId="18" borderId="52" xfId="0" applyNumberFormat="1" applyFont="1" applyFill="1" applyBorder="1" applyAlignment="1">
      <alignment vertical="top"/>
    </xf>
    <xf numFmtId="3" fontId="35" fillId="18" borderId="50" xfId="0" applyNumberFormat="1" applyFont="1" applyFill="1" applyBorder="1" applyAlignment="1">
      <alignment vertical="top"/>
    </xf>
    <xf numFmtId="0" fontId="35" fillId="0" borderId="0" xfId="0" applyFont="1" applyBorder="1" applyAlignment="1">
      <alignment horizontal="right"/>
    </xf>
    <xf numFmtId="3" fontId="35" fillId="2" borderId="0" xfId="0" applyNumberFormat="1" applyFont="1" applyFill="1" applyBorder="1" applyAlignment="1">
      <alignment vertical="top"/>
    </xf>
    <xf numFmtId="3" fontId="36" fillId="2" borderId="0" xfId="0" applyNumberFormat="1" applyFont="1" applyFill="1" applyBorder="1" applyAlignment="1">
      <alignment vertical="top"/>
    </xf>
    <xf numFmtId="3" fontId="35" fillId="2" borderId="13" xfId="0" applyNumberFormat="1" applyFont="1" applyFill="1" applyBorder="1" applyAlignment="1">
      <alignment vertical="top"/>
    </xf>
    <xf numFmtId="3" fontId="35" fillId="2" borderId="11" xfId="0" applyNumberFormat="1" applyFont="1" applyFill="1" applyBorder="1" applyAlignment="1">
      <alignment vertical="top"/>
    </xf>
    <xf numFmtId="0" fontId="15" fillId="18" borderId="51" xfId="0" applyFont="1" applyFill="1" applyBorder="1" applyAlignment="1">
      <alignment horizontal="center"/>
    </xf>
    <xf numFmtId="3" fontId="15" fillId="18" borderId="39" xfId="0" applyNumberFormat="1" applyFont="1" applyFill="1" applyBorder="1"/>
    <xf numFmtId="3" fontId="15" fillId="18" borderId="78" xfId="0" applyNumberFormat="1" applyFont="1" applyFill="1" applyBorder="1"/>
    <xf numFmtId="3" fontId="15" fillId="18" borderId="52" xfId="0" applyNumberFormat="1" applyFont="1" applyFill="1" applyBorder="1"/>
    <xf numFmtId="3" fontId="15" fillId="18" borderId="50" xfId="0" applyNumberFormat="1" applyFont="1" applyFill="1" applyBorder="1"/>
    <xf numFmtId="3" fontId="4" fillId="11" borderId="70" xfId="0" applyNumberFormat="1" applyFont="1" applyFill="1" applyBorder="1"/>
    <xf numFmtId="3" fontId="4" fillId="11" borderId="30" xfId="0" applyNumberFormat="1" applyFont="1" applyFill="1" applyBorder="1"/>
    <xf numFmtId="0" fontId="4" fillId="18" borderId="24" xfId="0" applyFont="1" applyFill="1" applyBorder="1" applyAlignment="1">
      <alignment horizontal="right"/>
    </xf>
    <xf numFmtId="3" fontId="4" fillId="18" borderId="24" xfId="0" applyNumberFormat="1" applyFont="1" applyFill="1" applyBorder="1"/>
    <xf numFmtId="3" fontId="4" fillId="18" borderId="12" xfId="0" applyNumberFormat="1" applyFont="1" applyFill="1" applyBorder="1"/>
    <xf numFmtId="3" fontId="4" fillId="18" borderId="25" xfId="0" applyNumberFormat="1" applyFont="1" applyFill="1" applyBorder="1"/>
    <xf numFmtId="0" fontId="4" fillId="0" borderId="13" xfId="0" applyFont="1" applyBorder="1"/>
    <xf numFmtId="3" fontId="35" fillId="0" borderId="0" xfId="0" applyNumberFormat="1" applyFont="1" applyBorder="1"/>
    <xf numFmtId="3" fontId="36" fillId="0" borderId="0" xfId="0" applyNumberFormat="1" applyFont="1" applyBorder="1"/>
    <xf numFmtId="3" fontId="35" fillId="0" borderId="13" xfId="0" applyNumberFormat="1" applyFont="1" applyBorder="1"/>
    <xf numFmtId="3" fontId="4" fillId="0" borderId="0" xfId="0" applyNumberFormat="1" applyFont="1" applyBorder="1"/>
    <xf numFmtId="3" fontId="4" fillId="0" borderId="13" xfId="0" applyNumberFormat="1" applyFont="1" applyBorder="1"/>
    <xf numFmtId="0" fontId="37" fillId="0" borderId="3" xfId="0" applyFont="1" applyBorder="1" applyAlignment="1">
      <alignment wrapText="1"/>
    </xf>
    <xf numFmtId="0" fontId="4" fillId="0" borderId="3" xfId="0" applyFont="1" applyBorder="1"/>
    <xf numFmtId="0" fontId="8" fillId="0" borderId="3" xfId="0" applyFont="1" applyBorder="1"/>
    <xf numFmtId="0" fontId="8" fillId="0" borderId="0" xfId="0" applyFont="1" applyBorder="1"/>
    <xf numFmtId="0" fontId="4" fillId="0" borderId="24" xfId="0" applyFont="1" applyBorder="1"/>
    <xf numFmtId="0" fontId="8" fillId="0" borderId="24" xfId="0" applyFont="1" applyBorder="1"/>
    <xf numFmtId="0" fontId="4" fillId="0" borderId="27" xfId="0" applyFont="1" applyBorder="1"/>
    <xf numFmtId="0" fontId="4" fillId="0" borderId="10" xfId="0" applyFont="1" applyBorder="1"/>
    <xf numFmtId="0" fontId="40" fillId="0" borderId="0" xfId="0" applyFont="1" applyFill="1" applyAlignment="1"/>
    <xf numFmtId="0" fontId="42" fillId="0" borderId="0" xfId="0" applyFont="1" applyFill="1" applyAlignment="1"/>
    <xf numFmtId="0" fontId="43" fillId="2" borderId="0" xfId="3" applyFont="1" applyFill="1" applyBorder="1" applyAlignment="1">
      <alignment horizontal="right" vertical="center"/>
    </xf>
    <xf numFmtId="0" fontId="44" fillId="2" borderId="0" xfId="0" applyFont="1" applyFill="1" applyBorder="1" applyAlignment="1">
      <alignment horizontal="right" vertical="center"/>
    </xf>
    <xf numFmtId="0" fontId="42" fillId="0" borderId="0" xfId="0" applyFont="1" applyFill="1" applyAlignment="1">
      <alignment horizontal="left"/>
    </xf>
    <xf numFmtId="0" fontId="46" fillId="0" borderId="5" xfId="4" applyFont="1" applyBorder="1" applyAlignment="1">
      <alignment horizontal="center" vertical="top"/>
    </xf>
    <xf numFmtId="0" fontId="46" fillId="0" borderId="66" xfId="4" applyFont="1" applyBorder="1" applyAlignment="1">
      <alignment horizontal="center" vertical="top"/>
    </xf>
    <xf numFmtId="3" fontId="8" fillId="0" borderId="0" xfId="0" applyNumberFormat="1" applyFont="1"/>
    <xf numFmtId="0" fontId="46" fillId="0" borderId="25" xfId="4" applyFont="1" applyBorder="1" applyAlignment="1">
      <alignment horizontal="center" vertical="top"/>
    </xf>
    <xf numFmtId="0" fontId="46" fillId="0" borderId="69" xfId="4" applyFont="1" applyBorder="1" applyAlignment="1">
      <alignment horizontal="center" vertical="top"/>
    </xf>
    <xf numFmtId="0" fontId="53" fillId="0" borderId="12" xfId="0" applyFont="1" applyBorder="1" applyAlignment="1">
      <alignment horizontal="center" vertical="center"/>
    </xf>
    <xf numFmtId="0" fontId="47" fillId="0" borderId="52" xfId="4" applyFont="1" applyBorder="1" applyAlignment="1">
      <alignment horizontal="center" vertical="center"/>
    </xf>
    <xf numFmtId="0" fontId="47" fillId="0" borderId="80" xfId="4" applyFont="1" applyBorder="1" applyAlignment="1">
      <alignment horizontal="center" vertical="center"/>
    </xf>
    <xf numFmtId="0" fontId="51" fillId="0" borderId="38" xfId="0" applyFont="1" applyBorder="1" applyAlignment="1">
      <alignment horizontal="center" vertical="center" wrapText="1"/>
    </xf>
    <xf numFmtId="0" fontId="51" fillId="0" borderId="51" xfId="6" applyFont="1" applyBorder="1" applyAlignment="1">
      <alignment horizontal="center" vertical="center" wrapText="1"/>
    </xf>
    <xf numFmtId="0" fontId="51" fillId="0" borderId="3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/>
    </xf>
    <xf numFmtId="0" fontId="50" fillId="0" borderId="50" xfId="4" applyFont="1" applyBorder="1" applyAlignment="1">
      <alignment horizontal="center" vertical="center" wrapText="1"/>
    </xf>
    <xf numFmtId="0" fontId="51" fillId="0" borderId="50" xfId="6" applyFont="1" applyBorder="1" applyAlignment="1">
      <alignment horizontal="center" vertical="center"/>
    </xf>
    <xf numFmtId="0" fontId="51" fillId="0" borderId="39" xfId="6" applyFont="1" applyBorder="1" applyAlignment="1">
      <alignment horizontal="center" vertical="center"/>
    </xf>
    <xf numFmtId="0" fontId="51" fillId="19" borderId="39" xfId="0" applyFont="1" applyFill="1" applyBorder="1" applyAlignment="1">
      <alignment horizontal="center" vertical="center" wrapText="1"/>
    </xf>
    <xf numFmtId="0" fontId="50" fillId="0" borderId="80" xfId="4" applyFont="1" applyBorder="1" applyAlignment="1">
      <alignment horizontal="center" vertical="center" wrapText="1"/>
    </xf>
    <xf numFmtId="3" fontId="56" fillId="21" borderId="70" xfId="4" applyNumberFormat="1" applyFont="1" applyFill="1" applyBorder="1" applyAlignment="1">
      <alignment horizontal="right" vertical="center"/>
    </xf>
    <xf numFmtId="3" fontId="47" fillId="8" borderId="43" xfId="4" applyNumberFormat="1" applyFont="1" applyFill="1" applyBorder="1" applyAlignment="1">
      <alignment vertical="top" wrapText="1"/>
    </xf>
    <xf numFmtId="3" fontId="56" fillId="21" borderId="13" xfId="4" applyNumberFormat="1" applyFont="1" applyFill="1" applyBorder="1" applyAlignment="1">
      <alignment horizontal="right" vertical="center"/>
    </xf>
    <xf numFmtId="0" fontId="54" fillId="6" borderId="45" xfId="4" applyFont="1" applyFill="1" applyBorder="1" applyAlignment="1">
      <alignment horizontal="left" vertical="center"/>
    </xf>
    <xf numFmtId="0" fontId="54" fillId="6" borderId="18" xfId="4" applyFont="1" applyFill="1" applyBorder="1" applyAlignment="1">
      <alignment horizontal="left" vertical="center"/>
    </xf>
    <xf numFmtId="3" fontId="53" fillId="6" borderId="70" xfId="4" applyNumberFormat="1" applyFont="1" applyFill="1" applyBorder="1" applyAlignment="1">
      <alignment vertical="top"/>
    </xf>
    <xf numFmtId="3" fontId="53" fillId="22" borderId="70" xfId="4" applyNumberFormat="1" applyFont="1" applyFill="1" applyBorder="1" applyAlignment="1">
      <alignment vertical="top"/>
    </xf>
    <xf numFmtId="0" fontId="58" fillId="8" borderId="36" xfId="4" applyFont="1" applyFill="1" applyBorder="1" applyAlignment="1">
      <alignment vertical="top"/>
    </xf>
    <xf numFmtId="0" fontId="58" fillId="8" borderId="28" xfId="4" applyFont="1" applyFill="1" applyBorder="1" applyAlignment="1">
      <alignment vertical="top"/>
    </xf>
    <xf numFmtId="3" fontId="58" fillId="8" borderId="29" xfId="4" applyNumberFormat="1" applyFont="1" applyFill="1" applyBorder="1" applyAlignment="1">
      <alignment vertical="top"/>
    </xf>
    <xf numFmtId="3" fontId="58" fillId="23" borderId="30" xfId="4" applyNumberFormat="1" applyFont="1" applyFill="1" applyBorder="1" applyAlignment="1">
      <alignment vertical="top"/>
    </xf>
    <xf numFmtId="3" fontId="59" fillId="8" borderId="43" xfId="4" applyNumberFormat="1" applyFont="1" applyFill="1" applyBorder="1" applyAlignment="1">
      <alignment vertical="top" wrapText="1"/>
    </xf>
    <xf numFmtId="0" fontId="33" fillId="8" borderId="36" xfId="4" applyFont="1" applyFill="1" applyBorder="1" applyAlignment="1">
      <alignment vertical="top"/>
    </xf>
    <xf numFmtId="0" fontId="33" fillId="8" borderId="20" xfId="4" applyFont="1" applyFill="1" applyBorder="1" applyAlignment="1">
      <alignment vertical="top"/>
    </xf>
    <xf numFmtId="3" fontId="33" fillId="8" borderId="29" xfId="4" applyNumberFormat="1" applyFont="1" applyFill="1" applyBorder="1" applyAlignment="1">
      <alignment vertical="top"/>
    </xf>
    <xf numFmtId="3" fontId="60" fillId="23" borderId="30" xfId="4" applyNumberFormat="1" applyFont="1" applyFill="1" applyBorder="1" applyAlignment="1">
      <alignment horizontal="right" vertical="center"/>
    </xf>
    <xf numFmtId="3" fontId="33" fillId="8" borderId="34" xfId="4" applyNumberFormat="1" applyFont="1" applyFill="1" applyBorder="1" applyAlignment="1">
      <alignment vertical="top" wrapText="1"/>
    </xf>
    <xf numFmtId="3" fontId="33" fillId="8" borderId="28" xfId="4" applyNumberFormat="1" applyFont="1" applyFill="1" applyBorder="1" applyAlignment="1">
      <alignment vertical="top" wrapText="1"/>
    </xf>
    <xf numFmtId="0" fontId="47" fillId="8" borderId="43" xfId="4" applyFont="1" applyFill="1" applyBorder="1" applyAlignment="1">
      <alignment vertical="top" wrapText="1"/>
    </xf>
    <xf numFmtId="0" fontId="58" fillId="8" borderId="20" xfId="4" applyFont="1" applyFill="1" applyBorder="1" applyAlignment="1">
      <alignment vertical="top"/>
    </xf>
    <xf numFmtId="3" fontId="56" fillId="23" borderId="30" xfId="4" applyNumberFormat="1" applyFont="1" applyFill="1" applyBorder="1" applyAlignment="1">
      <alignment vertical="top"/>
    </xf>
    <xf numFmtId="0" fontId="59" fillId="8" borderId="43" xfId="4" applyFont="1" applyFill="1" applyBorder="1" applyAlignment="1">
      <alignment vertical="top" wrapText="1"/>
    </xf>
    <xf numFmtId="0" fontId="33" fillId="8" borderId="34" xfId="4" applyFont="1" applyFill="1" applyBorder="1" applyAlignment="1">
      <alignment vertical="top"/>
    </xf>
    <xf numFmtId="0" fontId="33" fillId="8" borderId="28" xfId="4" applyFont="1" applyFill="1" applyBorder="1" applyAlignment="1">
      <alignment vertical="top"/>
    </xf>
    <xf numFmtId="3" fontId="60" fillId="8" borderId="29" xfId="4" applyNumberFormat="1" applyFont="1" applyFill="1" applyBorder="1" applyAlignment="1">
      <alignment vertical="top"/>
    </xf>
    <xf numFmtId="0" fontId="33" fillId="8" borderId="34" xfId="4" applyFont="1" applyFill="1" applyBorder="1" applyAlignment="1">
      <alignment vertical="top" wrapText="1"/>
    </xf>
    <xf numFmtId="0" fontId="33" fillId="8" borderId="28" xfId="4" applyFont="1" applyFill="1" applyBorder="1" applyAlignment="1">
      <alignment vertical="top" wrapText="1"/>
    </xf>
    <xf numFmtId="0" fontId="33" fillId="8" borderId="32" xfId="4" applyFont="1" applyFill="1" applyBorder="1" applyAlignment="1">
      <alignment vertical="top" wrapText="1"/>
    </xf>
    <xf numFmtId="0" fontId="54" fillId="6" borderId="32" xfId="4" applyFont="1" applyFill="1" applyBorder="1" applyAlignment="1">
      <alignment horizontal="left" vertical="center"/>
    </xf>
    <xf numFmtId="0" fontId="54" fillId="6" borderId="28" xfId="4" applyFont="1" applyFill="1" applyBorder="1" applyAlignment="1">
      <alignment horizontal="left" vertical="center"/>
    </xf>
    <xf numFmtId="3" fontId="54" fillId="6" borderId="29" xfId="4" applyNumberFormat="1" applyFont="1" applyFill="1" applyBorder="1" applyAlignment="1">
      <alignment vertical="top"/>
    </xf>
    <xf numFmtId="3" fontId="56" fillId="8" borderId="32" xfId="4" applyNumberFormat="1" applyFont="1" applyFill="1" applyBorder="1" applyAlignment="1">
      <alignment vertical="top" wrapText="1"/>
    </xf>
    <xf numFmtId="3" fontId="56" fillId="8" borderId="28" xfId="4" applyNumberFormat="1" applyFont="1" applyFill="1" applyBorder="1" applyAlignment="1">
      <alignment vertical="top" wrapText="1"/>
    </xf>
    <xf numFmtId="3" fontId="56" fillId="8" borderId="29" xfId="4" applyNumberFormat="1" applyFont="1" applyFill="1" applyBorder="1" applyAlignment="1">
      <alignment vertical="top"/>
    </xf>
    <xf numFmtId="3" fontId="56" fillId="8" borderId="20" xfId="4" applyNumberFormat="1" applyFont="1" applyFill="1" applyBorder="1" applyAlignment="1">
      <alignment vertical="top" wrapText="1"/>
    </xf>
    <xf numFmtId="0" fontId="33" fillId="8" borderId="21" xfId="4" applyFont="1" applyFill="1" applyBorder="1" applyAlignment="1">
      <alignment horizontal="left" vertical="center"/>
    </xf>
    <xf numFmtId="0" fontId="33" fillId="8" borderId="20" xfId="4" applyFont="1" applyFill="1" applyBorder="1" applyAlignment="1">
      <alignment horizontal="left" vertical="center"/>
    </xf>
    <xf numFmtId="3" fontId="33" fillId="8" borderId="20" xfId="4" applyNumberFormat="1" applyFont="1" applyFill="1" applyBorder="1" applyAlignment="1">
      <alignment horizontal="left" vertical="center"/>
    </xf>
    <xf numFmtId="0" fontId="56" fillId="8" borderId="32" xfId="4" applyFont="1" applyFill="1" applyBorder="1" applyAlignment="1">
      <alignment vertical="top"/>
    </xf>
    <xf numFmtId="0" fontId="56" fillId="8" borderId="28" xfId="4" applyFont="1" applyFill="1" applyBorder="1" applyAlignment="1">
      <alignment vertical="top"/>
    </xf>
    <xf numFmtId="3" fontId="33" fillId="8" borderId="30" xfId="4" applyNumberFormat="1" applyFont="1" applyFill="1" applyBorder="1" applyAlignment="1">
      <alignment vertical="top"/>
    </xf>
    <xf numFmtId="0" fontId="33" fillId="8" borderId="28" xfId="4" applyFont="1" applyFill="1" applyBorder="1" applyAlignment="1">
      <alignment vertical="center"/>
    </xf>
    <xf numFmtId="0" fontId="33" fillId="8" borderId="77" xfId="4" applyFont="1" applyFill="1" applyBorder="1" applyAlignment="1">
      <alignment vertical="center"/>
    </xf>
    <xf numFmtId="0" fontId="33" fillId="8" borderId="22" xfId="4" applyFont="1" applyFill="1" applyBorder="1" applyAlignment="1">
      <alignment vertical="center"/>
    </xf>
    <xf numFmtId="3" fontId="33" fillId="8" borderId="12" xfId="4" applyNumberFormat="1" applyFont="1" applyFill="1" applyBorder="1" applyAlignment="1">
      <alignment vertical="top"/>
    </xf>
    <xf numFmtId="0" fontId="53" fillId="13" borderId="6" xfId="4" applyFont="1" applyFill="1" applyBorder="1" applyAlignment="1">
      <alignment vertical="top" wrapText="1"/>
    </xf>
    <xf numFmtId="0" fontId="33" fillId="13" borderId="0" xfId="4" applyFont="1" applyFill="1" applyBorder="1" applyAlignment="1">
      <alignment horizontal="right" vertical="center"/>
    </xf>
    <xf numFmtId="3" fontId="53" fillId="13" borderId="35" xfId="4" applyNumberFormat="1" applyFont="1" applyFill="1" applyBorder="1" applyAlignment="1">
      <alignment horizontal="right" vertical="center"/>
    </xf>
    <xf numFmtId="164" fontId="53" fillId="13" borderId="35" xfId="4" applyNumberFormat="1" applyFont="1" applyFill="1" applyBorder="1" applyAlignment="1">
      <alignment horizontal="right" vertical="center"/>
    </xf>
    <xf numFmtId="3" fontId="33" fillId="13" borderId="35" xfId="4" applyNumberFormat="1" applyFont="1" applyFill="1" applyBorder="1" applyAlignment="1">
      <alignment horizontal="right" vertical="center"/>
    </xf>
    <xf numFmtId="3" fontId="33" fillId="13" borderId="10" xfId="4" applyNumberFormat="1" applyFont="1" applyFill="1" applyBorder="1" applyAlignment="1">
      <alignment horizontal="right" vertical="center"/>
    </xf>
    <xf numFmtId="3" fontId="33" fillId="24" borderId="10" xfId="4" applyNumberFormat="1" applyFont="1" applyFill="1" applyBorder="1" applyAlignment="1">
      <alignment horizontal="right" vertical="center"/>
    </xf>
    <xf numFmtId="3" fontId="47" fillId="13" borderId="43" xfId="4" applyNumberFormat="1" applyFont="1" applyFill="1" applyBorder="1" applyAlignment="1">
      <alignment horizontal="center" vertical="top"/>
    </xf>
    <xf numFmtId="0" fontId="54" fillId="6" borderId="34" xfId="4" applyFont="1" applyFill="1" applyBorder="1" applyAlignment="1">
      <alignment horizontal="left" vertical="center"/>
    </xf>
    <xf numFmtId="3" fontId="53" fillId="6" borderId="29" xfId="4" applyNumberFormat="1" applyFont="1" applyFill="1" applyBorder="1" applyAlignment="1">
      <alignment horizontal="right" vertical="center"/>
    </xf>
    <xf numFmtId="3" fontId="53" fillId="22" borderId="30" xfId="4" applyNumberFormat="1" applyFont="1" applyFill="1" applyBorder="1" applyAlignment="1">
      <alignment horizontal="right" vertical="center"/>
    </xf>
    <xf numFmtId="3" fontId="58" fillId="13" borderId="34" xfId="4" applyNumberFormat="1" applyFont="1" applyFill="1" applyBorder="1" applyAlignment="1">
      <alignment vertical="top" wrapText="1"/>
    </xf>
    <xf numFmtId="3" fontId="58" fillId="13" borderId="28" xfId="4" applyNumberFormat="1" applyFont="1" applyFill="1" applyBorder="1" applyAlignment="1">
      <alignment vertical="top" wrapText="1"/>
    </xf>
    <xf numFmtId="3" fontId="58" fillId="13" borderId="29" xfId="4" applyNumberFormat="1" applyFont="1" applyFill="1" applyBorder="1" applyAlignment="1">
      <alignment horizontal="right" vertical="center"/>
    </xf>
    <xf numFmtId="3" fontId="58" fillId="24" borderId="29" xfId="4" applyNumberFormat="1" applyFont="1" applyFill="1" applyBorder="1" applyAlignment="1">
      <alignment horizontal="right" vertical="center"/>
    </xf>
    <xf numFmtId="3" fontId="33" fillId="13" borderId="34" xfId="4" applyNumberFormat="1" applyFont="1" applyFill="1" applyBorder="1" applyAlignment="1">
      <alignment vertical="top" wrapText="1"/>
    </xf>
    <xf numFmtId="3" fontId="33" fillId="13" borderId="28" xfId="4" applyNumberFormat="1" applyFont="1" applyFill="1" applyBorder="1" applyAlignment="1">
      <alignment vertical="top" wrapText="1"/>
    </xf>
    <xf numFmtId="3" fontId="33" fillId="13" borderId="29" xfId="4" applyNumberFormat="1" applyFont="1" applyFill="1" applyBorder="1" applyAlignment="1">
      <alignment horizontal="right" vertical="center"/>
    </xf>
    <xf numFmtId="3" fontId="60" fillId="25" borderId="29" xfId="4" applyNumberFormat="1" applyFont="1" applyFill="1" applyBorder="1" applyAlignment="1">
      <alignment horizontal="right" vertical="center"/>
    </xf>
    <xf numFmtId="0" fontId="47" fillId="13" borderId="43" xfId="4" applyFont="1" applyFill="1" applyBorder="1" applyAlignment="1">
      <alignment horizontal="center" vertical="top"/>
    </xf>
    <xf numFmtId="0" fontId="33" fillId="13" borderId="34" xfId="4" applyFont="1" applyFill="1" applyBorder="1" applyAlignment="1">
      <alignment vertical="top"/>
    </xf>
    <xf numFmtId="0" fontId="33" fillId="13" borderId="28" xfId="4" applyFont="1" applyFill="1" applyBorder="1" applyAlignment="1">
      <alignment vertical="top"/>
    </xf>
    <xf numFmtId="0" fontId="58" fillId="13" borderId="34" xfId="4" applyFont="1" applyFill="1" applyBorder="1" applyAlignment="1">
      <alignment vertical="top"/>
    </xf>
    <xf numFmtId="0" fontId="58" fillId="13" borderId="28" xfId="4" applyFont="1" applyFill="1" applyBorder="1" applyAlignment="1">
      <alignment vertical="top"/>
    </xf>
    <xf numFmtId="3" fontId="58" fillId="24" borderId="30" xfId="4" applyNumberFormat="1" applyFont="1" applyFill="1" applyBorder="1" applyAlignment="1">
      <alignment horizontal="right" vertical="center"/>
    </xf>
    <xf numFmtId="3" fontId="61" fillId="13" borderId="29" xfId="6" applyNumberFormat="1" applyFont="1" applyFill="1" applyBorder="1" applyAlignment="1">
      <alignment vertical="center"/>
    </xf>
    <xf numFmtId="3" fontId="33" fillId="13" borderId="81" xfId="4" applyNumberFormat="1" applyFont="1" applyFill="1" applyBorder="1" applyAlignment="1">
      <alignment vertical="top" wrapText="1"/>
    </xf>
    <xf numFmtId="3" fontId="33" fillId="13" borderId="73" xfId="4" applyNumberFormat="1" applyFont="1" applyFill="1" applyBorder="1" applyAlignment="1">
      <alignment vertical="top" wrapText="1"/>
    </xf>
    <xf numFmtId="3" fontId="61" fillId="13" borderId="65" xfId="6" applyNumberFormat="1" applyFont="1" applyFill="1" applyBorder="1" applyAlignment="1">
      <alignment vertical="center"/>
    </xf>
    <xf numFmtId="3" fontId="53" fillId="24" borderId="30" xfId="4" applyNumberFormat="1" applyFont="1" applyFill="1" applyBorder="1" applyAlignment="1">
      <alignment horizontal="right" vertical="center"/>
    </xf>
    <xf numFmtId="3" fontId="56" fillId="13" borderId="34" xfId="4" applyNumberFormat="1" applyFont="1" applyFill="1" applyBorder="1" applyAlignment="1">
      <alignment vertical="top" wrapText="1"/>
    </xf>
    <xf numFmtId="3" fontId="56" fillId="13" borderId="20" xfId="4" applyNumberFormat="1" applyFont="1" applyFill="1" applyBorder="1" applyAlignment="1">
      <alignment vertical="top" wrapText="1"/>
    </xf>
    <xf numFmtId="3" fontId="62" fillId="13" borderId="9" xfId="6" applyNumberFormat="1" applyFont="1" applyFill="1" applyBorder="1" applyAlignment="1">
      <alignment vertical="center"/>
    </xf>
    <xf numFmtId="0" fontId="33" fillId="13" borderId="36" xfId="4" applyFont="1" applyFill="1" applyBorder="1" applyAlignment="1">
      <alignment horizontal="left" vertical="center"/>
    </xf>
    <xf numFmtId="0" fontId="33" fillId="13" borderId="20" xfId="4" applyFont="1" applyFill="1" applyBorder="1" applyAlignment="1">
      <alignment horizontal="left" vertical="center"/>
    </xf>
    <xf numFmtId="0" fontId="56" fillId="13" borderId="34" xfId="4" applyFont="1" applyFill="1" applyBorder="1" applyAlignment="1">
      <alignment vertical="top"/>
    </xf>
    <xf numFmtId="0" fontId="56" fillId="13" borderId="28" xfId="4" applyFont="1" applyFill="1" applyBorder="1" applyAlignment="1">
      <alignment vertical="top"/>
    </xf>
    <xf numFmtId="3" fontId="62" fillId="13" borderId="29" xfId="6" applyNumberFormat="1" applyFont="1" applyFill="1" applyBorder="1" applyAlignment="1">
      <alignment vertical="center"/>
    </xf>
    <xf numFmtId="0" fontId="33" fillId="13" borderId="77" xfId="4" applyFont="1" applyFill="1" applyBorder="1" applyAlignment="1">
      <alignment vertical="center"/>
    </xf>
    <xf numFmtId="0" fontId="33" fillId="13" borderId="37" xfId="4" applyFont="1" applyFill="1" applyBorder="1" applyAlignment="1">
      <alignment vertical="center"/>
    </xf>
    <xf numFmtId="3" fontId="61" fillId="13" borderId="72" xfId="6" applyNumberFormat="1" applyFont="1" applyFill="1" applyBorder="1" applyAlignment="1">
      <alignment vertical="center"/>
    </xf>
    <xf numFmtId="3" fontId="47" fillId="13" borderId="41" xfId="4" applyNumberFormat="1" applyFont="1" applyFill="1" applyBorder="1" applyAlignment="1">
      <alignment horizontal="center" vertical="top"/>
    </xf>
    <xf numFmtId="0" fontId="53" fillId="8" borderId="45" xfId="4" applyFont="1" applyFill="1" applyBorder="1" applyAlignment="1">
      <alignment vertical="top" wrapText="1"/>
    </xf>
    <xf numFmtId="0" fontId="53" fillId="8" borderId="14" xfId="4" applyFont="1" applyFill="1" applyBorder="1" applyAlignment="1">
      <alignment horizontal="center" vertical="top" wrapText="1"/>
    </xf>
    <xf numFmtId="3" fontId="53" fillId="8" borderId="4" xfId="4" applyNumberFormat="1" applyFont="1" applyFill="1" applyBorder="1" applyAlignment="1"/>
    <xf numFmtId="3" fontId="53" fillId="8" borderId="70" xfId="4" applyNumberFormat="1" applyFont="1" applyFill="1" applyBorder="1" applyAlignment="1">
      <alignment horizontal="right" vertical="center"/>
    </xf>
    <xf numFmtId="3" fontId="53" fillId="8" borderId="17" xfId="4" applyNumberFormat="1" applyFont="1" applyFill="1" applyBorder="1" applyAlignment="1">
      <alignment horizontal="right" vertical="center"/>
    </xf>
    <xf numFmtId="3" fontId="53" fillId="8" borderId="2" xfId="4" applyNumberFormat="1" applyFont="1" applyFill="1" applyBorder="1" applyAlignment="1">
      <alignment horizontal="right" vertical="center"/>
    </xf>
    <xf numFmtId="3" fontId="53" fillId="23" borderId="2" xfId="4" applyNumberFormat="1" applyFont="1" applyFill="1" applyBorder="1" applyAlignment="1">
      <alignment horizontal="right" vertical="center"/>
    </xf>
    <xf numFmtId="0" fontId="49" fillId="0" borderId="42" xfId="4" applyFont="1" applyFill="1" applyBorder="1" applyAlignment="1">
      <alignment horizontal="center" vertical="center" wrapText="1"/>
    </xf>
    <xf numFmtId="3" fontId="54" fillId="6" borderId="29" xfId="4" applyNumberFormat="1" applyFont="1" applyFill="1" applyBorder="1" applyAlignment="1"/>
    <xf numFmtId="3" fontId="54" fillId="6" borderId="30" xfId="4" applyNumberFormat="1" applyFont="1" applyFill="1" applyBorder="1" applyAlignment="1"/>
    <xf numFmtId="3" fontId="53" fillId="6" borderId="30" xfId="4" applyNumberFormat="1" applyFont="1" applyFill="1" applyBorder="1" applyAlignment="1"/>
    <xf numFmtId="3" fontId="53" fillId="22" borderId="30" xfId="4" applyNumberFormat="1" applyFont="1" applyFill="1" applyBorder="1" applyAlignment="1"/>
    <xf numFmtId="3" fontId="56" fillId="2" borderId="34" xfId="4" applyNumberFormat="1" applyFont="1" applyFill="1" applyBorder="1" applyAlignment="1">
      <alignment vertical="top" wrapText="1"/>
    </xf>
    <xf numFmtId="3" fontId="56" fillId="0" borderId="29" xfId="4" applyNumberFormat="1" applyFont="1" applyFill="1" applyBorder="1" applyAlignment="1"/>
    <xf numFmtId="3" fontId="56" fillId="25" borderId="29" xfId="4" applyNumberFormat="1" applyFont="1" applyFill="1" applyBorder="1" applyAlignment="1"/>
    <xf numFmtId="0" fontId="60" fillId="0" borderId="34" xfId="4" applyFont="1" applyFill="1" applyBorder="1" applyAlignment="1">
      <alignment vertical="top"/>
    </xf>
    <xf numFmtId="3" fontId="60" fillId="0" borderId="65" xfId="4" applyNumberFormat="1" applyFont="1" applyFill="1" applyBorder="1" applyAlignment="1"/>
    <xf numFmtId="3" fontId="60" fillId="0" borderId="29" xfId="4" applyNumberFormat="1" applyFont="1" applyFill="1" applyBorder="1" applyAlignment="1"/>
    <xf numFmtId="3" fontId="33" fillId="0" borderId="29" xfId="4" applyNumberFormat="1" applyFont="1" applyFill="1" applyBorder="1" applyAlignment="1"/>
    <xf numFmtId="3" fontId="60" fillId="25" borderId="30" xfId="4" applyNumberFormat="1" applyFont="1" applyFill="1" applyBorder="1" applyAlignment="1">
      <alignment horizontal="right" vertical="center"/>
    </xf>
    <xf numFmtId="3" fontId="61" fillId="0" borderId="65" xfId="6" applyNumberFormat="1" applyFont="1" applyFill="1" applyBorder="1" applyAlignment="1">
      <alignment vertical="center"/>
    </xf>
    <xf numFmtId="3" fontId="33" fillId="0" borderId="63" xfId="4" applyNumberFormat="1" applyFont="1" applyFill="1" applyBorder="1" applyAlignment="1">
      <alignment horizontal="right" vertical="center"/>
    </xf>
    <xf numFmtId="3" fontId="62" fillId="0" borderId="65" xfId="6" applyNumberFormat="1" applyFont="1" applyFill="1" applyBorder="1" applyAlignment="1">
      <alignment vertical="center"/>
    </xf>
    <xf numFmtId="3" fontId="33" fillId="0" borderId="30" xfId="4" applyNumberFormat="1" applyFont="1" applyFill="1" applyBorder="1" applyAlignment="1">
      <alignment horizontal="right" vertical="center"/>
    </xf>
    <xf numFmtId="3" fontId="33" fillId="0" borderId="29" xfId="4" applyNumberFormat="1" applyFont="1" applyFill="1" applyBorder="1" applyAlignment="1">
      <alignment horizontal="right" vertical="center"/>
    </xf>
    <xf numFmtId="0" fontId="56" fillId="2" borderId="34" xfId="4" applyFont="1" applyFill="1" applyBorder="1" applyAlignment="1">
      <alignment vertical="top"/>
    </xf>
    <xf numFmtId="3" fontId="62" fillId="0" borderId="29" xfId="6" applyNumberFormat="1" applyFont="1" applyFill="1" applyBorder="1" applyAlignment="1">
      <alignment vertical="center"/>
    </xf>
    <xf numFmtId="3" fontId="62" fillId="0" borderId="30" xfId="6" applyNumberFormat="1" applyFont="1" applyFill="1" applyBorder="1" applyAlignment="1">
      <alignment vertical="center"/>
    </xf>
    <xf numFmtId="3" fontId="62" fillId="25" borderId="30" xfId="6" applyNumberFormat="1" applyFont="1" applyFill="1" applyBorder="1" applyAlignment="1">
      <alignment vertical="center"/>
    </xf>
    <xf numFmtId="3" fontId="33" fillId="0" borderId="65" xfId="4" applyNumberFormat="1" applyFont="1" applyFill="1" applyBorder="1" applyAlignment="1">
      <alignment horizontal="right" vertical="center"/>
    </xf>
    <xf numFmtId="0" fontId="60" fillId="0" borderId="81" xfId="4" applyFont="1" applyFill="1" applyBorder="1" applyAlignment="1">
      <alignment vertical="top"/>
    </xf>
    <xf numFmtId="3" fontId="53" fillId="6" borderId="29" xfId="4" applyNumberFormat="1" applyFont="1" applyFill="1" applyBorder="1" applyAlignment="1"/>
    <xf numFmtId="3" fontId="62" fillId="0" borderId="9" xfId="6" applyNumberFormat="1" applyFont="1" applyFill="1" applyBorder="1" applyAlignment="1">
      <alignment vertical="center"/>
    </xf>
    <xf numFmtId="3" fontId="61" fillId="0" borderId="29" xfId="6" applyNumberFormat="1" applyFont="1" applyFill="1" applyBorder="1" applyAlignment="1">
      <alignment vertical="center"/>
    </xf>
    <xf numFmtId="3" fontId="61" fillId="0" borderId="30" xfId="6" applyNumberFormat="1" applyFont="1" applyFill="1" applyBorder="1" applyAlignment="1">
      <alignment vertical="center"/>
    </xf>
    <xf numFmtId="0" fontId="60" fillId="0" borderId="83" xfId="4" applyFont="1" applyFill="1" applyBorder="1" applyAlignment="1">
      <alignment vertical="center"/>
    </xf>
    <xf numFmtId="3" fontId="61" fillId="0" borderId="23" xfId="6" applyNumberFormat="1" applyFont="1" applyFill="1" applyBorder="1" applyAlignment="1">
      <alignment vertical="center"/>
    </xf>
    <xf numFmtId="3" fontId="33" fillId="0" borderId="12" xfId="4" applyNumberFormat="1" applyFont="1" applyFill="1" applyBorder="1" applyAlignment="1">
      <alignment horizontal="right" vertical="center"/>
    </xf>
    <xf numFmtId="3" fontId="33" fillId="0" borderId="23" xfId="4" applyNumberFormat="1" applyFont="1" applyFill="1" applyBorder="1" applyAlignment="1">
      <alignment horizontal="right" vertical="center"/>
    </xf>
    <xf numFmtId="3" fontId="33" fillId="0" borderId="74" xfId="4" applyNumberFormat="1" applyFont="1" applyFill="1" applyBorder="1" applyAlignment="1">
      <alignment horizontal="right" vertical="center"/>
    </xf>
    <xf numFmtId="0" fontId="53" fillId="8" borderId="14" xfId="4" applyFont="1" applyFill="1" applyBorder="1" applyAlignment="1">
      <alignment horizontal="center" vertical="center" wrapText="1"/>
    </xf>
    <xf numFmtId="3" fontId="33" fillId="8" borderId="4" xfId="4" applyNumberFormat="1" applyFont="1" applyFill="1" applyBorder="1" applyAlignment="1">
      <alignment horizontal="right" vertical="center"/>
    </xf>
    <xf numFmtId="3" fontId="33" fillId="8" borderId="17" xfId="4" applyNumberFormat="1" applyFont="1" applyFill="1" applyBorder="1" applyAlignment="1">
      <alignment horizontal="right" vertical="center"/>
    </xf>
    <xf numFmtId="3" fontId="33" fillId="8" borderId="70" xfId="4" applyNumberFormat="1" applyFont="1" applyFill="1" applyBorder="1" applyAlignment="1">
      <alignment horizontal="right" vertical="center"/>
    </xf>
    <xf numFmtId="3" fontId="53" fillId="23" borderId="3" xfId="4" applyNumberFormat="1" applyFont="1" applyFill="1" applyBorder="1" applyAlignment="1">
      <alignment horizontal="right" vertical="center"/>
    </xf>
    <xf numFmtId="3" fontId="54" fillId="6" borderId="29" xfId="4" applyNumberFormat="1" applyFont="1" applyFill="1" applyBorder="1" applyAlignment="1">
      <alignment horizontal="right" vertical="center"/>
    </xf>
    <xf numFmtId="3" fontId="54" fillId="6" borderId="30" xfId="4" applyNumberFormat="1" applyFont="1" applyFill="1" applyBorder="1" applyAlignment="1">
      <alignment horizontal="right" vertical="center"/>
    </xf>
    <xf numFmtId="3" fontId="54" fillId="22" borderId="30" xfId="4" applyNumberFormat="1" applyFont="1" applyFill="1" applyBorder="1" applyAlignment="1">
      <alignment horizontal="right" vertical="center"/>
    </xf>
    <xf numFmtId="3" fontId="56" fillId="0" borderId="29" xfId="4" applyNumberFormat="1" applyFont="1" applyFill="1" applyBorder="1" applyAlignment="1">
      <alignment horizontal="right" vertical="center"/>
    </xf>
    <xf numFmtId="3" fontId="56" fillId="25" borderId="30" xfId="4" applyNumberFormat="1" applyFont="1" applyFill="1" applyBorder="1" applyAlignment="1">
      <alignment horizontal="right" vertical="center"/>
    </xf>
    <xf numFmtId="3" fontId="56" fillId="25" borderId="0" xfId="4" applyNumberFormat="1" applyFont="1" applyFill="1" applyBorder="1" applyAlignment="1">
      <alignment horizontal="right" vertical="center"/>
    </xf>
    <xf numFmtId="0" fontId="33" fillId="0" borderId="34" xfId="4" applyFont="1" applyFill="1" applyBorder="1" applyAlignment="1">
      <alignment vertical="top"/>
    </xf>
    <xf numFmtId="3" fontId="60" fillId="0" borderId="65" xfId="4" applyNumberFormat="1" applyFont="1" applyFill="1" applyBorder="1" applyAlignment="1">
      <alignment horizontal="right" vertical="center"/>
    </xf>
    <xf numFmtId="3" fontId="60" fillId="25" borderId="0" xfId="4" applyNumberFormat="1" applyFont="1" applyFill="1" applyBorder="1" applyAlignment="1">
      <alignment horizontal="right" vertical="center"/>
    </xf>
    <xf numFmtId="3" fontId="60" fillId="0" borderId="63" xfId="4" applyNumberFormat="1" applyFont="1" applyFill="1" applyBorder="1" applyAlignment="1">
      <alignment horizontal="right" vertical="center"/>
    </xf>
    <xf numFmtId="3" fontId="62" fillId="25" borderId="0" xfId="6" applyNumberFormat="1" applyFont="1" applyFill="1" applyBorder="1" applyAlignment="1">
      <alignment vertical="center"/>
    </xf>
    <xf numFmtId="0" fontId="33" fillId="0" borderId="81" xfId="4" applyFont="1" applyFill="1" applyBorder="1" applyAlignment="1">
      <alignment vertical="top"/>
    </xf>
    <xf numFmtId="0" fontId="33" fillId="0" borderId="83" xfId="4" applyFont="1" applyFill="1" applyBorder="1" applyAlignment="1">
      <alignment vertical="center"/>
    </xf>
    <xf numFmtId="3" fontId="33" fillId="0" borderId="47" xfId="4" applyNumberFormat="1" applyFont="1" applyFill="1" applyBorder="1" applyAlignment="1">
      <alignment horizontal="right" vertical="center"/>
    </xf>
    <xf numFmtId="3" fontId="33" fillId="0" borderId="72" xfId="4" applyNumberFormat="1" applyFont="1" applyFill="1" applyBorder="1" applyAlignment="1">
      <alignment horizontal="right" vertical="center"/>
    </xf>
    <xf numFmtId="0" fontId="53" fillId="8" borderId="45" xfId="4" applyFont="1" applyFill="1" applyBorder="1" applyAlignment="1">
      <alignment vertical="center" wrapText="1"/>
    </xf>
    <xf numFmtId="3" fontId="60" fillId="0" borderId="30" xfId="4" applyNumberFormat="1" applyFont="1" applyFill="1" applyBorder="1" applyAlignment="1">
      <alignment horizontal="right" vertical="center"/>
    </xf>
    <xf numFmtId="0" fontId="33" fillId="0" borderId="77" xfId="4" applyFont="1" applyFill="1" applyBorder="1" applyAlignment="1">
      <alignment vertical="center"/>
    </xf>
    <xf numFmtId="3" fontId="61" fillId="0" borderId="12" xfId="6" applyNumberFormat="1" applyFont="1" applyFill="1" applyBorder="1" applyAlignment="1">
      <alignment vertical="center"/>
    </xf>
    <xf numFmtId="3" fontId="60" fillId="0" borderId="47" xfId="4" applyNumberFormat="1" applyFont="1" applyFill="1" applyBorder="1" applyAlignment="1">
      <alignment horizontal="right" vertical="center"/>
    </xf>
    <xf numFmtId="3" fontId="33" fillId="8" borderId="18" xfId="4" applyNumberFormat="1" applyFont="1" applyFill="1" applyBorder="1" applyAlignment="1">
      <alignment horizontal="right" vertical="center"/>
    </xf>
    <xf numFmtId="0" fontId="53" fillId="6" borderId="34" xfId="4" applyFont="1" applyFill="1" applyBorder="1" applyAlignment="1">
      <alignment horizontal="left" vertical="center"/>
    </xf>
    <xf numFmtId="3" fontId="58" fillId="2" borderId="34" xfId="4" applyNumberFormat="1" applyFont="1" applyFill="1" applyBorder="1" applyAlignment="1">
      <alignment vertical="top" wrapText="1"/>
    </xf>
    <xf numFmtId="3" fontId="56" fillId="0" borderId="27" xfId="4" applyNumberFormat="1" applyFont="1" applyFill="1" applyBorder="1" applyAlignment="1">
      <alignment horizontal="right" vertical="center"/>
    </xf>
    <xf numFmtId="3" fontId="56" fillId="25" borderId="29" xfId="4" applyNumberFormat="1" applyFont="1" applyFill="1" applyBorder="1" applyAlignment="1">
      <alignment horizontal="right" vertical="center"/>
    </xf>
    <xf numFmtId="0" fontId="33" fillId="0" borderId="32" xfId="4" applyFont="1" applyFill="1" applyBorder="1" applyAlignment="1">
      <alignment vertical="top"/>
    </xf>
    <xf numFmtId="0" fontId="58" fillId="2" borderId="32" xfId="4" applyFont="1" applyFill="1" applyBorder="1" applyAlignment="1">
      <alignment vertical="top"/>
    </xf>
    <xf numFmtId="0" fontId="53" fillId="6" borderId="32" xfId="4" applyFont="1" applyFill="1" applyBorder="1" applyAlignment="1">
      <alignment horizontal="left" vertical="center"/>
    </xf>
    <xf numFmtId="3" fontId="33" fillId="0" borderId="30" xfId="4" applyNumberFormat="1" applyFont="1" applyFill="1" applyBorder="1" applyAlignment="1">
      <alignment horizontal="right"/>
    </xf>
    <xf numFmtId="3" fontId="60" fillId="0" borderId="30" xfId="4" applyNumberFormat="1" applyFont="1" applyFill="1" applyBorder="1" applyAlignment="1">
      <alignment horizontal="right"/>
    </xf>
    <xf numFmtId="3" fontId="33" fillId="0" borderId="71" xfId="4" applyNumberFormat="1" applyFont="1" applyFill="1" applyBorder="1" applyAlignment="1">
      <alignment horizontal="right"/>
    </xf>
    <xf numFmtId="3" fontId="33" fillId="0" borderId="29" xfId="4" applyNumberFormat="1" applyFont="1" applyFill="1" applyBorder="1" applyAlignment="1">
      <alignment horizontal="right"/>
    </xf>
    <xf numFmtId="3" fontId="60" fillId="0" borderId="29" xfId="4" applyNumberFormat="1" applyFont="1" applyFill="1" applyBorder="1" applyAlignment="1">
      <alignment horizontal="right"/>
    </xf>
    <xf numFmtId="3" fontId="56" fillId="2" borderId="29" xfId="4" applyNumberFormat="1" applyFont="1" applyFill="1" applyBorder="1" applyAlignment="1"/>
    <xf numFmtId="0" fontId="33" fillId="0" borderId="77" xfId="4" applyFont="1" applyFill="1" applyBorder="1" applyAlignment="1">
      <alignment vertical="top"/>
    </xf>
    <xf numFmtId="3" fontId="33" fillId="0" borderId="12" xfId="4" applyNumberFormat="1" applyFont="1" applyFill="1" applyBorder="1" applyAlignment="1">
      <alignment horizontal="right"/>
    </xf>
    <xf numFmtId="3" fontId="60" fillId="0" borderId="12" xfId="4" applyNumberFormat="1" applyFont="1" applyFill="1" applyBorder="1" applyAlignment="1">
      <alignment horizontal="right"/>
    </xf>
    <xf numFmtId="3" fontId="33" fillId="0" borderId="74" xfId="4" applyNumberFormat="1" applyFont="1" applyFill="1" applyBorder="1" applyAlignment="1">
      <alignment horizontal="right"/>
    </xf>
    <xf numFmtId="3" fontId="33" fillId="25" borderId="12" xfId="4" applyNumberFormat="1" applyFont="1" applyFill="1" applyBorder="1" applyAlignment="1">
      <alignment horizontal="right"/>
    </xf>
    <xf numFmtId="0" fontId="54" fillId="6" borderId="21" xfId="4" applyFont="1" applyFill="1" applyBorder="1" applyAlignment="1">
      <alignment horizontal="left" vertical="center"/>
    </xf>
    <xf numFmtId="0" fontId="56" fillId="2" borderId="32" xfId="4" applyFont="1" applyFill="1" applyBorder="1" applyAlignment="1">
      <alignment vertical="top"/>
    </xf>
    <xf numFmtId="3" fontId="56" fillId="2" borderId="30" xfId="4" applyNumberFormat="1" applyFont="1" applyFill="1" applyBorder="1" applyAlignment="1"/>
    <xf numFmtId="3" fontId="56" fillId="26" borderId="0" xfId="4" applyNumberFormat="1" applyFont="1" applyFill="1" applyBorder="1" applyAlignment="1"/>
    <xf numFmtId="0" fontId="33" fillId="0" borderId="25" xfId="4" applyFont="1" applyFill="1" applyBorder="1" applyAlignment="1">
      <alignment vertical="top"/>
    </xf>
    <xf numFmtId="3" fontId="33" fillId="8" borderId="9" xfId="4" applyNumberFormat="1" applyFont="1" applyFill="1" applyBorder="1" applyAlignment="1">
      <alignment horizontal="right" vertical="center"/>
    </xf>
    <xf numFmtId="3" fontId="33" fillId="8" borderId="35" xfId="4" applyNumberFormat="1" applyFont="1" applyFill="1" applyBorder="1" applyAlignment="1">
      <alignment horizontal="right" vertical="center"/>
    </xf>
    <xf numFmtId="3" fontId="53" fillId="8" borderId="35" xfId="4" applyNumberFormat="1" applyFont="1" applyFill="1" applyBorder="1" applyAlignment="1">
      <alignment horizontal="right" vertical="center"/>
    </xf>
    <xf numFmtId="3" fontId="53" fillId="8" borderId="10" xfId="4" applyNumberFormat="1" applyFont="1" applyFill="1" applyBorder="1" applyAlignment="1">
      <alignment horizontal="right" vertical="center"/>
    </xf>
    <xf numFmtId="3" fontId="56" fillId="2" borderId="32" xfId="4" applyNumberFormat="1" applyFont="1" applyFill="1" applyBorder="1" applyAlignment="1">
      <alignment vertical="top" wrapText="1"/>
    </xf>
    <xf numFmtId="0" fontId="60" fillId="0" borderId="32" xfId="4" applyFont="1" applyFill="1" applyBorder="1" applyAlignment="1">
      <alignment vertical="top"/>
    </xf>
    <xf numFmtId="3" fontId="58" fillId="2" borderId="32" xfId="4" applyNumberFormat="1" applyFont="1" applyFill="1" applyBorder="1" applyAlignment="1">
      <alignment vertical="top" wrapText="1"/>
    </xf>
    <xf numFmtId="3" fontId="60" fillId="2" borderId="29" xfId="4" applyNumberFormat="1" applyFont="1" applyFill="1" applyBorder="1" applyAlignment="1">
      <alignment horizontal="right" vertical="center"/>
    </xf>
    <xf numFmtId="3" fontId="60" fillId="0" borderId="29" xfId="4" applyNumberFormat="1" applyFont="1" applyFill="1" applyBorder="1" applyAlignment="1">
      <alignment horizontal="right" vertical="center"/>
    </xf>
    <xf numFmtId="3" fontId="62" fillId="2" borderId="29" xfId="6" applyNumberFormat="1" applyFont="1" applyFill="1" applyBorder="1" applyAlignment="1">
      <alignment vertical="center"/>
    </xf>
    <xf numFmtId="3" fontId="60" fillId="2" borderId="30" xfId="4" applyNumberFormat="1" applyFont="1" applyFill="1" applyBorder="1" applyAlignment="1">
      <alignment horizontal="right" vertical="center"/>
    </xf>
    <xf numFmtId="3" fontId="61" fillId="0" borderId="72" xfId="6" applyNumberFormat="1" applyFont="1" applyFill="1" applyBorder="1" applyAlignment="1">
      <alignment vertical="center"/>
    </xf>
    <xf numFmtId="3" fontId="61" fillId="0" borderId="47" xfId="6" applyNumberFormat="1" applyFont="1" applyFill="1" applyBorder="1" applyAlignment="1">
      <alignment vertical="center"/>
    </xf>
    <xf numFmtId="0" fontId="47" fillId="0" borderId="42" xfId="4" applyFont="1" applyFill="1" applyBorder="1" applyAlignment="1">
      <alignment vertical="center" wrapText="1"/>
    </xf>
    <xf numFmtId="3" fontId="58" fillId="2" borderId="29" xfId="4" applyNumberFormat="1" applyFont="1" applyFill="1" applyBorder="1" applyAlignment="1"/>
    <xf numFmtId="0" fontId="33" fillId="0" borderId="31" xfId="4" applyFont="1" applyFill="1" applyBorder="1" applyAlignment="1">
      <alignment vertical="top"/>
    </xf>
    <xf numFmtId="0" fontId="54" fillId="6" borderId="20" xfId="4" applyFont="1" applyFill="1" applyBorder="1" applyAlignment="1">
      <alignment horizontal="left" vertical="center"/>
    </xf>
    <xf numFmtId="3" fontId="53" fillId="6" borderId="9" xfId="4" applyNumberFormat="1" applyFont="1" applyFill="1" applyBorder="1" applyAlignment="1"/>
    <xf numFmtId="0" fontId="58" fillId="2" borderId="34" xfId="4" applyFont="1" applyFill="1" applyBorder="1" applyAlignment="1">
      <alignment vertical="top"/>
    </xf>
    <xf numFmtId="3" fontId="54" fillId="22" borderId="10" xfId="4" applyNumberFormat="1" applyFont="1" applyFill="1" applyBorder="1" applyAlignment="1">
      <alignment horizontal="right" vertical="center"/>
    </xf>
    <xf numFmtId="0" fontId="33" fillId="0" borderId="36" xfId="4" applyFont="1" applyFill="1" applyBorder="1" applyAlignment="1">
      <alignment horizontal="left" vertical="center"/>
    </xf>
    <xf numFmtId="0" fontId="54" fillId="6" borderId="36" xfId="4" applyFont="1" applyFill="1" applyBorder="1" applyAlignment="1">
      <alignment horizontal="left" vertical="center"/>
    </xf>
    <xf numFmtId="3" fontId="53" fillId="26" borderId="10" xfId="4" applyNumberFormat="1" applyFont="1" applyFill="1" applyBorder="1" applyAlignment="1"/>
    <xf numFmtId="3" fontId="61" fillId="25" borderId="10" xfId="6" applyNumberFormat="1" applyFont="1" applyFill="1" applyBorder="1" applyAlignment="1">
      <alignment vertical="center"/>
    </xf>
    <xf numFmtId="3" fontId="54" fillId="8" borderId="70" xfId="4" applyNumberFormat="1" applyFont="1" applyFill="1" applyBorder="1" applyAlignment="1">
      <alignment horizontal="right" vertical="center"/>
    </xf>
    <xf numFmtId="3" fontId="54" fillId="8" borderId="17" xfId="4" applyNumberFormat="1" applyFont="1" applyFill="1" applyBorder="1" applyAlignment="1">
      <alignment horizontal="right" vertical="center"/>
    </xf>
    <xf numFmtId="3" fontId="54" fillId="8" borderId="2" xfId="4" applyNumberFormat="1" applyFont="1" applyFill="1" applyBorder="1" applyAlignment="1">
      <alignment horizontal="right" vertical="center"/>
    </xf>
    <xf numFmtId="3" fontId="53" fillId="23" borderId="10" xfId="4" applyNumberFormat="1" applyFont="1" applyFill="1" applyBorder="1" applyAlignment="1">
      <alignment horizontal="right" vertical="center"/>
    </xf>
    <xf numFmtId="3" fontId="61" fillId="0" borderId="10" xfId="6" applyNumberFormat="1" applyFont="1" applyFill="1" applyBorder="1" applyAlignment="1">
      <alignment vertical="center"/>
    </xf>
    <xf numFmtId="3" fontId="56" fillId="0" borderId="30" xfId="4" applyNumberFormat="1" applyFont="1" applyFill="1" applyBorder="1" applyAlignment="1">
      <alignment horizontal="right" vertical="center"/>
    </xf>
    <xf numFmtId="3" fontId="58" fillId="0" borderId="30" xfId="4" applyNumberFormat="1" applyFont="1" applyFill="1" applyBorder="1" applyAlignment="1">
      <alignment horizontal="right" vertical="center"/>
    </xf>
    <xf numFmtId="3" fontId="56" fillId="2" borderId="27" xfId="4" applyNumberFormat="1" applyFont="1" applyFill="1" applyBorder="1" applyAlignment="1">
      <alignment horizontal="right" vertical="center"/>
    </xf>
    <xf numFmtId="3" fontId="33" fillId="0" borderId="72" xfId="4" applyNumberFormat="1" applyFont="1" applyFill="1" applyBorder="1" applyAlignment="1">
      <alignment horizontal="right"/>
    </xf>
    <xf numFmtId="3" fontId="33" fillId="0" borderId="47" xfId="4" applyNumberFormat="1" applyFont="1" applyFill="1" applyBorder="1" applyAlignment="1">
      <alignment horizontal="right"/>
    </xf>
    <xf numFmtId="3" fontId="60" fillId="0" borderId="47" xfId="4" applyNumberFormat="1" applyFont="1" applyFill="1" applyBorder="1" applyAlignment="1">
      <alignment horizontal="right"/>
    </xf>
    <xf numFmtId="3" fontId="53" fillId="8" borderId="4" xfId="4" applyNumberFormat="1" applyFont="1" applyFill="1" applyBorder="1" applyAlignment="1">
      <alignment horizontal="right" vertical="center"/>
    </xf>
    <xf numFmtId="3" fontId="53" fillId="8" borderId="15" xfId="4" applyNumberFormat="1" applyFont="1" applyFill="1" applyBorder="1" applyAlignment="1">
      <alignment horizontal="right" vertical="center"/>
    </xf>
    <xf numFmtId="3" fontId="56" fillId="0" borderId="9" xfId="4" applyNumberFormat="1" applyFont="1" applyFill="1" applyBorder="1" applyAlignment="1"/>
    <xf numFmtId="0" fontId="33" fillId="0" borderId="33" xfId="4" applyFont="1" applyFill="1" applyBorder="1" applyAlignment="1">
      <alignment vertical="top"/>
    </xf>
    <xf numFmtId="3" fontId="33" fillId="25" borderId="74" xfId="4" applyNumberFormat="1" applyFont="1" applyFill="1" applyBorder="1" applyAlignment="1">
      <alignment horizontal="right"/>
    </xf>
    <xf numFmtId="3" fontId="33" fillId="8" borderId="15" xfId="4" applyNumberFormat="1" applyFont="1" applyFill="1" applyBorder="1" applyAlignment="1">
      <alignment horizontal="right" vertical="center"/>
    </xf>
    <xf numFmtId="3" fontId="56" fillId="0" borderId="63" xfId="4" applyNumberFormat="1" applyFont="1" applyFill="1" applyBorder="1" applyAlignment="1">
      <alignment horizontal="right" vertical="center"/>
    </xf>
    <xf numFmtId="3" fontId="60" fillId="2" borderId="47" xfId="4" applyNumberFormat="1" applyFont="1" applyFill="1" applyBorder="1" applyAlignment="1"/>
    <xf numFmtId="3" fontId="60" fillId="2" borderId="72" xfId="4" applyNumberFormat="1" applyFont="1" applyFill="1" applyBorder="1" applyAlignment="1"/>
    <xf numFmtId="3" fontId="33" fillId="2" borderId="47" xfId="4" applyNumberFormat="1" applyFont="1" applyFill="1" applyBorder="1" applyAlignment="1"/>
    <xf numFmtId="3" fontId="60" fillId="2" borderId="74" xfId="4" applyNumberFormat="1" applyFont="1" applyFill="1" applyBorder="1" applyAlignment="1"/>
    <xf numFmtId="3" fontId="54" fillId="8" borderId="15" xfId="4" applyNumberFormat="1" applyFont="1" applyFill="1" applyBorder="1" applyAlignment="1">
      <alignment horizontal="right" vertical="center"/>
    </xf>
    <xf numFmtId="3" fontId="56" fillId="0" borderId="65" xfId="4" applyNumberFormat="1" applyFont="1" applyFill="1" applyBorder="1" applyAlignment="1">
      <alignment horizontal="right" vertical="center"/>
    </xf>
    <xf numFmtId="3" fontId="53" fillId="6" borderId="9" xfId="4" applyNumberFormat="1" applyFont="1" applyFill="1" applyBorder="1" applyAlignment="1">
      <alignment vertical="center"/>
    </xf>
    <xf numFmtId="3" fontId="54" fillId="8" borderId="4" xfId="4" applyNumberFormat="1" applyFont="1" applyFill="1" applyBorder="1" applyAlignment="1"/>
    <xf numFmtId="0" fontId="60" fillId="0" borderId="83" xfId="4" applyFont="1" applyFill="1" applyBorder="1" applyAlignment="1">
      <alignment vertical="top"/>
    </xf>
    <xf numFmtId="3" fontId="56" fillId="2" borderId="47" xfId="4" applyNumberFormat="1" applyFont="1" applyFill="1" applyBorder="1" applyAlignment="1"/>
    <xf numFmtId="0" fontId="33" fillId="0" borderId="83" xfId="4" applyFont="1" applyFill="1" applyBorder="1" applyAlignment="1">
      <alignment vertical="top"/>
    </xf>
    <xf numFmtId="3" fontId="53" fillId="8" borderId="4" xfId="0" applyNumberFormat="1" applyFont="1" applyFill="1" applyBorder="1" applyAlignment="1">
      <alignment vertical="center"/>
    </xf>
    <xf numFmtId="3" fontId="53" fillId="8" borderId="70" xfId="0" applyNumberFormat="1" applyFont="1" applyFill="1" applyBorder="1" applyAlignment="1">
      <alignment vertical="center"/>
    </xf>
    <xf numFmtId="3" fontId="53" fillId="8" borderId="15" xfId="0" applyNumberFormat="1" applyFont="1" applyFill="1" applyBorder="1" applyAlignment="1">
      <alignment vertical="center"/>
    </xf>
    <xf numFmtId="3" fontId="53" fillId="6" borderId="30" xfId="0" applyNumberFormat="1" applyFont="1" applyFill="1" applyBorder="1" applyAlignment="1">
      <alignment horizontal="right" vertical="center"/>
    </xf>
    <xf numFmtId="3" fontId="56" fillId="0" borderId="30" xfId="0" applyNumberFormat="1" applyFont="1" applyFill="1" applyBorder="1" applyAlignment="1">
      <alignment horizontal="right" vertical="center"/>
    </xf>
    <xf numFmtId="3" fontId="58" fillId="0" borderId="30" xfId="0" applyNumberFormat="1" applyFont="1" applyFill="1" applyBorder="1" applyAlignment="1">
      <alignment horizontal="right" vertical="center"/>
    </xf>
    <xf numFmtId="3" fontId="56" fillId="0" borderId="35" xfId="0" applyNumberFormat="1" applyFont="1" applyFill="1" applyBorder="1" applyAlignment="1">
      <alignment horizontal="right" vertical="center"/>
    </xf>
    <xf numFmtId="3" fontId="56" fillId="0" borderId="29" xfId="0" applyNumberFormat="1" applyFont="1" applyFill="1" applyBorder="1" applyAlignment="1">
      <alignment horizontal="right" vertical="center"/>
    </xf>
    <xf numFmtId="3" fontId="58" fillId="25" borderId="29" xfId="4" applyNumberFormat="1" applyFont="1" applyFill="1" applyBorder="1" applyAlignment="1">
      <alignment horizontal="right" vertical="center"/>
    </xf>
    <xf numFmtId="3" fontId="56" fillId="0" borderId="13" xfId="0" applyNumberFormat="1" applyFont="1" applyFill="1" applyBorder="1" applyAlignment="1">
      <alignment horizontal="right" vertical="center"/>
    </xf>
    <xf numFmtId="3" fontId="56" fillId="0" borderId="27" xfId="0" applyNumberFormat="1" applyFont="1" applyFill="1" applyBorder="1" applyAlignment="1">
      <alignment horizontal="right" vertical="center"/>
    </xf>
    <xf numFmtId="3" fontId="58" fillId="0" borderId="13" xfId="0" applyNumberFormat="1" applyFont="1" applyFill="1" applyBorder="1" applyAlignment="1">
      <alignment horizontal="right" vertical="center"/>
    </xf>
    <xf numFmtId="3" fontId="33" fillId="0" borderId="35" xfId="0" applyNumberFormat="1" applyFont="1" applyFill="1" applyBorder="1" applyAlignment="1">
      <alignment horizontal="right" vertical="center"/>
    </xf>
    <xf numFmtId="3" fontId="33" fillId="0" borderId="13" xfId="0" applyNumberFormat="1" applyFont="1" applyFill="1" applyBorder="1" applyAlignment="1">
      <alignment horizontal="right" vertical="center"/>
    </xf>
    <xf numFmtId="3" fontId="60" fillId="0" borderId="27" xfId="0" applyNumberFormat="1" applyFont="1" applyFill="1" applyBorder="1" applyAlignment="1">
      <alignment horizontal="right" vertical="center"/>
    </xf>
    <xf numFmtId="3" fontId="58" fillId="0" borderId="35" xfId="0" applyNumberFormat="1" applyFont="1" applyFill="1" applyBorder="1" applyAlignment="1">
      <alignment horizontal="right" vertical="center"/>
    </xf>
    <xf numFmtId="3" fontId="60" fillId="0" borderId="12" xfId="0" applyNumberFormat="1" applyFont="1" applyFill="1" applyBorder="1" applyAlignment="1">
      <alignment horizontal="right" vertical="center"/>
    </xf>
    <xf numFmtId="3" fontId="33" fillId="2" borderId="72" xfId="4" applyNumberFormat="1" applyFont="1" applyFill="1" applyBorder="1" applyAlignment="1"/>
    <xf numFmtId="0" fontId="53" fillId="13" borderId="19" xfId="4" applyFont="1" applyFill="1" applyBorder="1" applyAlignment="1">
      <alignment vertical="center" wrapText="1"/>
    </xf>
    <xf numFmtId="0" fontId="53" fillId="13" borderId="16" xfId="4" applyFont="1" applyFill="1" applyBorder="1" applyAlignment="1">
      <alignment vertical="top" wrapText="1"/>
    </xf>
    <xf numFmtId="0" fontId="33" fillId="13" borderId="17" xfId="4" applyFont="1" applyFill="1" applyBorder="1" applyAlignment="1">
      <alignment horizontal="right" vertical="center"/>
    </xf>
    <xf numFmtId="3" fontId="53" fillId="13" borderId="70" xfId="4" applyNumberFormat="1" applyFont="1" applyFill="1" applyBorder="1" applyAlignment="1">
      <alignment horizontal="right" vertical="center"/>
    </xf>
    <xf numFmtId="3" fontId="33" fillId="13" borderId="70" xfId="4" applyNumberFormat="1" applyFont="1" applyFill="1" applyBorder="1" applyAlignment="1">
      <alignment horizontal="right" vertical="center"/>
    </xf>
    <xf numFmtId="3" fontId="33" fillId="24" borderId="3" xfId="4" applyNumberFormat="1" applyFont="1" applyFill="1" applyBorder="1" applyAlignment="1">
      <alignment horizontal="right" vertical="center"/>
    </xf>
    <xf numFmtId="3" fontId="53" fillId="6" borderId="9" xfId="4" applyNumberFormat="1" applyFont="1" applyFill="1" applyBorder="1" applyAlignment="1">
      <alignment horizontal="right" vertical="center"/>
    </xf>
    <xf numFmtId="0" fontId="58" fillId="13" borderId="36" xfId="4" applyFont="1" applyFill="1" applyBorder="1" applyAlignment="1">
      <alignment horizontal="left" vertical="center"/>
    </xf>
    <xf numFmtId="0" fontId="58" fillId="13" borderId="20" xfId="4" applyFont="1" applyFill="1" applyBorder="1" applyAlignment="1">
      <alignment horizontal="left" vertical="center"/>
    </xf>
    <xf numFmtId="3" fontId="56" fillId="13" borderId="29" xfId="4" applyNumberFormat="1" applyFont="1" applyFill="1" applyBorder="1" applyAlignment="1">
      <alignment horizontal="right" vertical="center"/>
    </xf>
    <xf numFmtId="3" fontId="47" fillId="13" borderId="43" xfId="4" applyNumberFormat="1" applyFont="1" applyFill="1" applyBorder="1" applyAlignment="1">
      <alignment horizontal="center" vertical="center" wrapText="1"/>
    </xf>
    <xf numFmtId="0" fontId="56" fillId="13" borderId="32" xfId="4" applyFont="1" applyFill="1" applyBorder="1" applyAlignment="1">
      <alignment vertical="top"/>
    </xf>
    <xf numFmtId="0" fontId="56" fillId="13" borderId="20" xfId="4" applyFont="1" applyFill="1" applyBorder="1" applyAlignment="1">
      <alignment vertical="top"/>
    </xf>
    <xf numFmtId="3" fontId="56" fillId="13" borderId="9" xfId="4" applyNumberFormat="1" applyFont="1" applyFill="1" applyBorder="1" applyAlignment="1">
      <alignment horizontal="right" vertical="center"/>
    </xf>
    <xf numFmtId="0" fontId="33" fillId="13" borderId="25" xfId="4" applyFont="1" applyFill="1" applyBorder="1" applyAlignment="1">
      <alignment vertical="top"/>
    </xf>
    <xf numFmtId="0" fontId="33" fillId="13" borderId="22" xfId="4" applyFont="1" applyFill="1" applyBorder="1" applyAlignment="1">
      <alignment vertical="top"/>
    </xf>
    <xf numFmtId="3" fontId="33" fillId="13" borderId="23" xfId="4" applyNumberFormat="1" applyFont="1" applyFill="1" applyBorder="1" applyAlignment="1">
      <alignment horizontal="right" vertical="center"/>
    </xf>
    <xf numFmtId="0" fontId="47" fillId="13" borderId="41" xfId="4" applyFont="1" applyFill="1" applyBorder="1" applyAlignment="1">
      <alignment horizontal="center" vertical="center" wrapText="1"/>
    </xf>
    <xf numFmtId="3" fontId="52" fillId="6" borderId="29" xfId="6" applyNumberFormat="1" applyFont="1" applyFill="1" applyBorder="1" applyAlignment="1">
      <alignment horizontal="right" vertical="center"/>
    </xf>
    <xf numFmtId="3" fontId="53" fillId="6" borderId="0" xfId="4" applyNumberFormat="1" applyFont="1" applyFill="1" applyBorder="1" applyAlignment="1"/>
    <xf numFmtId="3" fontId="56" fillId="2" borderId="0" xfId="4" applyNumberFormat="1" applyFont="1" applyFill="1" applyBorder="1" applyAlignment="1"/>
    <xf numFmtId="3" fontId="62" fillId="0" borderId="29" xfId="6" applyNumberFormat="1" applyFont="1" applyFill="1" applyBorder="1" applyAlignment="1">
      <alignment horizontal="right" vertical="center"/>
    </xf>
    <xf numFmtId="3" fontId="60" fillId="0" borderId="31" xfId="4" applyNumberFormat="1" applyFont="1" applyFill="1" applyBorder="1" applyAlignment="1">
      <alignment horizontal="right" vertical="center"/>
    </xf>
    <xf numFmtId="3" fontId="62" fillId="8" borderId="3" xfId="6" applyNumberFormat="1" applyFont="1" applyFill="1" applyBorder="1" applyAlignment="1">
      <alignment horizontal="right" vertical="center"/>
    </xf>
    <xf numFmtId="0" fontId="53" fillId="27" borderId="45" xfId="4" applyFont="1" applyFill="1" applyBorder="1" applyAlignment="1">
      <alignment vertical="center" wrapText="1"/>
    </xf>
    <xf numFmtId="0" fontId="53" fillId="27" borderId="14" xfId="4" applyFont="1" applyFill="1" applyBorder="1" applyAlignment="1">
      <alignment vertical="top" wrapText="1"/>
    </xf>
    <xf numFmtId="0" fontId="33" fillId="27" borderId="4" xfId="4" applyFont="1" applyFill="1" applyBorder="1" applyAlignment="1">
      <alignment vertical="top"/>
    </xf>
    <xf numFmtId="3" fontId="33" fillId="27" borderId="70" xfId="4" applyNumberFormat="1" applyFont="1" applyFill="1" applyBorder="1" applyAlignment="1">
      <alignment vertical="top"/>
    </xf>
    <xf numFmtId="3" fontId="33" fillId="27" borderId="2" xfId="4" applyNumberFormat="1" applyFont="1" applyFill="1" applyBorder="1" applyAlignment="1">
      <alignment vertical="top"/>
    </xf>
    <xf numFmtId="3" fontId="33" fillId="24" borderId="2" xfId="4" applyNumberFormat="1" applyFont="1" applyFill="1" applyBorder="1" applyAlignment="1">
      <alignment vertical="top"/>
    </xf>
    <xf numFmtId="3" fontId="53" fillId="6" borderId="29" xfId="0" applyNumberFormat="1" applyFont="1" applyFill="1" applyBorder="1" applyAlignment="1">
      <alignment horizontal="right" vertical="center"/>
    </xf>
    <xf numFmtId="0" fontId="58" fillId="27" borderId="34" xfId="4" applyFont="1" applyFill="1" applyBorder="1" applyAlignment="1">
      <alignment vertical="top" wrapText="1"/>
    </xf>
    <xf numFmtId="3" fontId="58" fillId="27" borderId="28" xfId="4" applyNumberFormat="1" applyFont="1" applyFill="1" applyBorder="1" applyAlignment="1">
      <alignment vertical="top" wrapText="1"/>
    </xf>
    <xf numFmtId="0" fontId="33" fillId="27" borderId="34" xfId="4" applyFont="1" applyFill="1" applyBorder="1" applyAlignment="1">
      <alignment vertical="top" wrapText="1"/>
    </xf>
    <xf numFmtId="0" fontId="33" fillId="27" borderId="28" xfId="4" applyFont="1" applyFill="1" applyBorder="1" applyAlignment="1">
      <alignment vertical="top" wrapText="1"/>
    </xf>
    <xf numFmtId="0" fontId="33" fillId="13" borderId="36" xfId="4" applyFont="1" applyFill="1" applyBorder="1" applyAlignment="1">
      <alignment vertical="top"/>
    </xf>
    <xf numFmtId="0" fontId="33" fillId="13" borderId="20" xfId="4" applyFont="1" applyFill="1" applyBorder="1" applyAlignment="1">
      <alignment vertical="top"/>
    </xf>
    <xf numFmtId="0" fontId="58" fillId="13" borderId="20" xfId="4" applyFont="1" applyFill="1" applyBorder="1" applyAlignment="1">
      <alignment vertical="top"/>
    </xf>
    <xf numFmtId="3" fontId="54" fillId="25" borderId="29" xfId="4" applyNumberFormat="1" applyFont="1" applyFill="1" applyBorder="1" applyAlignment="1">
      <alignment horizontal="right" vertical="center"/>
    </xf>
    <xf numFmtId="3" fontId="56" fillId="13" borderId="32" xfId="4" applyNumberFormat="1" applyFont="1" applyFill="1" applyBorder="1" applyAlignment="1">
      <alignment vertical="top" wrapText="1"/>
    </xf>
    <xf numFmtId="3" fontId="56" fillId="13" borderId="28" xfId="4" applyNumberFormat="1" applyFont="1" applyFill="1" applyBorder="1" applyAlignment="1">
      <alignment vertical="top" wrapText="1"/>
    </xf>
    <xf numFmtId="0" fontId="33" fillId="13" borderId="21" xfId="4" applyFont="1" applyFill="1" applyBorder="1" applyAlignment="1">
      <alignment vertical="top"/>
    </xf>
    <xf numFmtId="0" fontId="33" fillId="13" borderId="32" xfId="4" applyFont="1" applyFill="1" applyBorder="1" applyAlignment="1">
      <alignment vertical="top"/>
    </xf>
    <xf numFmtId="0" fontId="33" fillId="13" borderId="28" xfId="4" applyFont="1" applyFill="1" applyBorder="1" applyAlignment="1">
      <alignment horizontal="left" vertical="center"/>
    </xf>
    <xf numFmtId="0" fontId="58" fillId="13" borderId="36" xfId="4" applyFont="1" applyFill="1" applyBorder="1" applyAlignment="1">
      <alignment vertical="top"/>
    </xf>
    <xf numFmtId="3" fontId="58" fillId="13" borderId="9" xfId="4" applyNumberFormat="1" applyFont="1" applyFill="1" applyBorder="1" applyAlignment="1">
      <alignment horizontal="right" vertical="center"/>
    </xf>
    <xf numFmtId="3" fontId="33" fillId="13" borderId="32" xfId="4" applyNumberFormat="1" applyFont="1" applyFill="1" applyBorder="1" applyAlignment="1">
      <alignment vertical="top" wrapText="1"/>
    </xf>
    <xf numFmtId="0" fontId="33" fillId="0" borderId="21" xfId="0" applyFont="1" applyFill="1" applyBorder="1" applyAlignment="1">
      <alignment horizontal="left" vertical="center"/>
    </xf>
    <xf numFmtId="3" fontId="60" fillId="0" borderId="13" xfId="0" applyNumberFormat="1" applyFont="1" applyFill="1" applyBorder="1" applyAlignment="1">
      <alignment horizontal="right" vertical="center"/>
    </xf>
    <xf numFmtId="0" fontId="33" fillId="2" borderId="21" xfId="4" applyFont="1" applyFill="1" applyBorder="1" applyAlignment="1">
      <alignment vertical="top"/>
    </xf>
    <xf numFmtId="3" fontId="60" fillId="0" borderId="35" xfId="0" applyNumberFormat="1" applyFont="1" applyFill="1" applyBorder="1" applyAlignment="1">
      <alignment horizontal="right" vertical="center"/>
    </xf>
    <xf numFmtId="0" fontId="33" fillId="27" borderId="14" xfId="4" applyFont="1" applyFill="1" applyBorder="1" applyAlignment="1">
      <alignment vertical="top"/>
    </xf>
    <xf numFmtId="0" fontId="54" fillId="6" borderId="84" xfId="4" applyFont="1" applyFill="1" applyBorder="1" applyAlignment="1">
      <alignment horizontal="left" vertical="center"/>
    </xf>
    <xf numFmtId="3" fontId="53" fillId="6" borderId="28" xfId="0" applyNumberFormat="1" applyFont="1" applyFill="1" applyBorder="1" applyAlignment="1">
      <alignment horizontal="right" vertical="center"/>
    </xf>
    <xf numFmtId="3" fontId="56" fillId="13" borderId="28" xfId="4" applyNumberFormat="1" applyFont="1" applyFill="1" applyBorder="1" applyAlignment="1">
      <alignment horizontal="right" vertical="center"/>
    </xf>
    <xf numFmtId="3" fontId="33" fillId="13" borderId="28" xfId="4" applyNumberFormat="1" applyFont="1" applyFill="1" applyBorder="1" applyAlignment="1">
      <alignment horizontal="right" vertical="center"/>
    </xf>
    <xf numFmtId="3" fontId="58" fillId="13" borderId="28" xfId="4" applyNumberFormat="1" applyFont="1" applyFill="1" applyBorder="1" applyAlignment="1">
      <alignment horizontal="right" vertical="center"/>
    </xf>
    <xf numFmtId="0" fontId="45" fillId="2" borderId="25" xfId="4" applyFont="1" applyFill="1" applyBorder="1" applyAlignment="1">
      <alignment vertical="center"/>
    </xf>
    <xf numFmtId="0" fontId="63" fillId="2" borderId="68" xfId="4" applyFont="1" applyFill="1" applyBorder="1" applyAlignment="1">
      <alignment vertical="center"/>
    </xf>
    <xf numFmtId="0" fontId="63" fillId="2" borderId="24" xfId="4" applyFont="1" applyFill="1" applyBorder="1" applyAlignment="1">
      <alignment vertical="center"/>
    </xf>
    <xf numFmtId="3" fontId="63" fillId="2" borderId="24" xfId="4" applyNumberFormat="1" applyFont="1" applyFill="1" applyBorder="1" applyAlignment="1">
      <alignment vertical="center"/>
    </xf>
    <xf numFmtId="0" fontId="63" fillId="2" borderId="69" xfId="4" applyFont="1" applyFill="1" applyBorder="1" applyAlignment="1">
      <alignment horizontal="right" vertical="center" wrapText="1"/>
    </xf>
    <xf numFmtId="0" fontId="49" fillId="6" borderId="28" xfId="4" applyFont="1" applyFill="1" applyBorder="1" applyAlignment="1">
      <alignment horizontal="left" vertical="center"/>
    </xf>
    <xf numFmtId="0" fontId="66" fillId="0" borderId="0" xfId="0" applyFont="1" applyBorder="1" applyAlignment="1">
      <alignment horizontal="center" vertical="center" wrapText="1"/>
    </xf>
    <xf numFmtId="0" fontId="57" fillId="0" borderId="0" xfId="0" applyFont="1" applyFill="1" applyAlignment="1"/>
    <xf numFmtId="0" fontId="50" fillId="2" borderId="78" xfId="0" quotePrefix="1" applyFont="1" applyFill="1" applyBorder="1" applyAlignment="1">
      <alignment horizontal="center" vertical="top"/>
    </xf>
    <xf numFmtId="0" fontId="50" fillId="2" borderId="40" xfId="0" quotePrefix="1" applyFont="1" applyFill="1" applyBorder="1" applyAlignment="1">
      <alignment horizontal="center" vertical="top"/>
    </xf>
    <xf numFmtId="0" fontId="46" fillId="8" borderId="11" xfId="4" applyFont="1" applyFill="1" applyBorder="1" applyAlignment="1">
      <alignment horizontal="center" vertical="top"/>
    </xf>
    <xf numFmtId="3" fontId="61" fillId="8" borderId="29" xfId="6" applyNumberFormat="1" applyFont="1" applyFill="1" applyBorder="1" applyAlignment="1">
      <alignment vertical="center"/>
    </xf>
    <xf numFmtId="0" fontId="46" fillId="0" borderId="0" xfId="0" applyFont="1" applyAlignment="1">
      <alignment vertical="top"/>
    </xf>
    <xf numFmtId="0" fontId="47" fillId="0" borderId="0" xfId="0" applyFont="1" applyAlignment="1">
      <alignment vertical="top"/>
    </xf>
    <xf numFmtId="0" fontId="57" fillId="0" borderId="0" xfId="0" applyFont="1" applyFill="1" applyAlignment="1">
      <alignment horizontal="left"/>
    </xf>
    <xf numFmtId="0" fontId="49" fillId="2" borderId="5" xfId="0" applyFont="1" applyFill="1" applyBorder="1" applyAlignment="1">
      <alignment horizontal="center" vertical="top"/>
    </xf>
    <xf numFmtId="0" fontId="49" fillId="2" borderId="11" xfId="0" applyFont="1" applyFill="1" applyBorder="1" applyAlignment="1">
      <alignment horizontal="center" vertical="top"/>
    </xf>
    <xf numFmtId="0" fontId="46" fillId="8" borderId="11" xfId="0" applyFont="1" applyFill="1" applyBorder="1" applyAlignment="1">
      <alignment vertical="center"/>
    </xf>
    <xf numFmtId="3" fontId="56" fillId="21" borderId="35" xfId="4" applyNumberFormat="1" applyFont="1" applyFill="1" applyBorder="1" applyAlignment="1">
      <alignment horizontal="right" vertical="center"/>
    </xf>
    <xf numFmtId="3" fontId="33" fillId="28" borderId="67" xfId="0" applyNumberFormat="1" applyFont="1" applyFill="1" applyBorder="1" applyAlignment="1">
      <alignment horizontal="center" vertical="top" wrapText="1"/>
    </xf>
    <xf numFmtId="3" fontId="56" fillId="21" borderId="12" xfId="4" applyNumberFormat="1" applyFont="1" applyFill="1" applyBorder="1" applyAlignment="1">
      <alignment horizontal="right" vertical="center"/>
    </xf>
    <xf numFmtId="0" fontId="53" fillId="28" borderId="11" xfId="0" applyFont="1" applyFill="1" applyBorder="1" applyAlignment="1">
      <alignment vertical="top"/>
    </xf>
    <xf numFmtId="0" fontId="53" fillId="6" borderId="19" xfId="4" applyFont="1" applyFill="1" applyBorder="1" applyAlignment="1">
      <alignment horizontal="left" vertical="center"/>
    </xf>
    <xf numFmtId="0" fontId="53" fillId="6" borderId="16" xfId="4" applyFont="1" applyFill="1" applyBorder="1" applyAlignment="1">
      <alignment horizontal="left" vertical="center"/>
    </xf>
    <xf numFmtId="3" fontId="53" fillId="29" borderId="70" xfId="0" applyNumberFormat="1" applyFont="1" applyFill="1" applyBorder="1" applyAlignment="1">
      <alignment vertical="center"/>
    </xf>
    <xf numFmtId="0" fontId="58" fillId="8" borderId="36" xfId="4" applyFont="1" applyFill="1" applyBorder="1" applyAlignment="1">
      <alignment vertical="center"/>
    </xf>
    <xf numFmtId="0" fontId="33" fillId="8" borderId="28" xfId="0" applyFont="1" applyFill="1" applyBorder="1" applyAlignment="1">
      <alignment vertical="center" wrapText="1"/>
    </xf>
    <xf numFmtId="0" fontId="46" fillId="28" borderId="11" xfId="0" applyFont="1" applyFill="1" applyBorder="1" applyAlignment="1">
      <alignment vertical="top"/>
    </xf>
    <xf numFmtId="0" fontId="33" fillId="8" borderId="36" xfId="4" applyFont="1" applyFill="1" applyBorder="1" applyAlignment="1">
      <alignment vertical="center"/>
    </xf>
    <xf numFmtId="3" fontId="33" fillId="28" borderId="8" xfId="0" applyNumberFormat="1" applyFont="1" applyFill="1" applyBorder="1" applyAlignment="1">
      <alignment vertical="center" wrapText="1"/>
    </xf>
    <xf numFmtId="0" fontId="58" fillId="8" borderId="32" xfId="4" applyFont="1" applyFill="1" applyBorder="1" applyAlignment="1">
      <alignment vertical="center"/>
    </xf>
    <xf numFmtId="0" fontId="53" fillId="8" borderId="28" xfId="0" applyFont="1" applyFill="1" applyBorder="1" applyAlignment="1">
      <alignment vertical="center"/>
    </xf>
    <xf numFmtId="3" fontId="58" fillId="8" borderId="9" xfId="0" applyNumberFormat="1" applyFont="1" applyFill="1" applyBorder="1" applyAlignment="1">
      <alignment vertical="center"/>
    </xf>
    <xf numFmtId="0" fontId="46" fillId="8" borderId="11" xfId="0" applyFont="1" applyFill="1" applyBorder="1" applyAlignment="1">
      <alignment vertical="top"/>
    </xf>
    <xf numFmtId="0" fontId="46" fillId="8" borderId="25" xfId="0" applyFont="1" applyFill="1" applyBorder="1" applyAlignment="1">
      <alignment vertical="top"/>
    </xf>
    <xf numFmtId="0" fontId="33" fillId="8" borderId="37" xfId="0" applyFont="1" applyFill="1" applyBorder="1" applyAlignment="1">
      <alignment vertical="top" wrapText="1"/>
    </xf>
    <xf numFmtId="3" fontId="33" fillId="28" borderId="47" xfId="0" applyNumberFormat="1" applyFont="1" applyFill="1" applyBorder="1" applyAlignment="1">
      <alignment vertical="center"/>
    </xf>
    <xf numFmtId="0" fontId="54" fillId="8" borderId="5" xfId="0" applyFont="1" applyFill="1" applyBorder="1" applyAlignment="1">
      <alignment vertical="center" wrapText="1"/>
    </xf>
    <xf numFmtId="0" fontId="54" fillId="8" borderId="14" xfId="0" applyFont="1" applyFill="1" applyBorder="1" applyAlignment="1">
      <alignment horizontal="center" vertical="center" wrapText="1"/>
    </xf>
    <xf numFmtId="0" fontId="33" fillId="8" borderId="70" xfId="0" applyFont="1" applyFill="1" applyBorder="1" applyAlignment="1">
      <alignment vertical="top"/>
    </xf>
    <xf numFmtId="3" fontId="56" fillId="2" borderId="32" xfId="4" applyNumberFormat="1" applyFont="1" applyFill="1" applyBorder="1" applyAlignment="1">
      <alignment vertical="center" wrapText="1"/>
    </xf>
    <xf numFmtId="0" fontId="60" fillId="0" borderId="21" xfId="0" applyFont="1" applyFill="1" applyBorder="1" applyAlignment="1">
      <alignment vertical="top"/>
    </xf>
    <xf numFmtId="3" fontId="60" fillId="0" borderId="9" xfId="0" applyNumberFormat="1" applyFont="1" applyFill="1" applyBorder="1" applyAlignment="1">
      <alignment vertical="top"/>
    </xf>
    <xf numFmtId="0" fontId="33" fillId="6" borderId="28" xfId="0" applyFont="1" applyFill="1" applyBorder="1" applyAlignment="1">
      <alignment horizontal="left" vertical="center" wrapText="1"/>
    </xf>
    <xf numFmtId="3" fontId="56" fillId="2" borderId="84" xfId="4" applyNumberFormat="1" applyFont="1" applyFill="1" applyBorder="1" applyAlignment="1">
      <alignment vertical="center" wrapText="1"/>
    </xf>
    <xf numFmtId="0" fontId="60" fillId="0" borderId="85" xfId="0" applyFont="1" applyFill="1" applyBorder="1" applyAlignment="1">
      <alignment vertical="top"/>
    </xf>
    <xf numFmtId="3" fontId="60" fillId="0" borderId="47" xfId="0" applyNumberFormat="1" applyFont="1" applyFill="1" applyBorder="1" applyAlignment="1">
      <alignment vertical="top"/>
    </xf>
    <xf numFmtId="3" fontId="60" fillId="0" borderId="47" xfId="0" applyNumberFormat="1" applyFont="1" applyFill="1" applyBorder="1" applyAlignment="1">
      <alignment horizontal="right" vertical="center"/>
    </xf>
    <xf numFmtId="0" fontId="60" fillId="6" borderId="28" xfId="0" applyFont="1" applyFill="1" applyBorder="1" applyAlignment="1">
      <alignment vertical="top"/>
    </xf>
    <xf numFmtId="0" fontId="33" fillId="6" borderId="20" xfId="0" applyFont="1" applyFill="1" applyBorder="1" applyAlignment="1">
      <alignment horizontal="left" vertical="center" wrapText="1"/>
    </xf>
    <xf numFmtId="3" fontId="60" fillId="0" borderId="72" xfId="0" applyNumberFormat="1" applyFont="1" applyFill="1" applyBorder="1" applyAlignment="1">
      <alignment vertical="top"/>
    </xf>
    <xf numFmtId="3" fontId="50" fillId="0" borderId="0" xfId="0" applyNumberFormat="1" applyFont="1" applyFill="1" applyBorder="1" applyAlignment="1">
      <alignment vertical="top"/>
    </xf>
    <xf numFmtId="3" fontId="50" fillId="0" borderId="0" xfId="0" applyNumberFormat="1" applyFont="1" applyFill="1" applyBorder="1" applyAlignment="1">
      <alignment horizontal="right" vertical="center"/>
    </xf>
    <xf numFmtId="0" fontId="54" fillId="6" borderId="19" xfId="4" applyFont="1" applyFill="1" applyBorder="1" applyAlignment="1">
      <alignment horizontal="left" vertical="center"/>
    </xf>
    <xf numFmtId="0" fontId="54" fillId="6" borderId="16" xfId="4" applyFont="1" applyFill="1" applyBorder="1" applyAlignment="1">
      <alignment horizontal="left" vertical="center"/>
    </xf>
    <xf numFmtId="0" fontId="56" fillId="8" borderId="36" xfId="4" applyFont="1" applyFill="1" applyBorder="1" applyAlignment="1">
      <alignment vertical="center"/>
    </xf>
    <xf numFmtId="0" fontId="53" fillId="8" borderId="19" xfId="0" applyFont="1" applyFill="1" applyBorder="1" applyAlignment="1">
      <alignment vertical="center" wrapText="1"/>
    </xf>
    <xf numFmtId="0" fontId="33" fillId="8" borderId="18" xfId="0" applyFont="1" applyFill="1" applyBorder="1" applyAlignment="1">
      <alignment vertical="top"/>
    </xf>
    <xf numFmtId="0" fontId="33" fillId="8" borderId="79" xfId="0" applyFont="1" applyFill="1" applyBorder="1" applyAlignment="1">
      <alignment vertical="top"/>
    </xf>
    <xf numFmtId="3" fontId="33" fillId="8" borderId="79" xfId="0" applyNumberFormat="1" applyFont="1" applyFill="1" applyBorder="1" applyAlignment="1">
      <alignment vertical="top"/>
    </xf>
    <xf numFmtId="3" fontId="33" fillId="23" borderId="70" xfId="0" applyNumberFormat="1" applyFont="1" applyFill="1" applyBorder="1" applyAlignment="1">
      <alignment vertical="top"/>
    </xf>
    <xf numFmtId="0" fontId="53" fillId="6" borderId="21" xfId="4" applyFont="1" applyFill="1" applyBorder="1" applyAlignment="1">
      <alignment horizontal="left" vertical="center"/>
    </xf>
    <xf numFmtId="0" fontId="54" fillId="6" borderId="9" xfId="4" applyFont="1" applyFill="1" applyBorder="1" applyAlignment="1">
      <alignment horizontal="left" vertical="center"/>
    </xf>
    <xf numFmtId="3" fontId="54" fillId="6" borderId="9" xfId="0" applyNumberFormat="1" applyFont="1" applyFill="1" applyBorder="1" applyAlignment="1">
      <alignment vertical="top"/>
    </xf>
    <xf numFmtId="3" fontId="54" fillId="22" borderId="35" xfId="0" applyNumberFormat="1" applyFont="1" applyFill="1" applyBorder="1" applyAlignment="1">
      <alignment vertical="top"/>
    </xf>
    <xf numFmtId="0" fontId="33" fillId="8" borderId="3" xfId="0" applyFont="1" applyFill="1" applyBorder="1" applyAlignment="1">
      <alignment vertical="top"/>
    </xf>
    <xf numFmtId="0" fontId="47" fillId="0" borderId="0" xfId="0" applyFont="1" applyAlignment="1">
      <alignment horizontal="center" vertical="top" wrapText="1"/>
    </xf>
    <xf numFmtId="0" fontId="47" fillId="0" borderId="0" xfId="0" applyFont="1" applyBorder="1" applyAlignment="1">
      <alignment vertical="top"/>
    </xf>
    <xf numFmtId="0" fontId="47" fillId="0" borderId="0" xfId="0" applyFont="1" applyBorder="1" applyAlignment="1">
      <alignment horizontal="center" vertical="top" wrapText="1"/>
    </xf>
    <xf numFmtId="0" fontId="47" fillId="0" borderId="67" xfId="0" applyFont="1" applyBorder="1" applyAlignment="1">
      <alignment vertical="top"/>
    </xf>
    <xf numFmtId="0" fontId="59" fillId="8" borderId="11" xfId="0" applyFont="1" applyFill="1" applyBorder="1" applyAlignment="1">
      <alignment vertical="top"/>
    </xf>
    <xf numFmtId="3" fontId="53" fillId="22" borderId="70" xfId="0" applyNumberFormat="1" applyFont="1" applyFill="1" applyBorder="1" applyAlignment="1">
      <alignment vertical="center"/>
    </xf>
    <xf numFmtId="0" fontId="45" fillId="2" borderId="88" xfId="0" applyFont="1" applyFill="1" applyBorder="1" applyAlignment="1">
      <alignment vertical="center"/>
    </xf>
    <xf numFmtId="0" fontId="63" fillId="2" borderId="51" xfId="0" applyFont="1" applyFill="1" applyBorder="1" applyAlignment="1">
      <alignment vertical="top"/>
    </xf>
    <xf numFmtId="3" fontId="34" fillId="2" borderId="51" xfId="0" applyNumberFormat="1" applyFont="1" applyFill="1" applyBorder="1" applyAlignment="1">
      <alignment horizontal="left" vertical="top"/>
    </xf>
    <xf numFmtId="0" fontId="63" fillId="0" borderId="51" xfId="0" applyFont="1" applyFill="1" applyBorder="1" applyAlignment="1">
      <alignment vertical="top"/>
    </xf>
    <xf numFmtId="0" fontId="63" fillId="0" borderId="80" xfId="0" applyFont="1" applyFill="1" applyBorder="1" applyAlignment="1">
      <alignment vertical="top"/>
    </xf>
    <xf numFmtId="3" fontId="53" fillId="29" borderId="35" xfId="0" applyNumberFormat="1" applyFont="1" applyFill="1" applyBorder="1" applyAlignment="1">
      <alignment vertical="center"/>
    </xf>
    <xf numFmtId="0" fontId="49" fillId="8" borderId="11" xfId="0" applyFont="1" applyFill="1" applyBorder="1" applyAlignment="1">
      <alignment vertical="center"/>
    </xf>
    <xf numFmtId="3" fontId="56" fillId="8" borderId="30" xfId="0" applyNumberFormat="1" applyFont="1" applyFill="1" applyBorder="1" applyAlignment="1">
      <alignment vertical="center"/>
    </xf>
    <xf numFmtId="3" fontId="60" fillId="28" borderId="30" xfId="0" applyNumberFormat="1" applyFont="1" applyFill="1" applyBorder="1" applyAlignment="1">
      <alignment vertical="center"/>
    </xf>
    <xf numFmtId="3" fontId="60" fillId="23" borderId="30" xfId="0" applyNumberFormat="1" applyFont="1" applyFill="1" applyBorder="1" applyAlignment="1">
      <alignment vertical="center"/>
    </xf>
    <xf numFmtId="0" fontId="50" fillId="0" borderId="28" xfId="0" applyFont="1" applyBorder="1" applyAlignment="1">
      <alignment horizontal="center" vertical="top"/>
    </xf>
    <xf numFmtId="0" fontId="51" fillId="0" borderId="79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1" fillId="0" borderId="70" xfId="0" applyFont="1" applyBorder="1" applyAlignment="1">
      <alignment horizontal="center" vertical="center"/>
    </xf>
    <xf numFmtId="0" fontId="54" fillId="6" borderId="8" xfId="4" applyFont="1" applyFill="1" applyBorder="1" applyAlignment="1">
      <alignment horizontal="left" vertical="center"/>
    </xf>
    <xf numFmtId="3" fontId="53" fillId="6" borderId="29" xfId="4" applyNumberFormat="1" applyFont="1" applyFill="1" applyBorder="1" applyAlignment="1">
      <alignment vertical="center"/>
    </xf>
    <xf numFmtId="3" fontId="53" fillId="6" borderId="30" xfId="4" applyNumberFormat="1" applyFont="1" applyFill="1" applyBorder="1" applyAlignment="1">
      <alignment vertical="center"/>
    </xf>
    <xf numFmtId="3" fontId="47" fillId="0" borderId="0" xfId="0" applyNumberFormat="1" applyFont="1" applyAlignment="1">
      <alignment vertical="top"/>
    </xf>
    <xf numFmtId="3" fontId="58" fillId="8" borderId="31" xfId="4" applyNumberFormat="1" applyFont="1" applyFill="1" applyBorder="1" applyAlignment="1">
      <alignment vertical="top" wrapText="1"/>
    </xf>
    <xf numFmtId="3" fontId="61" fillId="8" borderId="28" xfId="6" applyNumberFormat="1" applyFont="1" applyFill="1" applyBorder="1" applyAlignment="1">
      <alignment vertical="center"/>
    </xf>
    <xf numFmtId="0" fontId="46" fillId="8" borderId="25" xfId="4" applyFont="1" applyFill="1" applyBorder="1" applyAlignment="1">
      <alignment horizontal="center" vertical="top"/>
    </xf>
    <xf numFmtId="3" fontId="56" fillId="2" borderId="30" xfId="4" applyNumberFormat="1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3" fontId="47" fillId="0" borderId="0" xfId="0" applyNumberFormat="1" applyFont="1" applyAlignment="1">
      <alignment vertical="center"/>
    </xf>
    <xf numFmtId="0" fontId="46" fillId="8" borderId="19" xfId="0" applyFont="1" applyFill="1" applyBorder="1" applyAlignment="1">
      <alignment vertical="center" wrapText="1"/>
    </xf>
    <xf numFmtId="0" fontId="46" fillId="8" borderId="14" xfId="0" applyFont="1" applyFill="1" applyBorder="1" applyAlignment="1">
      <alignment horizontal="center" vertical="center" wrapText="1"/>
    </xf>
    <xf numFmtId="0" fontId="47" fillId="8" borderId="3" xfId="0" applyFont="1" applyFill="1" applyBorder="1" applyAlignment="1">
      <alignment vertical="top"/>
    </xf>
    <xf numFmtId="0" fontId="47" fillId="8" borderId="70" xfId="0" applyFont="1" applyFill="1" applyBorder="1" applyAlignment="1">
      <alignment vertical="top"/>
    </xf>
    <xf numFmtId="0" fontId="47" fillId="8" borderId="79" xfId="0" applyFont="1" applyFill="1" applyBorder="1" applyAlignment="1">
      <alignment vertical="top"/>
    </xf>
    <xf numFmtId="3" fontId="47" fillId="8" borderId="79" xfId="0" applyNumberFormat="1" applyFont="1" applyFill="1" applyBorder="1" applyAlignment="1">
      <alignment vertical="top"/>
    </xf>
    <xf numFmtId="3" fontId="47" fillId="23" borderId="70" xfId="0" applyNumberFormat="1" applyFont="1" applyFill="1" applyBorder="1" applyAlignment="1">
      <alignment vertical="top"/>
    </xf>
    <xf numFmtId="3" fontId="71" fillId="0" borderId="0" xfId="0" applyNumberFormat="1" applyFont="1"/>
    <xf numFmtId="0" fontId="71" fillId="0" borderId="0" xfId="0" applyFont="1"/>
    <xf numFmtId="3" fontId="60" fillId="25" borderId="72" xfId="4" applyNumberFormat="1" applyFont="1" applyFill="1" applyBorder="1" applyAlignment="1">
      <alignment horizontal="right" vertical="center"/>
    </xf>
    <xf numFmtId="3" fontId="33" fillId="0" borderId="35" xfId="4" applyNumberFormat="1" applyFont="1" applyFill="1" applyBorder="1" applyAlignment="1">
      <alignment horizontal="right" vertical="center"/>
    </xf>
    <xf numFmtId="3" fontId="33" fillId="0" borderId="0" xfId="4" applyNumberFormat="1" applyFont="1" applyFill="1" applyBorder="1" applyAlignment="1">
      <alignment horizontal="right" vertical="center"/>
    </xf>
    <xf numFmtId="3" fontId="33" fillId="0" borderId="51" xfId="4" applyNumberFormat="1" applyFont="1" applyFill="1" applyBorder="1" applyAlignment="1">
      <alignment horizontal="right"/>
    </xf>
    <xf numFmtId="3" fontId="33" fillId="0" borderId="39" xfId="4" applyNumberFormat="1" applyFont="1" applyFill="1" applyBorder="1" applyAlignment="1">
      <alignment horizontal="right"/>
    </xf>
    <xf numFmtId="3" fontId="33" fillId="0" borderId="39" xfId="4" applyNumberFormat="1" applyFont="1" applyFill="1" applyBorder="1" applyAlignment="1">
      <alignment horizontal="right" vertical="center"/>
    </xf>
    <xf numFmtId="3" fontId="54" fillId="22" borderId="29" xfId="4" applyNumberFormat="1" applyFont="1" applyFill="1" applyBorder="1" applyAlignment="1">
      <alignment horizontal="right" vertical="center"/>
    </xf>
    <xf numFmtId="0" fontId="61" fillId="0" borderId="38" xfId="0" applyFont="1" applyBorder="1" applyAlignment="1">
      <alignment horizontal="center" vertical="center" wrapText="1"/>
    </xf>
    <xf numFmtId="3" fontId="33" fillId="0" borderId="50" xfId="4" applyNumberFormat="1" applyFont="1" applyFill="1" applyBorder="1" applyAlignment="1">
      <alignment horizontal="right" vertical="center"/>
    </xf>
    <xf numFmtId="3" fontId="60" fillId="2" borderId="47" xfId="4" applyNumberFormat="1" applyFont="1" applyFill="1" applyBorder="1" applyAlignment="1">
      <alignment horizontal="right" vertical="center"/>
    </xf>
    <xf numFmtId="3" fontId="54" fillId="6" borderId="9" xfId="4" applyNumberFormat="1" applyFont="1" applyFill="1" applyBorder="1" applyAlignment="1">
      <alignment horizontal="right" vertical="center"/>
    </xf>
    <xf numFmtId="0" fontId="53" fillId="27" borderId="5" xfId="4" applyFont="1" applyFill="1" applyBorder="1" applyAlignment="1">
      <alignment vertical="center" wrapText="1"/>
    </xf>
    <xf numFmtId="3" fontId="58" fillId="27" borderId="32" xfId="4" applyNumberFormat="1" applyFont="1" applyFill="1" applyBorder="1" applyAlignment="1">
      <alignment vertical="top" wrapText="1"/>
    </xf>
    <xf numFmtId="3" fontId="58" fillId="13" borderId="32" xfId="4" applyNumberFormat="1" applyFont="1" applyFill="1" applyBorder="1" applyAlignment="1">
      <alignment vertical="top" wrapText="1"/>
    </xf>
    <xf numFmtId="0" fontId="56" fillId="13" borderId="21" xfId="4" applyFont="1" applyFill="1" applyBorder="1" applyAlignment="1">
      <alignment vertical="top"/>
    </xf>
    <xf numFmtId="0" fontId="56" fillId="56" borderId="45" xfId="4" applyFont="1" applyFill="1" applyBorder="1" applyAlignment="1">
      <alignment horizontal="left" vertical="center"/>
    </xf>
    <xf numFmtId="0" fontId="56" fillId="56" borderId="16" xfId="4" applyFont="1" applyFill="1" applyBorder="1" applyAlignment="1">
      <alignment horizontal="left" vertical="center"/>
    </xf>
    <xf numFmtId="3" fontId="56" fillId="56" borderId="17" xfId="4" applyNumberFormat="1" applyFont="1" applyFill="1" applyBorder="1" applyAlignment="1">
      <alignment horizontal="right" vertical="center"/>
    </xf>
    <xf numFmtId="0" fontId="56" fillId="56" borderId="67" xfId="4" applyFont="1" applyFill="1" applyBorder="1" applyAlignment="1">
      <alignment horizontal="left" vertical="center"/>
    </xf>
    <xf numFmtId="0" fontId="56" fillId="56" borderId="6" xfId="4" applyFont="1" applyFill="1" applyBorder="1" applyAlignment="1">
      <alignment horizontal="left" vertical="center"/>
    </xf>
    <xf numFmtId="3" fontId="56" fillId="56" borderId="27" xfId="4" applyNumberFormat="1" applyFont="1" applyFill="1" applyBorder="1" applyAlignment="1">
      <alignment horizontal="right" vertical="center"/>
    </xf>
    <xf numFmtId="0" fontId="56" fillId="56" borderId="67" xfId="0" applyFont="1" applyFill="1" applyBorder="1" applyAlignment="1">
      <alignment horizontal="left" vertical="top"/>
    </xf>
    <xf numFmtId="0" fontId="57" fillId="56" borderId="6" xfId="0" quotePrefix="1" applyFont="1" applyFill="1" applyBorder="1" applyAlignment="1">
      <alignment horizontal="center" vertical="top"/>
    </xf>
    <xf numFmtId="3" fontId="56" fillId="56" borderId="27" xfId="0" quotePrefix="1" applyNumberFormat="1" applyFont="1" applyFill="1" applyBorder="1" applyAlignment="1">
      <alignment horizontal="right" vertical="top"/>
    </xf>
    <xf numFmtId="0" fontId="56" fillId="56" borderId="34" xfId="4" applyFont="1" applyFill="1" applyBorder="1" applyAlignment="1">
      <alignment horizontal="left" vertical="center"/>
    </xf>
    <xf numFmtId="3" fontId="56" fillId="56" borderId="29" xfId="4" applyNumberFormat="1" applyFont="1" applyFill="1" applyBorder="1" applyAlignment="1">
      <alignment horizontal="right" vertical="center"/>
    </xf>
    <xf numFmtId="0" fontId="56" fillId="56" borderId="36" xfId="4" applyFont="1" applyFill="1" applyBorder="1" applyAlignment="1">
      <alignment horizontal="left" vertical="center"/>
    </xf>
    <xf numFmtId="0" fontId="56" fillId="56" borderId="20" xfId="4" applyFont="1" applyFill="1" applyBorder="1" applyAlignment="1">
      <alignment horizontal="left" vertical="center"/>
    </xf>
    <xf numFmtId="3" fontId="56" fillId="56" borderId="9" xfId="4" applyNumberFormat="1" applyFont="1" applyFill="1" applyBorder="1" applyAlignment="1">
      <alignment horizontal="right" vertical="center"/>
    </xf>
    <xf numFmtId="0" fontId="56" fillId="56" borderId="46" xfId="0" applyFont="1" applyFill="1" applyBorder="1" applyAlignment="1">
      <alignment horizontal="left" vertical="top"/>
    </xf>
    <xf numFmtId="3" fontId="56" fillId="56" borderId="23" xfId="0" quotePrefix="1" applyNumberFormat="1" applyFont="1" applyFill="1" applyBorder="1" applyAlignment="1">
      <alignment horizontal="right" vertical="top"/>
    </xf>
    <xf numFmtId="3" fontId="47" fillId="8" borderId="67" xfId="4" applyNumberFormat="1" applyFont="1" applyFill="1" applyBorder="1" applyAlignment="1">
      <alignment vertical="top" wrapText="1"/>
    </xf>
    <xf numFmtId="0" fontId="56" fillId="56" borderId="11" xfId="4" applyFont="1" applyFill="1" applyBorder="1" applyAlignment="1">
      <alignment horizontal="left" vertical="center"/>
    </xf>
    <xf numFmtId="0" fontId="56" fillId="56" borderId="25" xfId="0" applyFont="1" applyFill="1" applyBorder="1" applyAlignment="1">
      <alignment horizontal="left" vertical="top"/>
    </xf>
    <xf numFmtId="3" fontId="58" fillId="2" borderId="32" xfId="4" applyNumberFormat="1" applyFont="1" applyFill="1" applyBorder="1" applyAlignment="1">
      <alignment vertical="center" wrapText="1"/>
    </xf>
    <xf numFmtId="0" fontId="33" fillId="0" borderId="21" xfId="0" applyFont="1" applyFill="1" applyBorder="1" applyAlignment="1">
      <alignment vertical="center"/>
    </xf>
    <xf numFmtId="0" fontId="33" fillId="0" borderId="32" xfId="0" applyFont="1" applyFill="1" applyBorder="1" applyAlignment="1">
      <alignment vertical="center" wrapText="1"/>
    </xf>
    <xf numFmtId="3" fontId="60" fillId="0" borderId="13" xfId="0" applyNumberFormat="1" applyFont="1" applyFill="1" applyBorder="1" applyAlignment="1">
      <alignment vertical="top"/>
    </xf>
    <xf numFmtId="0" fontId="0" fillId="0" borderId="24" xfId="0" applyFont="1" applyBorder="1" applyAlignment="1">
      <alignment vertical="center"/>
    </xf>
    <xf numFmtId="3" fontId="0" fillId="0" borderId="0" xfId="0" applyNumberFormat="1" applyFont="1"/>
    <xf numFmtId="3" fontId="58" fillId="8" borderId="34" xfId="4" applyNumberFormat="1" applyFont="1" applyFill="1" applyBorder="1" applyAlignment="1">
      <alignment vertical="top" wrapText="1"/>
    </xf>
    <xf numFmtId="3" fontId="58" fillId="8" borderId="28" xfId="4" applyNumberFormat="1" applyFont="1" applyFill="1" applyBorder="1" applyAlignment="1">
      <alignment vertical="top" wrapText="1"/>
    </xf>
    <xf numFmtId="3" fontId="62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53" fillId="6" borderId="35" xfId="4" applyNumberFormat="1" applyFont="1" applyFill="1" applyBorder="1" applyAlignment="1">
      <alignment vertical="center"/>
    </xf>
    <xf numFmtId="3" fontId="54" fillId="6" borderId="30" xfId="4" applyNumberFormat="1" applyFont="1" applyFill="1" applyBorder="1" applyAlignment="1">
      <alignment vertical="center"/>
    </xf>
    <xf numFmtId="43" fontId="58" fillId="0" borderId="30" xfId="1" applyFont="1" applyFill="1" applyBorder="1" applyAlignment="1">
      <alignment horizontal="right" vertical="center"/>
    </xf>
    <xf numFmtId="43" fontId="33" fillId="0" borderId="30" xfId="1" applyFont="1" applyFill="1" applyBorder="1" applyAlignment="1">
      <alignment horizontal="right" vertical="center"/>
    </xf>
    <xf numFmtId="43" fontId="53" fillId="6" borderId="35" xfId="1" applyFont="1" applyFill="1" applyBorder="1" applyAlignment="1">
      <alignment vertical="center"/>
    </xf>
    <xf numFmtId="0" fontId="61" fillId="0" borderId="6" xfId="0" applyFont="1" applyBorder="1" applyAlignment="1">
      <alignment vertical="center" wrapText="1"/>
    </xf>
    <xf numFmtId="3" fontId="60" fillId="0" borderId="9" xfId="4" applyNumberFormat="1" applyFont="1" applyFill="1" applyBorder="1" applyAlignment="1">
      <alignment horizontal="right" vertical="center"/>
    </xf>
    <xf numFmtId="0" fontId="56" fillId="56" borderId="19" xfId="4" applyFont="1" applyFill="1" applyBorder="1" applyAlignment="1">
      <alignment horizontal="left" vertical="center"/>
    </xf>
    <xf numFmtId="0" fontId="59" fillId="8" borderId="5" xfId="0" applyFont="1" applyFill="1" applyBorder="1" applyAlignment="1">
      <alignment vertical="top"/>
    </xf>
    <xf numFmtId="0" fontId="15" fillId="0" borderId="13" xfId="4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92" fillId="0" borderId="12" xfId="0" applyFont="1" applyBorder="1" applyAlignment="1">
      <alignment horizontal="center" vertical="center" wrapText="1"/>
    </xf>
    <xf numFmtId="0" fontId="94" fillId="0" borderId="12" xfId="4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93" fillId="58" borderId="12" xfId="0" applyFont="1" applyFill="1" applyBorder="1" applyAlignment="1">
      <alignment horizontal="center" vertical="center"/>
    </xf>
    <xf numFmtId="3" fontId="60" fillId="2" borderId="9" xfId="4" applyNumberFormat="1" applyFont="1" applyFill="1" applyBorder="1" applyAlignment="1">
      <alignment horizontal="right" vertical="center"/>
    </xf>
    <xf numFmtId="3" fontId="53" fillId="8" borderId="3" xfId="4" applyNumberFormat="1" applyFont="1" applyFill="1" applyBorder="1" applyAlignment="1">
      <alignment horizontal="right" vertical="center"/>
    </xf>
    <xf numFmtId="3" fontId="60" fillId="0" borderId="72" xfId="4" applyNumberFormat="1" applyFont="1" applyFill="1" applyBorder="1" applyAlignment="1">
      <alignment horizontal="right" vertical="center"/>
    </xf>
    <xf numFmtId="3" fontId="60" fillId="2" borderId="72" xfId="4" applyNumberFormat="1" applyFont="1" applyFill="1" applyBorder="1" applyAlignment="1">
      <alignment horizontal="right" vertical="center"/>
    </xf>
    <xf numFmtId="3" fontId="60" fillId="0" borderId="76" xfId="4" applyNumberFormat="1" applyFont="1" applyFill="1" applyBorder="1" applyAlignment="1">
      <alignment horizontal="right" vertical="center"/>
    </xf>
    <xf numFmtId="3" fontId="54" fillId="22" borderId="71" xfId="4" applyNumberFormat="1" applyFont="1" applyFill="1" applyBorder="1" applyAlignment="1">
      <alignment horizontal="right" vertical="center"/>
    </xf>
    <xf numFmtId="3" fontId="56" fillId="25" borderId="31" xfId="4" applyNumberFormat="1" applyFont="1" applyFill="1" applyBorder="1" applyAlignment="1">
      <alignment horizontal="right" vertical="center"/>
    </xf>
    <xf numFmtId="3" fontId="60" fillId="25" borderId="64" xfId="4" applyNumberFormat="1" applyFont="1" applyFill="1" applyBorder="1" applyAlignment="1">
      <alignment horizontal="right" vertical="center"/>
    </xf>
    <xf numFmtId="3" fontId="53" fillId="8" borderId="2" xfId="0" applyNumberFormat="1" applyFont="1" applyFill="1" applyBorder="1" applyAlignment="1">
      <alignment vertical="center"/>
    </xf>
    <xf numFmtId="3" fontId="54" fillId="6" borderId="0" xfId="4" applyNumberFormat="1" applyFont="1" applyFill="1" applyBorder="1" applyAlignment="1">
      <alignment horizontal="right" vertical="center"/>
    </xf>
    <xf numFmtId="3" fontId="56" fillId="0" borderId="0" xfId="4" applyNumberFormat="1" applyFont="1" applyFill="1" applyBorder="1" applyAlignment="1">
      <alignment horizontal="right" vertical="center"/>
    </xf>
    <xf numFmtId="3" fontId="60" fillId="0" borderId="0" xfId="4" applyNumberFormat="1" applyFont="1" applyFill="1" applyBorder="1" applyAlignment="1">
      <alignment horizontal="right" vertical="center"/>
    </xf>
    <xf numFmtId="3" fontId="62" fillId="0" borderId="0" xfId="6" applyNumberFormat="1" applyFont="1" applyFill="1" applyBorder="1" applyAlignment="1">
      <alignment vertical="center"/>
    </xf>
    <xf numFmtId="3" fontId="54" fillId="8" borderId="10" xfId="4" applyNumberFormat="1" applyFont="1" applyFill="1" applyBorder="1" applyAlignment="1">
      <alignment horizontal="right" vertical="center"/>
    </xf>
    <xf numFmtId="3" fontId="56" fillId="0" borderId="0" xfId="4" applyNumberFormat="1" applyFont="1" applyFill="1" applyBorder="1" applyAlignment="1"/>
    <xf numFmtId="3" fontId="54" fillId="6" borderId="8" xfId="4" applyNumberFormat="1" applyFont="1" applyFill="1" applyBorder="1" applyAlignment="1">
      <alignment horizontal="right" vertical="center"/>
    </xf>
    <xf numFmtId="3" fontId="33" fillId="0" borderId="64" xfId="4" applyNumberFormat="1" applyFont="1" applyFill="1" applyBorder="1" applyAlignment="1">
      <alignment horizontal="right" vertical="center"/>
    </xf>
    <xf numFmtId="0" fontId="52" fillId="0" borderId="12" xfId="6" applyFont="1" applyBorder="1" applyAlignment="1">
      <alignment horizontal="center" vertical="center"/>
    </xf>
    <xf numFmtId="3" fontId="60" fillId="0" borderId="65" xfId="4" applyNumberFormat="1" applyFont="1" applyFill="1" applyBorder="1" applyAlignment="1">
      <alignment vertical="center"/>
    </xf>
    <xf numFmtId="3" fontId="53" fillId="22" borderId="29" xfId="4" applyNumberFormat="1" applyFont="1" applyFill="1" applyBorder="1" applyAlignment="1">
      <alignment horizontal="right" vertical="center"/>
    </xf>
    <xf numFmtId="3" fontId="61" fillId="8" borderId="72" xfId="6" applyNumberFormat="1" applyFont="1" applyFill="1" applyBorder="1" applyAlignment="1">
      <alignment vertical="center"/>
    </xf>
    <xf numFmtId="0" fontId="51" fillId="0" borderId="70" xfId="6" applyFont="1" applyBorder="1" applyAlignment="1">
      <alignment horizontal="center" vertical="center"/>
    </xf>
    <xf numFmtId="0" fontId="51" fillId="0" borderId="17" xfId="6" applyFont="1" applyBorder="1" applyAlignment="1">
      <alignment horizontal="center" vertical="center"/>
    </xf>
    <xf numFmtId="0" fontId="51" fillId="19" borderId="70" xfId="0" applyFont="1" applyFill="1" applyBorder="1" applyAlignment="1">
      <alignment horizontal="center" vertical="center" wrapText="1"/>
    </xf>
    <xf numFmtId="0" fontId="50" fillId="0" borderId="45" xfId="4" applyFont="1" applyBorder="1" applyAlignment="1">
      <alignment horizontal="center" vertical="center" wrapText="1"/>
    </xf>
    <xf numFmtId="0" fontId="48" fillId="2" borderId="7" xfId="0" applyFont="1" applyFill="1" applyBorder="1" applyAlignment="1">
      <alignment vertical="center" wrapText="1"/>
    </xf>
    <xf numFmtId="0" fontId="48" fillId="2" borderId="8" xfId="0" applyFont="1" applyFill="1" applyBorder="1" applyAlignment="1">
      <alignment vertical="center" wrapText="1"/>
    </xf>
    <xf numFmtId="3" fontId="17" fillId="0" borderId="50" xfId="0" quotePrefix="1" applyNumberFormat="1" applyFont="1" applyBorder="1" applyAlignment="1">
      <alignment horizontal="center"/>
    </xf>
    <xf numFmtId="43" fontId="19" fillId="3" borderId="21" xfId="1" applyFont="1" applyFill="1" applyBorder="1" applyAlignment="1">
      <alignment vertical="center" wrapText="1"/>
    </xf>
    <xf numFmtId="3" fontId="34" fillId="0" borderId="29" xfId="0" applyNumberFormat="1" applyFont="1" applyFill="1" applyBorder="1" applyAlignment="1">
      <alignment vertical="center" wrapText="1"/>
    </xf>
    <xf numFmtId="3" fontId="34" fillId="2" borderId="9" xfId="0" applyNumberFormat="1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23" fillId="0" borderId="47" xfId="0" applyFont="1" applyBorder="1" applyAlignment="1">
      <alignment horizontal="center" vertical="center"/>
    </xf>
    <xf numFmtId="3" fontId="17" fillId="0" borderId="39" xfId="0" quotePrefix="1" applyNumberFormat="1" applyFont="1" applyBorder="1" applyAlignment="1">
      <alignment horizontal="center"/>
    </xf>
    <xf numFmtId="3" fontId="33" fillId="13" borderId="47" xfId="4" applyNumberFormat="1" applyFont="1" applyFill="1" applyBorder="1" applyAlignment="1">
      <alignment horizontal="right" vertical="center"/>
    </xf>
    <xf numFmtId="3" fontId="33" fillId="13" borderId="72" xfId="4" applyNumberFormat="1" applyFont="1" applyFill="1" applyBorder="1" applyAlignment="1">
      <alignment horizontal="right" vertical="center"/>
    </xf>
    <xf numFmtId="0" fontId="4" fillId="15" borderId="2" xfId="0" applyFont="1" applyFill="1" applyBorder="1"/>
    <xf numFmtId="3" fontId="15" fillId="15" borderId="74" xfId="0" applyNumberFormat="1" applyFont="1" applyFill="1" applyBorder="1" applyAlignment="1">
      <alignment vertical="center"/>
    </xf>
    <xf numFmtId="3" fontId="34" fillId="6" borderId="79" xfId="0" applyNumberFormat="1" applyFont="1" applyFill="1" applyBorder="1"/>
    <xf numFmtId="3" fontId="4" fillId="6" borderId="79" xfId="0" applyNumberFormat="1" applyFont="1" applyFill="1" applyBorder="1"/>
    <xf numFmtId="0" fontId="4" fillId="15" borderId="4" xfId="0" applyFont="1" applyFill="1" applyBorder="1"/>
    <xf numFmtId="3" fontId="15" fillId="15" borderId="23" xfId="0" applyNumberFormat="1" applyFont="1" applyFill="1" applyBorder="1" applyAlignment="1">
      <alignment vertical="center"/>
    </xf>
    <xf numFmtId="3" fontId="34" fillId="6" borderId="17" xfId="0" applyNumberFormat="1" applyFont="1" applyFill="1" applyBorder="1"/>
    <xf numFmtId="3" fontId="22" fillId="2" borderId="11" xfId="0" applyNumberFormat="1" applyFont="1" applyFill="1" applyBorder="1" applyAlignment="1">
      <alignment vertical="center" wrapText="1"/>
    </xf>
    <xf numFmtId="3" fontId="17" fillId="0" borderId="11" xfId="0" applyNumberFormat="1" applyFont="1" applyFill="1" applyBorder="1" applyAlignment="1">
      <alignment vertical="center" wrapText="1"/>
    </xf>
    <xf numFmtId="3" fontId="4" fillId="0" borderId="11" xfId="0" applyNumberFormat="1" applyFont="1" applyFill="1" applyBorder="1" applyAlignment="1">
      <alignment vertical="center" wrapText="1"/>
    </xf>
    <xf numFmtId="3" fontId="14" fillId="14" borderId="5" xfId="0" applyNumberFormat="1" applyFont="1" applyFill="1" applyBorder="1" applyAlignment="1">
      <alignment vertical="center" wrapText="1"/>
    </xf>
    <xf numFmtId="3" fontId="31" fillId="14" borderId="11" xfId="0" applyNumberFormat="1" applyFont="1" applyFill="1" applyBorder="1" applyAlignment="1">
      <alignment vertical="center" wrapText="1"/>
    </xf>
    <xf numFmtId="3" fontId="31" fillId="14" borderId="25" xfId="0" applyNumberFormat="1" applyFont="1" applyFill="1" applyBorder="1" applyAlignment="1">
      <alignment vertical="center" wrapText="1"/>
    </xf>
    <xf numFmtId="3" fontId="20" fillId="0" borderId="11" xfId="0" applyNumberFormat="1" applyFont="1" applyFill="1" applyBorder="1" applyAlignment="1">
      <alignment vertical="center" wrapText="1"/>
    </xf>
    <xf numFmtId="0" fontId="4" fillId="15" borderId="5" xfId="0" applyFont="1" applyFill="1" applyBorder="1"/>
    <xf numFmtId="3" fontId="15" fillId="15" borderId="25" xfId="0" applyNumberFormat="1" applyFont="1" applyFill="1" applyBorder="1" applyAlignment="1">
      <alignment vertical="center"/>
    </xf>
    <xf numFmtId="3" fontId="34" fillId="6" borderId="19" xfId="0" applyNumberFormat="1" applyFont="1" applyFill="1" applyBorder="1"/>
    <xf numFmtId="3" fontId="16" fillId="6" borderId="77" xfId="0" applyNumberFormat="1" applyFont="1" applyFill="1" applyBorder="1"/>
    <xf numFmtId="3" fontId="4" fillId="6" borderId="19" xfId="0" applyNumberFormat="1" applyFont="1" applyFill="1" applyBorder="1"/>
    <xf numFmtId="3" fontId="4" fillId="6" borderId="77" xfId="0" applyNumberFormat="1" applyFont="1" applyFill="1" applyBorder="1"/>
    <xf numFmtId="0" fontId="40" fillId="0" borderId="0" xfId="0" applyFont="1" applyFill="1" applyAlignment="1">
      <alignment vertical="center"/>
    </xf>
    <xf numFmtId="3" fontId="53" fillId="8" borderId="7" xfId="4" applyNumberFormat="1" applyFont="1" applyFill="1" applyBorder="1" applyAlignment="1">
      <alignment horizontal="right" vertical="center"/>
    </xf>
    <xf numFmtId="3" fontId="53" fillId="23" borderId="7" xfId="4" applyNumberFormat="1" applyFont="1" applyFill="1" applyBorder="1" applyAlignment="1">
      <alignment horizontal="right" vertical="center"/>
    </xf>
    <xf numFmtId="3" fontId="51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3" fontId="95" fillId="0" borderId="0" xfId="0" applyNumberFormat="1" applyFont="1"/>
    <xf numFmtId="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Fill="1" applyBorder="1" applyAlignment="1"/>
    <xf numFmtId="0" fontId="0" fillId="2" borderId="0" xfId="0" applyFont="1" applyFill="1" applyAlignment="1"/>
    <xf numFmtId="0" fontId="0" fillId="0" borderId="0" xfId="0" applyFont="1" applyFill="1" applyBorder="1"/>
    <xf numFmtId="3" fontId="0" fillId="0" borderId="0" xfId="0" applyNumberFormat="1" applyFont="1" applyFill="1"/>
    <xf numFmtId="0" fontId="0" fillId="0" borderId="0" xfId="0" applyFont="1" applyFill="1"/>
    <xf numFmtId="0" fontId="71" fillId="0" borderId="0" xfId="0" applyFont="1" applyFill="1"/>
    <xf numFmtId="0" fontId="95" fillId="0" borderId="0" xfId="0" applyFont="1"/>
    <xf numFmtId="0" fontId="33" fillId="8" borderId="17" xfId="0" applyFont="1" applyFill="1" applyBorder="1" applyAlignment="1">
      <alignment vertical="top"/>
    </xf>
    <xf numFmtId="0" fontId="33" fillId="8" borderId="35" xfId="0" applyFont="1" applyFill="1" applyBorder="1" applyAlignment="1">
      <alignment vertical="top"/>
    </xf>
    <xf numFmtId="0" fontId="53" fillId="8" borderId="6" xfId="0" applyFont="1" applyFill="1" applyBorder="1" applyAlignment="1">
      <alignment horizontal="center" vertical="center" wrapText="1"/>
    </xf>
    <xf numFmtId="0" fontId="33" fillId="8" borderId="7" xfId="0" applyFont="1" applyFill="1" applyBorder="1" applyAlignment="1">
      <alignment vertical="top"/>
    </xf>
    <xf numFmtId="3" fontId="33" fillId="8" borderId="7" xfId="0" applyNumberFormat="1" applyFont="1" applyFill="1" applyBorder="1" applyAlignment="1">
      <alignment vertical="top"/>
    </xf>
    <xf numFmtId="3" fontId="33" fillId="23" borderId="35" xfId="0" applyNumberFormat="1" applyFont="1" applyFill="1" applyBorder="1" applyAlignment="1">
      <alignment vertical="top"/>
    </xf>
    <xf numFmtId="3" fontId="15" fillId="6" borderId="70" xfId="0" applyNumberFormat="1" applyFont="1" applyFill="1" applyBorder="1"/>
    <xf numFmtId="3" fontId="15" fillId="6" borderId="35" xfId="0" applyNumberFormat="1" applyFont="1" applyFill="1" applyBorder="1"/>
    <xf numFmtId="3" fontId="15" fillId="6" borderId="12" xfId="0" applyNumberFormat="1" applyFont="1" applyFill="1" applyBorder="1"/>
    <xf numFmtId="0" fontId="23" fillId="0" borderId="71" xfId="0" applyFont="1" applyBorder="1" applyAlignment="1">
      <alignment horizontal="center" vertical="center"/>
    </xf>
    <xf numFmtId="3" fontId="4" fillId="8" borderId="30" xfId="0" applyNumberFormat="1" applyFont="1" applyFill="1" applyBorder="1" applyAlignment="1">
      <alignment vertical="center"/>
    </xf>
    <xf numFmtId="3" fontId="19" fillId="11" borderId="30" xfId="0" applyNumberFormat="1" applyFont="1" applyFill="1" applyBorder="1" applyAlignment="1">
      <alignment vertical="center"/>
    </xf>
    <xf numFmtId="3" fontId="19" fillId="11" borderId="71" xfId="0" applyNumberFormat="1" applyFont="1" applyFill="1" applyBorder="1" applyAlignment="1">
      <alignment vertical="center"/>
    </xf>
    <xf numFmtId="3" fontId="34" fillId="6" borderId="63" xfId="0" applyNumberFormat="1" applyFont="1" applyFill="1" applyBorder="1"/>
    <xf numFmtId="0" fontId="61" fillId="0" borderId="20" xfId="0" applyFont="1" applyBorder="1" applyAlignment="1">
      <alignment vertical="center" wrapText="1"/>
    </xf>
    <xf numFmtId="0" fontId="33" fillId="27" borderId="32" xfId="4" applyFont="1" applyFill="1" applyBorder="1" applyAlignment="1">
      <alignment vertical="center" wrapText="1"/>
    </xf>
    <xf numFmtId="0" fontId="33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3" fontId="96" fillId="2" borderId="0" xfId="0" applyNumberFormat="1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3" fontId="15" fillId="4" borderId="46" xfId="0" quotePrefix="1" applyNumberFormat="1" applyFont="1" applyFill="1" applyBorder="1" applyAlignment="1">
      <alignment horizontal="right" vertical="center"/>
    </xf>
    <xf numFmtId="43" fontId="62" fillId="0" borderId="29" xfId="1" applyFont="1" applyFill="1" applyBorder="1" applyAlignment="1">
      <alignment vertical="center"/>
    </xf>
    <xf numFmtId="43" fontId="33" fillId="0" borderId="63" xfId="1" applyFont="1" applyFill="1" applyBorder="1" applyAlignment="1">
      <alignment horizontal="right" vertical="center"/>
    </xf>
    <xf numFmtId="43" fontId="53" fillId="6" borderId="29" xfId="1" applyFont="1" applyFill="1" applyBorder="1" applyAlignment="1"/>
    <xf numFmtId="43" fontId="62" fillId="0" borderId="9" xfId="1" applyFont="1" applyFill="1" applyBorder="1" applyAlignment="1">
      <alignment vertical="center"/>
    </xf>
    <xf numFmtId="43" fontId="61" fillId="0" borderId="30" xfId="1" applyFont="1" applyFill="1" applyBorder="1" applyAlignment="1">
      <alignment vertical="center"/>
    </xf>
    <xf numFmtId="3" fontId="33" fillId="0" borderId="47" xfId="4" applyNumberFormat="1" applyFont="1" applyFill="1" applyBorder="1" applyAlignment="1">
      <alignment vertical="center"/>
    </xf>
    <xf numFmtId="43" fontId="33" fillId="0" borderId="47" xfId="1" applyFont="1" applyFill="1" applyBorder="1" applyAlignment="1">
      <alignment vertical="center"/>
    </xf>
    <xf numFmtId="0" fontId="53" fillId="8" borderId="85" xfId="0" applyFont="1" applyFill="1" applyBorder="1" applyAlignment="1">
      <alignment vertical="center" wrapText="1"/>
    </xf>
    <xf numFmtId="0" fontId="33" fillId="8" borderId="0" xfId="0" applyFont="1" applyFill="1" applyBorder="1" applyAlignment="1">
      <alignment vertical="top"/>
    </xf>
    <xf numFmtId="0" fontId="54" fillId="6" borderId="34" xfId="4" applyFont="1" applyFill="1" applyBorder="1" applyAlignment="1">
      <alignment vertical="center"/>
    </xf>
    <xf numFmtId="0" fontId="54" fillId="6" borderId="32" xfId="4" applyFont="1" applyFill="1" applyBorder="1" applyAlignment="1">
      <alignment vertical="center"/>
    </xf>
    <xf numFmtId="0" fontId="54" fillId="6" borderId="84" xfId="4" applyFont="1" applyFill="1" applyBorder="1" applyAlignment="1">
      <alignment vertical="center"/>
    </xf>
    <xf numFmtId="0" fontId="54" fillId="6" borderId="30" xfId="4" applyFont="1" applyFill="1" applyBorder="1" applyAlignment="1">
      <alignment vertical="center"/>
    </xf>
    <xf numFmtId="0" fontId="54" fillId="6" borderId="31" xfId="4" applyFont="1" applyFill="1" applyBorder="1" applyAlignment="1">
      <alignment vertical="center"/>
    </xf>
    <xf numFmtId="3" fontId="62" fillId="32" borderId="30" xfId="6" applyNumberFormat="1" applyFont="1" applyFill="1" applyBorder="1" applyAlignment="1">
      <alignment horizontal="right" vertical="center"/>
    </xf>
    <xf numFmtId="3" fontId="62" fillId="32" borderId="30" xfId="6" applyNumberFormat="1" applyFont="1" applyFill="1" applyBorder="1" applyAlignment="1">
      <alignment vertical="center"/>
    </xf>
    <xf numFmtId="3" fontId="56" fillId="32" borderId="30" xfId="4" applyNumberFormat="1" applyFont="1" applyFill="1" applyBorder="1" applyAlignment="1">
      <alignment horizontal="right" vertical="center"/>
    </xf>
    <xf numFmtId="3" fontId="56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61" fillId="32" borderId="30" xfId="6" applyNumberFormat="1" applyFont="1" applyFill="1" applyBorder="1" applyAlignment="1">
      <alignment horizontal="right" vertical="center"/>
    </xf>
    <xf numFmtId="3" fontId="33" fillId="32" borderId="30" xfId="4" applyNumberFormat="1" applyFont="1" applyFill="1" applyBorder="1" applyAlignment="1">
      <alignment horizontal="right" vertical="center"/>
    </xf>
    <xf numFmtId="3" fontId="33" fillId="23" borderId="30" xfId="4" applyNumberFormat="1" applyFont="1" applyFill="1" applyBorder="1" applyAlignment="1">
      <alignment vertical="center"/>
    </xf>
    <xf numFmtId="0" fontId="54" fillId="6" borderId="85" xfId="4" applyFont="1" applyFill="1" applyBorder="1" applyAlignment="1">
      <alignment horizontal="left" vertical="center"/>
    </xf>
    <xf numFmtId="3" fontId="53" fillId="6" borderId="29" xfId="4" applyNumberFormat="1" applyFont="1" applyFill="1" applyBorder="1" applyAlignment="1">
      <alignment horizontal="right"/>
    </xf>
    <xf numFmtId="3" fontId="61" fillId="0" borderId="47" xfId="6" applyNumberFormat="1" applyFont="1" applyFill="1" applyBorder="1" applyAlignment="1">
      <alignment horizontal="right" vertical="center"/>
    </xf>
    <xf numFmtId="0" fontId="97" fillId="0" borderId="80" xfId="4" applyFont="1" applyFill="1" applyBorder="1" applyAlignment="1">
      <alignment horizontal="center" vertical="center"/>
    </xf>
    <xf numFmtId="3" fontId="98" fillId="2" borderId="0" xfId="0" applyNumberFormat="1" applyFont="1" applyFill="1" applyAlignment="1">
      <alignment vertical="center"/>
    </xf>
    <xf numFmtId="0" fontId="46" fillId="13" borderId="25" xfId="4" applyFont="1" applyFill="1" applyBorder="1" applyAlignment="1">
      <alignment horizontal="center" vertical="top"/>
    </xf>
    <xf numFmtId="3" fontId="33" fillId="13" borderId="69" xfId="4" applyNumberFormat="1" applyFont="1" applyFill="1" applyBorder="1" applyAlignment="1">
      <alignment vertical="top" wrapText="1"/>
    </xf>
    <xf numFmtId="3" fontId="47" fillId="27" borderId="41" xfId="4" applyNumberFormat="1" applyFont="1" applyFill="1" applyBorder="1" applyAlignment="1">
      <alignment horizontal="center" vertical="top" wrapText="1"/>
    </xf>
    <xf numFmtId="0" fontId="0" fillId="0" borderId="0" xfId="0" applyFont="1" applyBorder="1" applyAlignment="1">
      <alignment vertical="center"/>
    </xf>
    <xf numFmtId="3" fontId="60" fillId="0" borderId="72" xfId="4" applyNumberFormat="1" applyFont="1" applyFill="1" applyBorder="1" applyAlignment="1">
      <alignment horizontal="right"/>
    </xf>
    <xf numFmtId="3" fontId="60" fillId="0" borderId="74" xfId="4" applyNumberFormat="1" applyFont="1" applyFill="1" applyBorder="1" applyAlignment="1">
      <alignment horizontal="right"/>
    </xf>
    <xf numFmtId="0" fontId="54" fillId="8" borderId="19" xfId="4" applyFont="1" applyFill="1" applyBorder="1" applyAlignment="1">
      <alignment vertical="center" wrapText="1"/>
    </xf>
    <xf numFmtId="3" fontId="61" fillId="0" borderId="74" xfId="6" applyNumberFormat="1" applyFont="1" applyFill="1" applyBorder="1" applyAlignment="1">
      <alignment vertical="center"/>
    </xf>
    <xf numFmtId="0" fontId="54" fillId="8" borderId="19" xfId="4" applyFont="1" applyFill="1" applyBorder="1" applyAlignment="1">
      <alignment vertical="top" wrapText="1"/>
    </xf>
    <xf numFmtId="0" fontId="54" fillId="8" borderId="19" xfId="4" applyFont="1" applyFill="1" applyBorder="1" applyAlignment="1">
      <alignment horizontal="left" vertical="center" wrapText="1"/>
    </xf>
    <xf numFmtId="43" fontId="54" fillId="6" borderId="29" xfId="1" applyFont="1" applyFill="1" applyBorder="1" applyAlignment="1">
      <alignment horizontal="right" vertical="center"/>
    </xf>
    <xf numFmtId="43" fontId="56" fillId="0" borderId="29" xfId="1" applyFont="1" applyFill="1" applyBorder="1" applyAlignment="1">
      <alignment horizontal="right" vertical="center"/>
    </xf>
    <xf numFmtId="43" fontId="60" fillId="0" borderId="29" xfId="1" applyFont="1" applyFill="1" applyBorder="1" applyAlignment="1">
      <alignment horizontal="right" vertical="center"/>
    </xf>
    <xf numFmtId="43" fontId="56" fillId="2" borderId="29" xfId="1" applyFont="1" applyFill="1" applyBorder="1" applyAlignment="1"/>
    <xf numFmtId="43" fontId="60" fillId="2" borderId="47" xfId="1" applyFont="1" applyFill="1" applyBorder="1" applyAlignment="1"/>
    <xf numFmtId="43" fontId="54" fillId="6" borderId="30" xfId="1" applyFont="1" applyFill="1" applyBorder="1" applyAlignment="1">
      <alignment horizontal="right" vertical="center"/>
    </xf>
    <xf numFmtId="3" fontId="60" fillId="0" borderId="29" xfId="4" applyNumberFormat="1" applyFont="1" applyFill="1" applyBorder="1" applyAlignment="1">
      <alignment vertical="center"/>
    </xf>
    <xf numFmtId="43" fontId="62" fillId="0" borderId="30" xfId="1" applyFont="1" applyFill="1" applyBorder="1" applyAlignment="1">
      <alignment vertical="center"/>
    </xf>
    <xf numFmtId="43" fontId="33" fillId="0" borderId="47" xfId="1" applyFont="1" applyFill="1" applyBorder="1" applyAlignment="1">
      <alignment horizontal="right" vertical="center"/>
    </xf>
    <xf numFmtId="43" fontId="56" fillId="0" borderId="30" xfId="1" applyFont="1" applyFill="1" applyBorder="1" applyAlignment="1">
      <alignment horizontal="right" vertical="center"/>
    </xf>
    <xf numFmtId="3" fontId="53" fillId="8" borderId="0" xfId="4" applyNumberFormat="1" applyFont="1" applyFill="1" applyBorder="1" applyAlignment="1">
      <alignment horizontal="right" vertical="center"/>
    </xf>
    <xf numFmtId="3" fontId="53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60" fillId="0" borderId="51" xfId="4" applyNumberFormat="1" applyFont="1" applyFill="1" applyBorder="1" applyAlignment="1"/>
    <xf numFmtId="3" fontId="33" fillId="0" borderId="50" xfId="4" applyNumberFormat="1" applyFont="1" applyFill="1" applyBorder="1" applyAlignment="1">
      <alignment horizontal="right"/>
    </xf>
    <xf numFmtId="3" fontId="60" fillId="0" borderId="39" xfId="4" applyNumberFormat="1" applyFont="1" applyFill="1" applyBorder="1" applyAlignment="1">
      <alignment horizontal="right"/>
    </xf>
    <xf numFmtId="3" fontId="60" fillId="0" borderId="50" xfId="4" applyNumberFormat="1" applyFont="1" applyFill="1" applyBorder="1" applyAlignment="1">
      <alignment horizontal="right"/>
    </xf>
    <xf numFmtId="3" fontId="33" fillId="0" borderId="78" xfId="4" applyNumberFormat="1" applyFont="1" applyFill="1" applyBorder="1" applyAlignment="1">
      <alignment horizontal="right"/>
    </xf>
    <xf numFmtId="3" fontId="54" fillId="26" borderId="51" xfId="4" applyNumberFormat="1" applyFont="1" applyFill="1" applyBorder="1" applyAlignment="1">
      <alignment horizontal="center" vertical="center"/>
    </xf>
    <xf numFmtId="0" fontId="51" fillId="0" borderId="40" xfId="0" applyFont="1" applyBorder="1" applyAlignment="1">
      <alignment horizontal="center" vertical="center" wrapText="1"/>
    </xf>
    <xf numFmtId="3" fontId="33" fillId="0" borderId="47" xfId="0" applyNumberFormat="1" applyFont="1" applyFill="1" applyBorder="1" applyAlignment="1">
      <alignment horizontal="right" vertical="center"/>
    </xf>
    <xf numFmtId="43" fontId="52" fillId="6" borderId="29" xfId="1" applyFont="1" applyFill="1" applyBorder="1" applyAlignment="1">
      <alignment horizontal="right" vertical="center"/>
    </xf>
    <xf numFmtId="43" fontId="62" fillId="0" borderId="29" xfId="1" applyFont="1" applyFill="1" applyBorder="1" applyAlignment="1">
      <alignment horizontal="right" vertical="center"/>
    </xf>
    <xf numFmtId="3" fontId="60" fillId="0" borderId="64" xfId="4" applyNumberFormat="1" applyFont="1" applyFill="1" applyBorder="1" applyAlignment="1">
      <alignment horizontal="right" vertical="center"/>
    </xf>
    <xf numFmtId="3" fontId="60" fillId="2" borderId="65" xfId="4" applyNumberFormat="1" applyFont="1" applyFill="1" applyBorder="1" applyAlignment="1">
      <alignment horizontal="right" vertical="center"/>
    </xf>
    <xf numFmtId="43" fontId="60" fillId="0" borderId="65" xfId="1" applyFont="1" applyFill="1" applyBorder="1" applyAlignment="1">
      <alignment horizontal="right" vertical="center"/>
    </xf>
    <xf numFmtId="43" fontId="60" fillId="0" borderId="30" xfId="1" applyFont="1" applyFill="1" applyBorder="1" applyAlignment="1">
      <alignment horizontal="right" vertical="center"/>
    </xf>
    <xf numFmtId="43" fontId="56" fillId="0" borderId="71" xfId="1" applyFont="1" applyFill="1" applyBorder="1" applyAlignment="1">
      <alignment horizontal="right" vertical="center"/>
    </xf>
    <xf numFmtId="43" fontId="60" fillId="0" borderId="47" xfId="1" applyFont="1" applyFill="1" applyBorder="1" applyAlignment="1">
      <alignment horizontal="right" vertical="center"/>
    </xf>
    <xf numFmtId="43" fontId="60" fillId="0" borderId="75" xfId="1" applyFont="1" applyFill="1" applyBorder="1" applyAlignment="1">
      <alignment horizontal="right" vertical="center"/>
    </xf>
    <xf numFmtId="0" fontId="15" fillId="18" borderId="3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vertical="center"/>
    </xf>
    <xf numFmtId="0" fontId="4" fillId="18" borderId="2" xfId="0" applyFont="1" applyFill="1" applyBorder="1" applyAlignment="1">
      <alignment vertical="center"/>
    </xf>
    <xf numFmtId="0" fontId="4" fillId="18" borderId="3" xfId="0" applyFont="1" applyFill="1" applyBorder="1" applyAlignment="1">
      <alignment vertical="center"/>
    </xf>
    <xf numFmtId="0" fontId="4" fillId="18" borderId="5" xfId="0" applyFont="1" applyFill="1" applyBorder="1" applyAlignment="1">
      <alignment vertical="center"/>
    </xf>
    <xf numFmtId="0" fontId="4" fillId="18" borderId="4" xfId="0" applyFont="1" applyFill="1" applyBorder="1" applyAlignment="1">
      <alignment vertical="center"/>
    </xf>
    <xf numFmtId="0" fontId="15" fillId="18" borderId="24" xfId="0" applyFont="1" applyFill="1" applyBorder="1" applyAlignment="1">
      <alignment horizontal="center" vertical="center"/>
    </xf>
    <xf numFmtId="3" fontId="15" fillId="18" borderId="12" xfId="0" applyNumberFormat="1" applyFont="1" applyFill="1" applyBorder="1" applyAlignment="1">
      <alignment vertical="center"/>
    </xf>
    <xf numFmtId="3" fontId="15" fillId="18" borderId="74" xfId="0" applyNumberFormat="1" applyFont="1" applyFill="1" applyBorder="1" applyAlignment="1">
      <alignment vertical="center"/>
    </xf>
    <xf numFmtId="3" fontId="15" fillId="18" borderId="25" xfId="0" applyNumberFormat="1" applyFont="1" applyFill="1" applyBorder="1" applyAlignment="1">
      <alignment vertical="center"/>
    </xf>
    <xf numFmtId="3" fontId="15" fillId="18" borderId="23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16" borderId="0" xfId="0" applyFont="1" applyFill="1" applyBorder="1"/>
    <xf numFmtId="3" fontId="4" fillId="8" borderId="0" xfId="0" applyNumberFormat="1" applyFont="1" applyFill="1" applyBorder="1"/>
    <xf numFmtId="3" fontId="14" fillId="16" borderId="0" xfId="0" applyNumberFormat="1" applyFont="1" applyFill="1" applyBorder="1" applyAlignment="1">
      <alignment horizontal="center"/>
    </xf>
    <xf numFmtId="3" fontId="4" fillId="8" borderId="0" xfId="0" applyNumberFormat="1" applyFont="1" applyFill="1" applyBorder="1" applyAlignment="1">
      <alignment vertical="center"/>
    </xf>
    <xf numFmtId="0" fontId="4" fillId="18" borderId="0" xfId="0" applyFont="1" applyFill="1" applyBorder="1" applyAlignment="1">
      <alignment vertical="center"/>
    </xf>
    <xf numFmtId="3" fontId="15" fillId="18" borderId="0" xfId="0" applyNumberFormat="1" applyFont="1" applyFill="1" applyBorder="1" applyAlignment="1">
      <alignment vertical="center"/>
    </xf>
    <xf numFmtId="3" fontId="19" fillId="11" borderId="0" xfId="0" applyNumberFormat="1" applyFont="1" applyFill="1" applyBorder="1"/>
    <xf numFmtId="3" fontId="35" fillId="18" borderId="0" xfId="0" applyNumberFormat="1" applyFont="1" applyFill="1" applyBorder="1" applyAlignment="1">
      <alignment vertical="top"/>
    </xf>
    <xf numFmtId="3" fontId="15" fillId="18" borderId="0" xfId="0" applyNumberFormat="1" applyFont="1" applyFill="1" applyBorder="1" applyAlignment="1">
      <alignment horizontal="center"/>
    </xf>
    <xf numFmtId="43" fontId="4" fillId="11" borderId="0" xfId="1" applyFont="1" applyFill="1" applyBorder="1"/>
    <xf numFmtId="43" fontId="4" fillId="11" borderId="0" xfId="1" applyFont="1" applyFill="1" applyBorder="1" applyAlignment="1">
      <alignment vertical="center"/>
    </xf>
    <xf numFmtId="3" fontId="4" fillId="18" borderId="0" xfId="0" applyNumberFormat="1" applyFont="1" applyFill="1" applyBorder="1"/>
    <xf numFmtId="3" fontId="62" fillId="24" borderId="10" xfId="6" applyNumberFormat="1" applyFont="1" applyFill="1" applyBorder="1" applyAlignment="1">
      <alignment horizontal="center" vertical="center"/>
    </xf>
    <xf numFmtId="3" fontId="62" fillId="24" borderId="74" xfId="6" applyNumberFormat="1" applyFont="1" applyFill="1" applyBorder="1" applyAlignment="1">
      <alignment horizontal="center" vertical="center"/>
    </xf>
    <xf numFmtId="3" fontId="56" fillId="25" borderId="10" xfId="4" applyNumberFormat="1" applyFont="1" applyFill="1" applyBorder="1" applyAlignment="1">
      <alignment horizontal="right" vertical="center"/>
    </xf>
    <xf numFmtId="0" fontId="24" fillId="62" borderId="38" xfId="0" applyFont="1" applyFill="1" applyBorder="1" applyAlignment="1">
      <alignment vertical="center"/>
    </xf>
    <xf numFmtId="3" fontId="22" fillId="62" borderId="39" xfId="0" applyNumberFormat="1" applyFont="1" applyFill="1" applyBorder="1" applyAlignment="1">
      <alignment vertical="center" wrapText="1"/>
    </xf>
    <xf numFmtId="3" fontId="18" fillId="62" borderId="39" xfId="0" applyNumberFormat="1" applyFont="1" applyFill="1" applyBorder="1" applyAlignment="1">
      <alignment vertical="center" wrapText="1"/>
    </xf>
    <xf numFmtId="3" fontId="22" fillId="62" borderId="40" xfId="0" applyNumberFormat="1" applyFont="1" applyFill="1" applyBorder="1" applyAlignment="1">
      <alignment vertical="center" wrapText="1"/>
    </xf>
    <xf numFmtId="3" fontId="22" fillId="62" borderId="12" xfId="0" applyNumberFormat="1" applyFont="1" applyFill="1" applyBorder="1" applyAlignment="1">
      <alignment vertical="center" wrapText="1"/>
    </xf>
    <xf numFmtId="3" fontId="18" fillId="62" borderId="12" xfId="0" applyNumberFormat="1" applyFont="1" applyFill="1" applyBorder="1" applyAlignment="1">
      <alignment vertical="center" wrapText="1"/>
    </xf>
    <xf numFmtId="3" fontId="22" fillId="62" borderId="41" xfId="0" applyNumberFormat="1" applyFont="1" applyFill="1" applyBorder="1" applyAlignment="1">
      <alignment horizontal="center" vertical="center" wrapText="1"/>
    </xf>
    <xf numFmtId="0" fontId="17" fillId="0" borderId="66" xfId="0" quotePrefix="1" applyFont="1" applyBorder="1" applyAlignment="1">
      <alignment horizontal="center"/>
    </xf>
    <xf numFmtId="3" fontId="18" fillId="4" borderId="45" xfId="0" applyNumberFormat="1" applyFont="1" applyFill="1" applyBorder="1" applyAlignment="1">
      <alignment horizontal="right" vertical="center" wrapText="1"/>
    </xf>
    <xf numFmtId="3" fontId="15" fillId="4" borderId="36" xfId="0" applyNumberFormat="1" applyFont="1" applyFill="1" applyBorder="1" applyAlignment="1">
      <alignment horizontal="right" vertical="center" wrapText="1"/>
    </xf>
    <xf numFmtId="3" fontId="15" fillId="4" borderId="69" xfId="0" applyNumberFormat="1" applyFont="1" applyFill="1" applyBorder="1" applyAlignment="1">
      <alignment horizontal="right" vertical="center" wrapText="1"/>
    </xf>
    <xf numFmtId="3" fontId="17" fillId="0" borderId="36" xfId="0" applyNumberFormat="1" applyFont="1" applyFill="1" applyBorder="1" applyAlignment="1">
      <alignment vertical="center" wrapText="1"/>
    </xf>
    <xf numFmtId="3" fontId="21" fillId="8" borderId="36" xfId="0" applyNumberFormat="1" applyFont="1" applyFill="1" applyBorder="1" applyAlignment="1">
      <alignment horizontal="right" vertical="center" wrapText="1"/>
    </xf>
    <xf numFmtId="3" fontId="4" fillId="0" borderId="36" xfId="0" applyNumberFormat="1" applyFont="1" applyFill="1" applyBorder="1" applyAlignment="1">
      <alignment vertical="center" wrapText="1"/>
    </xf>
    <xf numFmtId="3" fontId="21" fillId="8" borderId="34" xfId="0" applyNumberFormat="1" applyFont="1" applyFill="1" applyBorder="1" applyAlignment="1">
      <alignment vertical="center" wrapText="1"/>
    </xf>
    <xf numFmtId="3" fontId="22" fillId="6" borderId="34" xfId="0" applyNumberFormat="1" applyFont="1" applyFill="1" applyBorder="1" applyAlignment="1">
      <alignment wrapText="1"/>
    </xf>
    <xf numFmtId="3" fontId="17" fillId="2" borderId="67" xfId="0" applyNumberFormat="1" applyFont="1" applyFill="1" applyBorder="1" applyAlignment="1">
      <alignment vertical="center" wrapText="1"/>
    </xf>
    <xf numFmtId="43" fontId="4" fillId="0" borderId="47" xfId="1" applyFont="1" applyFill="1" applyBorder="1" applyAlignment="1">
      <alignment vertical="center" wrapText="1"/>
    </xf>
    <xf numFmtId="3" fontId="4" fillId="0" borderId="47" xfId="0" applyNumberFormat="1" applyFont="1" applyFill="1" applyBorder="1" applyAlignment="1">
      <alignment vertical="center" wrapText="1"/>
    </xf>
    <xf numFmtId="3" fontId="4" fillId="2" borderId="69" xfId="0" applyNumberFormat="1" applyFont="1" applyFill="1" applyBorder="1" applyAlignment="1">
      <alignment vertical="center" wrapText="1"/>
    </xf>
    <xf numFmtId="3" fontId="100" fillId="0" borderId="0" xfId="0" applyNumberFormat="1" applyFont="1" applyFill="1" applyAlignment="1">
      <alignment vertical="center"/>
    </xf>
    <xf numFmtId="0" fontId="33" fillId="0" borderId="25" xfId="0" applyFont="1" applyFill="1" applyBorder="1" applyAlignment="1">
      <alignment horizontal="left" vertical="center"/>
    </xf>
    <xf numFmtId="3" fontId="4" fillId="8" borderId="35" xfId="0" applyNumberFormat="1" applyFont="1" applyFill="1" applyBorder="1"/>
    <xf numFmtId="3" fontId="22" fillId="62" borderId="80" xfId="0" applyNumberFormat="1" applyFont="1" applyFill="1" applyBorder="1" applyAlignment="1">
      <alignment vertical="center" wrapText="1"/>
    </xf>
    <xf numFmtId="3" fontId="22" fillId="62" borderId="69" xfId="0" applyNumberFormat="1" applyFont="1" applyFill="1" applyBorder="1" applyAlignment="1">
      <alignment vertical="center" wrapText="1"/>
    </xf>
    <xf numFmtId="0" fontId="14" fillId="0" borderId="63" xfId="0" applyFont="1" applyBorder="1" applyAlignment="1">
      <alignment horizontal="center" vertical="center"/>
    </xf>
    <xf numFmtId="3" fontId="17" fillId="0" borderId="4" xfId="0" quotePrefix="1" applyNumberFormat="1" applyFont="1" applyBorder="1" applyAlignment="1">
      <alignment horizontal="center"/>
    </xf>
    <xf numFmtId="3" fontId="17" fillId="0" borderId="35" xfId="0" applyNumberFormat="1" applyFont="1" applyFill="1" applyBorder="1" applyAlignment="1">
      <alignment vertical="center" wrapText="1"/>
    </xf>
    <xf numFmtId="3" fontId="53" fillId="6" borderId="65" xfId="4" applyNumberFormat="1" applyFont="1" applyFill="1" applyBorder="1" applyAlignment="1"/>
    <xf numFmtId="3" fontId="62" fillId="0" borderId="13" xfId="6" applyNumberFormat="1" applyFont="1" applyFill="1" applyBorder="1" applyAlignment="1">
      <alignment vertical="center"/>
    </xf>
    <xf numFmtId="3" fontId="62" fillId="0" borderId="0" xfId="6" applyNumberFormat="1" applyFont="1" applyFill="1" applyBorder="1" applyAlignment="1">
      <alignment horizontal="right" vertical="center"/>
    </xf>
    <xf numFmtId="3" fontId="52" fillId="6" borderId="0" xfId="6" applyNumberFormat="1" applyFont="1" applyFill="1" applyBorder="1" applyAlignment="1">
      <alignment horizontal="right" vertical="center"/>
    </xf>
    <xf numFmtId="3" fontId="33" fillId="13" borderId="79" xfId="4" applyNumberFormat="1" applyFont="1" applyFill="1" applyBorder="1" applyAlignment="1">
      <alignment horizontal="right" vertical="center"/>
    </xf>
    <xf numFmtId="3" fontId="33" fillId="13" borderId="18" xfId="4" applyNumberFormat="1" applyFont="1" applyFill="1" applyBorder="1" applyAlignment="1">
      <alignment horizontal="right" vertical="center"/>
    </xf>
    <xf numFmtId="3" fontId="33" fillId="0" borderId="71" xfId="4" applyNumberFormat="1" applyFont="1" applyFill="1" applyBorder="1" applyAlignment="1">
      <alignment horizontal="right" vertical="center"/>
    </xf>
    <xf numFmtId="3" fontId="53" fillId="6" borderId="27" xfId="4" applyNumberFormat="1" applyFont="1" applyFill="1" applyBorder="1" applyAlignment="1"/>
    <xf numFmtId="0" fontId="102" fillId="32" borderId="13" xfId="0" applyFont="1" applyFill="1" applyBorder="1" applyAlignment="1">
      <alignment horizontal="center" vertical="center"/>
    </xf>
    <xf numFmtId="3" fontId="99" fillId="32" borderId="15" xfId="0" quotePrefix="1" applyNumberFormat="1" applyFont="1" applyFill="1" applyBorder="1" applyAlignment="1">
      <alignment horizontal="center"/>
    </xf>
    <xf numFmtId="3" fontId="103" fillId="32" borderId="17" xfId="0" applyNumberFormat="1" applyFont="1" applyFill="1" applyBorder="1" applyAlignment="1">
      <alignment horizontal="right" vertical="center" wrapText="1"/>
    </xf>
    <xf numFmtId="3" fontId="102" fillId="32" borderId="9" xfId="0" quotePrefix="1" applyNumberFormat="1" applyFont="1" applyFill="1" applyBorder="1" applyAlignment="1">
      <alignment horizontal="right" vertical="center"/>
    </xf>
    <xf numFmtId="3" fontId="102" fillId="32" borderId="23" xfId="0" quotePrefix="1" applyNumberFormat="1" applyFont="1" applyFill="1" applyBorder="1" applyAlignment="1">
      <alignment horizontal="right" vertical="center"/>
    </xf>
    <xf numFmtId="3" fontId="99" fillId="32" borderId="0" xfId="0" applyNumberFormat="1" applyFont="1" applyFill="1" applyBorder="1" applyAlignment="1">
      <alignment vertical="center" wrapText="1"/>
    </xf>
    <xf numFmtId="3" fontId="103" fillId="32" borderId="30" xfId="0" applyNumberFormat="1" applyFont="1" applyFill="1" applyBorder="1" applyAlignment="1">
      <alignment horizontal="right" vertical="center" wrapText="1"/>
    </xf>
    <xf numFmtId="3" fontId="104" fillId="32" borderId="9" xfId="0" applyNumberFormat="1" applyFont="1" applyFill="1" applyBorder="1" applyAlignment="1">
      <alignment horizontal="right" vertical="center" wrapText="1"/>
    </xf>
    <xf numFmtId="3" fontId="100" fillId="32" borderId="9" xfId="0" applyNumberFormat="1" applyFont="1" applyFill="1" applyBorder="1" applyAlignment="1">
      <alignment vertical="center" wrapText="1"/>
    </xf>
    <xf numFmtId="3" fontId="100" fillId="32" borderId="29" xfId="0" applyNumberFormat="1" applyFont="1" applyFill="1" applyBorder="1" applyAlignment="1">
      <alignment vertical="center" wrapText="1"/>
    </xf>
    <xf numFmtId="3" fontId="100" fillId="32" borderId="30" xfId="0" applyNumberFormat="1" applyFont="1" applyFill="1" applyBorder="1" applyAlignment="1">
      <alignment vertical="center" wrapText="1"/>
    </xf>
    <xf numFmtId="3" fontId="100" fillId="32" borderId="27" xfId="0" applyNumberFormat="1" applyFont="1" applyFill="1" applyBorder="1" applyAlignment="1">
      <alignment vertical="center" wrapText="1"/>
    </xf>
    <xf numFmtId="3" fontId="104" fillId="32" borderId="29" xfId="0" applyNumberFormat="1" applyFont="1" applyFill="1" applyBorder="1" applyAlignment="1">
      <alignment vertical="center" wrapText="1"/>
    </xf>
    <xf numFmtId="3" fontId="103" fillId="32" borderId="30" xfId="0" applyNumberFormat="1" applyFont="1" applyFill="1" applyBorder="1" applyAlignment="1">
      <alignment wrapText="1"/>
    </xf>
    <xf numFmtId="43" fontId="100" fillId="32" borderId="27" xfId="1" applyFont="1" applyFill="1" applyBorder="1" applyAlignment="1">
      <alignment vertical="center" wrapText="1"/>
    </xf>
    <xf numFmtId="3" fontId="104" fillId="32" borderId="30" xfId="0" applyNumberFormat="1" applyFont="1" applyFill="1" applyBorder="1" applyAlignment="1">
      <alignment vertical="center" wrapText="1"/>
    </xf>
    <xf numFmtId="3" fontId="99" fillId="32" borderId="9" xfId="0" applyNumberFormat="1" applyFont="1" applyFill="1" applyBorder="1" applyAlignment="1">
      <alignment vertical="center" wrapText="1"/>
    </xf>
    <xf numFmtId="3" fontId="103" fillId="32" borderId="39" xfId="0" applyNumberFormat="1" applyFont="1" applyFill="1" applyBorder="1" applyAlignment="1">
      <alignment vertical="center" wrapText="1"/>
    </xf>
    <xf numFmtId="3" fontId="103" fillId="32" borderId="12" xfId="0" applyNumberFormat="1" applyFont="1" applyFill="1" applyBorder="1" applyAlignment="1">
      <alignment vertical="center" wrapText="1"/>
    </xf>
    <xf numFmtId="3" fontId="102" fillId="32" borderId="47" xfId="0" quotePrefix="1" applyNumberFormat="1" applyFont="1" applyFill="1" applyBorder="1" applyAlignment="1">
      <alignment horizontal="right"/>
    </xf>
    <xf numFmtId="3" fontId="104" fillId="32" borderId="35" xfId="0" applyNumberFormat="1" applyFont="1" applyFill="1" applyBorder="1" applyAlignment="1">
      <alignment horizontal="right" vertical="center" wrapText="1"/>
    </xf>
    <xf numFmtId="3" fontId="100" fillId="32" borderId="35" xfId="0" applyNumberFormat="1" applyFont="1" applyFill="1" applyBorder="1" applyAlignment="1">
      <alignment vertical="center" wrapText="1"/>
    </xf>
    <xf numFmtId="3" fontId="103" fillId="32" borderId="30" xfId="0" applyNumberFormat="1" applyFont="1" applyFill="1" applyBorder="1" applyAlignment="1">
      <alignment vertical="center" wrapText="1"/>
    </xf>
    <xf numFmtId="3" fontId="100" fillId="32" borderId="47" xfId="0" applyNumberFormat="1" applyFont="1" applyFill="1" applyBorder="1" applyAlignment="1">
      <alignment vertical="center" wrapText="1"/>
    </xf>
    <xf numFmtId="3" fontId="103" fillId="32" borderId="0" xfId="0" applyNumberFormat="1" applyFont="1" applyFill="1" applyBorder="1" applyAlignment="1">
      <alignment vertical="center" wrapText="1"/>
    </xf>
    <xf numFmtId="3" fontId="103" fillId="32" borderId="54" xfId="0" applyNumberFormat="1" applyFont="1" applyFill="1" applyBorder="1" applyAlignment="1">
      <alignment vertical="center" wrapText="1"/>
    </xf>
    <xf numFmtId="3" fontId="105" fillId="32" borderId="35" xfId="0" applyNumberFormat="1" applyFont="1" applyFill="1" applyBorder="1" applyAlignment="1">
      <alignment vertical="center" wrapText="1"/>
    </xf>
    <xf numFmtId="3" fontId="103" fillId="32" borderId="58" xfId="0" applyNumberFormat="1" applyFont="1" applyFill="1" applyBorder="1" applyAlignment="1">
      <alignment vertical="center" wrapText="1"/>
    </xf>
    <xf numFmtId="3" fontId="4" fillId="2" borderId="49" xfId="0" applyNumberFormat="1" applyFont="1" applyFill="1" applyBorder="1" applyAlignment="1">
      <alignment vertical="center" wrapText="1"/>
    </xf>
    <xf numFmtId="3" fontId="23" fillId="8" borderId="36" xfId="0" applyNumberFormat="1" applyFont="1" applyFill="1" applyBorder="1" applyAlignment="1">
      <alignment vertical="center" wrapText="1"/>
    </xf>
    <xf numFmtId="0" fontId="54" fillId="32" borderId="12" xfId="4" applyFont="1" applyFill="1" applyBorder="1" applyAlignment="1">
      <alignment horizontal="center" vertical="center" wrapText="1"/>
    </xf>
    <xf numFmtId="3" fontId="53" fillId="23" borderId="70" xfId="4" applyNumberFormat="1" applyFont="1" applyFill="1" applyBorder="1" applyAlignment="1">
      <alignment horizontal="right" vertical="center"/>
    </xf>
    <xf numFmtId="3" fontId="33" fillId="8" borderId="76" xfId="4" applyNumberFormat="1" applyFont="1" applyFill="1" applyBorder="1" applyAlignment="1">
      <alignment vertical="top" wrapText="1"/>
    </xf>
    <xf numFmtId="3" fontId="70" fillId="0" borderId="42" xfId="0" applyNumberFormat="1" applyFont="1" applyFill="1" applyBorder="1" applyAlignment="1">
      <alignment horizontal="center" vertical="center" wrapText="1"/>
    </xf>
    <xf numFmtId="3" fontId="53" fillId="6" borderId="64" xfId="4" applyNumberFormat="1" applyFont="1" applyFill="1" applyBorder="1" applyAlignment="1"/>
    <xf numFmtId="0" fontId="53" fillId="13" borderId="36" xfId="4" applyFont="1" applyFill="1" applyBorder="1" applyAlignment="1">
      <alignment vertical="center" wrapText="1"/>
    </xf>
    <xf numFmtId="3" fontId="60" fillId="0" borderId="30" xfId="4" applyNumberFormat="1" applyFont="1" applyFill="1" applyBorder="1" applyAlignment="1"/>
    <xf numFmtId="3" fontId="62" fillId="25" borderId="10" xfId="6" applyNumberFormat="1" applyFont="1" applyFill="1" applyBorder="1" applyAlignment="1">
      <alignment vertical="center"/>
    </xf>
    <xf numFmtId="3" fontId="60" fillId="25" borderId="10" xfId="4" applyNumberFormat="1" applyFont="1" applyFill="1" applyBorder="1" applyAlignment="1">
      <alignment horizontal="right" vertical="center"/>
    </xf>
    <xf numFmtId="3" fontId="60" fillId="25" borderId="8" xfId="4" applyNumberFormat="1" applyFont="1" applyFill="1" applyBorder="1" applyAlignment="1">
      <alignment horizontal="right" vertical="center"/>
    </xf>
    <xf numFmtId="3" fontId="60" fillId="0" borderId="72" xfId="4" applyNumberFormat="1" applyFont="1" applyFill="1" applyBorder="1" applyAlignment="1"/>
    <xf numFmtId="3" fontId="60" fillId="0" borderId="47" xfId="4" applyNumberFormat="1" applyFont="1" applyFill="1" applyBorder="1" applyAlignment="1"/>
    <xf numFmtId="0" fontId="53" fillId="8" borderId="19" xfId="4" applyFont="1" applyFill="1" applyBorder="1" applyAlignment="1">
      <alignment vertical="top" wrapText="1"/>
    </xf>
    <xf numFmtId="3" fontId="60" fillId="0" borderId="71" xfId="4" applyNumberFormat="1" applyFont="1" applyFill="1" applyBorder="1" applyAlignment="1">
      <alignment horizontal="right" vertical="center"/>
    </xf>
    <xf numFmtId="3" fontId="54" fillId="23" borderId="2" xfId="4" applyNumberFormat="1" applyFont="1" applyFill="1" applyBorder="1" applyAlignment="1">
      <alignment horizontal="right" vertical="center"/>
    </xf>
    <xf numFmtId="3" fontId="33" fillId="2" borderId="74" xfId="4" applyNumberFormat="1" applyFont="1" applyFill="1" applyBorder="1" applyAlignment="1"/>
    <xf numFmtId="43" fontId="60" fillId="0" borderId="29" xfId="1" applyFont="1" applyFill="1" applyBorder="1" applyAlignment="1"/>
    <xf numFmtId="43" fontId="60" fillId="0" borderId="72" xfId="1" applyFont="1" applyFill="1" applyBorder="1" applyAlignment="1"/>
    <xf numFmtId="0" fontId="0" fillId="0" borderId="25" xfId="0" applyFont="1" applyBorder="1" applyAlignment="1">
      <alignment vertical="center"/>
    </xf>
    <xf numFmtId="0" fontId="54" fillId="6" borderId="29" xfId="4" applyFont="1" applyFill="1" applyBorder="1" applyAlignment="1">
      <alignment vertical="center"/>
    </xf>
    <xf numFmtId="3" fontId="15" fillId="15" borderId="39" xfId="0" applyNumberFormat="1" applyFont="1" applyFill="1" applyBorder="1" applyAlignment="1">
      <alignment vertical="center"/>
    </xf>
    <xf numFmtId="3" fontId="15" fillId="15" borderId="78" xfId="0" applyNumberFormat="1" applyFont="1" applyFill="1" applyBorder="1" applyAlignment="1">
      <alignment vertical="center"/>
    </xf>
    <xf numFmtId="3" fontId="15" fillId="15" borderId="52" xfId="0" applyNumberFormat="1" applyFont="1" applyFill="1" applyBorder="1" applyAlignment="1">
      <alignment vertical="center"/>
    </xf>
    <xf numFmtId="3" fontId="15" fillId="15" borderId="50" xfId="0" applyNumberFormat="1" applyFont="1" applyFill="1" applyBorder="1" applyAlignment="1">
      <alignment vertical="center"/>
    </xf>
    <xf numFmtId="3" fontId="15" fillId="16" borderId="12" xfId="5" applyNumberFormat="1" applyFont="1" applyFill="1" applyBorder="1" applyAlignment="1">
      <alignment vertical="center"/>
    </xf>
    <xf numFmtId="3" fontId="15" fillId="16" borderId="25" xfId="5" applyNumberFormat="1" applyFont="1" applyFill="1" applyBorder="1" applyAlignment="1">
      <alignment vertical="center"/>
    </xf>
    <xf numFmtId="3" fontId="15" fillId="16" borderId="23" xfId="5" applyNumberFormat="1" applyFont="1" applyFill="1" applyBorder="1" applyAlignment="1">
      <alignment vertical="center"/>
    </xf>
    <xf numFmtId="3" fontId="15" fillId="16" borderId="24" xfId="5" applyNumberFormat="1" applyFont="1" applyFill="1" applyBorder="1" applyAlignment="1">
      <alignment vertical="center"/>
    </xf>
    <xf numFmtId="43" fontId="60" fillId="0" borderId="72" xfId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48" fillId="2" borderId="2" xfId="0" applyFont="1" applyFill="1" applyBorder="1" applyAlignment="1">
      <alignment vertical="center" wrapText="1"/>
    </xf>
    <xf numFmtId="0" fontId="48" fillId="2" borderId="3" xfId="0" applyFont="1" applyFill="1" applyBorder="1" applyAlignment="1">
      <alignment vertical="center" wrapText="1"/>
    </xf>
    <xf numFmtId="3" fontId="56" fillId="0" borderId="91" xfId="4" applyNumberFormat="1" applyFont="1" applyFill="1" applyBorder="1" applyAlignment="1">
      <alignment horizontal="right" vertical="center"/>
    </xf>
    <xf numFmtId="3" fontId="56" fillId="0" borderId="93" xfId="4" applyNumberFormat="1" applyFont="1" applyFill="1" applyBorder="1" applyAlignment="1">
      <alignment horizontal="right" vertical="center"/>
    </xf>
    <xf numFmtId="43" fontId="62" fillId="0" borderId="93" xfId="1" applyFont="1" applyFill="1" applyBorder="1" applyAlignment="1">
      <alignment horizontal="right" vertical="center"/>
    </xf>
    <xf numFmtId="3" fontId="56" fillId="25" borderId="93" xfId="4" applyNumberFormat="1" applyFont="1" applyFill="1" applyBorder="1" applyAlignment="1">
      <alignment horizontal="right" vertical="center"/>
    </xf>
    <xf numFmtId="3" fontId="60" fillId="0" borderId="95" xfId="4" applyNumberFormat="1" applyFont="1" applyFill="1" applyBorder="1" applyAlignment="1"/>
    <xf numFmtId="3" fontId="60" fillId="0" borderId="91" xfId="4" applyNumberFormat="1" applyFont="1" applyFill="1" applyBorder="1" applyAlignment="1">
      <alignment horizontal="right" vertical="center"/>
    </xf>
    <xf numFmtId="3" fontId="33" fillId="0" borderId="91" xfId="4" applyNumberFormat="1" applyFont="1" applyFill="1" applyBorder="1" applyAlignment="1">
      <alignment horizontal="right" vertical="center"/>
    </xf>
    <xf numFmtId="3" fontId="60" fillId="0" borderId="93" xfId="4" applyNumberFormat="1" applyFont="1" applyFill="1" applyBorder="1" applyAlignment="1"/>
    <xf numFmtId="43" fontId="60" fillId="0" borderId="95" xfId="1" applyFont="1" applyFill="1" applyBorder="1" applyAlignment="1">
      <alignment horizontal="right" vertical="center"/>
    </xf>
    <xf numFmtId="3" fontId="60" fillId="25" borderId="93" xfId="4" applyNumberFormat="1" applyFont="1" applyFill="1" applyBorder="1" applyAlignment="1">
      <alignment horizontal="right" vertical="center"/>
    </xf>
    <xf numFmtId="3" fontId="33" fillId="0" borderId="96" xfId="4" applyNumberFormat="1" applyFont="1" applyFill="1" applyBorder="1" applyAlignment="1">
      <alignment horizontal="right" vertical="center"/>
    </xf>
    <xf numFmtId="43" fontId="60" fillId="0" borderId="96" xfId="1" applyFont="1" applyFill="1" applyBorder="1" applyAlignment="1">
      <alignment horizontal="right" vertical="center"/>
    </xf>
    <xf numFmtId="43" fontId="33" fillId="0" borderId="96" xfId="1" applyFont="1" applyFill="1" applyBorder="1" applyAlignment="1">
      <alignment horizontal="right" vertical="center"/>
    </xf>
    <xf numFmtId="3" fontId="53" fillId="6" borderId="91" xfId="4" applyNumberFormat="1" applyFont="1" applyFill="1" applyBorder="1" applyAlignment="1"/>
    <xf numFmtId="43" fontId="53" fillId="6" borderId="91" xfId="1" applyFont="1" applyFill="1" applyBorder="1" applyAlignment="1"/>
    <xf numFmtId="43" fontId="56" fillId="0" borderId="91" xfId="1" applyFont="1" applyFill="1" applyBorder="1" applyAlignment="1">
      <alignment horizontal="right" vertical="center"/>
    </xf>
    <xf numFmtId="43" fontId="56" fillId="0" borderId="93" xfId="1" applyFont="1" applyFill="1" applyBorder="1" applyAlignment="1">
      <alignment horizontal="right" vertical="center"/>
    </xf>
    <xf numFmtId="3" fontId="60" fillId="0" borderId="93" xfId="4" applyNumberFormat="1" applyFont="1" applyFill="1" applyBorder="1" applyAlignment="1">
      <alignment horizontal="right" vertical="center"/>
    </xf>
    <xf numFmtId="3" fontId="61" fillId="0" borderId="93" xfId="6" applyNumberFormat="1" applyFont="1" applyFill="1" applyBorder="1" applyAlignment="1">
      <alignment vertical="center"/>
    </xf>
    <xf numFmtId="3" fontId="54" fillId="22" borderId="91" xfId="4" applyNumberFormat="1" applyFont="1" applyFill="1" applyBorder="1" applyAlignment="1">
      <alignment horizontal="right" vertical="center"/>
    </xf>
    <xf numFmtId="3" fontId="33" fillId="0" borderId="95" xfId="4" applyNumberFormat="1" applyFont="1" applyFill="1" applyBorder="1" applyAlignment="1">
      <alignment horizontal="right" vertical="center"/>
    </xf>
    <xf numFmtId="3" fontId="62" fillId="0" borderId="93" xfId="6" applyNumberFormat="1" applyFont="1" applyFill="1" applyBorder="1" applyAlignment="1">
      <alignment vertical="center"/>
    </xf>
    <xf numFmtId="3" fontId="62" fillId="0" borderId="91" xfId="6" applyNumberFormat="1" applyFont="1" applyFill="1" applyBorder="1" applyAlignment="1">
      <alignment vertical="center"/>
    </xf>
    <xf numFmtId="3" fontId="53" fillId="6" borderId="93" xfId="4" applyNumberFormat="1" applyFont="1" applyFill="1" applyBorder="1" applyAlignment="1"/>
    <xf numFmtId="3" fontId="33" fillId="23" borderId="91" xfId="4" applyNumberFormat="1" applyFont="1" applyFill="1" applyBorder="1" applyAlignment="1">
      <alignment vertical="top"/>
    </xf>
    <xf numFmtId="0" fontId="54" fillId="6" borderId="94" xfId="4" applyFont="1" applyFill="1" applyBorder="1" applyAlignment="1">
      <alignment horizontal="left" vertical="center"/>
    </xf>
    <xf numFmtId="3" fontId="56" fillId="2" borderId="94" xfId="4" applyNumberFormat="1" applyFont="1" applyFill="1" applyBorder="1" applyAlignment="1">
      <alignment vertical="center" wrapText="1"/>
    </xf>
    <xf numFmtId="3" fontId="56" fillId="0" borderId="96" xfId="4" applyNumberFormat="1" applyFont="1" applyFill="1" applyBorder="1" applyAlignment="1">
      <alignment horizontal="right" vertical="center"/>
    </xf>
    <xf numFmtId="3" fontId="56" fillId="0" borderId="95" xfId="4" applyNumberFormat="1" applyFont="1" applyFill="1" applyBorder="1" applyAlignment="1">
      <alignment horizontal="right" vertical="center"/>
    </xf>
    <xf numFmtId="0" fontId="0" fillId="0" borderId="0" xfId="0" applyFont="1"/>
    <xf numFmtId="3" fontId="60" fillId="0" borderId="72" xfId="0" applyNumberFormat="1" applyFont="1" applyFill="1" applyBorder="1" applyAlignment="1">
      <alignment vertical="center"/>
    </xf>
    <xf numFmtId="3" fontId="56" fillId="2" borderId="97" xfId="4" applyNumberFormat="1" applyFont="1" applyFill="1" applyBorder="1" applyAlignment="1">
      <alignment vertical="top" wrapText="1"/>
    </xf>
    <xf numFmtId="0" fontId="33" fillId="0" borderId="97" xfId="4" applyFont="1" applyFill="1" applyBorder="1" applyAlignment="1">
      <alignment vertical="top"/>
    </xf>
    <xf numFmtId="0" fontId="0" fillId="0" borderId="66" xfId="0" applyFont="1" applyBorder="1"/>
    <xf numFmtId="3" fontId="56" fillId="21" borderId="96" xfId="4" applyNumberFormat="1" applyFont="1" applyFill="1" applyBorder="1" applyAlignment="1">
      <alignment horizontal="right" vertical="center"/>
    </xf>
    <xf numFmtId="0" fontId="26" fillId="13" borderId="37" xfId="0" applyFont="1" applyFill="1" applyBorder="1" applyAlignment="1">
      <alignment vertical="center"/>
    </xf>
    <xf numFmtId="3" fontId="27" fillId="13" borderId="47" xfId="0" applyNumberFormat="1" applyFont="1" applyFill="1" applyBorder="1" applyAlignment="1">
      <alignment vertical="center" wrapText="1"/>
    </xf>
    <xf numFmtId="3" fontId="105" fillId="32" borderId="47" xfId="0" applyNumberFormat="1" applyFont="1" applyFill="1" applyBorder="1" applyAlignment="1">
      <alignment vertical="center" wrapText="1"/>
    </xf>
    <xf numFmtId="3" fontId="22" fillId="13" borderId="77" xfId="0" applyNumberFormat="1" applyFont="1" applyFill="1" applyBorder="1" applyAlignment="1">
      <alignment horizontal="center" vertical="center" wrapText="1"/>
    </xf>
    <xf numFmtId="0" fontId="48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58" borderId="0" xfId="0" applyFont="1" applyFill="1" applyBorder="1" applyAlignment="1">
      <alignment vertical="top"/>
    </xf>
    <xf numFmtId="0" fontId="0" fillId="60" borderId="0" xfId="0" applyFont="1" applyFill="1" applyBorder="1" applyAlignment="1">
      <alignment vertical="top"/>
    </xf>
    <xf numFmtId="0" fontId="57" fillId="0" borderId="0" xfId="0" applyFont="1" applyFill="1" applyBorder="1" applyAlignment="1"/>
    <xf numFmtId="0" fontId="66" fillId="32" borderId="0" xfId="0" applyFont="1" applyFill="1" applyBorder="1" applyAlignment="1">
      <alignment vertical="top"/>
    </xf>
    <xf numFmtId="3" fontId="51" fillId="60" borderId="0" xfId="0" applyNumberFormat="1" applyFont="1" applyFill="1" applyBorder="1" applyAlignment="1">
      <alignment vertical="top"/>
    </xf>
    <xf numFmtId="3" fontId="0" fillId="60" borderId="0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57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2" fillId="0" borderId="0" xfId="0" applyFont="1" applyFill="1" applyBorder="1" applyAlignment="1">
      <alignment horizontal="left"/>
    </xf>
    <xf numFmtId="0" fontId="63" fillId="0" borderId="0" xfId="0" applyFont="1" applyFill="1" applyBorder="1" applyAlignment="1">
      <alignment vertical="top"/>
    </xf>
    <xf numFmtId="0" fontId="46" fillId="2" borderId="2" xfId="0" applyFont="1" applyFill="1" applyBorder="1" applyAlignment="1">
      <alignment vertical="center" wrapText="1"/>
    </xf>
    <xf numFmtId="0" fontId="46" fillId="2" borderId="3" xfId="0" applyFont="1" applyFill="1" applyBorder="1" applyAlignment="1">
      <alignment vertical="center" wrapText="1"/>
    </xf>
    <xf numFmtId="0" fontId="50" fillId="0" borderId="0" xfId="0" applyFont="1" applyFill="1" applyBorder="1" applyAlignment="1">
      <alignment vertical="top"/>
    </xf>
    <xf numFmtId="0" fontId="50" fillId="0" borderId="0" xfId="0" applyFont="1" applyBorder="1" applyAlignment="1">
      <alignment vertical="top"/>
    </xf>
    <xf numFmtId="0" fontId="46" fillId="2" borderId="7" xfId="0" applyFont="1" applyFill="1" applyBorder="1" applyAlignment="1">
      <alignment vertical="center" wrapText="1"/>
    </xf>
    <xf numFmtId="0" fontId="46" fillId="2" borderId="8" xfId="0" applyFont="1" applyFill="1" applyBorder="1" applyAlignment="1">
      <alignment vertical="center" wrapText="1"/>
    </xf>
    <xf numFmtId="0" fontId="46" fillId="2" borderId="74" xfId="0" applyFont="1" applyFill="1" applyBorder="1" applyAlignment="1">
      <alignment horizontal="center" vertical="center" wrapText="1"/>
    </xf>
    <xf numFmtId="0" fontId="46" fillId="2" borderId="24" xfId="0" applyFont="1" applyFill="1" applyBorder="1" applyAlignment="1">
      <alignment horizontal="center" vertical="center" wrapText="1"/>
    </xf>
    <xf numFmtId="0" fontId="54" fillId="32" borderId="13" xfId="4" applyFont="1" applyFill="1" applyBorder="1" applyAlignment="1">
      <alignment horizontal="center" vertical="center" wrapText="1"/>
    </xf>
    <xf numFmtId="0" fontId="54" fillId="0" borderId="23" xfId="4" applyFont="1" applyBorder="1" applyAlignment="1">
      <alignment horizontal="center" vertical="center" wrapText="1"/>
    </xf>
    <xf numFmtId="0" fontId="50" fillId="0" borderId="52" xfId="0" applyFont="1" applyBorder="1" applyAlignment="1">
      <alignment horizontal="center" vertical="top"/>
    </xf>
    <xf numFmtId="0" fontId="50" fillId="0" borderId="51" xfId="0" quotePrefix="1" applyFont="1" applyBorder="1" applyAlignment="1">
      <alignment horizontal="center" vertical="top"/>
    </xf>
    <xf numFmtId="0" fontId="50" fillId="26" borderId="78" xfId="0" quotePrefix="1" applyFont="1" applyFill="1" applyBorder="1" applyAlignment="1">
      <alignment horizontal="center" vertical="top"/>
    </xf>
    <xf numFmtId="3" fontId="0" fillId="0" borderId="0" xfId="0" applyNumberFormat="1" applyFont="1" applyBorder="1"/>
    <xf numFmtId="3" fontId="53" fillId="59" borderId="70" xfId="0" applyNumberFormat="1" applyFont="1" applyFill="1" applyBorder="1" applyAlignment="1">
      <alignment vertical="center"/>
    </xf>
    <xf numFmtId="3" fontId="53" fillId="61" borderId="70" xfId="0" applyNumberFormat="1" applyFont="1" applyFill="1" applyBorder="1" applyAlignment="1">
      <alignment vertical="center"/>
    </xf>
    <xf numFmtId="3" fontId="89" fillId="0" borderId="0" xfId="0" applyNumberFormat="1" applyFont="1" applyBorder="1" applyAlignment="1">
      <alignment vertical="top"/>
    </xf>
    <xf numFmtId="3" fontId="46" fillId="0" borderId="0" xfId="0" applyNumberFormat="1" applyFont="1" applyBorder="1" applyAlignment="1">
      <alignment vertical="top"/>
    </xf>
    <xf numFmtId="0" fontId="46" fillId="0" borderId="0" xfId="0" applyFont="1" applyBorder="1" applyAlignment="1">
      <alignment vertical="top"/>
    </xf>
    <xf numFmtId="3" fontId="58" fillId="8" borderId="91" xfId="0" applyNumberFormat="1" applyFont="1" applyFill="1" applyBorder="1" applyAlignment="1">
      <alignment vertical="center"/>
    </xf>
    <xf numFmtId="3" fontId="58" fillId="23" borderId="91" xfId="0" applyNumberFormat="1" applyFont="1" applyFill="1" applyBorder="1" applyAlignment="1">
      <alignment vertical="center"/>
    </xf>
    <xf numFmtId="3" fontId="47" fillId="8" borderId="43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/>
    </xf>
    <xf numFmtId="0" fontId="47" fillId="33" borderId="0" xfId="0" applyFont="1" applyFill="1" applyBorder="1" applyAlignment="1">
      <alignment vertical="center"/>
    </xf>
    <xf numFmtId="3" fontId="33" fillId="28" borderId="91" xfId="0" applyNumberFormat="1" applyFont="1" applyFill="1" applyBorder="1" applyAlignment="1">
      <alignment vertical="center"/>
    </xf>
    <xf numFmtId="3" fontId="33" fillId="23" borderId="91" xfId="0" applyNumberFormat="1" applyFont="1" applyFill="1" applyBorder="1" applyAlignment="1">
      <alignment vertical="center"/>
    </xf>
    <xf numFmtId="0" fontId="89" fillId="0" borderId="0" xfId="0" applyFont="1" applyBorder="1" applyAlignment="1">
      <alignment vertical="top"/>
    </xf>
    <xf numFmtId="0" fontId="33" fillId="8" borderId="36" xfId="4" applyFont="1" applyFill="1" applyBorder="1" applyAlignment="1">
      <alignment horizontal="left" vertical="center"/>
    </xf>
    <xf numFmtId="3" fontId="33" fillId="28" borderId="28" xfId="0" applyNumberFormat="1" applyFont="1" applyFill="1" applyBorder="1" applyAlignment="1">
      <alignment vertical="center" wrapText="1"/>
    </xf>
    <xf numFmtId="3" fontId="33" fillId="59" borderId="91" xfId="0" applyNumberFormat="1" applyFont="1" applyFill="1" applyBorder="1" applyAlignment="1">
      <alignment vertical="center"/>
    </xf>
    <xf numFmtId="3" fontId="33" fillId="61" borderId="91" xfId="0" applyNumberFormat="1" applyFont="1" applyFill="1" applyBorder="1" applyAlignment="1">
      <alignment vertical="center"/>
    </xf>
    <xf numFmtId="3" fontId="33" fillId="28" borderId="9" xfId="0" applyNumberFormat="1" applyFont="1" applyFill="1" applyBorder="1" applyAlignment="1">
      <alignment vertical="center"/>
    </xf>
    <xf numFmtId="43" fontId="33" fillId="23" borderId="91" xfId="1" applyFont="1" applyFill="1" applyBorder="1" applyAlignment="1">
      <alignment vertical="center"/>
    </xf>
    <xf numFmtId="3" fontId="58" fillId="58" borderId="9" xfId="0" applyNumberFormat="1" applyFont="1" applyFill="1" applyBorder="1" applyAlignment="1">
      <alignment vertical="center"/>
    </xf>
    <xf numFmtId="3" fontId="58" fillId="60" borderId="9" xfId="0" applyNumberFormat="1" applyFont="1" applyFill="1" applyBorder="1" applyAlignment="1">
      <alignment vertical="center"/>
    </xf>
    <xf numFmtId="0" fontId="33" fillId="8" borderId="99" xfId="0" applyFont="1" applyFill="1" applyBorder="1" applyAlignment="1">
      <alignment vertical="top" wrapText="1"/>
    </xf>
    <xf numFmtId="0" fontId="33" fillId="8" borderId="92" xfId="0" applyFont="1" applyFill="1" applyBorder="1" applyAlignment="1">
      <alignment vertical="top" wrapText="1"/>
    </xf>
    <xf numFmtId="3" fontId="47" fillId="8" borderId="43" xfId="0" applyNumberFormat="1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vertical="top"/>
    </xf>
    <xf numFmtId="0" fontId="47" fillId="33" borderId="0" xfId="0" applyFont="1" applyFill="1" applyBorder="1" applyAlignment="1">
      <alignment vertical="top"/>
    </xf>
    <xf numFmtId="3" fontId="58" fillId="58" borderId="91" xfId="0" applyNumberFormat="1" applyFont="1" applyFill="1" applyBorder="1" applyAlignment="1">
      <alignment vertical="center"/>
    </xf>
    <xf numFmtId="3" fontId="58" fillId="60" borderId="91" xfId="0" applyNumberFormat="1" applyFont="1" applyFill="1" applyBorder="1" applyAlignment="1">
      <alignment vertical="center"/>
    </xf>
    <xf numFmtId="0" fontId="33" fillId="8" borderId="28" xfId="0" applyFont="1" applyFill="1" applyBorder="1" applyAlignment="1">
      <alignment vertical="top" wrapText="1"/>
    </xf>
    <xf numFmtId="0" fontId="33" fillId="8" borderId="77" xfId="0" applyFont="1" applyFill="1" applyBorder="1" applyAlignment="1">
      <alignment vertical="top" wrapText="1"/>
    </xf>
    <xf numFmtId="3" fontId="47" fillId="8" borderId="41" xfId="0" applyNumberFormat="1" applyFont="1" applyFill="1" applyBorder="1" applyAlignment="1">
      <alignment horizontal="center" vertical="top" wrapText="1"/>
    </xf>
    <xf numFmtId="3" fontId="47" fillId="0" borderId="0" xfId="0" applyNumberFormat="1" applyFont="1" applyFill="1" applyBorder="1" applyAlignment="1">
      <alignment vertical="top"/>
    </xf>
    <xf numFmtId="0" fontId="33" fillId="23" borderId="2" xfId="0" applyFont="1" applyFill="1" applyBorder="1" applyAlignment="1">
      <alignment vertical="center"/>
    </xf>
    <xf numFmtId="3" fontId="54" fillId="6" borderId="93" xfId="0" applyNumberFormat="1" applyFont="1" applyFill="1" applyBorder="1" applyAlignment="1">
      <alignment vertical="top"/>
    </xf>
    <xf numFmtId="3" fontId="54" fillId="58" borderId="93" xfId="0" applyNumberFormat="1" applyFont="1" applyFill="1" applyBorder="1" applyAlignment="1">
      <alignment vertical="top"/>
    </xf>
    <xf numFmtId="3" fontId="54" fillId="60" borderId="93" xfId="0" applyNumberFormat="1" applyFont="1" applyFill="1" applyBorder="1" applyAlignment="1">
      <alignment vertical="top"/>
    </xf>
    <xf numFmtId="3" fontId="54" fillId="22" borderId="93" xfId="0" applyNumberFormat="1" applyFont="1" applyFill="1" applyBorder="1" applyAlignment="1">
      <alignment vertical="top"/>
    </xf>
    <xf numFmtId="3" fontId="56" fillId="2" borderId="93" xfId="0" applyNumberFormat="1" applyFont="1" applyFill="1" applyBorder="1" applyAlignment="1">
      <alignment vertical="top"/>
    </xf>
    <xf numFmtId="3" fontId="56" fillId="58" borderId="93" xfId="0" applyNumberFormat="1" applyFont="1" applyFill="1" applyBorder="1" applyAlignment="1">
      <alignment vertical="top"/>
    </xf>
    <xf numFmtId="3" fontId="56" fillId="60" borderId="93" xfId="0" applyNumberFormat="1" applyFont="1" applyFill="1" applyBorder="1" applyAlignment="1">
      <alignment vertical="top"/>
    </xf>
    <xf numFmtId="3" fontId="54" fillId="25" borderId="91" xfId="0" applyNumberFormat="1" applyFont="1" applyFill="1" applyBorder="1" applyAlignment="1">
      <alignment vertical="top"/>
    </xf>
    <xf numFmtId="3" fontId="47" fillId="2" borderId="0" xfId="0" applyNumberFormat="1" applyFont="1" applyFill="1" applyBorder="1" applyAlignment="1">
      <alignment vertical="top"/>
    </xf>
    <xf numFmtId="0" fontId="47" fillId="2" borderId="0" xfId="0" applyFont="1" applyFill="1" applyBorder="1" applyAlignment="1">
      <alignment vertical="top"/>
    </xf>
    <xf numFmtId="3" fontId="60" fillId="0" borderId="93" xfId="0" applyNumberFormat="1" applyFont="1" applyFill="1" applyBorder="1" applyAlignment="1">
      <alignment vertical="top"/>
    </xf>
    <xf numFmtId="3" fontId="60" fillId="58" borderId="93" xfId="0" applyNumberFormat="1" applyFont="1" applyFill="1" applyBorder="1" applyAlignment="1">
      <alignment vertical="top"/>
    </xf>
    <xf numFmtId="3" fontId="60" fillId="60" borderId="93" xfId="0" applyNumberFormat="1" applyFont="1" applyFill="1" applyBorder="1" applyAlignment="1">
      <alignment vertical="top"/>
    </xf>
    <xf numFmtId="3" fontId="56" fillId="0" borderId="93" xfId="0" applyNumberFormat="1" applyFont="1" applyFill="1" applyBorder="1" applyAlignment="1">
      <alignment vertical="top"/>
    </xf>
    <xf numFmtId="0" fontId="60" fillId="0" borderId="99" xfId="0" applyFont="1" applyFill="1" applyBorder="1" applyAlignment="1">
      <alignment horizontal="left" vertical="center" wrapText="1"/>
    </xf>
    <xf numFmtId="3" fontId="60" fillId="0" borderId="96" xfId="0" applyNumberFormat="1" applyFont="1" applyFill="1" applyBorder="1" applyAlignment="1">
      <alignment horizontal="right" vertical="center"/>
    </xf>
    <xf numFmtId="3" fontId="60" fillId="58" borderId="96" xfId="0" applyNumberFormat="1" applyFont="1" applyFill="1" applyBorder="1" applyAlignment="1">
      <alignment horizontal="right" vertical="center"/>
    </xf>
    <xf numFmtId="3" fontId="60" fillId="60" borderId="96" xfId="0" applyNumberFormat="1" applyFont="1" applyFill="1" applyBorder="1" applyAlignment="1">
      <alignment horizontal="right" vertical="center"/>
    </xf>
    <xf numFmtId="3" fontId="60" fillId="0" borderId="91" xfId="0" applyNumberFormat="1" applyFont="1" applyFill="1" applyBorder="1" applyAlignment="1">
      <alignment vertical="top"/>
    </xf>
    <xf numFmtId="3" fontId="60" fillId="58" borderId="91" xfId="0" applyNumberFormat="1" applyFont="1" applyFill="1" applyBorder="1" applyAlignment="1">
      <alignment vertical="top"/>
    </xf>
    <xf numFmtId="3" fontId="60" fillId="60" borderId="91" xfId="0" applyNumberFormat="1" applyFont="1" applyFill="1" applyBorder="1" applyAlignment="1">
      <alignment vertical="top"/>
    </xf>
    <xf numFmtId="0" fontId="56" fillId="2" borderId="97" xfId="4" applyFont="1" applyFill="1" applyBorder="1" applyAlignment="1">
      <alignment vertical="top"/>
    </xf>
    <xf numFmtId="0" fontId="60" fillId="0" borderId="77" xfId="4" applyFont="1" applyFill="1" applyBorder="1" applyAlignment="1">
      <alignment vertical="center"/>
    </xf>
    <xf numFmtId="3" fontId="60" fillId="58" borderId="47" xfId="0" applyNumberFormat="1" applyFont="1" applyFill="1" applyBorder="1" applyAlignment="1">
      <alignment horizontal="right" vertical="center"/>
    </xf>
    <xf numFmtId="3" fontId="60" fillId="60" borderId="47" xfId="0" applyNumberFormat="1" applyFont="1" applyFill="1" applyBorder="1" applyAlignment="1">
      <alignment horizontal="right" vertical="center"/>
    </xf>
    <xf numFmtId="3" fontId="54" fillId="25" borderId="10" xfId="0" applyNumberFormat="1" applyFont="1" applyFill="1" applyBorder="1" applyAlignment="1">
      <alignment vertical="top"/>
    </xf>
    <xf numFmtId="3" fontId="54" fillId="6" borderId="91" xfId="0" applyNumberFormat="1" applyFont="1" applyFill="1" applyBorder="1" applyAlignment="1">
      <alignment vertical="top"/>
    </xf>
    <xf numFmtId="3" fontId="56" fillId="2" borderId="91" xfId="0" applyNumberFormat="1" applyFont="1" applyFill="1" applyBorder="1" applyAlignment="1">
      <alignment vertical="top"/>
    </xf>
    <xf numFmtId="3" fontId="56" fillId="0" borderId="91" xfId="0" applyNumberFormat="1" applyFont="1" applyFill="1" applyBorder="1" applyAlignment="1">
      <alignment vertical="top"/>
    </xf>
    <xf numFmtId="0" fontId="33" fillId="23" borderId="2" xfId="0" applyFont="1" applyFill="1" applyBorder="1" applyAlignment="1">
      <alignment vertical="top"/>
    </xf>
    <xf numFmtId="3" fontId="49" fillId="0" borderId="26" xfId="0" applyNumberFormat="1" applyFont="1" applyFill="1" applyBorder="1" applyAlignment="1">
      <alignment vertical="top" wrapText="1"/>
    </xf>
    <xf numFmtId="0" fontId="50" fillId="0" borderId="0" xfId="0" applyFont="1" applyFill="1" applyBorder="1" applyAlignment="1">
      <alignment vertical="top" wrapText="1"/>
    </xf>
    <xf numFmtId="3" fontId="54" fillId="22" borderId="91" xfId="0" applyNumberFormat="1" applyFont="1" applyFill="1" applyBorder="1" applyAlignment="1">
      <alignment vertical="top"/>
    </xf>
    <xf numFmtId="0" fontId="50" fillId="0" borderId="26" xfId="0" applyFont="1" applyFill="1" applyBorder="1" applyAlignment="1">
      <alignment vertical="top" wrapText="1"/>
    </xf>
    <xf numFmtId="3" fontId="60" fillId="0" borderId="93" xfId="0" applyNumberFormat="1" applyFont="1" applyFill="1" applyBorder="1" applyAlignment="1">
      <alignment vertical="center"/>
    </xf>
    <xf numFmtId="3" fontId="60" fillId="0" borderId="91" xfId="0" applyNumberFormat="1" applyFont="1" applyFill="1" applyBorder="1" applyAlignment="1">
      <alignment vertical="center"/>
    </xf>
    <xf numFmtId="3" fontId="60" fillId="58" borderId="91" xfId="0" applyNumberFormat="1" applyFont="1" applyFill="1" applyBorder="1" applyAlignment="1">
      <alignment horizontal="right" vertical="center"/>
    </xf>
    <xf numFmtId="3" fontId="60" fillId="0" borderId="91" xfId="0" applyNumberFormat="1" applyFont="1" applyFill="1" applyBorder="1" applyAlignment="1">
      <alignment horizontal="right" vertical="center"/>
    </xf>
    <xf numFmtId="0" fontId="50" fillId="0" borderId="0" xfId="0" applyFont="1" applyFill="1" applyBorder="1" applyAlignment="1">
      <alignment vertical="center" wrapText="1"/>
    </xf>
    <xf numFmtId="3" fontId="50" fillId="0" borderId="47" xfId="0" applyNumberFormat="1" applyFont="1" applyFill="1" applyBorder="1" applyAlignment="1">
      <alignment horizontal="right" vertical="center"/>
    </xf>
    <xf numFmtId="0" fontId="71" fillId="0" borderId="0" xfId="0" applyFont="1" applyBorder="1"/>
    <xf numFmtId="3" fontId="42" fillId="0" borderId="0" xfId="0" applyNumberFormat="1" applyFont="1" applyFill="1" applyBorder="1" applyAlignment="1">
      <alignment horizontal="right" vertical="center"/>
    </xf>
    <xf numFmtId="3" fontId="54" fillId="58" borderId="9" xfId="0" applyNumberFormat="1" applyFont="1" applyFill="1" applyBorder="1" applyAlignment="1">
      <alignment vertical="top"/>
    </xf>
    <xf numFmtId="3" fontId="54" fillId="60" borderId="9" xfId="0" applyNumberFormat="1" applyFont="1" applyFill="1" applyBorder="1" applyAlignment="1">
      <alignment vertical="top"/>
    </xf>
    <xf numFmtId="0" fontId="56" fillId="2" borderId="94" xfId="4" applyFont="1" applyFill="1" applyBorder="1" applyAlignment="1">
      <alignment vertical="top"/>
    </xf>
    <xf numFmtId="3" fontId="60" fillId="60" borderId="47" xfId="0" applyNumberFormat="1" applyFont="1" applyFill="1" applyBorder="1" applyAlignment="1">
      <alignment vertical="top"/>
    </xf>
    <xf numFmtId="3" fontId="56" fillId="2" borderId="93" xfId="0" applyNumberFormat="1" applyFont="1" applyFill="1" applyBorder="1" applyAlignment="1">
      <alignment vertical="center"/>
    </xf>
    <xf numFmtId="3" fontId="56" fillId="58" borderId="93" xfId="0" applyNumberFormat="1" applyFont="1" applyFill="1" applyBorder="1" applyAlignment="1">
      <alignment vertical="center"/>
    </xf>
    <xf numFmtId="3" fontId="56" fillId="60" borderId="93" xfId="0" applyNumberFormat="1" applyFont="1" applyFill="1" applyBorder="1" applyAlignment="1">
      <alignment vertical="center"/>
    </xf>
    <xf numFmtId="3" fontId="56" fillId="26" borderId="93" xfId="0" applyNumberFormat="1" applyFont="1" applyFill="1" applyBorder="1" applyAlignment="1">
      <alignment vertical="center"/>
    </xf>
    <xf numFmtId="0" fontId="47" fillId="2" borderId="0" xfId="0" applyFont="1" applyFill="1" applyBorder="1" applyAlignment="1">
      <alignment vertical="center"/>
    </xf>
    <xf numFmtId="3" fontId="33" fillId="0" borderId="35" xfId="0" applyNumberFormat="1" applyFont="1" applyFill="1" applyBorder="1" applyAlignment="1">
      <alignment vertical="top"/>
    </xf>
    <xf numFmtId="3" fontId="56" fillId="0" borderId="9" xfId="0" applyNumberFormat="1" applyFont="1" applyFill="1" applyBorder="1" applyAlignment="1">
      <alignment vertical="top"/>
    </xf>
    <xf numFmtId="3" fontId="56" fillId="25" borderId="9" xfId="0" applyNumberFormat="1" applyFont="1" applyFill="1" applyBorder="1" applyAlignment="1">
      <alignment vertical="top"/>
    </xf>
    <xf numFmtId="3" fontId="54" fillId="6" borderId="93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69" fillId="57" borderId="9" xfId="0" applyNumberFormat="1" applyFont="1" applyFill="1" applyBorder="1" applyAlignment="1">
      <alignment vertical="center"/>
    </xf>
    <xf numFmtId="3" fontId="69" fillId="57" borderId="35" xfId="0" applyNumberFormat="1" applyFont="1" applyFill="1" applyBorder="1" applyAlignment="1">
      <alignment vertical="center"/>
    </xf>
    <xf numFmtId="3" fontId="60" fillId="56" borderId="35" xfId="0" applyNumberFormat="1" applyFont="1" applyFill="1" applyBorder="1" applyAlignment="1">
      <alignment vertical="top"/>
    </xf>
    <xf numFmtId="3" fontId="66" fillId="0" borderId="0" xfId="0" applyNumberFormat="1" applyFont="1" applyBorder="1" applyAlignment="1">
      <alignment vertical="center"/>
    </xf>
    <xf numFmtId="0" fontId="52" fillId="0" borderId="28" xfId="0" applyFont="1" applyBorder="1" applyAlignment="1">
      <alignment horizontal="center" vertical="center" wrapText="1"/>
    </xf>
    <xf numFmtId="0" fontId="57" fillId="62" borderId="6" xfId="0" applyFont="1" applyFill="1" applyBorder="1" applyAlignment="1">
      <alignment vertical="top"/>
    </xf>
    <xf numFmtId="3" fontId="57" fillId="62" borderId="9" xfId="0" applyNumberFormat="1" applyFont="1" applyFill="1" applyBorder="1" applyAlignment="1">
      <alignment vertical="center"/>
    </xf>
    <xf numFmtId="3" fontId="57" fillId="62" borderId="9" xfId="0" applyNumberFormat="1" applyFont="1" applyFill="1" applyBorder="1" applyAlignment="1">
      <alignment vertical="top"/>
    </xf>
    <xf numFmtId="3" fontId="57" fillId="62" borderId="9" xfId="0" applyNumberFormat="1" applyFont="1" applyFill="1" applyBorder="1" applyAlignment="1">
      <alignment horizontal="right" vertical="center"/>
    </xf>
    <xf numFmtId="3" fontId="57" fillId="66" borderId="35" xfId="0" applyNumberFormat="1" applyFont="1" applyFill="1" applyBorder="1" applyAlignment="1">
      <alignment vertical="center"/>
    </xf>
    <xf numFmtId="0" fontId="57" fillId="63" borderId="28" xfId="0" applyFont="1" applyFill="1" applyBorder="1" applyAlignment="1">
      <alignment vertical="top"/>
    </xf>
    <xf numFmtId="3" fontId="57" fillId="57" borderId="9" xfId="0" applyNumberFormat="1" applyFont="1" applyFill="1" applyBorder="1" applyAlignment="1">
      <alignment horizontal="right"/>
    </xf>
    <xf numFmtId="3" fontId="57" fillId="57" borderId="9" xfId="0" applyNumberFormat="1" applyFont="1" applyFill="1" applyBorder="1" applyAlignment="1">
      <alignment horizontal="right" vertical="center"/>
    </xf>
    <xf numFmtId="0" fontId="57" fillId="64" borderId="28" xfId="0" applyFont="1" applyFill="1" applyBorder="1" applyAlignment="1">
      <alignment vertical="top"/>
    </xf>
    <xf numFmtId="3" fontId="57" fillId="56" borderId="9" xfId="0" applyNumberFormat="1" applyFont="1" applyFill="1" applyBorder="1" applyAlignment="1">
      <alignment horizontal="right" vertical="center"/>
    </xf>
    <xf numFmtId="0" fontId="60" fillId="56" borderId="28" xfId="0" applyFont="1" applyFill="1" applyBorder="1" applyAlignment="1">
      <alignment vertical="top"/>
    </xf>
    <xf numFmtId="3" fontId="54" fillId="6" borderId="9" xfId="0" applyNumberFormat="1" applyFont="1" applyFill="1" applyBorder="1" applyAlignment="1">
      <alignment vertical="center"/>
    </xf>
    <xf numFmtId="3" fontId="54" fillId="58" borderId="9" xfId="0" applyNumberFormat="1" applyFont="1" applyFill="1" applyBorder="1" applyAlignment="1">
      <alignment vertical="center"/>
    </xf>
    <xf numFmtId="3" fontId="54" fillId="60" borderId="9" xfId="0" applyNumberFormat="1" applyFont="1" applyFill="1" applyBorder="1" applyAlignment="1">
      <alignment vertical="center"/>
    </xf>
    <xf numFmtId="3" fontId="50" fillId="0" borderId="26" xfId="0" applyNumberFormat="1" applyFont="1" applyFill="1" applyBorder="1" applyAlignment="1">
      <alignment vertical="top" wrapText="1"/>
    </xf>
    <xf numFmtId="3" fontId="56" fillId="0" borderId="91" xfId="0" applyNumberFormat="1" applyFont="1" applyFill="1" applyBorder="1" applyAlignment="1">
      <alignment vertical="center"/>
    </xf>
    <xf numFmtId="3" fontId="60" fillId="23" borderId="91" xfId="0" applyNumberFormat="1" applyFont="1" applyFill="1" applyBorder="1" applyAlignment="1">
      <alignment vertical="center"/>
    </xf>
    <xf numFmtId="3" fontId="56" fillId="58" borderId="9" xfId="4" applyNumberFormat="1" applyFont="1" applyFill="1" applyBorder="1" applyAlignment="1">
      <alignment horizontal="right" vertical="center"/>
    </xf>
    <xf numFmtId="3" fontId="56" fillId="60" borderId="9" xfId="4" applyNumberFormat="1" applyFont="1" applyFill="1" applyBorder="1" applyAlignment="1">
      <alignment horizontal="right" vertical="center"/>
    </xf>
    <xf numFmtId="3" fontId="56" fillId="58" borderId="27" xfId="4" applyNumberFormat="1" applyFont="1" applyFill="1" applyBorder="1" applyAlignment="1">
      <alignment horizontal="right" vertical="center"/>
    </xf>
    <xf numFmtId="3" fontId="56" fillId="60" borderId="27" xfId="4" applyNumberFormat="1" applyFont="1" applyFill="1" applyBorder="1" applyAlignment="1">
      <alignment horizontal="right" vertical="center"/>
    </xf>
    <xf numFmtId="3" fontId="56" fillId="56" borderId="12" xfId="4" applyNumberFormat="1" applyFont="1" applyFill="1" applyBorder="1" applyAlignment="1">
      <alignment horizontal="right" vertical="center"/>
    </xf>
    <xf numFmtId="0" fontId="53" fillId="28" borderId="11" xfId="0" applyFont="1" applyFill="1" applyBorder="1" applyAlignment="1">
      <alignment vertical="center"/>
    </xf>
    <xf numFmtId="3" fontId="54" fillId="22" borderId="35" xfId="0" applyNumberFormat="1" applyFont="1" applyFill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3" fontId="56" fillId="8" borderId="91" xfId="0" applyNumberFormat="1" applyFont="1" applyFill="1" applyBorder="1" applyAlignment="1">
      <alignment vertical="center"/>
    </xf>
    <xf numFmtId="3" fontId="56" fillId="58" borderId="91" xfId="0" applyNumberFormat="1" applyFont="1" applyFill="1" applyBorder="1" applyAlignment="1">
      <alignment vertical="center"/>
    </xf>
    <xf numFmtId="3" fontId="56" fillId="60" borderId="91" xfId="0" applyNumberFormat="1" applyFont="1" applyFill="1" applyBorder="1" applyAlignment="1">
      <alignment vertical="center"/>
    </xf>
    <xf numFmtId="3" fontId="56" fillId="23" borderId="91" xfId="0" applyNumberFormat="1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3" fontId="50" fillId="0" borderId="0" xfId="0" applyNumberFormat="1" applyFont="1" applyFill="1" applyBorder="1" applyAlignment="1">
      <alignment vertical="center"/>
    </xf>
    <xf numFmtId="0" fontId="50" fillId="33" borderId="0" xfId="0" applyFont="1" applyFill="1" applyBorder="1" applyAlignment="1">
      <alignment vertical="center"/>
    </xf>
    <xf numFmtId="3" fontId="60" fillId="28" borderId="91" xfId="0" applyNumberFormat="1" applyFont="1" applyFill="1" applyBorder="1" applyAlignment="1">
      <alignment vertical="center"/>
    </xf>
    <xf numFmtId="3" fontId="60" fillId="59" borderId="91" xfId="0" applyNumberFormat="1" applyFont="1" applyFill="1" applyBorder="1" applyAlignment="1">
      <alignment vertical="center"/>
    </xf>
    <xf numFmtId="3" fontId="60" fillId="61" borderId="91" xfId="0" applyNumberFormat="1" applyFont="1" applyFill="1" applyBorder="1" applyAlignment="1">
      <alignment vertical="center"/>
    </xf>
    <xf numFmtId="3" fontId="53" fillId="59" borderId="35" xfId="0" applyNumberFormat="1" applyFont="1" applyFill="1" applyBorder="1" applyAlignment="1">
      <alignment vertical="center"/>
    </xf>
    <xf numFmtId="3" fontId="53" fillId="61" borderId="35" xfId="0" applyNumberFormat="1" applyFont="1" applyFill="1" applyBorder="1" applyAlignment="1">
      <alignment vertical="center"/>
    </xf>
    <xf numFmtId="3" fontId="60" fillId="28" borderId="13" xfId="0" applyNumberFormat="1" applyFont="1" applyFill="1" applyBorder="1" applyAlignment="1">
      <alignment vertical="center"/>
    </xf>
    <xf numFmtId="0" fontId="54" fillId="8" borderId="19" xfId="0" applyFont="1" applyFill="1" applyBorder="1" applyAlignment="1">
      <alignment vertical="center" wrapText="1"/>
    </xf>
    <xf numFmtId="0" fontId="54" fillId="8" borderId="16" xfId="0" applyFont="1" applyFill="1" applyBorder="1" applyAlignment="1">
      <alignment horizontal="center" vertical="center" wrapText="1"/>
    </xf>
    <xf numFmtId="3" fontId="60" fillId="58" borderId="47" xfId="0" applyNumberFormat="1" applyFont="1" applyFill="1" applyBorder="1" applyAlignment="1">
      <alignment vertical="top"/>
    </xf>
    <xf numFmtId="3" fontId="33" fillId="23" borderId="47" xfId="0" applyNumberFormat="1" applyFont="1" applyFill="1" applyBorder="1" applyAlignment="1">
      <alignment vertical="center"/>
    </xf>
    <xf numFmtId="0" fontId="65" fillId="0" borderId="0" xfId="0" applyFont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66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48" fillId="0" borderId="1" xfId="0" applyFont="1" applyBorder="1" applyAlignment="1">
      <alignment vertical="top"/>
    </xf>
    <xf numFmtId="0" fontId="49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58" borderId="3" xfId="0" applyFont="1" applyFill="1" applyBorder="1" applyAlignment="1">
      <alignment vertical="top"/>
    </xf>
    <xf numFmtId="0" fontId="0" fillId="60" borderId="3" xfId="0" applyFont="1" applyFill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48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48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24" xfId="0" applyFont="1" applyFill="1" applyBorder="1" applyAlignment="1">
      <alignment vertical="top"/>
    </xf>
    <xf numFmtId="0" fontId="0" fillId="58" borderId="24" xfId="0" applyFont="1" applyFill="1" applyBorder="1" applyAlignment="1">
      <alignment vertical="top"/>
    </xf>
    <xf numFmtId="0" fontId="0" fillId="60" borderId="24" xfId="0" applyFont="1" applyFill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0" fontId="0" fillId="58" borderId="26" xfId="0" applyFont="1" applyFill="1" applyBorder="1" applyAlignment="1">
      <alignment vertical="top"/>
    </xf>
    <xf numFmtId="3" fontId="33" fillId="13" borderId="93" xfId="4" applyNumberFormat="1" applyFont="1" applyFill="1" applyBorder="1" applyAlignment="1">
      <alignment horizontal="right" vertical="center"/>
    </xf>
    <xf numFmtId="3" fontId="61" fillId="13" borderId="93" xfId="6" applyNumberFormat="1" applyFont="1" applyFill="1" applyBorder="1" applyAlignment="1">
      <alignment vertical="center"/>
    </xf>
    <xf numFmtId="3" fontId="54" fillId="6" borderId="35" xfId="0" applyNumberFormat="1" applyFont="1" applyFill="1" applyBorder="1" applyAlignment="1">
      <alignment vertical="center"/>
    </xf>
    <xf numFmtId="3" fontId="60" fillId="8" borderId="18" xfId="0" applyNumberFormat="1" applyFont="1" applyFill="1" applyBorder="1" applyAlignment="1">
      <alignment vertical="top"/>
    </xf>
    <xf numFmtId="0" fontId="60" fillId="8" borderId="18" xfId="0" applyFont="1" applyFill="1" applyBorder="1" applyAlignment="1">
      <alignment vertical="top"/>
    </xf>
    <xf numFmtId="0" fontId="60" fillId="58" borderId="18" xfId="0" applyFont="1" applyFill="1" applyBorder="1" applyAlignment="1">
      <alignment vertical="top"/>
    </xf>
    <xf numFmtId="3" fontId="60" fillId="58" borderId="18" xfId="0" applyNumberFormat="1" applyFont="1" applyFill="1" applyBorder="1" applyAlignment="1">
      <alignment vertical="top"/>
    </xf>
    <xf numFmtId="3" fontId="60" fillId="60" borderId="18" xfId="0" applyNumberFormat="1" applyFont="1" applyFill="1" applyBorder="1" applyAlignment="1">
      <alignment vertical="top"/>
    </xf>
    <xf numFmtId="0" fontId="60" fillId="60" borderId="18" xfId="0" applyFont="1" applyFill="1" applyBorder="1" applyAlignment="1">
      <alignment vertical="top"/>
    </xf>
    <xf numFmtId="0" fontId="60" fillId="8" borderId="17" xfId="0" applyFont="1" applyFill="1" applyBorder="1" applyAlignment="1">
      <alignment vertical="top"/>
    </xf>
    <xf numFmtId="3" fontId="60" fillId="8" borderId="79" xfId="0" applyNumberFormat="1" applyFont="1" applyFill="1" applyBorder="1" applyAlignment="1">
      <alignment vertical="top"/>
    </xf>
    <xf numFmtId="3" fontId="33" fillId="8" borderId="18" xfId="0" applyNumberFormat="1" applyFont="1" applyFill="1" applyBorder="1" applyAlignment="1">
      <alignment vertical="top"/>
    </xf>
    <xf numFmtId="0" fontId="33" fillId="58" borderId="18" xfId="0" applyFont="1" applyFill="1" applyBorder="1" applyAlignment="1">
      <alignment vertical="top"/>
    </xf>
    <xf numFmtId="3" fontId="33" fillId="58" borderId="18" xfId="0" applyNumberFormat="1" applyFont="1" applyFill="1" applyBorder="1" applyAlignment="1">
      <alignment vertical="top"/>
    </xf>
    <xf numFmtId="3" fontId="33" fillId="60" borderId="18" xfId="0" applyNumberFormat="1" applyFont="1" applyFill="1" applyBorder="1" applyAlignment="1">
      <alignment vertical="top"/>
    </xf>
    <xf numFmtId="0" fontId="33" fillId="60" borderId="18" xfId="0" applyFont="1" applyFill="1" applyBorder="1" applyAlignment="1">
      <alignment vertical="top"/>
    </xf>
    <xf numFmtId="0" fontId="63" fillId="2" borderId="24" xfId="0" applyFont="1" applyFill="1" applyBorder="1" applyAlignment="1">
      <alignment vertical="top"/>
    </xf>
    <xf numFmtId="0" fontId="63" fillId="0" borderId="24" xfId="0" applyFont="1" applyFill="1" applyBorder="1" applyAlignment="1">
      <alignment vertical="top"/>
    </xf>
    <xf numFmtId="0" fontId="54" fillId="8" borderId="21" xfId="0" applyFont="1" applyFill="1" applyBorder="1" applyAlignment="1">
      <alignment vertical="center" wrapText="1"/>
    </xf>
    <xf numFmtId="0" fontId="34" fillId="0" borderId="21" xfId="4" applyFont="1" applyFill="1" applyBorder="1" applyAlignment="1">
      <alignment vertical="center" wrapText="1"/>
    </xf>
    <xf numFmtId="3" fontId="33" fillId="59" borderId="9" xfId="0" applyNumberFormat="1" applyFont="1" applyFill="1" applyBorder="1" applyAlignment="1">
      <alignment vertical="center"/>
    </xf>
    <xf numFmtId="3" fontId="33" fillId="61" borderId="9" xfId="0" applyNumberFormat="1" applyFont="1" applyFill="1" applyBorder="1" applyAlignment="1">
      <alignment vertical="center"/>
    </xf>
    <xf numFmtId="3" fontId="33" fillId="23" borderId="104" xfId="0" applyNumberFormat="1" applyFont="1" applyFill="1" applyBorder="1" applyAlignment="1">
      <alignment vertical="center"/>
    </xf>
    <xf numFmtId="0" fontId="0" fillId="0" borderId="35" xfId="0" applyFont="1" applyBorder="1"/>
    <xf numFmtId="0" fontId="0" fillId="0" borderId="105" xfId="0" applyFont="1" applyBorder="1"/>
    <xf numFmtId="0" fontId="0" fillId="0" borderId="104" xfId="0" applyFont="1" applyBorder="1"/>
    <xf numFmtId="3" fontId="0" fillId="0" borderId="104" xfId="0" applyNumberFormat="1" applyFont="1" applyBorder="1"/>
    <xf numFmtId="0" fontId="71" fillId="0" borderId="104" xfId="0" applyFont="1" applyBorder="1"/>
    <xf numFmtId="3" fontId="54" fillId="22" borderId="104" xfId="4" applyNumberFormat="1" applyFont="1" applyFill="1" applyBorder="1" applyAlignment="1">
      <alignment horizontal="right" vertical="center"/>
    </xf>
    <xf numFmtId="3" fontId="62" fillId="0" borderId="104" xfId="6" applyNumberFormat="1" applyFont="1" applyFill="1" applyBorder="1" applyAlignment="1">
      <alignment vertical="center"/>
    </xf>
    <xf numFmtId="3" fontId="61" fillId="0" borderId="104" xfId="6" applyNumberFormat="1" applyFont="1" applyFill="1" applyBorder="1" applyAlignment="1">
      <alignment vertical="center"/>
    </xf>
    <xf numFmtId="3" fontId="33" fillId="0" borderId="104" xfId="4" applyNumberFormat="1" applyFont="1" applyFill="1" applyBorder="1" applyAlignment="1">
      <alignment horizontal="right" vertical="center"/>
    </xf>
    <xf numFmtId="3" fontId="54" fillId="6" borderId="104" xfId="4" applyNumberFormat="1" applyFont="1" applyFill="1" applyBorder="1" applyAlignment="1">
      <alignment horizontal="right" vertical="center"/>
    </xf>
    <xf numFmtId="3" fontId="60" fillId="0" borderId="104" xfId="4" applyNumberFormat="1" applyFont="1" applyFill="1" applyBorder="1" applyAlignment="1">
      <alignment horizontal="right" vertical="center"/>
    </xf>
    <xf numFmtId="0" fontId="0" fillId="0" borderId="104" xfId="0" applyFont="1" applyFill="1" applyBorder="1"/>
    <xf numFmtId="0" fontId="0" fillId="0" borderId="104" xfId="0" applyFont="1" applyBorder="1" applyAlignment="1">
      <alignment vertical="center"/>
    </xf>
    <xf numFmtId="3" fontId="61" fillId="0" borderId="0" xfId="0" applyNumberFormat="1" applyFont="1" applyFill="1" applyBorder="1"/>
    <xf numFmtId="0" fontId="61" fillId="0" borderId="0" xfId="0" applyFont="1" applyFill="1" applyBorder="1"/>
    <xf numFmtId="0" fontId="56" fillId="56" borderId="28" xfId="4" applyFont="1" applyFill="1" applyBorder="1" applyAlignment="1">
      <alignment horizontal="left" vertical="center"/>
    </xf>
    <xf numFmtId="3" fontId="56" fillId="56" borderId="93" xfId="4" applyNumberFormat="1" applyFont="1" applyFill="1" applyBorder="1" applyAlignment="1">
      <alignment horizontal="right" vertical="center"/>
    </xf>
    <xf numFmtId="3" fontId="54" fillId="8" borderId="35" xfId="0" applyNumberFormat="1" applyFont="1" applyFill="1" applyBorder="1" applyAlignment="1">
      <alignment vertical="top"/>
    </xf>
    <xf numFmtId="3" fontId="60" fillId="0" borderId="47" xfId="0" applyNumberFormat="1" applyFont="1" applyFill="1" applyBorder="1" applyAlignment="1">
      <alignment vertical="center"/>
    </xf>
    <xf numFmtId="3" fontId="60" fillId="0" borderId="12" xfId="0" applyNumberFormat="1" applyFont="1" applyFill="1" applyBorder="1" applyAlignment="1">
      <alignment vertical="top"/>
    </xf>
    <xf numFmtId="3" fontId="60" fillId="0" borderId="104" xfId="0" applyNumberFormat="1" applyFont="1" applyFill="1" applyBorder="1" applyAlignment="1">
      <alignment vertical="top"/>
    </xf>
    <xf numFmtId="3" fontId="56" fillId="0" borderId="104" xfId="0" applyNumberFormat="1" applyFont="1" applyFill="1" applyBorder="1" applyAlignment="1">
      <alignment vertical="top"/>
    </xf>
    <xf numFmtId="3" fontId="60" fillId="0" borderId="104" xfId="0" applyNumberFormat="1" applyFont="1" applyFill="1" applyBorder="1" applyAlignment="1">
      <alignment vertical="center"/>
    </xf>
    <xf numFmtId="3" fontId="54" fillId="6" borderId="104" xfId="0" applyNumberFormat="1" applyFont="1" applyFill="1" applyBorder="1" applyAlignment="1">
      <alignment vertical="center"/>
    </xf>
    <xf numFmtId="3" fontId="54" fillId="6" borderId="105" xfId="0" applyNumberFormat="1" applyFont="1" applyFill="1" applyBorder="1" applyAlignment="1">
      <alignment vertical="center"/>
    </xf>
    <xf numFmtId="0" fontId="49" fillId="0" borderId="0" xfId="0" applyFont="1" applyBorder="1" applyAlignment="1">
      <alignment vertical="top"/>
    </xf>
    <xf numFmtId="3" fontId="8" fillId="0" borderId="85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99" fillId="0" borderId="0" xfId="0" applyNumberFormat="1" applyFont="1" applyFill="1" applyBorder="1" applyAlignment="1">
      <alignment vertical="center" wrapText="1"/>
    </xf>
    <xf numFmtId="0" fontId="33" fillId="6" borderId="28" xfId="0" applyFont="1" applyFill="1" applyBorder="1" applyAlignment="1">
      <alignment vertical="center" wrapText="1"/>
    </xf>
    <xf numFmtId="3" fontId="53" fillId="6" borderId="35" xfId="0" applyNumberFormat="1" applyFont="1" applyFill="1" applyBorder="1" applyAlignment="1">
      <alignment vertical="center"/>
    </xf>
    <xf numFmtId="3" fontId="34" fillId="2" borderId="24" xfId="0" applyNumberFormat="1" applyFont="1" applyFill="1" applyBorder="1" applyAlignment="1">
      <alignment horizontal="left" vertical="top"/>
    </xf>
    <xf numFmtId="0" fontId="63" fillId="58" borderId="24" xfId="0" applyFont="1" applyFill="1" applyBorder="1" applyAlignment="1">
      <alignment vertical="top"/>
    </xf>
    <xf numFmtId="0" fontId="63" fillId="60" borderId="24" xfId="0" applyFont="1" applyFill="1" applyBorder="1" applyAlignment="1">
      <alignment vertical="top"/>
    </xf>
    <xf numFmtId="3" fontId="0" fillId="2" borderId="0" xfId="0" applyNumberFormat="1" applyFont="1" applyFill="1" applyAlignment="1"/>
    <xf numFmtId="0" fontId="108" fillId="0" borderId="105" xfId="5" applyFont="1" applyBorder="1" applyAlignment="1">
      <alignment horizontal="center" vertical="center" wrapText="1"/>
    </xf>
    <xf numFmtId="0" fontId="109" fillId="0" borderId="105" xfId="5" applyFont="1" applyBorder="1" applyAlignment="1">
      <alignment horizontal="left" vertical="center" wrapText="1"/>
    </xf>
    <xf numFmtId="3" fontId="110" fillId="20" borderId="104" xfId="5" applyNumberFormat="1" applyFont="1" applyFill="1" applyBorder="1" applyAlignment="1">
      <alignment vertical="center"/>
    </xf>
    <xf numFmtId="0" fontId="110" fillId="20" borderId="105" xfId="5" applyFont="1" applyFill="1" applyBorder="1" applyAlignment="1">
      <alignment horizontal="center" vertical="center"/>
    </xf>
    <xf numFmtId="3" fontId="54" fillId="6" borderId="105" xfId="4" applyNumberFormat="1" applyFont="1" applyFill="1" applyBorder="1" applyAlignment="1">
      <alignment horizontal="right" vertical="center"/>
    </xf>
    <xf numFmtId="3" fontId="56" fillId="0" borderId="105" xfId="4" applyNumberFormat="1" applyFont="1" applyFill="1" applyBorder="1" applyAlignment="1">
      <alignment horizontal="right" vertical="center"/>
    </xf>
    <xf numFmtId="3" fontId="56" fillId="25" borderId="105" xfId="4" applyNumberFormat="1" applyFont="1" applyFill="1" applyBorder="1" applyAlignment="1">
      <alignment horizontal="right" vertical="center"/>
    </xf>
    <xf numFmtId="3" fontId="60" fillId="0" borderId="109" xfId="4" applyNumberFormat="1" applyFont="1" applyFill="1" applyBorder="1" applyAlignment="1"/>
    <xf numFmtId="3" fontId="33" fillId="0" borderId="105" xfId="4" applyNumberFormat="1" applyFont="1" applyFill="1" applyBorder="1" applyAlignment="1">
      <alignment horizontal="right" vertical="center"/>
    </xf>
    <xf numFmtId="3" fontId="60" fillId="0" borderId="105" xfId="4" applyNumberFormat="1" applyFont="1" applyFill="1" applyBorder="1" applyAlignment="1"/>
    <xf numFmtId="3" fontId="60" fillId="0" borderId="105" xfId="4" applyNumberFormat="1" applyFont="1" applyFill="1" applyBorder="1" applyAlignment="1">
      <alignment horizontal="right" vertical="center"/>
    </xf>
    <xf numFmtId="3" fontId="60" fillId="25" borderId="105" xfId="4" applyNumberFormat="1" applyFont="1" applyFill="1" applyBorder="1" applyAlignment="1">
      <alignment horizontal="right" vertical="center"/>
    </xf>
    <xf numFmtId="3" fontId="62" fillId="0" borderId="105" xfId="6" applyNumberFormat="1" applyFont="1" applyFill="1" applyBorder="1" applyAlignment="1">
      <alignment vertical="center"/>
    </xf>
    <xf numFmtId="0" fontId="33" fillId="0" borderId="116" xfId="4" applyFont="1" applyFill="1" applyBorder="1" applyAlignment="1">
      <alignment vertical="top"/>
    </xf>
    <xf numFmtId="3" fontId="33" fillId="0" borderId="103" xfId="4" applyNumberFormat="1" applyFont="1" applyFill="1" applyBorder="1" applyAlignment="1">
      <alignment horizontal="right" vertical="center"/>
    </xf>
    <xf numFmtId="3" fontId="33" fillId="0" borderId="109" xfId="4" applyNumberFormat="1" applyFont="1" applyFill="1" applyBorder="1" applyAlignment="1">
      <alignment horizontal="right" vertical="center"/>
    </xf>
    <xf numFmtId="3" fontId="60" fillId="0" borderId="103" xfId="4" applyNumberFormat="1" applyFont="1" applyFill="1" applyBorder="1" applyAlignment="1">
      <alignment horizontal="right" vertical="center"/>
    </xf>
    <xf numFmtId="3" fontId="53" fillId="6" borderId="105" xfId="4" applyNumberFormat="1" applyFont="1" applyFill="1" applyBorder="1" applyAlignment="1"/>
    <xf numFmtId="3" fontId="56" fillId="2" borderId="115" xfId="4" applyNumberFormat="1" applyFont="1" applyFill="1" applyBorder="1" applyAlignment="1">
      <alignment vertical="top" wrapText="1"/>
    </xf>
    <xf numFmtId="3" fontId="56" fillId="2" borderId="105" xfId="4" applyNumberFormat="1" applyFont="1" applyFill="1" applyBorder="1" applyAlignment="1"/>
    <xf numFmtId="3" fontId="56" fillId="2" borderId="104" xfId="4" applyNumberFormat="1" applyFont="1" applyFill="1" applyBorder="1" applyAlignment="1"/>
    <xf numFmtId="3" fontId="58" fillId="25" borderId="105" xfId="4" applyNumberFormat="1" applyFont="1" applyFill="1" applyBorder="1" applyAlignment="1">
      <alignment horizontal="right" vertical="center"/>
    </xf>
    <xf numFmtId="3" fontId="60" fillId="0" borderId="109" xfId="4" applyNumberFormat="1" applyFont="1" applyFill="1" applyBorder="1" applyAlignment="1">
      <alignment horizontal="right" vertical="center"/>
    </xf>
    <xf numFmtId="0" fontId="33" fillId="0" borderId="115" xfId="4" applyFont="1" applyFill="1" applyBorder="1" applyAlignment="1">
      <alignment vertical="top"/>
    </xf>
    <xf numFmtId="0" fontId="56" fillId="2" borderId="115" xfId="4" applyFont="1" applyFill="1" applyBorder="1" applyAlignment="1">
      <alignment vertical="center"/>
    </xf>
    <xf numFmtId="3" fontId="56" fillId="0" borderId="105" xfId="4" applyNumberFormat="1" applyFont="1" applyFill="1" applyBorder="1" applyAlignment="1"/>
    <xf numFmtId="0" fontId="54" fillId="6" borderId="115" xfId="4" applyFont="1" applyFill="1" applyBorder="1" applyAlignment="1">
      <alignment horizontal="left" vertical="center"/>
    </xf>
    <xf numFmtId="3" fontId="52" fillId="6" borderId="105" xfId="6" applyNumberFormat="1" applyFont="1" applyFill="1" applyBorder="1" applyAlignment="1">
      <alignment horizontal="right" vertical="center"/>
    </xf>
    <xf numFmtId="3" fontId="62" fillId="0" borderId="105" xfId="6" applyNumberFormat="1" applyFont="1" applyFill="1" applyBorder="1" applyAlignment="1">
      <alignment horizontal="right" vertical="center"/>
    </xf>
    <xf numFmtId="0" fontId="60" fillId="0" borderId="116" xfId="4" applyFont="1" applyFill="1" applyBorder="1" applyAlignment="1">
      <alignment vertical="top"/>
    </xf>
    <xf numFmtId="3" fontId="58" fillId="2" borderId="105" xfId="4" applyNumberFormat="1" applyFont="1" applyFill="1" applyBorder="1" applyAlignment="1"/>
    <xf numFmtId="3" fontId="56" fillId="0" borderId="104" xfId="0" applyNumberFormat="1" applyFont="1" applyFill="1" applyBorder="1" applyAlignment="1">
      <alignment vertical="center"/>
    </xf>
    <xf numFmtId="3" fontId="56" fillId="0" borderId="104" xfId="0" applyNumberFormat="1" applyFont="1" applyFill="1" applyBorder="1" applyAlignment="1">
      <alignment horizontal="right" vertical="center"/>
    </xf>
    <xf numFmtId="3" fontId="56" fillId="58" borderId="104" xfId="0" applyNumberFormat="1" applyFont="1" applyFill="1" applyBorder="1" applyAlignment="1">
      <alignment horizontal="right" vertical="center"/>
    </xf>
    <xf numFmtId="3" fontId="56" fillId="60" borderId="104" xfId="0" applyNumberFormat="1" applyFont="1" applyFill="1" applyBorder="1" applyAlignment="1">
      <alignment horizontal="right" vertical="center"/>
    </xf>
    <xf numFmtId="3" fontId="60" fillId="0" borderId="104" xfId="0" applyNumberFormat="1" applyFont="1" applyFill="1" applyBorder="1" applyAlignment="1">
      <alignment horizontal="right" vertical="center"/>
    </xf>
    <xf numFmtId="3" fontId="60" fillId="58" borderId="104" xfId="0" applyNumberFormat="1" applyFont="1" applyFill="1" applyBorder="1" applyAlignment="1">
      <alignment horizontal="right" vertical="center"/>
    </xf>
    <xf numFmtId="3" fontId="60" fillId="60" borderId="104" xfId="0" applyNumberFormat="1" applyFont="1" applyFill="1" applyBorder="1" applyAlignment="1">
      <alignment horizontal="right" vertical="center"/>
    </xf>
    <xf numFmtId="3" fontId="57" fillId="0" borderId="104" xfId="0" applyNumberFormat="1" applyFont="1" applyFill="1" applyBorder="1" applyAlignment="1">
      <alignment vertical="center"/>
    </xf>
    <xf numFmtId="3" fontId="54" fillId="58" borderId="105" xfId="0" applyNumberFormat="1" applyFont="1" applyFill="1" applyBorder="1" applyAlignment="1">
      <alignment vertical="center"/>
    </xf>
    <xf numFmtId="3" fontId="54" fillId="60" borderId="105" xfId="0" applyNumberFormat="1" applyFont="1" applyFill="1" applyBorder="1" applyAlignment="1">
      <alignment vertical="center"/>
    </xf>
    <xf numFmtId="0" fontId="60" fillId="6" borderId="106" xfId="0" applyFont="1" applyFill="1" applyBorder="1" applyAlignment="1">
      <alignment vertical="top"/>
    </xf>
    <xf numFmtId="3" fontId="54" fillId="6" borderId="105" xfId="0" applyNumberFormat="1" applyFont="1" applyFill="1" applyBorder="1" applyAlignment="1">
      <alignment vertical="top"/>
    </xf>
    <xf numFmtId="3" fontId="54" fillId="58" borderId="105" xfId="0" applyNumberFormat="1" applyFont="1" applyFill="1" applyBorder="1" applyAlignment="1">
      <alignment vertical="top"/>
    </xf>
    <xf numFmtId="3" fontId="54" fillId="60" borderId="105" xfId="0" applyNumberFormat="1" applyFont="1" applyFill="1" applyBorder="1" applyAlignment="1">
      <alignment vertical="top"/>
    </xf>
    <xf numFmtId="3" fontId="54" fillId="22" borderId="105" xfId="0" applyNumberFormat="1" applyFont="1" applyFill="1" applyBorder="1" applyAlignment="1">
      <alignment vertical="top"/>
    </xf>
    <xf numFmtId="3" fontId="56" fillId="2" borderId="105" xfId="0" applyNumberFormat="1" applyFont="1" applyFill="1" applyBorder="1" applyAlignment="1">
      <alignment vertical="top"/>
    </xf>
    <xf numFmtId="3" fontId="56" fillId="58" borderId="105" xfId="0" applyNumberFormat="1" applyFont="1" applyFill="1" applyBorder="1" applyAlignment="1">
      <alignment vertical="top"/>
    </xf>
    <xf numFmtId="3" fontId="56" fillId="60" borderId="105" xfId="0" applyNumberFormat="1" applyFont="1" applyFill="1" applyBorder="1" applyAlignment="1">
      <alignment vertical="top"/>
    </xf>
    <xf numFmtId="3" fontId="54" fillId="25" borderId="104" xfId="0" applyNumberFormat="1" applyFont="1" applyFill="1" applyBorder="1" applyAlignment="1">
      <alignment vertical="top"/>
    </xf>
    <xf numFmtId="3" fontId="60" fillId="0" borderId="105" xfId="0" applyNumberFormat="1" applyFont="1" applyFill="1" applyBorder="1" applyAlignment="1">
      <alignment vertical="top"/>
    </xf>
    <xf numFmtId="3" fontId="60" fillId="58" borderId="105" xfId="0" applyNumberFormat="1" applyFont="1" applyFill="1" applyBorder="1" applyAlignment="1">
      <alignment vertical="top"/>
    </xf>
    <xf numFmtId="3" fontId="60" fillId="60" borderId="105" xfId="0" applyNumberFormat="1" applyFont="1" applyFill="1" applyBorder="1" applyAlignment="1">
      <alignment vertical="top"/>
    </xf>
    <xf numFmtId="3" fontId="56" fillId="0" borderId="105" xfId="0" applyNumberFormat="1" applyFont="1" applyFill="1" applyBorder="1" applyAlignment="1">
      <alignment vertical="top"/>
    </xf>
    <xf numFmtId="3" fontId="60" fillId="58" borderId="103" xfId="0" applyNumberFormat="1" applyFont="1" applyFill="1" applyBorder="1" applyAlignment="1">
      <alignment horizontal="right" vertical="center"/>
    </xf>
    <xf numFmtId="3" fontId="60" fillId="60" borderId="103" xfId="0" applyNumberFormat="1" applyFont="1" applyFill="1" applyBorder="1" applyAlignment="1">
      <alignment horizontal="right" vertical="center"/>
    </xf>
    <xf numFmtId="3" fontId="60" fillId="0" borderId="103" xfId="0" applyNumberFormat="1" applyFont="1" applyFill="1" applyBorder="1" applyAlignment="1">
      <alignment horizontal="right" vertical="center"/>
    </xf>
    <xf numFmtId="0" fontId="33" fillId="6" borderId="106" xfId="0" applyFont="1" applyFill="1" applyBorder="1" applyAlignment="1">
      <alignment horizontal="left" vertical="center" wrapText="1"/>
    </xf>
    <xf numFmtId="3" fontId="60" fillId="58" borderId="104" xfId="0" applyNumberFormat="1" applyFont="1" applyFill="1" applyBorder="1" applyAlignment="1">
      <alignment vertical="top"/>
    </xf>
    <xf numFmtId="3" fontId="60" fillId="60" borderId="104" xfId="0" applyNumberFormat="1" applyFont="1" applyFill="1" applyBorder="1" applyAlignment="1">
      <alignment vertical="top"/>
    </xf>
    <xf numFmtId="3" fontId="54" fillId="22" borderId="104" xfId="0" applyNumberFormat="1" applyFont="1" applyFill="1" applyBorder="1" applyAlignment="1">
      <alignment vertical="center"/>
    </xf>
    <xf numFmtId="3" fontId="56" fillId="32" borderId="105" xfId="0" applyNumberFormat="1" applyFont="1" applyFill="1" applyBorder="1" applyAlignment="1">
      <alignment vertical="center"/>
    </xf>
    <xf numFmtId="3" fontId="56" fillId="25" borderId="104" xfId="0" applyNumberFormat="1" applyFont="1" applyFill="1" applyBorder="1" applyAlignment="1">
      <alignment vertical="center"/>
    </xf>
    <xf numFmtId="3" fontId="60" fillId="0" borderId="105" xfId="0" applyNumberFormat="1" applyFont="1" applyFill="1" applyBorder="1" applyAlignment="1">
      <alignment vertical="center"/>
    </xf>
    <xf numFmtId="3" fontId="60" fillId="32" borderId="105" xfId="0" applyNumberFormat="1" applyFont="1" applyFill="1" applyBorder="1" applyAlignment="1">
      <alignment vertical="top"/>
    </xf>
    <xf numFmtId="3" fontId="60" fillId="25" borderId="104" xfId="0" applyNumberFormat="1" applyFont="1" applyFill="1" applyBorder="1" applyAlignment="1">
      <alignment vertical="top"/>
    </xf>
    <xf numFmtId="3" fontId="54" fillId="32" borderId="105" xfId="0" applyNumberFormat="1" applyFont="1" applyFill="1" applyBorder="1" applyAlignment="1">
      <alignment vertical="top"/>
    </xf>
    <xf numFmtId="3" fontId="56" fillId="25" borderId="104" xfId="0" applyNumberFormat="1" applyFont="1" applyFill="1" applyBorder="1" applyAlignment="1">
      <alignment vertical="top"/>
    </xf>
    <xf numFmtId="3" fontId="57" fillId="62" borderId="105" xfId="0" applyNumberFormat="1" applyFont="1" applyFill="1" applyBorder="1" applyAlignment="1">
      <alignment vertical="top"/>
    </xf>
    <xf numFmtId="3" fontId="57" fillId="25" borderId="104" xfId="0" applyNumberFormat="1" applyFont="1" applyFill="1" applyBorder="1" applyAlignment="1">
      <alignment vertical="center"/>
    </xf>
    <xf numFmtId="3" fontId="57" fillId="63" borderId="105" xfId="0" applyNumberFormat="1" applyFont="1" applyFill="1" applyBorder="1" applyAlignment="1">
      <alignment vertical="top"/>
    </xf>
    <xf numFmtId="3" fontId="57" fillId="57" borderId="105" xfId="0" applyNumberFormat="1" applyFont="1" applyFill="1" applyBorder="1" applyAlignment="1">
      <alignment vertical="center"/>
    </xf>
    <xf numFmtId="3" fontId="57" fillId="65" borderId="104" xfId="0" applyNumberFormat="1" applyFont="1" applyFill="1" applyBorder="1" applyAlignment="1">
      <alignment vertical="center"/>
    </xf>
    <xf numFmtId="3" fontId="57" fillId="64" borderId="105" xfId="0" applyNumberFormat="1" applyFont="1" applyFill="1" applyBorder="1" applyAlignment="1">
      <alignment vertical="top"/>
    </xf>
    <xf numFmtId="43" fontId="60" fillId="25" borderId="104" xfId="1" applyFont="1" applyFill="1" applyBorder="1" applyAlignment="1">
      <alignment vertical="top"/>
    </xf>
    <xf numFmtId="3" fontId="57" fillId="56" borderId="105" xfId="0" applyNumberFormat="1" applyFont="1" applyFill="1" applyBorder="1" applyAlignment="1">
      <alignment vertical="top"/>
    </xf>
    <xf numFmtId="43" fontId="57" fillId="25" borderId="104" xfId="1" applyFont="1" applyFill="1" applyBorder="1" applyAlignment="1">
      <alignment vertical="center"/>
    </xf>
    <xf numFmtId="0" fontId="52" fillId="0" borderId="106" xfId="0" applyFont="1" applyBorder="1" applyAlignment="1">
      <alignment horizontal="center" vertical="center" wrapText="1"/>
    </xf>
    <xf numFmtId="3" fontId="60" fillId="58" borderId="105" xfId="0" applyNumberFormat="1" applyFont="1" applyFill="1" applyBorder="1" applyAlignment="1">
      <alignment horizontal="right" vertical="center"/>
    </xf>
    <xf numFmtId="3" fontId="60" fillId="0" borderId="105" xfId="0" applyNumberFormat="1" applyFont="1" applyFill="1" applyBorder="1" applyAlignment="1">
      <alignment horizontal="right" vertical="center"/>
    </xf>
    <xf numFmtId="0" fontId="57" fillId="63" borderId="106" xfId="0" applyFont="1" applyFill="1" applyBorder="1" applyAlignment="1">
      <alignment vertical="top"/>
    </xf>
    <xf numFmtId="0" fontId="57" fillId="57" borderId="107" xfId="0" applyFont="1" applyFill="1" applyBorder="1" applyAlignment="1">
      <alignment vertical="center"/>
    </xf>
    <xf numFmtId="0" fontId="57" fillId="64" borderId="106" xfId="0" applyFont="1" applyFill="1" applyBorder="1" applyAlignment="1">
      <alignment vertical="top"/>
    </xf>
    <xf numFmtId="0" fontId="60" fillId="56" borderId="107" xfId="0" applyFont="1" applyFill="1" applyBorder="1" applyAlignment="1">
      <alignment vertical="top"/>
    </xf>
    <xf numFmtId="0" fontId="60" fillId="56" borderId="106" xfId="0" applyFont="1" applyFill="1" applyBorder="1" applyAlignment="1">
      <alignment vertical="top"/>
    </xf>
    <xf numFmtId="3" fontId="54" fillId="22" borderId="12" xfId="0" applyNumberFormat="1" applyFont="1" applyFill="1" applyBorder="1" applyAlignment="1">
      <alignment vertical="center"/>
    </xf>
    <xf numFmtId="43" fontId="33" fillId="0" borderId="104" xfId="1" applyFont="1" applyFill="1" applyBorder="1" applyAlignment="1">
      <alignment horizontal="right" vertical="center"/>
    </xf>
    <xf numFmtId="3" fontId="53" fillId="6" borderId="105" xfId="4" applyNumberFormat="1" applyFont="1" applyFill="1" applyBorder="1" applyAlignment="1">
      <alignment vertical="center"/>
    </xf>
    <xf numFmtId="0" fontId="44" fillId="2" borderId="9" xfId="0" applyFont="1" applyFill="1" applyBorder="1" applyAlignment="1">
      <alignment horizontal="right" vertical="center"/>
    </xf>
    <xf numFmtId="0" fontId="44" fillId="2" borderId="105" xfId="0" applyFont="1" applyFill="1" applyBorder="1" applyAlignment="1">
      <alignment horizontal="right" vertical="center"/>
    </xf>
    <xf numFmtId="0" fontId="46" fillId="13" borderId="11" xfId="4" applyFont="1" applyFill="1" applyBorder="1" applyAlignment="1">
      <alignment horizontal="center" vertical="top"/>
    </xf>
    <xf numFmtId="3" fontId="58" fillId="0" borderId="29" xfId="4" applyNumberFormat="1" applyFont="1" applyFill="1" applyBorder="1" applyAlignment="1"/>
    <xf numFmtId="0" fontId="53" fillId="8" borderId="19" xfId="4" applyFont="1" applyFill="1" applyBorder="1" applyAlignment="1">
      <alignment vertical="center" wrapText="1"/>
    </xf>
    <xf numFmtId="3" fontId="33" fillId="0" borderId="65" xfId="4" applyNumberFormat="1" applyFont="1" applyFill="1" applyBorder="1" applyAlignment="1"/>
    <xf numFmtId="0" fontId="60" fillId="0" borderId="115" xfId="4" applyFont="1" applyFill="1" applyBorder="1" applyAlignment="1">
      <alignment vertical="top"/>
    </xf>
    <xf numFmtId="0" fontId="60" fillId="0" borderId="21" xfId="4" applyFont="1" applyFill="1" applyBorder="1" applyAlignment="1">
      <alignment horizontal="left" vertical="center"/>
    </xf>
    <xf numFmtId="43" fontId="33" fillId="0" borderId="29" xfId="1" applyFont="1" applyFill="1" applyBorder="1" applyAlignment="1">
      <alignment horizontal="right" vertical="center"/>
    </xf>
    <xf numFmtId="43" fontId="53" fillId="6" borderId="9" xfId="1" applyFont="1" applyFill="1" applyBorder="1" applyAlignment="1"/>
    <xf numFmtId="43" fontId="33" fillId="0" borderId="74" xfId="1" applyFont="1" applyFill="1" applyBorder="1" applyAlignment="1">
      <alignment horizontal="right" vertical="center"/>
    </xf>
    <xf numFmtId="3" fontId="53" fillId="32" borderId="105" xfId="4" applyNumberFormat="1" applyFont="1" applyFill="1" applyBorder="1" applyAlignment="1"/>
    <xf numFmtId="0" fontId="60" fillId="0" borderId="77" xfId="4" applyFont="1" applyFill="1" applyBorder="1" applyAlignment="1">
      <alignment vertical="top"/>
    </xf>
    <xf numFmtId="3" fontId="53" fillId="8" borderId="79" xfId="4" applyNumberFormat="1" applyFont="1" applyFill="1" applyBorder="1" applyAlignment="1">
      <alignment horizontal="right" vertical="center"/>
    </xf>
    <xf numFmtId="43" fontId="53" fillId="6" borderId="30" xfId="1" applyFont="1" applyFill="1" applyBorder="1" applyAlignment="1"/>
    <xf numFmtId="3" fontId="58" fillId="2" borderId="31" xfId="4" applyNumberFormat="1" applyFont="1" applyFill="1" applyBorder="1" applyAlignment="1">
      <alignment vertical="top" wrapText="1"/>
    </xf>
    <xf numFmtId="43" fontId="33" fillId="0" borderId="10" xfId="1" applyFont="1" applyFill="1" applyBorder="1" applyAlignment="1">
      <alignment horizontal="right" vertical="center"/>
    </xf>
    <xf numFmtId="43" fontId="60" fillId="25" borderId="29" xfId="1" applyFont="1" applyFill="1" applyBorder="1" applyAlignment="1">
      <alignment horizontal="right" vertical="center"/>
    </xf>
    <xf numFmtId="43" fontId="60" fillId="0" borderId="93" xfId="1" applyFont="1" applyFill="1" applyBorder="1" applyAlignment="1"/>
    <xf numFmtId="43" fontId="60" fillId="0" borderId="10" xfId="1" applyFont="1" applyFill="1" applyBorder="1" applyAlignment="1">
      <alignment horizontal="right" vertical="center"/>
    </xf>
    <xf numFmtId="0" fontId="58" fillId="2" borderId="31" xfId="4" applyFont="1" applyFill="1" applyBorder="1" applyAlignment="1">
      <alignment vertical="top"/>
    </xf>
    <xf numFmtId="0" fontId="33" fillId="0" borderId="84" xfId="4" applyFont="1" applyFill="1" applyBorder="1" applyAlignment="1">
      <alignment vertical="top"/>
    </xf>
    <xf numFmtId="3" fontId="60" fillId="0" borderId="91" xfId="4" applyNumberFormat="1" applyFont="1" applyFill="1" applyBorder="1" applyAlignment="1">
      <alignment vertical="center"/>
    </xf>
    <xf numFmtId="0" fontId="53" fillId="6" borderId="36" xfId="4" applyFont="1" applyFill="1" applyBorder="1" applyAlignment="1">
      <alignment horizontal="left" vertical="center"/>
    </xf>
    <xf numFmtId="3" fontId="53" fillId="32" borderId="9" xfId="4" applyNumberFormat="1" applyFont="1" applyFill="1" applyBorder="1" applyAlignment="1"/>
    <xf numFmtId="43" fontId="53" fillId="32" borderId="9" xfId="1" applyFont="1" applyFill="1" applyBorder="1" applyAlignment="1"/>
    <xf numFmtId="3" fontId="60" fillId="32" borderId="9" xfId="4" applyNumberFormat="1" applyFont="1" applyFill="1" applyBorder="1" applyAlignment="1"/>
    <xf numFmtId="43" fontId="33" fillId="0" borderId="12" xfId="1" applyFont="1" applyFill="1" applyBorder="1" applyAlignment="1">
      <alignment horizontal="right" vertical="center"/>
    </xf>
    <xf numFmtId="43" fontId="60" fillId="0" borderId="109" xfId="1" applyFont="1" applyFill="1" applyBorder="1" applyAlignment="1">
      <alignment horizontal="right" vertical="center"/>
    </xf>
    <xf numFmtId="3" fontId="60" fillId="25" borderId="109" xfId="4" applyNumberFormat="1" applyFont="1" applyFill="1" applyBorder="1" applyAlignment="1">
      <alignment horizontal="right" vertical="center"/>
    </xf>
    <xf numFmtId="43" fontId="60" fillId="2" borderId="74" xfId="1" applyFont="1" applyFill="1" applyBorder="1" applyAlignment="1"/>
    <xf numFmtId="3" fontId="111" fillId="8" borderId="17" xfId="6" applyNumberFormat="1" applyFont="1" applyFill="1" applyBorder="1" applyAlignment="1">
      <alignment vertical="center"/>
    </xf>
    <xf numFmtId="3" fontId="33" fillId="8" borderId="2" xfId="4" applyNumberFormat="1" applyFont="1" applyFill="1" applyBorder="1" applyAlignment="1">
      <alignment horizontal="right" vertical="center"/>
    </xf>
    <xf numFmtId="3" fontId="53" fillId="8" borderId="17" xfId="0" applyNumberFormat="1" applyFont="1" applyFill="1" applyBorder="1" applyAlignment="1">
      <alignment vertical="center"/>
    </xf>
    <xf numFmtId="3" fontId="58" fillId="0" borderId="29" xfId="0" applyNumberFormat="1" applyFont="1" applyFill="1" applyBorder="1" applyAlignment="1">
      <alignment horizontal="right" vertical="center"/>
    </xf>
    <xf numFmtId="3" fontId="60" fillId="0" borderId="72" xfId="0" applyNumberFormat="1" applyFont="1" applyFill="1" applyBorder="1" applyAlignment="1">
      <alignment horizontal="right" vertical="center"/>
    </xf>
    <xf numFmtId="3" fontId="33" fillId="0" borderId="72" xfId="0" applyNumberFormat="1" applyFont="1" applyFill="1" applyBorder="1" applyAlignment="1">
      <alignment horizontal="right" vertical="center"/>
    </xf>
    <xf numFmtId="3" fontId="33" fillId="0" borderId="65" xfId="0" applyNumberFormat="1" applyFont="1" applyFill="1" applyBorder="1" applyAlignment="1">
      <alignment horizontal="right" vertical="center"/>
    </xf>
    <xf numFmtId="3" fontId="60" fillId="0" borderId="23" xfId="4" applyNumberFormat="1" applyFont="1" applyFill="1" applyBorder="1" applyAlignment="1">
      <alignment horizontal="right" vertical="center"/>
    </xf>
    <xf numFmtId="3" fontId="60" fillId="2" borderId="23" xfId="4" applyNumberFormat="1" applyFont="1" applyFill="1" applyBorder="1" applyAlignment="1">
      <alignment horizontal="right" vertical="center"/>
    </xf>
    <xf numFmtId="3" fontId="62" fillId="0" borderId="71" xfId="6" applyNumberFormat="1" applyFont="1" applyFill="1" applyBorder="1" applyAlignment="1">
      <alignment vertical="center"/>
    </xf>
    <xf numFmtId="43" fontId="58" fillId="0" borderId="71" xfId="1" applyFont="1" applyFill="1" applyBorder="1" applyAlignment="1">
      <alignment horizontal="right" vertical="center"/>
    </xf>
    <xf numFmtId="3" fontId="56" fillId="0" borderId="71" xfId="4" applyNumberFormat="1" applyFont="1" applyFill="1" applyBorder="1" applyAlignment="1">
      <alignment horizontal="right" vertical="center"/>
    </xf>
    <xf numFmtId="3" fontId="60" fillId="0" borderId="75" xfId="4" applyNumberFormat="1" applyFont="1" applyFill="1" applyBorder="1" applyAlignment="1">
      <alignment horizontal="right" vertical="center"/>
    </xf>
    <xf numFmtId="0" fontId="46" fillId="8" borderId="6" xfId="4" applyFont="1" applyFill="1" applyBorder="1" applyAlignment="1">
      <alignment vertical="top"/>
    </xf>
    <xf numFmtId="0" fontId="46" fillId="0" borderId="26" xfId="0" applyFont="1" applyFill="1" applyBorder="1" applyAlignment="1">
      <alignment horizontal="center" vertical="center"/>
    </xf>
    <xf numFmtId="0" fontId="46" fillId="0" borderId="68" xfId="0" applyFont="1" applyFill="1" applyBorder="1" applyAlignment="1">
      <alignment horizontal="center" vertical="center"/>
    </xf>
    <xf numFmtId="0" fontId="56" fillId="56" borderId="94" xfId="4" applyFont="1" applyFill="1" applyBorder="1" applyAlignment="1">
      <alignment horizontal="left" vertical="center"/>
    </xf>
    <xf numFmtId="3" fontId="56" fillId="58" borderId="93" xfId="4" applyNumberFormat="1" applyFont="1" applyFill="1" applyBorder="1" applyAlignment="1">
      <alignment horizontal="right" vertical="center"/>
    </xf>
    <xf numFmtId="3" fontId="56" fillId="60" borderId="93" xfId="4" applyNumberFormat="1" applyFont="1" applyFill="1" applyBorder="1" applyAlignment="1">
      <alignment horizontal="right" vertical="center"/>
    </xf>
    <xf numFmtId="0" fontId="60" fillId="0" borderId="32" xfId="0" applyFont="1" applyFill="1" applyBorder="1" applyAlignment="1">
      <alignment horizontal="left" vertical="center" wrapText="1"/>
    </xf>
    <xf numFmtId="3" fontId="54" fillId="0" borderId="93" xfId="0" applyNumberFormat="1" applyFont="1" applyFill="1" applyBorder="1" applyAlignment="1">
      <alignment vertical="top"/>
    </xf>
    <xf numFmtId="3" fontId="56" fillId="22" borderId="91" xfId="0" applyNumberFormat="1" applyFont="1" applyFill="1" applyBorder="1" applyAlignment="1">
      <alignment vertical="top"/>
    </xf>
    <xf numFmtId="0" fontId="60" fillId="0" borderId="36" xfId="4" applyFont="1" applyFill="1" applyBorder="1" applyAlignment="1">
      <alignment horizontal="left" vertical="center"/>
    </xf>
    <xf numFmtId="3" fontId="60" fillId="60" borderId="91" xfId="0" applyNumberFormat="1" applyFont="1" applyFill="1" applyBorder="1" applyAlignment="1">
      <alignment horizontal="right" vertical="center"/>
    </xf>
    <xf numFmtId="0" fontId="60" fillId="0" borderId="32" xfId="4" applyFont="1" applyFill="1" applyBorder="1" applyAlignment="1">
      <alignment vertical="center"/>
    </xf>
    <xf numFmtId="3" fontId="54" fillId="0" borderId="9" xfId="0" applyNumberFormat="1" applyFont="1" applyFill="1" applyBorder="1" applyAlignment="1">
      <alignment vertical="top"/>
    </xf>
    <xf numFmtId="3" fontId="60" fillId="58" borderId="9" xfId="0" applyNumberFormat="1" applyFont="1" applyFill="1" applyBorder="1" applyAlignment="1">
      <alignment vertical="top"/>
    </xf>
    <xf numFmtId="3" fontId="60" fillId="60" borderId="9" xfId="0" applyNumberFormat="1" applyFont="1" applyFill="1" applyBorder="1" applyAlignment="1">
      <alignment vertical="top"/>
    </xf>
    <xf numFmtId="0" fontId="111" fillId="62" borderId="21" xfId="0" applyFont="1" applyFill="1" applyBorder="1"/>
    <xf numFmtId="0" fontId="111" fillId="63" borderId="32" xfId="0" applyFont="1" applyFill="1" applyBorder="1"/>
    <xf numFmtId="0" fontId="111" fillId="57" borderId="32" xfId="0" applyFont="1" applyFill="1" applyBorder="1" applyAlignment="1">
      <alignment vertical="center"/>
    </xf>
    <xf numFmtId="0" fontId="71" fillId="64" borderId="0" xfId="0" applyFont="1" applyFill="1" applyBorder="1"/>
    <xf numFmtId="0" fontId="34" fillId="0" borderId="106" xfId="0" applyFont="1" applyFill="1" applyBorder="1" applyAlignment="1">
      <alignment vertical="center" wrapText="1"/>
    </xf>
    <xf numFmtId="0" fontId="60" fillId="56" borderId="32" xfId="4" applyFont="1" applyFill="1" applyBorder="1" applyAlignment="1">
      <alignment horizontal="left" vertical="center"/>
    </xf>
    <xf numFmtId="3" fontId="60" fillId="56" borderId="105" xfId="0" applyNumberFormat="1" applyFont="1" applyFill="1" applyBorder="1" applyAlignment="1">
      <alignment vertical="top"/>
    </xf>
    <xf numFmtId="0" fontId="71" fillId="64" borderId="117" xfId="0" applyFont="1" applyFill="1" applyBorder="1"/>
    <xf numFmtId="3" fontId="57" fillId="56" borderId="9" xfId="0" applyNumberFormat="1" applyFont="1" applyFill="1" applyBorder="1" applyAlignment="1">
      <alignment horizontal="right"/>
    </xf>
    <xf numFmtId="0" fontId="56" fillId="2" borderId="115" xfId="4" applyFont="1" applyFill="1" applyBorder="1" applyAlignment="1">
      <alignment vertical="top"/>
    </xf>
    <xf numFmtId="0" fontId="16" fillId="0" borderId="28" xfId="0" applyFont="1" applyFill="1" applyBorder="1" applyAlignment="1">
      <alignment vertical="center" wrapText="1"/>
    </xf>
    <xf numFmtId="0" fontId="71" fillId="64" borderId="84" xfId="0" applyFont="1" applyFill="1" applyBorder="1"/>
    <xf numFmtId="0" fontId="54" fillId="8" borderId="87" xfId="0" applyFont="1" applyFill="1" applyBorder="1" applyAlignment="1">
      <alignment horizontal="center" vertical="center" wrapText="1"/>
    </xf>
    <xf numFmtId="0" fontId="33" fillId="23" borderId="70" xfId="0" applyFont="1" applyFill="1" applyBorder="1" applyAlignment="1">
      <alignment vertical="top"/>
    </xf>
    <xf numFmtId="3" fontId="57" fillId="0" borderId="91" xfId="0" applyNumberFormat="1" applyFont="1" applyFill="1" applyBorder="1" applyAlignment="1">
      <alignment vertical="center"/>
    </xf>
    <xf numFmtId="3" fontId="56" fillId="0" borderId="91" xfId="0" applyNumberFormat="1" applyFont="1" applyFill="1" applyBorder="1" applyAlignment="1">
      <alignment horizontal="right" vertical="center"/>
    </xf>
    <xf numFmtId="0" fontId="33" fillId="0" borderId="21" xfId="0" applyFont="1" applyFill="1" applyBorder="1" applyAlignment="1">
      <alignment vertical="center" wrapText="1"/>
    </xf>
    <xf numFmtId="0" fontId="46" fillId="2" borderId="43" xfId="0" applyFont="1" applyFill="1" applyBorder="1" applyAlignment="1">
      <alignment vertical="center" wrapText="1"/>
    </xf>
    <xf numFmtId="3" fontId="57" fillId="0" borderId="47" xfId="0" applyNumberFormat="1" applyFont="1" applyFill="1" applyBorder="1" applyAlignment="1">
      <alignment vertical="center"/>
    </xf>
    <xf numFmtId="0" fontId="106" fillId="6" borderId="20" xfId="4" applyFont="1" applyFill="1" applyBorder="1" applyAlignment="1">
      <alignment horizontal="left" vertical="center"/>
    </xf>
    <xf numFmtId="3" fontId="56" fillId="58" borderId="91" xfId="0" applyNumberFormat="1" applyFont="1" applyFill="1" applyBorder="1" applyAlignment="1">
      <alignment horizontal="right" vertical="center"/>
    </xf>
    <xf numFmtId="3" fontId="56" fillId="60" borderId="91" xfId="0" applyNumberFormat="1" applyFont="1" applyFill="1" applyBorder="1" applyAlignment="1">
      <alignment horizontal="right" vertical="center"/>
    </xf>
    <xf numFmtId="3" fontId="60" fillId="0" borderId="102" xfId="0" applyNumberFormat="1" applyFont="1" applyFill="1" applyBorder="1" applyAlignment="1">
      <alignment vertical="center"/>
    </xf>
    <xf numFmtId="3" fontId="60" fillId="22" borderId="35" xfId="0" applyNumberFormat="1" applyFont="1" applyFill="1" applyBorder="1" applyAlignment="1">
      <alignment vertical="center"/>
    </xf>
    <xf numFmtId="3" fontId="57" fillId="0" borderId="91" xfId="0" applyNumberFormat="1" applyFont="1" applyFill="1" applyBorder="1" applyAlignment="1">
      <alignment horizontal="right" vertical="center"/>
    </xf>
    <xf numFmtId="3" fontId="57" fillId="58" borderId="91" xfId="0" applyNumberFormat="1" applyFont="1" applyFill="1" applyBorder="1" applyAlignment="1">
      <alignment horizontal="right" vertical="center"/>
    </xf>
    <xf numFmtId="3" fontId="57" fillId="60" borderId="91" xfId="0" applyNumberFormat="1" applyFont="1" applyFill="1" applyBorder="1" applyAlignment="1">
      <alignment horizontal="right" vertical="center"/>
    </xf>
    <xf numFmtId="3" fontId="57" fillId="0" borderId="93" xfId="0" applyNumberFormat="1" applyFont="1" applyFill="1" applyBorder="1" applyAlignment="1">
      <alignment vertical="top"/>
    </xf>
    <xf numFmtId="3" fontId="57" fillId="0" borderId="102" xfId="0" applyNumberFormat="1" applyFont="1" applyFill="1" applyBorder="1" applyAlignment="1">
      <alignment vertical="center"/>
    </xf>
    <xf numFmtId="3" fontId="57" fillId="22" borderId="35" xfId="0" applyNumberFormat="1" applyFont="1" applyFill="1" applyBorder="1" applyAlignment="1">
      <alignment vertical="center"/>
    </xf>
    <xf numFmtId="3" fontId="56" fillId="22" borderId="35" xfId="0" applyNumberFormat="1" applyFont="1" applyFill="1" applyBorder="1" applyAlignment="1">
      <alignment vertical="center"/>
    </xf>
    <xf numFmtId="3" fontId="54" fillId="0" borderId="104" xfId="0" applyNumberFormat="1" applyFont="1" applyFill="1" applyBorder="1" applyAlignment="1">
      <alignment vertical="center"/>
    </xf>
    <xf numFmtId="3" fontId="54" fillId="0" borderId="104" xfId="0" applyNumberFormat="1" applyFont="1" applyFill="1" applyBorder="1" applyAlignment="1">
      <alignment horizontal="right" vertical="center"/>
    </xf>
    <xf numFmtId="3" fontId="54" fillId="58" borderId="104" xfId="0" applyNumberFormat="1" applyFont="1" applyFill="1" applyBorder="1" applyAlignment="1">
      <alignment horizontal="right" vertical="center"/>
    </xf>
    <xf numFmtId="3" fontId="54" fillId="60" borderId="104" xfId="0" applyNumberFormat="1" applyFont="1" applyFill="1" applyBorder="1" applyAlignment="1">
      <alignment horizontal="right" vertical="center"/>
    </xf>
    <xf numFmtId="3" fontId="54" fillId="0" borderId="104" xfId="0" applyNumberFormat="1" applyFont="1" applyFill="1" applyBorder="1" applyAlignment="1">
      <alignment vertical="top"/>
    </xf>
    <xf numFmtId="0" fontId="33" fillId="0" borderId="108" xfId="0" applyFont="1" applyFill="1" applyBorder="1" applyAlignment="1">
      <alignment vertical="center" wrapText="1"/>
    </xf>
    <xf numFmtId="3" fontId="57" fillId="0" borderId="103" xfId="0" applyNumberFormat="1" applyFont="1" applyFill="1" applyBorder="1" applyAlignment="1">
      <alignment vertical="center"/>
    </xf>
    <xf numFmtId="3" fontId="57" fillId="0" borderId="103" xfId="0" applyNumberFormat="1" applyFont="1" applyFill="1" applyBorder="1" applyAlignment="1">
      <alignment horizontal="right" vertical="center"/>
    </xf>
    <xf numFmtId="3" fontId="57" fillId="58" borderId="103" xfId="0" applyNumberFormat="1" applyFont="1" applyFill="1" applyBorder="1" applyAlignment="1">
      <alignment horizontal="right" vertical="center"/>
    </xf>
    <xf numFmtId="3" fontId="57" fillId="60" borderId="103" xfId="0" applyNumberFormat="1" applyFont="1" applyFill="1" applyBorder="1" applyAlignment="1">
      <alignment horizontal="right" vertical="center"/>
    </xf>
    <xf numFmtId="3" fontId="57" fillId="0" borderId="103" xfId="0" applyNumberFormat="1" applyFont="1" applyFill="1" applyBorder="1" applyAlignment="1">
      <alignment vertical="top"/>
    </xf>
    <xf numFmtId="3" fontId="60" fillId="8" borderId="114" xfId="0" applyNumberFormat="1" applyFont="1" applyFill="1" applyBorder="1" applyAlignment="1">
      <alignment vertical="top"/>
    </xf>
    <xf numFmtId="0" fontId="60" fillId="8" borderId="110" xfId="0" applyFont="1" applyFill="1" applyBorder="1" applyAlignment="1">
      <alignment vertical="top"/>
    </xf>
    <xf numFmtId="0" fontId="60" fillId="58" borderId="110" xfId="0" applyFont="1" applyFill="1" applyBorder="1" applyAlignment="1">
      <alignment vertical="top"/>
    </xf>
    <xf numFmtId="3" fontId="60" fillId="58" borderId="110" xfId="0" applyNumberFormat="1" applyFont="1" applyFill="1" applyBorder="1" applyAlignment="1">
      <alignment vertical="top"/>
    </xf>
    <xf numFmtId="3" fontId="60" fillId="60" borderId="110" xfId="0" applyNumberFormat="1" applyFont="1" applyFill="1" applyBorder="1" applyAlignment="1">
      <alignment vertical="top"/>
    </xf>
    <xf numFmtId="0" fontId="60" fillId="60" borderId="110" xfId="0" applyFont="1" applyFill="1" applyBorder="1" applyAlignment="1">
      <alignment vertical="top"/>
    </xf>
    <xf numFmtId="3" fontId="60" fillId="8" borderId="110" xfId="0" applyNumberFormat="1" applyFont="1" applyFill="1" applyBorder="1" applyAlignment="1">
      <alignment vertical="top"/>
    </xf>
    <xf numFmtId="0" fontId="60" fillId="8" borderId="105" xfId="0" applyFont="1" applyFill="1" applyBorder="1" applyAlignment="1">
      <alignment vertical="top"/>
    </xf>
    <xf numFmtId="3" fontId="54" fillId="22" borderId="104" xfId="0" applyNumberFormat="1" applyFont="1" applyFill="1" applyBorder="1" applyAlignment="1">
      <alignment horizontal="center" vertical="center"/>
    </xf>
    <xf numFmtId="0" fontId="106" fillId="6" borderId="106" xfId="4" applyFont="1" applyFill="1" applyBorder="1" applyAlignment="1">
      <alignment horizontal="left" vertical="center"/>
    </xf>
    <xf numFmtId="3" fontId="54" fillId="22" borderId="104" xfId="0" applyNumberFormat="1" applyFont="1" applyFill="1" applyBorder="1" applyAlignment="1">
      <alignment horizontal="right" vertical="center"/>
    </xf>
    <xf numFmtId="3" fontId="60" fillId="22" borderId="104" xfId="0" applyNumberFormat="1" applyFont="1" applyFill="1" applyBorder="1" applyAlignment="1">
      <alignment horizontal="right" vertical="center"/>
    </xf>
    <xf numFmtId="3" fontId="57" fillId="0" borderId="104" xfId="0" applyNumberFormat="1" applyFont="1" applyFill="1" applyBorder="1" applyAlignment="1">
      <alignment horizontal="right" vertical="center"/>
    </xf>
    <xf numFmtId="3" fontId="57" fillId="58" borderId="104" xfId="0" applyNumberFormat="1" applyFont="1" applyFill="1" applyBorder="1" applyAlignment="1">
      <alignment horizontal="right" vertical="center"/>
    </xf>
    <xf numFmtId="3" fontId="57" fillId="60" borderId="104" xfId="0" applyNumberFormat="1" applyFont="1" applyFill="1" applyBorder="1" applyAlignment="1">
      <alignment horizontal="right" vertical="center"/>
    </xf>
    <xf numFmtId="3" fontId="57" fillId="0" borderId="104" xfId="0" applyNumberFormat="1" applyFont="1" applyFill="1" applyBorder="1" applyAlignment="1">
      <alignment vertical="top"/>
    </xf>
    <xf numFmtId="3" fontId="57" fillId="22" borderId="104" xfId="0" applyNumberFormat="1" applyFont="1" applyFill="1" applyBorder="1" applyAlignment="1">
      <alignment horizontal="right" vertical="center"/>
    </xf>
    <xf numFmtId="0" fontId="54" fillId="8" borderId="85" xfId="0" applyFont="1" applyFill="1" applyBorder="1" applyAlignment="1">
      <alignment horizontal="center" vertical="center" wrapText="1"/>
    </xf>
    <xf numFmtId="3" fontId="54" fillId="22" borderId="35" xfId="0" applyNumberFormat="1" applyFont="1" applyFill="1" applyBorder="1" applyAlignment="1">
      <alignment horizontal="right" vertical="center"/>
    </xf>
    <xf numFmtId="3" fontId="56" fillId="2" borderId="21" xfId="4" applyNumberFormat="1" applyFont="1" applyFill="1" applyBorder="1" applyAlignment="1">
      <alignment vertical="center" wrapText="1"/>
    </xf>
    <xf numFmtId="0" fontId="34" fillId="0" borderId="21" xfId="0" applyFont="1" applyBorder="1" applyAlignment="1">
      <alignment vertical="center" wrapText="1"/>
    </xf>
    <xf numFmtId="0" fontId="33" fillId="0" borderId="32" xfId="0" applyFont="1" applyBorder="1" applyAlignment="1">
      <alignment vertical="center" wrapText="1"/>
    </xf>
    <xf numFmtId="0" fontId="46" fillId="2" borderId="41" xfId="0" applyFont="1" applyFill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3" fontId="57" fillId="0" borderId="12" xfId="0" applyNumberFormat="1" applyFont="1" applyFill="1" applyBorder="1" applyAlignment="1">
      <alignment vertical="center"/>
    </xf>
    <xf numFmtId="3" fontId="57" fillId="0" borderId="12" xfId="0" applyNumberFormat="1" applyFont="1" applyFill="1" applyBorder="1" applyAlignment="1">
      <alignment horizontal="right" vertical="center"/>
    </xf>
    <xf numFmtId="3" fontId="57" fillId="58" borderId="12" xfId="0" applyNumberFormat="1" applyFont="1" applyFill="1" applyBorder="1" applyAlignment="1">
      <alignment horizontal="right" vertical="center"/>
    </xf>
    <xf numFmtId="3" fontId="57" fillId="60" borderId="12" xfId="0" applyNumberFormat="1" applyFont="1" applyFill="1" applyBorder="1" applyAlignment="1">
      <alignment horizontal="right" vertical="center"/>
    </xf>
    <xf numFmtId="3" fontId="57" fillId="0" borderId="23" xfId="0" applyNumberFormat="1" applyFont="1" applyFill="1" applyBorder="1" applyAlignment="1">
      <alignment vertical="top"/>
    </xf>
    <xf numFmtId="3" fontId="57" fillId="0" borderId="74" xfId="0" applyNumberFormat="1" applyFont="1" applyFill="1" applyBorder="1" applyAlignment="1">
      <alignment vertical="center"/>
    </xf>
    <xf numFmtId="0" fontId="60" fillId="6" borderId="28" xfId="0" applyFont="1" applyFill="1" applyBorder="1" applyAlignment="1">
      <alignment vertical="center"/>
    </xf>
    <xf numFmtId="3" fontId="54" fillId="58" borderId="93" xfId="0" applyNumberFormat="1" applyFont="1" applyFill="1" applyBorder="1" applyAlignment="1">
      <alignment vertical="center"/>
    </xf>
    <xf numFmtId="3" fontId="54" fillId="60" borderId="93" xfId="0" applyNumberFormat="1" applyFont="1" applyFill="1" applyBorder="1" applyAlignment="1">
      <alignment vertical="center"/>
    </xf>
    <xf numFmtId="3" fontId="54" fillId="22" borderId="93" xfId="0" applyNumberFormat="1" applyFont="1" applyFill="1" applyBorder="1" applyAlignment="1">
      <alignment vertical="center"/>
    </xf>
    <xf numFmtId="3" fontId="60" fillId="2" borderId="9" xfId="0" applyNumberFormat="1" applyFont="1" applyFill="1" applyBorder="1" applyAlignment="1">
      <alignment vertical="top"/>
    </xf>
    <xf numFmtId="3" fontId="56" fillId="2" borderId="9" xfId="0" applyNumberFormat="1" applyFont="1" applyFill="1" applyBorder="1" applyAlignment="1">
      <alignment vertical="top"/>
    </xf>
    <xf numFmtId="3" fontId="33" fillId="23" borderId="104" xfId="0" applyNumberFormat="1" applyFont="1" applyFill="1" applyBorder="1" applyAlignment="1">
      <alignment horizontal="center" vertical="center"/>
    </xf>
    <xf numFmtId="3" fontId="60" fillId="0" borderId="35" xfId="0" applyNumberFormat="1" applyFont="1" applyFill="1" applyBorder="1" applyAlignment="1">
      <alignment vertical="top"/>
    </xf>
    <xf numFmtId="43" fontId="60" fillId="0" borderId="72" xfId="1" applyFont="1" applyFill="1" applyBorder="1" applyAlignment="1">
      <alignment vertical="center"/>
    </xf>
    <xf numFmtId="3" fontId="4" fillId="0" borderId="104" xfId="0" applyNumberFormat="1" applyFont="1" applyFill="1" applyBorder="1" applyAlignment="1">
      <alignment vertical="center" wrapText="1"/>
    </xf>
    <xf numFmtId="3" fontId="4" fillId="0" borderId="105" xfId="0" applyNumberFormat="1" applyFont="1" applyFill="1" applyBorder="1" applyAlignment="1">
      <alignment vertical="center" wrapText="1"/>
    </xf>
    <xf numFmtId="3" fontId="20" fillId="2" borderId="0" xfId="0" applyNumberFormat="1" applyFont="1" applyFill="1" applyBorder="1" applyAlignment="1">
      <alignment vertical="center"/>
    </xf>
    <xf numFmtId="3" fontId="15" fillId="12" borderId="0" xfId="0" applyNumberFormat="1" applyFont="1" applyFill="1" applyBorder="1" applyAlignment="1">
      <alignment horizontal="right" vertical="center"/>
    </xf>
    <xf numFmtId="3" fontId="35" fillId="12" borderId="0" xfId="0" applyNumberFormat="1" applyFont="1" applyFill="1" applyBorder="1" applyAlignment="1">
      <alignment vertical="center"/>
    </xf>
    <xf numFmtId="3" fontId="36" fillId="12" borderId="0" xfId="0" applyNumberFormat="1" applyFont="1" applyFill="1" applyBorder="1" applyAlignment="1">
      <alignment vertical="center"/>
    </xf>
    <xf numFmtId="3" fontId="35" fillId="12" borderId="27" xfId="0" applyNumberFormat="1" applyFont="1" applyFill="1" applyBorder="1" applyAlignment="1">
      <alignment vertical="center"/>
    </xf>
    <xf numFmtId="3" fontId="35" fillId="12" borderId="13" xfId="0" applyNumberFormat="1" applyFont="1" applyFill="1" applyBorder="1" applyAlignment="1">
      <alignment vertical="center"/>
    </xf>
    <xf numFmtId="3" fontId="35" fillId="12" borderId="11" xfId="0" applyNumberFormat="1" applyFont="1" applyFill="1" applyBorder="1" applyAlignment="1">
      <alignment vertical="center"/>
    </xf>
    <xf numFmtId="0" fontId="50" fillId="32" borderId="39" xfId="0" quotePrefix="1" applyFont="1" applyFill="1" applyBorder="1" applyAlignment="1">
      <alignment horizontal="center" vertical="top"/>
    </xf>
    <xf numFmtId="0" fontId="50" fillId="32" borderId="39" xfId="0" applyFont="1" applyFill="1" applyBorder="1" applyAlignment="1">
      <alignment horizontal="center" vertical="top"/>
    </xf>
    <xf numFmtId="0" fontId="114" fillId="0" borderId="105" xfId="5" applyFont="1" applyBorder="1" applyAlignment="1">
      <alignment horizontal="left" vertical="center" wrapText="1"/>
    </xf>
    <xf numFmtId="3" fontId="58" fillId="0" borderId="119" xfId="4" applyNumberFormat="1" applyFont="1" applyFill="1" applyBorder="1" applyAlignment="1">
      <alignment horizontal="right" vertical="center"/>
    </xf>
    <xf numFmtId="43" fontId="58" fillId="0" borderId="119" xfId="1" applyFont="1" applyFill="1" applyBorder="1" applyAlignment="1">
      <alignment horizontal="right" vertical="center"/>
    </xf>
    <xf numFmtId="3" fontId="58" fillId="0" borderId="120" xfId="4" applyNumberFormat="1" applyFont="1" applyFill="1" applyBorder="1" applyAlignment="1">
      <alignment horizontal="right" vertical="center"/>
    </xf>
    <xf numFmtId="3" fontId="33" fillId="0" borderId="119" xfId="4" applyNumberFormat="1" applyFont="1" applyFill="1" applyBorder="1" applyAlignment="1">
      <alignment horizontal="right" vertical="center"/>
    </xf>
    <xf numFmtId="0" fontId="33" fillId="0" borderId="32" xfId="4" applyFont="1" applyFill="1" applyBorder="1" applyAlignment="1">
      <alignment vertical="center"/>
    </xf>
    <xf numFmtId="3" fontId="33" fillId="0" borderId="121" xfId="4" applyNumberFormat="1" applyFont="1" applyFill="1" applyBorder="1" applyAlignment="1">
      <alignment horizontal="right" vertical="center"/>
    </xf>
    <xf numFmtId="3" fontId="60" fillId="0" borderId="112" xfId="4" applyNumberFormat="1" applyFont="1" applyFill="1" applyBorder="1" applyAlignment="1">
      <alignment horizontal="right" vertical="center"/>
    </xf>
    <xf numFmtId="3" fontId="60" fillId="0" borderId="121" xfId="4" applyNumberFormat="1" applyFont="1" applyFill="1" applyBorder="1" applyAlignment="1">
      <alignment horizontal="right" vertical="center"/>
    </xf>
    <xf numFmtId="3" fontId="60" fillId="2" borderId="109" xfId="4" applyNumberFormat="1" applyFont="1" applyFill="1" applyBorder="1" applyAlignment="1">
      <alignment horizontal="right" vertical="center"/>
    </xf>
    <xf numFmtId="43" fontId="60" fillId="0" borderId="109" xfId="1" applyFont="1" applyFill="1" applyBorder="1" applyAlignment="1"/>
    <xf numFmtId="3" fontId="52" fillId="6" borderId="120" xfId="6" applyNumberFormat="1" applyFont="1" applyFill="1" applyBorder="1" applyAlignment="1">
      <alignment horizontal="right" vertical="center"/>
    </xf>
    <xf numFmtId="43" fontId="52" fillId="6" borderId="120" xfId="1" applyFont="1" applyFill="1" applyBorder="1" applyAlignment="1">
      <alignment horizontal="right" vertical="center"/>
    </xf>
    <xf numFmtId="3" fontId="56" fillId="2" borderId="9" xfId="4" applyNumberFormat="1" applyFont="1" applyFill="1" applyBorder="1" applyAlignment="1"/>
    <xf numFmtId="3" fontId="58" fillId="2" borderId="9" xfId="4" applyNumberFormat="1" applyFont="1" applyFill="1" applyBorder="1" applyAlignment="1"/>
    <xf numFmtId="3" fontId="60" fillId="2" borderId="119" xfId="4" applyNumberFormat="1" applyFont="1" applyFill="1" applyBorder="1" applyAlignment="1">
      <alignment horizontal="right" vertical="center"/>
    </xf>
    <xf numFmtId="3" fontId="60" fillId="2" borderId="120" xfId="4" applyNumberFormat="1" applyFont="1" applyFill="1" applyBorder="1" applyAlignment="1">
      <alignment horizontal="right" vertical="center"/>
    </xf>
    <xf numFmtId="3" fontId="60" fillId="0" borderId="119" xfId="4" applyNumberFormat="1" applyFont="1" applyFill="1" applyBorder="1" applyAlignment="1">
      <alignment horizontal="right" vertical="center"/>
    </xf>
    <xf numFmtId="3" fontId="115" fillId="8" borderId="0" xfId="0" applyNumberFormat="1" applyFont="1" applyFill="1" applyBorder="1"/>
    <xf numFmtId="3" fontId="115" fillId="8" borderId="11" xfId="0" applyNumberFormat="1" applyFont="1" applyFill="1" applyBorder="1"/>
    <xf numFmtId="3" fontId="33" fillId="13" borderId="120" xfId="4" applyNumberFormat="1" applyFont="1" applyFill="1" applyBorder="1" applyAlignment="1">
      <alignment horizontal="right" vertical="center"/>
    </xf>
    <xf numFmtId="3" fontId="60" fillId="0" borderId="119" xfId="4" applyNumberFormat="1" applyFont="1" applyFill="1" applyBorder="1" applyAlignment="1"/>
    <xf numFmtId="3" fontId="33" fillId="8" borderId="43" xfId="4" applyNumberFormat="1" applyFont="1" applyFill="1" applyBorder="1" applyAlignment="1">
      <alignment vertical="top" wrapText="1"/>
    </xf>
    <xf numFmtId="3" fontId="61" fillId="0" borderId="0" xfId="0" applyNumberFormat="1" applyFont="1" applyAlignment="1"/>
    <xf numFmtId="0" fontId="61" fillId="0" borderId="0" xfId="0" applyFont="1"/>
    <xf numFmtId="3" fontId="56" fillId="56" borderId="6" xfId="4" applyNumberFormat="1" applyFont="1" applyFill="1" applyBorder="1" applyAlignment="1">
      <alignment horizontal="left" vertical="center"/>
    </xf>
    <xf numFmtId="0" fontId="57" fillId="56" borderId="20" xfId="0" quotePrefix="1" applyFont="1" applyFill="1" applyBorder="1" applyAlignment="1">
      <alignment horizontal="center" vertical="top"/>
    </xf>
    <xf numFmtId="3" fontId="56" fillId="56" borderId="9" xfId="0" quotePrefix="1" applyNumberFormat="1" applyFont="1" applyFill="1" applyBorder="1" applyAlignment="1">
      <alignment horizontal="right" vertical="top"/>
    </xf>
    <xf numFmtId="3" fontId="61" fillId="0" borderId="0" xfId="0" applyNumberFormat="1" applyFont="1"/>
    <xf numFmtId="3" fontId="33" fillId="8" borderId="43" xfId="4" applyNumberFormat="1" applyFont="1" applyFill="1" applyBorder="1" applyAlignment="1">
      <alignment horizontal="center" vertical="top"/>
    </xf>
    <xf numFmtId="3" fontId="58" fillId="8" borderId="30" xfId="4" applyNumberFormat="1" applyFont="1" applyFill="1" applyBorder="1" applyAlignment="1">
      <alignment horizontal="right" vertical="center"/>
    </xf>
    <xf numFmtId="3" fontId="111" fillId="0" borderId="0" xfId="0" applyNumberFormat="1" applyFont="1"/>
    <xf numFmtId="0" fontId="111" fillId="0" borderId="0" xfId="0" applyFont="1"/>
    <xf numFmtId="3" fontId="33" fillId="8" borderId="29" xfId="4" applyNumberFormat="1" applyFont="1" applyFill="1" applyBorder="1" applyAlignment="1">
      <alignment horizontal="right" vertical="center"/>
    </xf>
    <xf numFmtId="3" fontId="33" fillId="8" borderId="0" xfId="4" applyNumberFormat="1" applyFont="1" applyFill="1" applyBorder="1" applyAlignment="1">
      <alignment horizontal="right" vertical="center"/>
    </xf>
    <xf numFmtId="0" fontId="33" fillId="8" borderId="73" xfId="4" applyFont="1" applyFill="1" applyBorder="1" applyAlignment="1">
      <alignment vertical="center"/>
    </xf>
    <xf numFmtId="3" fontId="61" fillId="8" borderId="27" xfId="6" applyNumberFormat="1" applyFont="1" applyFill="1" applyBorder="1" applyAlignment="1">
      <alignment vertical="center"/>
    </xf>
    <xf numFmtId="0" fontId="53" fillId="8" borderId="36" xfId="4" applyFont="1" applyFill="1" applyBorder="1" applyAlignment="1">
      <alignment vertical="center" wrapText="1"/>
    </xf>
    <xf numFmtId="0" fontId="53" fillId="8" borderId="6" xfId="4" applyFont="1" applyFill="1" applyBorder="1" applyAlignment="1">
      <alignment horizontal="center" vertical="top" wrapText="1"/>
    </xf>
    <xf numFmtId="0" fontId="61" fillId="0" borderId="0" xfId="0" applyFont="1" applyAlignment="1"/>
    <xf numFmtId="0" fontId="61" fillId="0" borderId="3" xfId="0" applyFont="1" applyFill="1" applyBorder="1"/>
    <xf numFmtId="0" fontId="53" fillId="8" borderId="45" xfId="0" applyFont="1" applyFill="1" applyBorder="1" applyAlignment="1">
      <alignment horizontal="left" vertical="center" wrapText="1"/>
    </xf>
    <xf numFmtId="0" fontId="33" fillId="0" borderId="77" xfId="4" applyFont="1" applyFill="1" applyBorder="1" applyAlignment="1">
      <alignment horizontal="left" vertical="center"/>
    </xf>
    <xf numFmtId="3" fontId="60" fillId="0" borderId="24" xfId="4" applyNumberFormat="1" applyFont="1" applyFill="1" applyBorder="1" applyAlignment="1">
      <alignment horizontal="right" vertical="center"/>
    </xf>
    <xf numFmtId="3" fontId="60" fillId="25" borderId="74" xfId="4" applyNumberFormat="1" applyFont="1" applyFill="1" applyBorder="1" applyAlignment="1">
      <alignment horizontal="right" vertical="center"/>
    </xf>
    <xf numFmtId="0" fontId="33" fillId="0" borderId="32" xfId="4" applyFont="1" applyFill="1" applyBorder="1" applyAlignment="1">
      <alignment horizontal="left" vertical="center"/>
    </xf>
    <xf numFmtId="0" fontId="33" fillId="0" borderId="21" xfId="4" applyFont="1" applyFill="1" applyBorder="1" applyAlignment="1">
      <alignment horizontal="left" vertical="center"/>
    </xf>
    <xf numFmtId="0" fontId="33" fillId="0" borderId="108" xfId="4" applyFont="1" applyFill="1" applyBorder="1" applyAlignment="1">
      <alignment horizontal="left" vertical="center"/>
    </xf>
    <xf numFmtId="0" fontId="60" fillId="0" borderId="77" xfId="4" applyFont="1" applyFill="1" applyBorder="1" applyAlignment="1">
      <alignment horizontal="left" vertical="center"/>
    </xf>
    <xf numFmtId="0" fontId="60" fillId="0" borderId="32" xfId="4" applyFont="1" applyFill="1" applyBorder="1" applyAlignment="1">
      <alignment horizontal="left" vertical="center"/>
    </xf>
    <xf numFmtId="0" fontId="52" fillId="0" borderId="73" xfId="0" applyFont="1" applyBorder="1" applyAlignment="1">
      <alignment vertical="center"/>
    </xf>
    <xf numFmtId="0" fontId="52" fillId="0" borderId="6" xfId="0" applyFont="1" applyBorder="1" applyAlignment="1">
      <alignment vertical="center"/>
    </xf>
    <xf numFmtId="0" fontId="116" fillId="0" borderId="104" xfId="0" applyFont="1" applyBorder="1" applyAlignment="1">
      <alignment horizontal="center" vertical="center"/>
    </xf>
    <xf numFmtId="3" fontId="117" fillId="0" borderId="104" xfId="5" applyNumberFormat="1" applyFont="1" applyBorder="1" applyAlignment="1">
      <alignment horizontal="center" vertical="center"/>
    </xf>
    <xf numFmtId="3" fontId="117" fillId="0" borderId="104" xfId="5" applyNumberFormat="1" applyFont="1" applyBorder="1" applyAlignment="1">
      <alignment vertical="center"/>
    </xf>
    <xf numFmtId="3" fontId="110" fillId="20" borderId="104" xfId="5" applyNumberFormat="1" applyFont="1" applyFill="1" applyBorder="1"/>
    <xf numFmtId="0" fontId="54" fillId="6" borderId="106" xfId="4" applyFont="1" applyFill="1" applyBorder="1" applyAlignment="1">
      <alignment horizontal="left" vertical="center"/>
    </xf>
    <xf numFmtId="3" fontId="54" fillId="6" borderId="120" xfId="4" applyNumberFormat="1" applyFont="1" applyFill="1" applyBorder="1" applyAlignment="1">
      <alignment horizontal="right" vertical="center"/>
    </xf>
    <xf numFmtId="3" fontId="54" fillId="22" borderId="119" xfId="4" applyNumberFormat="1" applyFont="1" applyFill="1" applyBorder="1" applyAlignment="1">
      <alignment horizontal="right" vertical="center"/>
    </xf>
    <xf numFmtId="3" fontId="56" fillId="0" borderId="109" xfId="4" applyNumberFormat="1" applyFont="1" applyFill="1" applyBorder="1" applyAlignment="1">
      <alignment horizontal="right" vertical="center"/>
    </xf>
    <xf numFmtId="3" fontId="56" fillId="25" borderId="120" xfId="4" applyNumberFormat="1" applyFont="1" applyFill="1" applyBorder="1" applyAlignment="1">
      <alignment horizontal="right" vertical="center"/>
    </xf>
    <xf numFmtId="3" fontId="33" fillId="0" borderId="120" xfId="4" applyNumberFormat="1" applyFont="1" applyFill="1" applyBorder="1" applyAlignment="1">
      <alignment horizontal="right" vertical="center"/>
    </xf>
    <xf numFmtId="3" fontId="60" fillId="0" borderId="120" xfId="4" applyNumberFormat="1" applyFont="1" applyFill="1" applyBorder="1" applyAlignment="1"/>
    <xf numFmtId="3" fontId="60" fillId="0" borderId="120" xfId="4" applyNumberFormat="1" applyFont="1" applyFill="1" applyBorder="1" applyAlignment="1">
      <alignment horizontal="right" vertical="center"/>
    </xf>
    <xf numFmtId="3" fontId="60" fillId="25" borderId="120" xfId="4" applyNumberFormat="1" applyFont="1" applyFill="1" applyBorder="1" applyAlignment="1">
      <alignment horizontal="right" vertical="center"/>
    </xf>
    <xf numFmtId="3" fontId="62" fillId="0" borderId="120" xfId="6" applyNumberFormat="1" applyFont="1" applyFill="1" applyBorder="1" applyAlignment="1">
      <alignment vertical="center"/>
    </xf>
    <xf numFmtId="3" fontId="62" fillId="0" borderId="119" xfId="6" applyNumberFormat="1" applyFont="1" applyFill="1" applyBorder="1" applyAlignment="1">
      <alignment vertical="center"/>
    </xf>
    <xf numFmtId="3" fontId="61" fillId="0" borderId="119" xfId="6" applyNumberFormat="1" applyFont="1" applyFill="1" applyBorder="1" applyAlignment="1">
      <alignment vertical="center"/>
    </xf>
    <xf numFmtId="3" fontId="56" fillId="2" borderId="120" xfId="4" applyNumberFormat="1" applyFont="1" applyFill="1" applyBorder="1" applyAlignment="1"/>
    <xf numFmtId="3" fontId="56" fillId="2" borderId="119" xfId="4" applyNumberFormat="1" applyFont="1" applyFill="1" applyBorder="1" applyAlignment="1"/>
    <xf numFmtId="3" fontId="56" fillId="0" borderId="120" xfId="4" applyNumberFormat="1" applyFont="1" applyFill="1" applyBorder="1" applyAlignment="1">
      <alignment horizontal="right" vertical="center"/>
    </xf>
    <xf numFmtId="3" fontId="53" fillId="6" borderId="120" xfId="4" applyNumberFormat="1" applyFont="1" applyFill="1" applyBorder="1" applyAlignment="1"/>
    <xf numFmtId="3" fontId="58" fillId="2" borderId="120" xfId="4" applyNumberFormat="1" applyFont="1" applyFill="1" applyBorder="1" applyAlignment="1"/>
    <xf numFmtId="3" fontId="53" fillId="6" borderId="110" xfId="4" applyNumberFormat="1" applyFont="1" applyFill="1" applyBorder="1" applyAlignment="1">
      <alignment horizontal="right" vertical="center"/>
    </xf>
    <xf numFmtId="3" fontId="53" fillId="6" borderId="119" xfId="4" applyNumberFormat="1" applyFont="1" applyFill="1" applyBorder="1" applyAlignment="1">
      <alignment horizontal="right" vertical="center"/>
    </xf>
    <xf numFmtId="43" fontId="53" fillId="6" borderId="119" xfId="1" applyFont="1" applyFill="1" applyBorder="1" applyAlignment="1">
      <alignment horizontal="right" vertical="center"/>
    </xf>
    <xf numFmtId="3" fontId="56" fillId="0" borderId="119" xfId="4" applyNumberFormat="1" applyFont="1" applyFill="1" applyBorder="1" applyAlignment="1">
      <alignment horizontal="right" vertical="center"/>
    </xf>
    <xf numFmtId="43" fontId="56" fillId="0" borderId="119" xfId="1" applyFont="1" applyFill="1" applyBorder="1" applyAlignment="1">
      <alignment horizontal="right" vertical="center"/>
    </xf>
    <xf numFmtId="43" fontId="33" fillId="0" borderId="120" xfId="1" applyFont="1" applyFill="1" applyBorder="1" applyAlignment="1">
      <alignment horizontal="right" vertical="center"/>
    </xf>
    <xf numFmtId="3" fontId="61" fillId="0" borderId="120" xfId="6" applyNumberFormat="1" applyFont="1" applyFill="1" applyBorder="1" applyAlignment="1">
      <alignment vertical="center"/>
    </xf>
    <xf numFmtId="43" fontId="33" fillId="0" borderId="121" xfId="1" applyFont="1" applyFill="1" applyBorder="1" applyAlignment="1">
      <alignment horizontal="right" vertical="center"/>
    </xf>
    <xf numFmtId="43" fontId="62" fillId="0" borderId="119" xfId="1" applyFont="1" applyFill="1" applyBorder="1" applyAlignment="1">
      <alignment vertical="center"/>
    </xf>
    <xf numFmtId="3" fontId="56" fillId="2" borderId="115" xfId="4" applyNumberFormat="1" applyFont="1" applyFill="1" applyBorder="1" applyAlignment="1">
      <alignment vertical="center" wrapText="1"/>
    </xf>
    <xf numFmtId="43" fontId="61" fillId="0" borderId="119" xfId="1" applyFont="1" applyFill="1" applyBorder="1" applyAlignment="1">
      <alignment vertical="center"/>
    </xf>
    <xf numFmtId="3" fontId="53" fillId="22" borderId="119" xfId="4" applyNumberFormat="1" applyFont="1" applyFill="1" applyBorder="1" applyAlignment="1">
      <alignment horizontal="right" vertical="center"/>
    </xf>
    <xf numFmtId="3" fontId="58" fillId="13" borderId="120" xfId="4" applyNumberFormat="1" applyFont="1" applyFill="1" applyBorder="1" applyAlignment="1">
      <alignment horizontal="right" vertical="center"/>
    </xf>
    <xf numFmtId="0" fontId="58" fillId="13" borderId="115" xfId="4" applyFont="1" applyFill="1" applyBorder="1" applyAlignment="1">
      <alignment vertical="top"/>
    </xf>
    <xf numFmtId="0" fontId="58" fillId="13" borderId="106" xfId="4" applyFont="1" applyFill="1" applyBorder="1" applyAlignment="1">
      <alignment vertical="top"/>
    </xf>
    <xf numFmtId="3" fontId="56" fillId="13" borderId="120" xfId="4" applyNumberFormat="1" applyFont="1" applyFill="1" applyBorder="1" applyAlignment="1">
      <alignment horizontal="right" vertical="center"/>
    </xf>
    <xf numFmtId="3" fontId="62" fillId="0" borderId="120" xfId="6" applyNumberFormat="1" applyFont="1" applyFill="1" applyBorder="1" applyAlignment="1">
      <alignment horizontal="right" vertical="center"/>
    </xf>
    <xf numFmtId="3" fontId="53" fillId="22" borderId="120" xfId="4" applyNumberFormat="1" applyFont="1" applyFill="1" applyBorder="1" applyAlignment="1">
      <alignment horizontal="right" vertical="center"/>
    </xf>
    <xf numFmtId="43" fontId="62" fillId="0" borderId="120" xfId="1" applyFont="1" applyFill="1" applyBorder="1" applyAlignment="1">
      <alignment horizontal="right" vertical="center"/>
    </xf>
    <xf numFmtId="3" fontId="58" fillId="25" borderId="120" xfId="4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0" fontId="46" fillId="0" borderId="25" xfId="4" applyFont="1" applyFill="1" applyBorder="1" applyAlignment="1">
      <alignment vertical="center"/>
    </xf>
    <xf numFmtId="0" fontId="61" fillId="0" borderId="22" xfId="0" applyFont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46" fillId="8" borderId="6" xfId="4" applyFont="1" applyFill="1" applyBorder="1" applyAlignment="1">
      <alignment vertical="center"/>
    </xf>
    <xf numFmtId="0" fontId="46" fillId="8" borderId="22" xfId="4" applyFont="1" applyFill="1" applyBorder="1" applyAlignment="1">
      <alignment vertical="top"/>
    </xf>
    <xf numFmtId="3" fontId="54" fillId="6" borderId="120" xfId="0" applyNumberFormat="1" applyFont="1" applyFill="1" applyBorder="1" applyAlignment="1">
      <alignment vertical="center"/>
    </xf>
    <xf numFmtId="3" fontId="54" fillId="22" borderId="119" xfId="0" applyNumberFormat="1" applyFont="1" applyFill="1" applyBorder="1" applyAlignment="1">
      <alignment vertical="center"/>
    </xf>
    <xf numFmtId="3" fontId="56" fillId="32" borderId="120" xfId="0" applyNumberFormat="1" applyFont="1" applyFill="1" applyBorder="1" applyAlignment="1">
      <alignment vertical="center"/>
    </xf>
    <xf numFmtId="43" fontId="56" fillId="25" borderId="119" xfId="1" applyFont="1" applyFill="1" applyBorder="1" applyAlignment="1">
      <alignment vertical="center"/>
    </xf>
    <xf numFmtId="3" fontId="60" fillId="0" borderId="120" xfId="0" applyNumberFormat="1" applyFont="1" applyFill="1" applyBorder="1" applyAlignment="1">
      <alignment vertical="center"/>
    </xf>
    <xf numFmtId="3" fontId="60" fillId="32" borderId="120" xfId="0" applyNumberFormat="1" applyFont="1" applyFill="1" applyBorder="1" applyAlignment="1">
      <alignment vertical="top"/>
    </xf>
    <xf numFmtId="3" fontId="60" fillId="0" borderId="120" xfId="0" applyNumberFormat="1" applyFont="1" applyFill="1" applyBorder="1" applyAlignment="1">
      <alignment vertical="top"/>
    </xf>
    <xf numFmtId="43" fontId="60" fillId="25" borderId="119" xfId="1" applyFont="1" applyFill="1" applyBorder="1" applyAlignment="1">
      <alignment vertical="top"/>
    </xf>
    <xf numFmtId="3" fontId="57" fillId="56" borderId="120" xfId="0" applyNumberFormat="1" applyFont="1" applyFill="1" applyBorder="1" applyAlignment="1">
      <alignment vertical="top"/>
    </xf>
    <xf numFmtId="3" fontId="60" fillId="56" borderId="120" xfId="0" applyNumberFormat="1" applyFont="1" applyFill="1" applyBorder="1" applyAlignment="1">
      <alignment vertical="top"/>
    </xf>
    <xf numFmtId="43" fontId="57" fillId="25" borderId="119" xfId="1" applyFont="1" applyFill="1" applyBorder="1" applyAlignment="1">
      <alignment vertical="center"/>
    </xf>
    <xf numFmtId="3" fontId="56" fillId="0" borderId="120" xfId="0" applyNumberFormat="1" applyFont="1" applyFill="1" applyBorder="1" applyAlignment="1">
      <alignment vertical="top"/>
    </xf>
    <xf numFmtId="3" fontId="56" fillId="58" borderId="120" xfId="0" applyNumberFormat="1" applyFont="1" applyFill="1" applyBorder="1" applyAlignment="1">
      <alignment vertical="top"/>
    </xf>
    <xf numFmtId="3" fontId="56" fillId="60" borderId="120" xfId="0" applyNumberFormat="1" applyFont="1" applyFill="1" applyBorder="1" applyAlignment="1">
      <alignment vertical="top"/>
    </xf>
    <xf numFmtId="3" fontId="56" fillId="0" borderId="119" xfId="0" applyNumberFormat="1" applyFont="1" applyFill="1" applyBorder="1" applyAlignment="1">
      <alignment vertical="top"/>
    </xf>
    <xf numFmtId="3" fontId="56" fillId="25" borderId="119" xfId="0" applyNumberFormat="1" applyFont="1" applyFill="1" applyBorder="1" applyAlignment="1">
      <alignment vertical="top"/>
    </xf>
    <xf numFmtId="3" fontId="60" fillId="0" borderId="119" xfId="0" applyNumberFormat="1" applyFont="1" applyFill="1" applyBorder="1" applyAlignment="1">
      <alignment vertical="top"/>
    </xf>
    <xf numFmtId="3" fontId="33" fillId="23" borderId="119" xfId="0" applyNumberFormat="1" applyFont="1" applyFill="1" applyBorder="1" applyAlignment="1">
      <alignment vertical="center"/>
    </xf>
    <xf numFmtId="3" fontId="60" fillId="58" borderId="120" xfId="0" applyNumberFormat="1" applyFont="1" applyFill="1" applyBorder="1" applyAlignment="1">
      <alignment horizontal="right" vertical="center"/>
    </xf>
    <xf numFmtId="3" fontId="60" fillId="60" borderId="120" xfId="0" applyNumberFormat="1" applyFont="1" applyFill="1" applyBorder="1" applyAlignment="1">
      <alignment vertical="top"/>
    </xf>
    <xf numFmtId="3" fontId="60" fillId="0" borderId="120" xfId="0" applyNumberFormat="1" applyFont="1" applyFill="1" applyBorder="1" applyAlignment="1">
      <alignment horizontal="right" vertical="center"/>
    </xf>
    <xf numFmtId="3" fontId="57" fillId="63" borderId="120" xfId="0" applyNumberFormat="1" applyFont="1" applyFill="1" applyBorder="1" applyAlignment="1">
      <alignment vertical="top"/>
    </xf>
    <xf numFmtId="3" fontId="57" fillId="57" borderId="120" xfId="0" applyNumberFormat="1" applyFont="1" applyFill="1" applyBorder="1" applyAlignment="1">
      <alignment vertical="center"/>
    </xf>
    <xf numFmtId="3" fontId="57" fillId="64" borderId="120" xfId="0" applyNumberFormat="1" applyFont="1" applyFill="1" applyBorder="1" applyAlignment="1">
      <alignment vertical="top"/>
    </xf>
    <xf numFmtId="3" fontId="56" fillId="0" borderId="120" xfId="0" applyNumberFormat="1" applyFont="1" applyFill="1" applyBorder="1" applyAlignment="1">
      <alignment vertical="center"/>
    </xf>
    <xf numFmtId="3" fontId="56" fillId="58" borderId="120" xfId="0" applyNumberFormat="1" applyFont="1" applyFill="1" applyBorder="1" applyAlignment="1">
      <alignment vertical="center"/>
    </xf>
    <xf numFmtId="3" fontId="56" fillId="60" borderId="120" xfId="0" applyNumberFormat="1" applyFont="1" applyFill="1" applyBorder="1" applyAlignment="1">
      <alignment vertical="center"/>
    </xf>
    <xf numFmtId="3" fontId="56" fillId="0" borderId="119" xfId="0" applyNumberFormat="1" applyFont="1" applyFill="1" applyBorder="1" applyAlignment="1">
      <alignment vertical="center"/>
    </xf>
    <xf numFmtId="0" fontId="46" fillId="0" borderId="52" xfId="4" applyFont="1" applyFill="1" applyBorder="1" applyAlignment="1">
      <alignment horizontal="center" vertical="center"/>
    </xf>
    <xf numFmtId="3" fontId="56" fillId="2" borderId="38" xfId="4" applyNumberFormat="1" applyFont="1" applyFill="1" applyBorder="1" applyAlignment="1">
      <alignment horizontal="center" vertical="center" wrapText="1"/>
    </xf>
    <xf numFmtId="3" fontId="57" fillId="0" borderId="50" xfId="4" applyNumberFormat="1" applyFont="1" applyFill="1" applyBorder="1" applyAlignment="1"/>
    <xf numFmtId="3" fontId="57" fillId="2" borderId="50" xfId="4" applyNumberFormat="1" applyFont="1" applyFill="1" applyBorder="1" applyAlignment="1"/>
    <xf numFmtId="3" fontId="57" fillId="2" borderId="39" xfId="4" applyNumberFormat="1" applyFont="1" applyFill="1" applyBorder="1" applyAlignment="1"/>
    <xf numFmtId="3" fontId="69" fillId="0" borderId="78" xfId="4" applyNumberFormat="1" applyFont="1" applyFill="1" applyBorder="1" applyAlignment="1">
      <alignment horizontal="right" vertical="center"/>
    </xf>
    <xf numFmtId="3" fontId="57" fillId="2" borderId="78" xfId="4" applyNumberFormat="1" applyFont="1" applyFill="1" applyBorder="1" applyAlignment="1"/>
    <xf numFmtId="3" fontId="56" fillId="26" borderId="78" xfId="4" applyNumberFormat="1" applyFont="1" applyFill="1" applyBorder="1" applyAlignment="1">
      <alignment horizontal="center" vertical="center"/>
    </xf>
    <xf numFmtId="0" fontId="71" fillId="0" borderId="40" xfId="0" applyFont="1" applyBorder="1" applyAlignment="1">
      <alignment horizontal="center" vertical="center" wrapText="1"/>
    </xf>
    <xf numFmtId="0" fontId="47" fillId="0" borderId="46" xfId="4" applyFont="1" applyFill="1" applyBorder="1" applyAlignment="1">
      <alignment vertical="center" wrapText="1"/>
    </xf>
    <xf numFmtId="0" fontId="60" fillId="0" borderId="69" xfId="4" applyFont="1" applyFill="1" applyBorder="1" applyAlignment="1">
      <alignment vertical="top"/>
    </xf>
    <xf numFmtId="3" fontId="60" fillId="0" borderId="23" xfId="4" applyNumberFormat="1" applyFont="1" applyFill="1" applyBorder="1" applyAlignment="1"/>
    <xf numFmtId="3" fontId="60" fillId="0" borderId="12" xfId="4" applyNumberFormat="1" applyFont="1" applyFill="1" applyBorder="1" applyAlignment="1">
      <alignment horizontal="right" vertical="center"/>
    </xf>
    <xf numFmtId="3" fontId="60" fillId="25" borderId="23" xfId="4" applyNumberFormat="1" applyFont="1" applyFill="1" applyBorder="1" applyAlignment="1">
      <alignment horizontal="right" vertical="center"/>
    </xf>
    <xf numFmtId="0" fontId="47" fillId="0" borderId="41" xfId="4" applyFont="1" applyFill="1" applyBorder="1" applyAlignment="1">
      <alignment vertical="center" wrapText="1"/>
    </xf>
    <xf numFmtId="0" fontId="56" fillId="2" borderId="25" xfId="4" applyFont="1" applyFill="1" applyBorder="1" applyAlignment="1">
      <alignment vertical="top"/>
    </xf>
    <xf numFmtId="3" fontId="62" fillId="0" borderId="23" xfId="6" applyNumberFormat="1" applyFont="1" applyFill="1" applyBorder="1" applyAlignment="1">
      <alignment vertical="center"/>
    </xf>
    <xf numFmtId="3" fontId="56" fillId="25" borderId="23" xfId="4" applyNumberFormat="1" applyFont="1" applyFill="1" applyBorder="1" applyAlignment="1">
      <alignment horizontal="right" vertical="center"/>
    </xf>
    <xf numFmtId="3" fontId="54" fillId="6" borderId="119" xfId="4" applyNumberFormat="1" applyFont="1" applyFill="1" applyBorder="1" applyAlignment="1">
      <alignment horizontal="right" vertical="center"/>
    </xf>
    <xf numFmtId="43" fontId="54" fillId="6" borderId="119" xfId="1" applyFont="1" applyFill="1" applyBorder="1" applyAlignment="1">
      <alignment horizontal="right" vertical="center"/>
    </xf>
    <xf numFmtId="43" fontId="56" fillId="0" borderId="120" xfId="1" applyFont="1" applyFill="1" applyBorder="1" applyAlignment="1">
      <alignment horizontal="right" vertical="center"/>
    </xf>
    <xf numFmtId="43" fontId="60" fillId="0" borderId="120" xfId="1" applyFont="1" applyFill="1" applyBorder="1" applyAlignment="1"/>
    <xf numFmtId="43" fontId="33" fillId="0" borderId="119" xfId="1" applyFont="1" applyFill="1" applyBorder="1" applyAlignment="1">
      <alignment horizontal="right" vertical="center"/>
    </xf>
    <xf numFmtId="3" fontId="60" fillId="0" borderId="120" xfId="4" applyNumberFormat="1" applyFont="1" applyFill="1" applyBorder="1" applyAlignment="1">
      <alignment vertical="center"/>
    </xf>
    <xf numFmtId="3" fontId="60" fillId="0" borderId="109" xfId="4" applyNumberFormat="1" applyFont="1" applyFill="1" applyBorder="1" applyAlignment="1">
      <alignment vertical="center"/>
    </xf>
    <xf numFmtId="0" fontId="54" fillId="8" borderId="32" xfId="0" applyFont="1" applyFill="1" applyBorder="1" applyAlignment="1">
      <alignment vertical="center" wrapText="1"/>
    </xf>
    <xf numFmtId="0" fontId="54" fillId="8" borderId="117" xfId="0" applyFont="1" applyFill="1" applyBorder="1" applyAlignment="1">
      <alignment horizontal="center" vertical="center" wrapText="1"/>
    </xf>
    <xf numFmtId="0" fontId="56" fillId="2" borderId="32" xfId="4" applyFont="1" applyFill="1" applyBorder="1" applyAlignment="1">
      <alignment vertical="center"/>
    </xf>
    <xf numFmtId="43" fontId="54" fillId="6" borderId="105" xfId="1" applyFont="1" applyFill="1" applyBorder="1" applyAlignment="1">
      <alignment vertical="top"/>
    </xf>
    <xf numFmtId="3" fontId="53" fillId="22" borderId="105" xfId="0" applyNumberFormat="1" applyFont="1" applyFill="1" applyBorder="1" applyAlignment="1">
      <alignment vertical="top"/>
    </xf>
    <xf numFmtId="3" fontId="56" fillId="2" borderId="105" xfId="0" applyNumberFormat="1" applyFont="1" applyFill="1" applyBorder="1" applyAlignment="1">
      <alignment vertical="center"/>
    </xf>
    <xf numFmtId="3" fontId="56" fillId="58" borderId="105" xfId="0" applyNumberFormat="1" applyFont="1" applyFill="1" applyBorder="1" applyAlignment="1">
      <alignment vertical="center"/>
    </xf>
    <xf numFmtId="3" fontId="56" fillId="60" borderId="105" xfId="0" applyNumberFormat="1" applyFont="1" applyFill="1" applyBorder="1" applyAlignment="1">
      <alignment vertical="center"/>
    </xf>
    <xf numFmtId="43" fontId="56" fillId="32" borderId="105" xfId="1" applyFont="1" applyFill="1" applyBorder="1" applyAlignment="1">
      <alignment vertical="center"/>
    </xf>
    <xf numFmtId="3" fontId="58" fillId="26" borderId="105" xfId="0" applyNumberFormat="1" applyFont="1" applyFill="1" applyBorder="1" applyAlignment="1">
      <alignment vertical="center"/>
    </xf>
    <xf numFmtId="0" fontId="60" fillId="2" borderId="77" xfId="0" applyFont="1" applyFill="1" applyBorder="1" applyAlignment="1">
      <alignment vertical="center"/>
    </xf>
    <xf numFmtId="3" fontId="60" fillId="2" borderId="47" xfId="0" applyNumberFormat="1" applyFont="1" applyFill="1" applyBorder="1" applyAlignment="1">
      <alignment vertical="top"/>
    </xf>
    <xf numFmtId="3" fontId="60" fillId="32" borderId="47" xfId="0" applyNumberFormat="1" applyFont="1" applyFill="1" applyBorder="1" applyAlignment="1">
      <alignment vertical="top"/>
    </xf>
    <xf numFmtId="43" fontId="60" fillId="32" borderId="47" xfId="1" applyFont="1" applyFill="1" applyBorder="1" applyAlignment="1">
      <alignment vertical="top"/>
    </xf>
    <xf numFmtId="0" fontId="0" fillId="0" borderId="127" xfId="0" applyFont="1" applyBorder="1" applyAlignment="1">
      <alignment vertical="center"/>
    </xf>
    <xf numFmtId="0" fontId="71" fillId="0" borderId="127" xfId="0" applyFont="1" applyBorder="1"/>
    <xf numFmtId="0" fontId="0" fillId="0" borderId="129" xfId="0" applyFont="1" applyBorder="1"/>
    <xf numFmtId="0" fontId="118" fillId="8" borderId="20" xfId="4" applyFont="1" applyFill="1" applyBorder="1" applyAlignment="1">
      <alignment vertical="center" wrapText="1"/>
    </xf>
    <xf numFmtId="3" fontId="58" fillId="8" borderId="29" xfId="0" applyNumberFormat="1" applyFont="1" applyFill="1" applyBorder="1" applyAlignment="1">
      <alignment vertical="center" wrapText="1"/>
    </xf>
    <xf numFmtId="3" fontId="118" fillId="8" borderId="29" xfId="0" applyNumberFormat="1" applyFont="1" applyFill="1" applyBorder="1" applyAlignment="1">
      <alignment vertical="center" wrapText="1"/>
    </xf>
    <xf numFmtId="3" fontId="118" fillId="32" borderId="29" xfId="0" applyNumberFormat="1" applyFont="1" applyFill="1" applyBorder="1" applyAlignment="1">
      <alignment vertical="center" wrapText="1"/>
    </xf>
    <xf numFmtId="43" fontId="118" fillId="8" borderId="29" xfId="1" applyFont="1" applyFill="1" applyBorder="1" applyAlignment="1">
      <alignment vertical="center" wrapText="1"/>
    </xf>
    <xf numFmtId="3" fontId="118" fillId="8" borderId="34" xfId="0" applyNumberFormat="1" applyFont="1" applyFill="1" applyBorder="1" applyAlignment="1">
      <alignment vertical="center" wrapText="1"/>
    </xf>
    <xf numFmtId="43" fontId="118" fillId="9" borderId="34" xfId="1" applyFont="1" applyFill="1" applyBorder="1" applyAlignment="1">
      <alignment vertical="center" wrapText="1"/>
    </xf>
    <xf numFmtId="3" fontId="34" fillId="0" borderId="0" xfId="0" applyNumberFormat="1" applyFont="1" applyFill="1" applyAlignment="1">
      <alignment vertical="center"/>
    </xf>
    <xf numFmtId="3" fontId="34" fillId="0" borderId="10" xfId="0" applyNumberFormat="1" applyFont="1" applyBorder="1" applyAlignment="1">
      <alignment vertical="center"/>
    </xf>
    <xf numFmtId="3" fontId="34" fillId="0" borderId="27" xfId="0" applyNumberFormat="1" applyFont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28" xfId="0" applyFont="1" applyFill="1" applyBorder="1" applyAlignment="1">
      <alignment vertical="center" wrapText="1"/>
    </xf>
    <xf numFmtId="43" fontId="34" fillId="0" borderId="35" xfId="1" applyFont="1" applyFill="1" applyBorder="1" applyAlignment="1">
      <alignment vertical="center" wrapText="1"/>
    </xf>
    <xf numFmtId="3" fontId="34" fillId="0" borderId="35" xfId="0" applyNumberFormat="1" applyFont="1" applyFill="1" applyBorder="1" applyAlignment="1">
      <alignment vertical="center" wrapText="1"/>
    </xf>
    <xf numFmtId="3" fontId="34" fillId="32" borderId="35" xfId="0" applyNumberFormat="1" applyFont="1" applyFill="1" applyBorder="1" applyAlignment="1">
      <alignment vertical="center" wrapText="1"/>
    </xf>
    <xf numFmtId="3" fontId="34" fillId="2" borderId="36" xfId="0" applyNumberFormat="1" applyFont="1" applyFill="1" applyBorder="1" applyAlignment="1">
      <alignment vertical="center" wrapText="1"/>
    </xf>
    <xf numFmtId="3" fontId="16" fillId="3" borderId="21" xfId="0" applyNumberFormat="1" applyFont="1" applyFill="1" applyBorder="1" applyAlignment="1">
      <alignment vertical="center" wrapText="1"/>
    </xf>
    <xf numFmtId="0" fontId="101" fillId="0" borderId="28" xfId="0" applyFont="1" applyFill="1" applyBorder="1" applyAlignment="1">
      <alignment vertical="center"/>
    </xf>
    <xf numFmtId="43" fontId="101" fillId="0" borderId="35" xfId="1" applyFont="1" applyFill="1" applyBorder="1" applyAlignment="1">
      <alignment vertical="center" wrapText="1"/>
    </xf>
    <xf numFmtId="3" fontId="101" fillId="0" borderId="35" xfId="0" applyNumberFormat="1" applyFont="1" applyFill="1" applyBorder="1" applyAlignment="1">
      <alignment vertical="center" wrapText="1"/>
    </xf>
    <xf numFmtId="3" fontId="101" fillId="32" borderId="35" xfId="0" applyNumberFormat="1" applyFont="1" applyFill="1" applyBorder="1" applyAlignment="1">
      <alignment vertical="center" wrapText="1"/>
    </xf>
    <xf numFmtId="3" fontId="101" fillId="2" borderId="36" xfId="0" applyNumberFormat="1" applyFont="1" applyFill="1" applyBorder="1" applyAlignment="1">
      <alignment vertical="center" wrapText="1"/>
    </xf>
    <xf numFmtId="43" fontId="101" fillId="3" borderId="21" xfId="1" applyFont="1" applyFill="1" applyBorder="1" applyAlignment="1">
      <alignment vertical="center" wrapText="1"/>
    </xf>
    <xf numFmtId="3" fontId="101" fillId="0" borderId="0" xfId="0" applyNumberFormat="1" applyFont="1" applyFill="1" applyAlignment="1">
      <alignment vertical="center"/>
    </xf>
    <xf numFmtId="3" fontId="101" fillId="0" borderId="10" xfId="0" applyNumberFormat="1" applyFont="1" applyBorder="1" applyAlignment="1">
      <alignment vertical="center"/>
    </xf>
    <xf numFmtId="3" fontId="101" fillId="0" borderId="27" xfId="0" applyNumberFormat="1" applyFont="1" applyBorder="1" applyAlignment="1">
      <alignment vertical="center"/>
    </xf>
    <xf numFmtId="0" fontId="101" fillId="0" borderId="0" xfId="0" applyFont="1" applyFill="1" applyBorder="1" applyAlignment="1">
      <alignment vertical="center"/>
    </xf>
    <xf numFmtId="3" fontId="54" fillId="6" borderId="135" xfId="4" applyNumberFormat="1" applyFont="1" applyFill="1" applyBorder="1" applyAlignment="1">
      <alignment horizontal="right" vertical="center"/>
    </xf>
    <xf numFmtId="3" fontId="54" fillId="22" borderId="132" xfId="4" applyNumberFormat="1" applyFont="1" applyFill="1" applyBorder="1" applyAlignment="1">
      <alignment horizontal="right" vertical="center"/>
    </xf>
    <xf numFmtId="3" fontId="56" fillId="0" borderId="135" xfId="4" applyNumberFormat="1" applyFont="1" applyFill="1" applyBorder="1" applyAlignment="1">
      <alignment horizontal="right" vertical="center"/>
    </xf>
    <xf numFmtId="3" fontId="56" fillId="25" borderId="132" xfId="4" applyNumberFormat="1" applyFont="1" applyFill="1" applyBorder="1" applyAlignment="1">
      <alignment horizontal="right" vertical="center"/>
    </xf>
    <xf numFmtId="3" fontId="60" fillId="0" borderId="122" xfId="4" applyNumberFormat="1" applyFont="1" applyFill="1" applyBorder="1" applyAlignment="1"/>
    <xf numFmtId="3" fontId="33" fillId="0" borderId="132" xfId="4" applyNumberFormat="1" applyFont="1" applyFill="1" applyBorder="1" applyAlignment="1">
      <alignment horizontal="right" vertical="center"/>
    </xf>
    <xf numFmtId="3" fontId="60" fillId="0" borderId="132" xfId="4" applyNumberFormat="1" applyFont="1" applyFill="1" applyBorder="1" applyAlignment="1">
      <alignment horizontal="right" vertical="center"/>
    </xf>
    <xf numFmtId="3" fontId="60" fillId="0" borderId="135" xfId="4" applyNumberFormat="1" applyFont="1" applyFill="1" applyBorder="1" applyAlignment="1"/>
    <xf numFmtId="3" fontId="33" fillId="0" borderId="135" xfId="4" applyNumberFormat="1" applyFont="1" applyFill="1" applyBorder="1" applyAlignment="1">
      <alignment horizontal="right" vertical="center"/>
    </xf>
    <xf numFmtId="3" fontId="60" fillId="25" borderId="135" xfId="4" applyNumberFormat="1" applyFont="1" applyFill="1" applyBorder="1" applyAlignment="1">
      <alignment horizontal="right" vertical="center"/>
    </xf>
    <xf numFmtId="3" fontId="62" fillId="0" borderId="135" xfId="6" applyNumberFormat="1" applyFont="1" applyFill="1" applyBorder="1" applyAlignment="1">
      <alignment vertical="center"/>
    </xf>
    <xf numFmtId="3" fontId="60" fillId="0" borderId="135" xfId="4" applyNumberFormat="1" applyFont="1" applyFill="1" applyBorder="1" applyAlignment="1">
      <alignment horizontal="right" vertical="center"/>
    </xf>
    <xf numFmtId="3" fontId="53" fillId="6" borderId="135" xfId="4" applyNumberFormat="1" applyFont="1" applyFill="1" applyBorder="1" applyAlignment="1"/>
    <xf numFmtId="3" fontId="58" fillId="2" borderId="135" xfId="4" applyNumberFormat="1" applyFont="1" applyFill="1" applyBorder="1" applyAlignment="1"/>
    <xf numFmtId="3" fontId="56" fillId="2" borderId="135" xfId="4" applyNumberFormat="1" applyFont="1" applyFill="1" applyBorder="1" applyAlignment="1"/>
    <xf numFmtId="3" fontId="33" fillId="0" borderId="72" xfId="4" applyNumberFormat="1" applyFont="1" applyFill="1" applyBorder="1" applyAlignment="1"/>
    <xf numFmtId="0" fontId="0" fillId="0" borderId="132" xfId="0" applyFont="1" applyBorder="1"/>
    <xf numFmtId="3" fontId="58" fillId="2" borderId="115" xfId="4" applyNumberFormat="1" applyFont="1" applyFill="1" applyBorder="1" applyAlignment="1">
      <alignment vertical="top" wrapText="1"/>
    </xf>
    <xf numFmtId="0" fontId="33" fillId="0" borderId="126" xfId="4" applyFont="1" applyFill="1" applyBorder="1" applyAlignment="1">
      <alignment vertical="top"/>
    </xf>
    <xf numFmtId="0" fontId="46" fillId="0" borderId="11" xfId="4" applyFont="1" applyBorder="1" applyAlignment="1">
      <alignment horizontal="center" vertical="center"/>
    </xf>
    <xf numFmtId="0" fontId="54" fillId="0" borderId="12" xfId="4" applyFont="1" applyBorder="1" applyAlignment="1">
      <alignment horizontal="center" vertical="center" wrapText="1"/>
    </xf>
    <xf numFmtId="0" fontId="53" fillId="8" borderId="14" xfId="0" applyFont="1" applyFill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3" fontId="53" fillId="22" borderId="104" xfId="4" applyNumberFormat="1" applyFont="1" applyFill="1" applyBorder="1" applyAlignment="1">
      <alignment horizontal="right" vertical="center"/>
    </xf>
    <xf numFmtId="3" fontId="33" fillId="25" borderId="0" xfId="4" applyNumberFormat="1" applyFont="1" applyFill="1" applyBorder="1" applyAlignment="1">
      <alignment horizontal="right" vertical="center"/>
    </xf>
    <xf numFmtId="43" fontId="53" fillId="6" borderId="105" xfId="1" applyFont="1" applyFill="1" applyBorder="1" applyAlignment="1"/>
    <xf numFmtId="43" fontId="61" fillId="0" borderId="104" xfId="1" applyFont="1" applyFill="1" applyBorder="1" applyAlignment="1">
      <alignment vertical="center"/>
    </xf>
    <xf numFmtId="3" fontId="61" fillId="0" borderId="105" xfId="6" applyNumberFormat="1" applyFont="1" applyFill="1" applyBorder="1" applyAlignment="1">
      <alignment vertical="center"/>
    </xf>
    <xf numFmtId="43" fontId="61" fillId="0" borderId="105" xfId="1" applyFont="1" applyFill="1" applyBorder="1" applyAlignment="1">
      <alignment vertical="center"/>
    </xf>
    <xf numFmtId="43" fontId="62" fillId="0" borderId="105" xfId="1" applyFont="1" applyFill="1" applyBorder="1" applyAlignment="1">
      <alignment vertical="center"/>
    </xf>
    <xf numFmtId="43" fontId="33" fillId="0" borderId="103" xfId="1" applyFont="1" applyFill="1" applyBorder="1" applyAlignment="1">
      <alignment horizontal="right" vertical="center"/>
    </xf>
    <xf numFmtId="0" fontId="33" fillId="0" borderId="83" xfId="4" applyFont="1" applyFill="1" applyBorder="1" applyAlignment="1">
      <alignment horizontal="left" vertical="center"/>
    </xf>
    <xf numFmtId="3" fontId="33" fillId="0" borderId="72" xfId="4" applyNumberFormat="1" applyFont="1" applyFill="1" applyBorder="1" applyAlignment="1">
      <alignment vertical="center"/>
    </xf>
    <xf numFmtId="3" fontId="33" fillId="0" borderId="47" xfId="4" applyNumberFormat="1" applyFont="1" applyFill="1" applyBorder="1" applyAlignment="1">
      <alignment horizontal="center" vertical="center"/>
    </xf>
    <xf numFmtId="3" fontId="33" fillId="0" borderId="129" xfId="4" applyNumberFormat="1" applyFont="1" applyFill="1" applyBorder="1" applyAlignment="1">
      <alignment horizontal="right" vertical="center"/>
    </xf>
    <xf numFmtId="43" fontId="61" fillId="0" borderId="29" xfId="1" applyFont="1" applyFill="1" applyBorder="1" applyAlignment="1">
      <alignment vertical="center"/>
    </xf>
    <xf numFmtId="43" fontId="61" fillId="0" borderId="23" xfId="1" applyFont="1" applyFill="1" applyBorder="1" applyAlignment="1">
      <alignment vertical="center"/>
    </xf>
    <xf numFmtId="0" fontId="53" fillId="6" borderId="28" xfId="4" applyFont="1" applyFill="1" applyBorder="1" applyAlignment="1">
      <alignment horizontal="left" vertical="center"/>
    </xf>
    <xf numFmtId="3" fontId="53" fillId="6" borderId="120" xfId="4" applyNumberFormat="1" applyFont="1" applyFill="1" applyBorder="1" applyAlignment="1">
      <alignment horizontal="right" vertical="center"/>
    </xf>
    <xf numFmtId="3" fontId="33" fillId="0" borderId="47" xfId="4" applyNumberFormat="1" applyFont="1" applyFill="1" applyBorder="1" applyAlignment="1"/>
    <xf numFmtId="3" fontId="33" fillId="25" borderId="72" xfId="4" applyNumberFormat="1" applyFont="1" applyFill="1" applyBorder="1" applyAlignment="1">
      <alignment horizontal="right" vertical="center"/>
    </xf>
    <xf numFmtId="3" fontId="33" fillId="8" borderId="3" xfId="4" applyNumberFormat="1" applyFont="1" applyFill="1" applyBorder="1" applyAlignment="1">
      <alignment horizontal="right" vertical="center"/>
    </xf>
    <xf numFmtId="43" fontId="54" fillId="6" borderId="105" xfId="1" applyFont="1" applyFill="1" applyBorder="1" applyAlignment="1">
      <alignment horizontal="right" vertical="center"/>
    </xf>
    <xf numFmtId="43" fontId="56" fillId="0" borderId="27" xfId="1" applyFont="1" applyFill="1" applyBorder="1" applyAlignment="1">
      <alignment horizontal="right" vertical="center"/>
    </xf>
    <xf numFmtId="43" fontId="60" fillId="0" borderId="104" xfId="1" applyFont="1" applyFill="1" applyBorder="1" applyAlignment="1">
      <alignment horizontal="right" vertical="center"/>
    </xf>
    <xf numFmtId="43" fontId="33" fillId="0" borderId="105" xfId="1" applyFont="1" applyFill="1" applyBorder="1" applyAlignment="1">
      <alignment horizontal="right" vertical="center"/>
    </xf>
    <xf numFmtId="43" fontId="60" fillId="25" borderId="105" xfId="1" applyFont="1" applyFill="1" applyBorder="1" applyAlignment="1">
      <alignment horizontal="right" vertical="center"/>
    </xf>
    <xf numFmtId="43" fontId="60" fillId="0" borderId="105" xfId="1" applyFont="1" applyFill="1" applyBorder="1" applyAlignment="1"/>
    <xf numFmtId="43" fontId="60" fillId="0" borderId="105" xfId="1" applyFont="1" applyFill="1" applyBorder="1" applyAlignment="1">
      <alignment horizontal="right" vertical="center"/>
    </xf>
    <xf numFmtId="0" fontId="60" fillId="0" borderId="108" xfId="4" applyFont="1" applyFill="1" applyBorder="1" applyAlignment="1">
      <alignment vertical="center"/>
    </xf>
    <xf numFmtId="3" fontId="60" fillId="0" borderId="105" xfId="4" applyNumberFormat="1" applyFont="1" applyFill="1" applyBorder="1" applyAlignment="1">
      <alignment vertical="center"/>
    </xf>
    <xf numFmtId="43" fontId="53" fillId="6" borderId="105" xfId="1" applyFont="1" applyFill="1" applyBorder="1" applyAlignment="1">
      <alignment vertical="center"/>
    </xf>
    <xf numFmtId="43" fontId="53" fillId="32" borderId="105" xfId="1" applyFont="1" applyFill="1" applyBorder="1" applyAlignment="1"/>
    <xf numFmtId="43" fontId="60" fillId="32" borderId="105" xfId="1" applyFont="1" applyFill="1" applyBorder="1" applyAlignment="1"/>
    <xf numFmtId="3" fontId="58" fillId="2" borderId="105" xfId="4" applyNumberFormat="1" applyFont="1" applyFill="1" applyBorder="1" applyAlignment="1">
      <alignment vertical="center"/>
    </xf>
    <xf numFmtId="3" fontId="56" fillId="2" borderId="105" xfId="4" applyNumberFormat="1" applyFont="1" applyFill="1" applyBorder="1" applyAlignment="1">
      <alignment vertical="center"/>
    </xf>
    <xf numFmtId="43" fontId="58" fillId="2" borderId="105" xfId="1" applyFont="1" applyFill="1" applyBorder="1" applyAlignment="1">
      <alignment vertical="center"/>
    </xf>
    <xf numFmtId="3" fontId="60" fillId="0" borderId="72" xfId="4" applyNumberFormat="1" applyFont="1" applyFill="1" applyBorder="1" applyAlignment="1">
      <alignment vertical="center"/>
    </xf>
    <xf numFmtId="3" fontId="60" fillId="2" borderId="47" xfId="4" applyNumberFormat="1" applyFont="1" applyFill="1" applyBorder="1" applyAlignment="1">
      <alignment vertical="center"/>
    </xf>
    <xf numFmtId="3" fontId="60" fillId="2" borderId="72" xfId="4" applyNumberFormat="1" applyFont="1" applyFill="1" applyBorder="1" applyAlignment="1">
      <alignment vertical="center"/>
    </xf>
    <xf numFmtId="3" fontId="33" fillId="2" borderId="47" xfId="4" applyNumberFormat="1" applyFont="1" applyFill="1" applyBorder="1" applyAlignment="1">
      <alignment vertical="center"/>
    </xf>
    <xf numFmtId="43" fontId="33" fillId="2" borderId="47" xfId="1" applyFont="1" applyFill="1" applyBorder="1" applyAlignment="1">
      <alignment vertical="center"/>
    </xf>
    <xf numFmtId="3" fontId="60" fillId="2" borderId="74" xfId="4" applyNumberFormat="1" applyFont="1" applyFill="1" applyBorder="1" applyAlignment="1">
      <alignment vertical="center"/>
    </xf>
    <xf numFmtId="43" fontId="53" fillId="8" borderId="2" xfId="1" applyFont="1" applyFill="1" applyBorder="1" applyAlignment="1">
      <alignment horizontal="right" vertical="center"/>
    </xf>
    <xf numFmtId="3" fontId="52" fillId="6" borderId="93" xfId="6" applyNumberFormat="1" applyFont="1" applyFill="1" applyBorder="1" applyAlignment="1">
      <alignment horizontal="right" vertical="center"/>
    </xf>
    <xf numFmtId="43" fontId="52" fillId="6" borderId="93" xfId="1" applyFont="1" applyFill="1" applyBorder="1" applyAlignment="1">
      <alignment horizontal="right" vertical="center"/>
    </xf>
    <xf numFmtId="3" fontId="54" fillId="22" borderId="93" xfId="4" applyNumberFormat="1" applyFont="1" applyFill="1" applyBorder="1" applyAlignment="1">
      <alignment horizontal="right" vertical="center"/>
    </xf>
    <xf numFmtId="3" fontId="62" fillId="0" borderId="93" xfId="6" applyNumberFormat="1" applyFont="1" applyFill="1" applyBorder="1" applyAlignment="1">
      <alignment horizontal="right" vertical="center"/>
    </xf>
    <xf numFmtId="3" fontId="60" fillId="0" borderId="97" xfId="4" applyNumberFormat="1" applyFont="1" applyFill="1" applyBorder="1" applyAlignment="1">
      <alignment horizontal="right" vertical="center"/>
    </xf>
    <xf numFmtId="3" fontId="60" fillId="2" borderId="93" xfId="4" applyNumberFormat="1" applyFont="1" applyFill="1" applyBorder="1" applyAlignment="1">
      <alignment horizontal="right" vertical="center"/>
    </xf>
    <xf numFmtId="43" fontId="60" fillId="0" borderId="93" xfId="1" applyFont="1" applyFill="1" applyBorder="1" applyAlignment="1">
      <alignment horizontal="right" vertical="center"/>
    </xf>
    <xf numFmtId="3" fontId="60" fillId="0" borderId="13" xfId="4" applyNumberFormat="1" applyFont="1" applyFill="1" applyBorder="1" applyAlignment="1">
      <alignment horizontal="right" vertical="center"/>
    </xf>
    <xf numFmtId="3" fontId="60" fillId="0" borderId="27" xfId="4" applyNumberFormat="1" applyFont="1" applyFill="1" applyBorder="1" applyAlignment="1">
      <alignment horizontal="right" vertical="center"/>
    </xf>
    <xf numFmtId="43" fontId="60" fillId="0" borderId="27" xfId="1" applyFont="1" applyFill="1" applyBorder="1" applyAlignment="1">
      <alignment horizontal="right" vertical="center"/>
    </xf>
    <xf numFmtId="3" fontId="52" fillId="6" borderId="91" xfId="6" applyNumberFormat="1" applyFont="1" applyFill="1" applyBorder="1" applyAlignment="1">
      <alignment horizontal="right" vertical="center"/>
    </xf>
    <xf numFmtId="43" fontId="52" fillId="6" borderId="91" xfId="1" applyFont="1" applyFill="1" applyBorder="1" applyAlignment="1">
      <alignment horizontal="right" vertical="center"/>
    </xf>
    <xf numFmtId="3" fontId="62" fillId="0" borderId="95" xfId="6" applyNumberFormat="1" applyFont="1" applyFill="1" applyBorder="1" applyAlignment="1">
      <alignment horizontal="right" vertical="center"/>
    </xf>
    <xf numFmtId="43" fontId="62" fillId="0" borderId="95" xfId="1" applyFont="1" applyFill="1" applyBorder="1" applyAlignment="1">
      <alignment horizontal="right" vertical="center"/>
    </xf>
    <xf numFmtId="0" fontId="53" fillId="8" borderId="35" xfId="4" applyFont="1" applyFill="1" applyBorder="1" applyAlignment="1">
      <alignment vertical="center" wrapText="1"/>
    </xf>
    <xf numFmtId="0" fontId="53" fillId="8" borderId="35" xfId="4" applyFont="1" applyFill="1" applyBorder="1" applyAlignment="1">
      <alignment horizontal="center" vertical="center" wrapText="1"/>
    </xf>
    <xf numFmtId="3" fontId="53" fillId="8" borderId="35" xfId="4" applyNumberFormat="1" applyFont="1" applyFill="1" applyBorder="1" applyAlignment="1"/>
    <xf numFmtId="3" fontId="53" fillId="22" borderId="35" xfId="4" applyNumberFormat="1" applyFont="1" applyFill="1" applyBorder="1" applyAlignment="1">
      <alignment horizontal="right" vertical="center"/>
    </xf>
    <xf numFmtId="3" fontId="62" fillId="0" borderId="132" xfId="6" applyNumberFormat="1" applyFont="1" applyFill="1" applyBorder="1" applyAlignment="1">
      <alignment vertical="center"/>
    </xf>
    <xf numFmtId="0" fontId="0" fillId="0" borderId="127" xfId="0" applyFont="1" applyBorder="1"/>
    <xf numFmtId="0" fontId="33" fillId="0" borderId="134" xfId="4" applyFont="1" applyFill="1" applyBorder="1" applyAlignment="1">
      <alignment vertical="center"/>
    </xf>
    <xf numFmtId="3" fontId="61" fillId="0" borderId="134" xfId="6" applyNumberFormat="1" applyFont="1" applyFill="1" applyBorder="1" applyAlignment="1">
      <alignment vertical="center"/>
    </xf>
    <xf numFmtId="3" fontId="33" fillId="0" borderId="134" xfId="4" applyNumberFormat="1" applyFont="1" applyFill="1" applyBorder="1" applyAlignment="1">
      <alignment horizontal="right" vertical="center"/>
    </xf>
    <xf numFmtId="3" fontId="60" fillId="0" borderId="134" xfId="4" applyNumberFormat="1" applyFont="1" applyFill="1" applyBorder="1" applyAlignment="1">
      <alignment horizontal="right" vertical="center"/>
    </xf>
    <xf numFmtId="0" fontId="60" fillId="0" borderId="108" xfId="0" applyFont="1" applyFill="1" applyBorder="1" applyAlignment="1">
      <alignment horizontal="left" vertical="center" wrapText="1"/>
    </xf>
    <xf numFmtId="3" fontId="56" fillId="2" borderId="117" xfId="4" applyNumberFormat="1" applyFont="1" applyFill="1" applyBorder="1" applyAlignment="1">
      <alignment vertical="center" wrapText="1"/>
    </xf>
    <xf numFmtId="0" fontId="56" fillId="2" borderId="110" xfId="4" applyFont="1" applyFill="1" applyBorder="1" applyAlignment="1">
      <alignment vertical="top"/>
    </xf>
    <xf numFmtId="0" fontId="54" fillId="6" borderId="124" xfId="4" applyFont="1" applyFill="1" applyBorder="1" applyAlignment="1">
      <alignment horizontal="left" vertical="center"/>
    </xf>
    <xf numFmtId="3" fontId="56" fillId="2" borderId="128" xfId="4" applyNumberFormat="1" applyFont="1" applyFill="1" applyBorder="1" applyAlignment="1">
      <alignment vertical="top" wrapText="1"/>
    </xf>
    <xf numFmtId="3" fontId="56" fillId="0" borderId="133" xfId="4" applyNumberFormat="1" applyFont="1" applyFill="1" applyBorder="1" applyAlignment="1">
      <alignment horizontal="right" vertical="center"/>
    </xf>
    <xf numFmtId="3" fontId="56" fillId="0" borderId="122" xfId="4" applyNumberFormat="1" applyFont="1" applyFill="1" applyBorder="1" applyAlignment="1">
      <alignment horizontal="right" vertical="center"/>
    </xf>
    <xf numFmtId="3" fontId="56" fillId="25" borderId="135" xfId="4" applyNumberFormat="1" applyFont="1" applyFill="1" applyBorder="1" applyAlignment="1">
      <alignment horizontal="right" vertical="center"/>
    </xf>
    <xf numFmtId="0" fontId="33" fillId="0" borderId="128" xfId="4" applyFont="1" applyFill="1" applyBorder="1" applyAlignment="1">
      <alignment vertical="top"/>
    </xf>
    <xf numFmtId="3" fontId="61" fillId="0" borderId="135" xfId="6" applyNumberFormat="1" applyFont="1" applyFill="1" applyBorder="1" applyAlignment="1">
      <alignment vertical="center"/>
    </xf>
    <xf numFmtId="3" fontId="33" fillId="0" borderId="133" xfId="4" applyNumberFormat="1" applyFont="1" applyFill="1" applyBorder="1" applyAlignment="1">
      <alignment horizontal="right" vertical="center"/>
    </xf>
    <xf numFmtId="3" fontId="33" fillId="0" borderId="122" xfId="4" applyNumberFormat="1" applyFont="1" applyFill="1" applyBorder="1" applyAlignment="1">
      <alignment horizontal="right" vertical="center"/>
    </xf>
    <xf numFmtId="3" fontId="33" fillId="23" borderId="132" xfId="4" applyNumberFormat="1" applyFont="1" applyFill="1" applyBorder="1" applyAlignment="1">
      <alignment vertical="top"/>
    </xf>
    <xf numFmtId="3" fontId="56" fillId="2" borderId="124" xfId="4" applyNumberFormat="1" applyFont="1" applyFill="1" applyBorder="1" applyAlignment="1">
      <alignment vertical="center" wrapText="1"/>
    </xf>
    <xf numFmtId="0" fontId="47" fillId="0" borderId="42" xfId="0" applyFont="1" applyFill="1" applyBorder="1" applyAlignment="1">
      <alignment vertical="center" wrapText="1"/>
    </xf>
    <xf numFmtId="0" fontId="56" fillId="56" borderId="17" xfId="4" applyFont="1" applyFill="1" applyBorder="1" applyAlignment="1">
      <alignment horizontal="left" vertical="center"/>
    </xf>
    <xf numFmtId="3" fontId="61" fillId="8" borderId="37" xfId="6" applyNumberFormat="1" applyFont="1" applyFill="1" applyBorder="1" applyAlignment="1">
      <alignment vertical="center"/>
    </xf>
    <xf numFmtId="3" fontId="56" fillId="2" borderId="31" xfId="4" applyNumberFormat="1" applyFont="1" applyFill="1" applyBorder="1" applyAlignment="1">
      <alignment vertical="center" wrapText="1"/>
    </xf>
    <xf numFmtId="3" fontId="33" fillId="23" borderId="72" xfId="4" applyNumberFormat="1" applyFont="1" applyFill="1" applyBorder="1" applyAlignment="1">
      <alignment vertical="center"/>
    </xf>
    <xf numFmtId="0" fontId="121" fillId="0" borderId="0" xfId="0" applyFont="1" applyFill="1"/>
    <xf numFmtId="0" fontId="120" fillId="0" borderId="0" xfId="0" applyFont="1"/>
    <xf numFmtId="0" fontId="121" fillId="0" borderId="0" xfId="0" applyFont="1"/>
    <xf numFmtId="0" fontId="119" fillId="2" borderId="0" xfId="0" applyFont="1" applyFill="1" applyBorder="1" applyAlignment="1">
      <alignment horizontal="center" wrapText="1"/>
    </xf>
    <xf numFmtId="0" fontId="120" fillId="0" borderId="0" xfId="0" applyFont="1" applyAlignment="1">
      <alignment horizontal="center" wrapText="1"/>
    </xf>
    <xf numFmtId="0" fontId="124" fillId="0" borderId="23" xfId="0" applyFont="1" applyBorder="1" applyAlignment="1">
      <alignment horizontal="center" vertical="center" wrapText="1"/>
    </xf>
    <xf numFmtId="0" fontId="122" fillId="0" borderId="12" xfId="0" applyFont="1" applyBorder="1" applyAlignment="1">
      <alignment horizontal="center" vertical="center"/>
    </xf>
    <xf numFmtId="0" fontId="123" fillId="0" borderId="12" xfId="4" applyFont="1" applyBorder="1" applyAlignment="1">
      <alignment horizontal="center" vertical="center" wrapText="1"/>
    </xf>
    <xf numFmtId="0" fontId="122" fillId="0" borderId="27" xfId="0" applyFont="1" applyBorder="1" applyAlignment="1">
      <alignment horizontal="center" vertical="center"/>
    </xf>
    <xf numFmtId="0" fontId="122" fillId="0" borderId="13" xfId="0" applyFont="1" applyBorder="1" applyAlignment="1">
      <alignment horizontal="center" vertical="center"/>
    </xf>
    <xf numFmtId="0" fontId="123" fillId="0" borderId="13" xfId="0" applyFont="1" applyBorder="1" applyAlignment="1">
      <alignment horizontal="center" vertical="center"/>
    </xf>
    <xf numFmtId="0" fontId="122" fillId="0" borderId="10" xfId="0" applyFont="1" applyBorder="1" applyAlignment="1">
      <alignment horizontal="center" vertical="center"/>
    </xf>
    <xf numFmtId="0" fontId="125" fillId="0" borderId="4" xfId="0" quotePrefix="1" applyFont="1" applyBorder="1" applyAlignment="1">
      <alignment horizontal="center" vertical="center"/>
    </xf>
    <xf numFmtId="3" fontId="125" fillId="0" borderId="4" xfId="0" applyNumberFormat="1" applyFont="1" applyBorder="1" applyAlignment="1">
      <alignment horizontal="center" vertical="center"/>
    </xf>
    <xf numFmtId="3" fontId="125" fillId="0" borderId="15" xfId="0" applyNumberFormat="1" applyFont="1" applyBorder="1" applyAlignment="1">
      <alignment horizontal="center" vertical="center"/>
    </xf>
    <xf numFmtId="3" fontId="125" fillId="0" borderId="15" xfId="0" quotePrefix="1" applyNumberFormat="1" applyFont="1" applyBorder="1" applyAlignment="1">
      <alignment horizontal="center" vertical="center"/>
    </xf>
    <xf numFmtId="3" fontId="125" fillId="0" borderId="39" xfId="0" quotePrefix="1" applyNumberFormat="1" applyFont="1" applyBorder="1" applyAlignment="1">
      <alignment horizontal="center" vertical="center"/>
    </xf>
    <xf numFmtId="3" fontId="126" fillId="0" borderId="39" xfId="0" quotePrefix="1" applyNumberFormat="1" applyFont="1" applyBorder="1" applyAlignment="1">
      <alignment horizontal="center" vertical="center"/>
    </xf>
    <xf numFmtId="3" fontId="125" fillId="0" borderId="2" xfId="0" quotePrefix="1" applyNumberFormat="1" applyFont="1" applyBorder="1" applyAlignment="1">
      <alignment horizontal="center" vertical="center"/>
    </xf>
    <xf numFmtId="0" fontId="121" fillId="0" borderId="0" xfId="0" applyFont="1" applyFill="1" applyAlignment="1">
      <alignment vertical="center"/>
    </xf>
    <xf numFmtId="0" fontId="120" fillId="0" borderId="0" xfId="0" applyFont="1" applyAlignment="1">
      <alignment vertical="center"/>
    </xf>
    <xf numFmtId="0" fontId="121" fillId="0" borderId="0" xfId="0" applyFont="1" applyAlignment="1">
      <alignment vertical="center"/>
    </xf>
    <xf numFmtId="3" fontId="128" fillId="38" borderId="39" xfId="0" applyNumberFormat="1" applyFont="1" applyFill="1" applyBorder="1" applyAlignment="1">
      <alignment vertical="center" wrapText="1"/>
    </xf>
    <xf numFmtId="3" fontId="128" fillId="39" borderId="40" xfId="0" applyNumberFormat="1" applyFont="1" applyFill="1" applyBorder="1" applyAlignment="1">
      <alignment vertical="center" wrapText="1"/>
    </xf>
    <xf numFmtId="165" fontId="129" fillId="0" borderId="0" xfId="0" applyNumberFormat="1" applyFont="1" applyFill="1" applyBorder="1" applyAlignment="1">
      <alignment vertical="center"/>
    </xf>
    <xf numFmtId="3" fontId="129" fillId="0" borderId="0" xfId="0" applyNumberFormat="1" applyFont="1" applyFill="1" applyAlignment="1">
      <alignment vertical="center"/>
    </xf>
    <xf numFmtId="0" fontId="129" fillId="0" borderId="0" xfId="0" applyFont="1" applyFill="1" applyBorder="1" applyAlignment="1">
      <alignment vertical="center"/>
    </xf>
    <xf numFmtId="3" fontId="128" fillId="6" borderId="39" xfId="0" applyNumberFormat="1" applyFont="1" applyFill="1" applyBorder="1" applyAlignment="1">
      <alignment vertical="center" wrapText="1"/>
    </xf>
    <xf numFmtId="3" fontId="128" fillId="40" borderId="40" xfId="0" applyNumberFormat="1" applyFont="1" applyFill="1" applyBorder="1" applyAlignment="1">
      <alignment horizontal="center" vertical="center" wrapText="1"/>
    </xf>
    <xf numFmtId="0" fontId="127" fillId="38" borderId="88" xfId="4" applyFont="1" applyFill="1" applyBorder="1" applyAlignment="1">
      <alignment horizontal="left" vertical="center"/>
    </xf>
    <xf numFmtId="0" fontId="120" fillId="38" borderId="50" xfId="0" applyFont="1" applyFill="1" applyBorder="1" applyAlignment="1">
      <alignment vertical="center"/>
    </xf>
    <xf numFmtId="165" fontId="129" fillId="2" borderId="0" xfId="0" applyNumberFormat="1" applyFont="1" applyFill="1" applyBorder="1" applyAlignment="1">
      <alignment vertical="center"/>
    </xf>
    <xf numFmtId="3" fontId="129" fillId="2" borderId="0" xfId="0" applyNumberFormat="1" applyFont="1" applyFill="1" applyAlignment="1">
      <alignment vertical="center"/>
    </xf>
    <xf numFmtId="0" fontId="129" fillId="2" borderId="0" xfId="0" applyFont="1" applyFill="1" applyBorder="1" applyAlignment="1">
      <alignment vertical="center"/>
    </xf>
    <xf numFmtId="3" fontId="128" fillId="2" borderId="15" xfId="0" applyNumberFormat="1" applyFont="1" applyFill="1" applyBorder="1" applyAlignment="1">
      <alignment vertical="center" wrapText="1"/>
    </xf>
    <xf numFmtId="3" fontId="128" fillId="0" borderId="42" xfId="0" applyNumberFormat="1" applyFont="1" applyFill="1" applyBorder="1" applyAlignment="1">
      <alignment horizontal="center" vertical="center" wrapText="1"/>
    </xf>
    <xf numFmtId="3" fontId="131" fillId="4" borderId="35" xfId="0" applyNumberFormat="1" applyFont="1" applyFill="1" applyBorder="1" applyAlignment="1">
      <alignment vertical="center" wrapText="1"/>
    </xf>
    <xf numFmtId="3" fontId="134" fillId="41" borderId="46" xfId="0" applyNumberFormat="1" applyFont="1" applyFill="1" applyBorder="1" applyAlignment="1">
      <alignment vertical="center" wrapText="1"/>
    </xf>
    <xf numFmtId="3" fontId="131" fillId="6" borderId="30" xfId="0" applyNumberFormat="1" applyFont="1" applyFill="1" applyBorder="1" applyAlignment="1">
      <alignment vertical="center" wrapText="1"/>
    </xf>
    <xf numFmtId="3" fontId="128" fillId="42" borderId="49" xfId="0" applyNumberFormat="1" applyFont="1" applyFill="1" applyBorder="1" applyAlignment="1">
      <alignment horizontal="center" vertical="center" wrapText="1"/>
    </xf>
    <xf numFmtId="3" fontId="131" fillId="4" borderId="30" xfId="0" applyNumberFormat="1" applyFont="1" applyFill="1" applyBorder="1" applyAlignment="1">
      <alignment vertical="center" wrapText="1"/>
    </xf>
    <xf numFmtId="3" fontId="128" fillId="38" borderId="12" xfId="0" applyNumberFormat="1" applyFont="1" applyFill="1" applyBorder="1" applyAlignment="1">
      <alignment vertical="center" wrapText="1"/>
    </xf>
    <xf numFmtId="0" fontId="121" fillId="0" borderId="0" xfId="0" applyFont="1" applyAlignment="1">
      <alignment horizontal="center" vertical="center"/>
    </xf>
    <xf numFmtId="0" fontId="121" fillId="0" borderId="0" xfId="0" applyFont="1" applyBorder="1"/>
    <xf numFmtId="0" fontId="70" fillId="0" borderId="0" xfId="0" applyFont="1" applyBorder="1"/>
    <xf numFmtId="3" fontId="129" fillId="0" borderId="0" xfId="0" applyNumberFormat="1" applyFont="1" applyFill="1" applyBorder="1" applyAlignment="1">
      <alignment vertical="center"/>
    </xf>
    <xf numFmtId="3" fontId="121" fillId="0" borderId="0" xfId="0" applyNumberFormat="1" applyFont="1" applyBorder="1"/>
    <xf numFmtId="3" fontId="70" fillId="0" borderId="0" xfId="0" applyNumberFormat="1" applyFont="1" applyBorder="1"/>
    <xf numFmtId="0" fontId="123" fillId="0" borderId="0" xfId="0" applyFont="1" applyAlignment="1">
      <alignment horizontal="center" vertical="center"/>
    </xf>
    <xf numFmtId="3" fontId="123" fillId="0" borderId="0" xfId="0" applyNumberFormat="1" applyFont="1" applyBorder="1"/>
    <xf numFmtId="0" fontId="123" fillId="0" borderId="0" xfId="0" applyFont="1" applyBorder="1"/>
    <xf numFmtId="0" fontId="121" fillId="0" borderId="0" xfId="0" applyFont="1" applyBorder="1" applyAlignment="1">
      <alignment wrapText="1"/>
    </xf>
    <xf numFmtId="0" fontId="123" fillId="0" borderId="0" xfId="0" applyFont="1" applyAlignment="1">
      <alignment horizontal="left" vertical="center"/>
    </xf>
    <xf numFmtId="0" fontId="121" fillId="0" borderId="1" xfId="0" applyFont="1" applyBorder="1" applyAlignment="1">
      <alignment horizontal="center" vertical="center"/>
    </xf>
    <xf numFmtId="0" fontId="136" fillId="0" borderId="3" xfId="0" applyFont="1" applyBorder="1" applyAlignment="1">
      <alignment wrapText="1"/>
    </xf>
    <xf numFmtId="0" fontId="121" fillId="0" borderId="3" xfId="0" applyFont="1" applyBorder="1"/>
    <xf numFmtId="0" fontId="70" fillId="0" borderId="3" xfId="0" applyFont="1" applyBorder="1"/>
    <xf numFmtId="0" fontId="121" fillId="0" borderId="3" xfId="0" applyFont="1" applyFill="1" applyBorder="1"/>
    <xf numFmtId="0" fontId="120" fillId="0" borderId="3" xfId="0" applyFont="1" applyBorder="1"/>
    <xf numFmtId="0" fontId="121" fillId="0" borderId="26" xfId="0" applyFont="1" applyBorder="1" applyAlignment="1">
      <alignment horizontal="center" vertical="center"/>
    </xf>
    <xf numFmtId="0" fontId="121" fillId="0" borderId="0" xfId="0" applyFont="1" applyFill="1" applyBorder="1"/>
    <xf numFmtId="0" fontId="120" fillId="0" borderId="0" xfId="0" applyFont="1" applyBorder="1"/>
    <xf numFmtId="0" fontId="121" fillId="0" borderId="68" xfId="0" applyFont="1" applyBorder="1" applyAlignment="1">
      <alignment horizontal="center" vertical="center"/>
    </xf>
    <xf numFmtId="0" fontId="121" fillId="0" borderId="24" xfId="0" applyFont="1" applyBorder="1"/>
    <xf numFmtId="0" fontId="70" fillId="0" borderId="24" xfId="0" applyFont="1" applyBorder="1"/>
    <xf numFmtId="0" fontId="121" fillId="0" borderId="24" xfId="0" applyFont="1" applyFill="1" applyBorder="1"/>
    <xf numFmtId="0" fontId="120" fillId="0" borderId="24" xfId="0" applyFont="1" applyBorder="1"/>
    <xf numFmtId="0" fontId="121" fillId="0" borderId="27" xfId="0" applyFont="1" applyBorder="1"/>
    <xf numFmtId="0" fontId="121" fillId="0" borderId="13" xfId="0" applyFont="1" applyBorder="1"/>
    <xf numFmtId="0" fontId="121" fillId="0" borderId="10" xfId="0" applyFont="1" applyBorder="1"/>
    <xf numFmtId="0" fontId="0" fillId="0" borderId="0" xfId="0" applyFont="1" applyBorder="1"/>
    <xf numFmtId="0" fontId="53" fillId="6" borderId="138" xfId="4" applyFont="1" applyFill="1" applyBorder="1" applyAlignment="1">
      <alignment horizontal="left" vertical="center"/>
    </xf>
    <xf numFmtId="3" fontId="54" fillId="8" borderId="70" xfId="0" applyNumberFormat="1" applyFont="1" applyFill="1" applyBorder="1" applyAlignment="1">
      <alignment vertical="top"/>
    </xf>
    <xf numFmtId="3" fontId="60" fillId="0" borderId="140" xfId="0" applyNumberFormat="1" applyFont="1" applyFill="1" applyBorder="1" applyAlignment="1">
      <alignment vertical="top"/>
    </xf>
    <xf numFmtId="43" fontId="54" fillId="6" borderId="140" xfId="1" applyFont="1" applyFill="1" applyBorder="1" applyAlignment="1"/>
    <xf numFmtId="43" fontId="60" fillId="0" borderId="72" xfId="1" applyFont="1" applyFill="1" applyBorder="1" applyAlignment="1">
      <alignment vertical="top"/>
    </xf>
    <xf numFmtId="0" fontId="53" fillId="6" borderId="145" xfId="4" applyFont="1" applyFill="1" applyBorder="1" applyAlignment="1">
      <alignment horizontal="left" vertical="center"/>
    </xf>
    <xf numFmtId="3" fontId="60" fillId="0" borderId="140" xfId="0" applyNumberFormat="1" applyFont="1" applyFill="1" applyBorder="1" applyAlignment="1">
      <alignment vertical="center"/>
    </xf>
    <xf numFmtId="3" fontId="60" fillId="2" borderId="140" xfId="0" applyNumberFormat="1" applyFont="1" applyFill="1" applyBorder="1" applyAlignment="1">
      <alignment vertical="center"/>
    </xf>
    <xf numFmtId="3" fontId="56" fillId="0" borderId="140" xfId="0" applyNumberFormat="1" applyFont="1" applyFill="1" applyBorder="1" applyAlignment="1">
      <alignment vertical="top"/>
    </xf>
    <xf numFmtId="3" fontId="54" fillId="6" borderId="140" xfId="0" applyNumberFormat="1" applyFont="1" applyFill="1" applyBorder="1" applyAlignment="1">
      <alignment vertical="center"/>
    </xf>
    <xf numFmtId="3" fontId="54" fillId="6" borderId="142" xfId="0" applyNumberFormat="1" applyFont="1" applyFill="1" applyBorder="1" applyAlignment="1">
      <alignment vertical="center"/>
    </xf>
    <xf numFmtId="3" fontId="33" fillId="0" borderId="142" xfId="4" applyNumberFormat="1" applyFont="1" applyFill="1" applyBorder="1" applyAlignment="1">
      <alignment horizontal="right" vertical="center"/>
    </xf>
    <xf numFmtId="3" fontId="60" fillId="0" borderId="142" xfId="4" applyNumberFormat="1" applyFont="1" applyFill="1" applyBorder="1" applyAlignment="1">
      <alignment horizontal="right" vertical="center"/>
    </xf>
    <xf numFmtId="3" fontId="60" fillId="0" borderId="142" xfId="4" applyNumberFormat="1" applyFont="1" applyFill="1" applyBorder="1" applyAlignment="1"/>
    <xf numFmtId="43" fontId="33" fillId="0" borderId="142" xfId="1" applyFont="1" applyFill="1" applyBorder="1" applyAlignment="1">
      <alignment horizontal="right" vertical="center"/>
    </xf>
    <xf numFmtId="3" fontId="121" fillId="0" borderId="150" xfId="0" applyNumberFormat="1" applyFont="1" applyBorder="1"/>
    <xf numFmtId="0" fontId="0" fillId="0" borderId="142" xfId="0" applyFont="1" applyBorder="1"/>
    <xf numFmtId="3" fontId="0" fillId="0" borderId="142" xfId="0" applyNumberFormat="1" applyFont="1" applyBorder="1"/>
    <xf numFmtId="0" fontId="71" fillId="0" borderId="142" xfId="0" applyFont="1" applyBorder="1"/>
    <xf numFmtId="3" fontId="0" fillId="57" borderId="142" xfId="0" applyNumberFormat="1" applyFont="1" applyFill="1" applyBorder="1"/>
    <xf numFmtId="0" fontId="0" fillId="0" borderId="142" xfId="0" applyFont="1" applyBorder="1" applyAlignment="1">
      <alignment vertical="center"/>
    </xf>
    <xf numFmtId="0" fontId="0" fillId="0" borderId="9" xfId="0" applyFont="1" applyBorder="1"/>
    <xf numFmtId="0" fontId="48" fillId="2" borderId="70" xfId="0" applyFont="1" applyFill="1" applyBorder="1" applyAlignment="1">
      <alignment vertical="center" wrapText="1"/>
    </xf>
    <xf numFmtId="0" fontId="48" fillId="2" borderId="140" xfId="0" applyFont="1" applyFill="1" applyBorder="1" applyAlignment="1">
      <alignment vertical="center" wrapText="1"/>
    </xf>
    <xf numFmtId="0" fontId="53" fillId="0" borderId="140" xfId="0" applyFont="1" applyBorder="1" applyAlignment="1">
      <alignment horizontal="center" vertical="center"/>
    </xf>
    <xf numFmtId="0" fontId="54" fillId="32" borderId="140" xfId="4" applyFont="1" applyFill="1" applyBorder="1" applyAlignment="1">
      <alignment horizontal="center" vertical="center" wrapText="1"/>
    </xf>
    <xf numFmtId="0" fontId="50" fillId="2" borderId="131" xfId="0" applyFont="1" applyFill="1" applyBorder="1" applyAlignment="1">
      <alignment horizontal="center" vertical="top"/>
    </xf>
    <xf numFmtId="0" fontId="50" fillId="2" borderId="140" xfId="0" applyFont="1" applyFill="1" applyBorder="1" applyAlignment="1">
      <alignment horizontal="center" vertical="top"/>
    </xf>
    <xf numFmtId="0" fontId="50" fillId="2" borderId="140" xfId="0" quotePrefix="1" applyFont="1" applyFill="1" applyBorder="1" applyAlignment="1">
      <alignment horizontal="center" vertical="top"/>
    </xf>
    <xf numFmtId="0" fontId="50" fillId="26" borderId="140" xfId="0" quotePrefix="1" applyFont="1" applyFill="1" applyBorder="1" applyAlignment="1">
      <alignment horizontal="center" vertical="top"/>
    </xf>
    <xf numFmtId="0" fontId="50" fillId="2" borderId="118" xfId="0" quotePrefix="1" applyFont="1" applyFill="1" applyBorder="1" applyAlignment="1">
      <alignment horizontal="center" vertical="top"/>
    </xf>
    <xf numFmtId="0" fontId="46" fillId="8" borderId="144" xfId="4" applyFont="1" applyFill="1" applyBorder="1" applyAlignment="1">
      <alignment vertical="top"/>
    </xf>
    <xf numFmtId="0" fontId="56" fillId="56" borderId="140" xfId="4" applyFont="1" applyFill="1" applyBorder="1" applyAlignment="1">
      <alignment horizontal="left" vertical="center"/>
    </xf>
    <xf numFmtId="3" fontId="56" fillId="56" borderId="140" xfId="4" applyNumberFormat="1" applyFont="1" applyFill="1" applyBorder="1" applyAlignment="1">
      <alignment horizontal="right" vertical="center"/>
    </xf>
    <xf numFmtId="3" fontId="56" fillId="21" borderId="140" xfId="4" applyNumberFormat="1" applyFont="1" applyFill="1" applyBorder="1" applyAlignment="1">
      <alignment horizontal="right" vertical="center"/>
    </xf>
    <xf numFmtId="0" fontId="47" fillId="8" borderId="118" xfId="4" applyFont="1" applyFill="1" applyBorder="1" applyAlignment="1">
      <alignment horizontal="center" vertical="top"/>
    </xf>
    <xf numFmtId="0" fontId="56" fillId="56" borderId="140" xfId="0" applyFont="1" applyFill="1" applyBorder="1" applyAlignment="1">
      <alignment horizontal="left" vertical="top"/>
    </xf>
    <xf numFmtId="0" fontId="57" fillId="56" borderId="140" xfId="0" quotePrefix="1" applyFont="1" applyFill="1" applyBorder="1" applyAlignment="1">
      <alignment horizontal="center" vertical="top"/>
    </xf>
    <xf numFmtId="3" fontId="56" fillId="56" borderId="140" xfId="0" quotePrefix="1" applyNumberFormat="1" applyFont="1" applyFill="1" applyBorder="1" applyAlignment="1">
      <alignment horizontal="right" vertical="top"/>
    </xf>
    <xf numFmtId="0" fontId="54" fillId="6" borderId="140" xfId="4" applyFont="1" applyFill="1" applyBorder="1" applyAlignment="1">
      <alignment horizontal="left" vertical="center"/>
    </xf>
    <xf numFmtId="3" fontId="53" fillId="6" borderId="140" xfId="4" applyNumberFormat="1" applyFont="1" applyFill="1" applyBorder="1" applyAlignment="1">
      <alignment horizontal="right" vertical="center"/>
    </xf>
    <xf numFmtId="3" fontId="53" fillId="22" borderId="140" xfId="4" applyNumberFormat="1" applyFont="1" applyFill="1" applyBorder="1" applyAlignment="1">
      <alignment horizontal="right" vertical="center"/>
    </xf>
    <xf numFmtId="3" fontId="47" fillId="8" borderId="118" xfId="4" applyNumberFormat="1" applyFont="1" applyFill="1" applyBorder="1" applyAlignment="1">
      <alignment horizontal="center" vertical="top"/>
    </xf>
    <xf numFmtId="3" fontId="58" fillId="8" borderId="140" xfId="4" applyNumberFormat="1" applyFont="1" applyFill="1" applyBorder="1" applyAlignment="1">
      <alignment vertical="top" wrapText="1"/>
    </xf>
    <xf numFmtId="3" fontId="58" fillId="8" borderId="140" xfId="4" applyNumberFormat="1" applyFont="1" applyFill="1" applyBorder="1" applyAlignment="1">
      <alignment horizontal="right" vertical="center"/>
    </xf>
    <xf numFmtId="3" fontId="58" fillId="23" borderId="140" xfId="4" applyNumberFormat="1" applyFont="1" applyFill="1" applyBorder="1" applyAlignment="1">
      <alignment horizontal="right" vertical="center"/>
    </xf>
    <xf numFmtId="3" fontId="33" fillId="8" borderId="140" xfId="4" applyNumberFormat="1" applyFont="1" applyFill="1" applyBorder="1" applyAlignment="1">
      <alignment vertical="top" wrapText="1"/>
    </xf>
    <xf numFmtId="3" fontId="61" fillId="8" borderId="140" xfId="0" applyNumberFormat="1" applyFont="1" applyFill="1" applyBorder="1"/>
    <xf numFmtId="0" fontId="33" fillId="8" borderId="140" xfId="4" applyFont="1" applyFill="1" applyBorder="1" applyAlignment="1">
      <alignment vertical="top" wrapText="1"/>
    </xf>
    <xf numFmtId="3" fontId="33" fillId="8" borderId="140" xfId="4" applyNumberFormat="1" applyFont="1" applyFill="1" applyBorder="1" applyAlignment="1">
      <alignment horizontal="right" vertical="center"/>
    </xf>
    <xf numFmtId="3" fontId="33" fillId="23" borderId="140" xfId="4" applyNumberFormat="1" applyFont="1" applyFill="1" applyBorder="1" applyAlignment="1">
      <alignment horizontal="right" vertical="center"/>
    </xf>
    <xf numFmtId="0" fontId="58" fillId="8" borderId="140" xfId="4" applyFont="1" applyFill="1" applyBorder="1" applyAlignment="1">
      <alignment vertical="top"/>
    </xf>
    <xf numFmtId="0" fontId="33" fillId="8" borderId="147" xfId="4" applyFont="1" applyFill="1" applyBorder="1" applyAlignment="1">
      <alignment vertical="top" wrapText="1"/>
    </xf>
    <xf numFmtId="3" fontId="57" fillId="8" borderId="140" xfId="4" applyNumberFormat="1" applyFont="1" applyFill="1" applyBorder="1" applyAlignment="1">
      <alignment horizontal="right" vertical="center"/>
    </xf>
    <xf numFmtId="3" fontId="57" fillId="23" borderId="140" xfId="4" applyNumberFormat="1" applyFont="1" applyFill="1" applyBorder="1" applyAlignment="1">
      <alignment horizontal="right" vertical="center"/>
    </xf>
    <xf numFmtId="3" fontId="33" fillId="8" borderId="149" xfId="4" applyNumberFormat="1" applyFont="1" applyFill="1" applyBorder="1" applyAlignment="1">
      <alignment vertical="top" wrapText="1"/>
    </xf>
    <xf numFmtId="3" fontId="61" fillId="8" borderId="140" xfId="6" applyNumberFormat="1" applyFont="1" applyFill="1" applyBorder="1" applyAlignment="1">
      <alignment vertical="center"/>
    </xf>
    <xf numFmtId="0" fontId="54" fillId="6" borderId="149" xfId="4" applyFont="1" applyFill="1" applyBorder="1" applyAlignment="1">
      <alignment horizontal="left" vertical="center"/>
    </xf>
    <xf numFmtId="3" fontId="58" fillId="8" borderId="149" xfId="4" applyNumberFormat="1" applyFont="1" applyFill="1" applyBorder="1" applyAlignment="1">
      <alignment vertical="top" wrapText="1"/>
    </xf>
    <xf numFmtId="3" fontId="56" fillId="8" borderId="140" xfId="4" applyNumberFormat="1" applyFont="1" applyFill="1" applyBorder="1" applyAlignment="1">
      <alignment vertical="top" wrapText="1"/>
    </xf>
    <xf numFmtId="3" fontId="62" fillId="8" borderId="140" xfId="6" applyNumberFormat="1" applyFont="1" applyFill="1" applyBorder="1" applyAlignment="1">
      <alignment vertical="center"/>
    </xf>
    <xf numFmtId="0" fontId="33" fillId="8" borderId="149" xfId="4" applyFont="1" applyFill="1" applyBorder="1" applyAlignment="1">
      <alignment vertical="top" wrapText="1"/>
    </xf>
    <xf numFmtId="0" fontId="33" fillId="8" borderId="140" xfId="4" applyFont="1" applyFill="1" applyBorder="1" applyAlignment="1">
      <alignment horizontal="left" vertical="center"/>
    </xf>
    <xf numFmtId="0" fontId="56" fillId="8" borderId="149" xfId="4" applyFont="1" applyFill="1" applyBorder="1" applyAlignment="1">
      <alignment vertical="center"/>
    </xf>
    <xf numFmtId="0" fontId="56" fillId="8" borderId="140" xfId="4" applyFont="1" applyFill="1" applyBorder="1" applyAlignment="1">
      <alignment vertical="center"/>
    </xf>
    <xf numFmtId="0" fontId="47" fillId="8" borderId="118" xfId="4" applyFont="1" applyFill="1" applyBorder="1" applyAlignment="1">
      <alignment horizontal="center" vertical="center"/>
    </xf>
    <xf numFmtId="3" fontId="111" fillId="8" borderId="141" xfId="6" applyNumberFormat="1" applyFont="1" applyFill="1" applyBorder="1" applyAlignment="1">
      <alignment vertical="center"/>
    </xf>
    <xf numFmtId="3" fontId="62" fillId="8" borderId="141" xfId="6" applyNumberFormat="1" applyFont="1" applyFill="1" applyBorder="1" applyAlignment="1">
      <alignment vertical="center"/>
    </xf>
    <xf numFmtId="0" fontId="47" fillId="8" borderId="143" xfId="4" applyFont="1" applyFill="1" applyBorder="1" applyAlignment="1">
      <alignment horizontal="center" vertical="center"/>
    </xf>
    <xf numFmtId="0" fontId="33" fillId="8" borderId="134" xfId="4" applyFont="1" applyFill="1" applyBorder="1" applyAlignment="1">
      <alignment vertical="center"/>
    </xf>
    <xf numFmtId="3" fontId="61" fillId="8" borderId="134" xfId="6" applyNumberFormat="1" applyFont="1" applyFill="1" applyBorder="1" applyAlignment="1">
      <alignment vertical="center"/>
    </xf>
    <xf numFmtId="3" fontId="47" fillId="8" borderId="136" xfId="4" applyNumberFormat="1" applyFont="1" applyFill="1" applyBorder="1" applyAlignment="1">
      <alignment horizontal="center" vertical="top"/>
    </xf>
    <xf numFmtId="0" fontId="53" fillId="6" borderId="140" xfId="4" applyFont="1" applyFill="1" applyBorder="1" applyAlignment="1">
      <alignment horizontal="left" vertical="center"/>
    </xf>
    <xf numFmtId="3" fontId="53" fillId="6" borderId="140" xfId="4" applyNumberFormat="1" applyFont="1" applyFill="1" applyBorder="1" applyAlignment="1"/>
    <xf numFmtId="3" fontId="54" fillId="22" borderId="140" xfId="4" applyNumberFormat="1" applyFont="1" applyFill="1" applyBorder="1" applyAlignment="1">
      <alignment horizontal="right" vertical="center"/>
    </xf>
    <xf numFmtId="0" fontId="58" fillId="2" borderId="140" xfId="4" applyFont="1" applyFill="1" applyBorder="1" applyAlignment="1">
      <alignment vertical="top"/>
    </xf>
    <xf numFmtId="3" fontId="62" fillId="0" borderId="140" xfId="6" applyNumberFormat="1" applyFont="1" applyFill="1" applyBorder="1" applyAlignment="1">
      <alignment vertical="center"/>
    </xf>
    <xf numFmtId="3" fontId="56" fillId="0" borderId="140" xfId="4" applyNumberFormat="1" applyFont="1" applyFill="1" applyBorder="1" applyAlignment="1">
      <alignment horizontal="right" vertical="center"/>
    </xf>
    <xf numFmtId="3" fontId="58" fillId="0" borderId="140" xfId="4" applyNumberFormat="1" applyFont="1" applyFill="1" applyBorder="1" applyAlignment="1">
      <alignment horizontal="right" vertical="center"/>
    </xf>
    <xf numFmtId="3" fontId="56" fillId="23" borderId="140" xfId="4" applyNumberFormat="1" applyFont="1" applyFill="1" applyBorder="1" applyAlignment="1">
      <alignment horizontal="right" vertical="center"/>
    </xf>
    <xf numFmtId="0" fontId="33" fillId="0" borderId="140" xfId="4" applyFont="1" applyFill="1" applyBorder="1" applyAlignment="1">
      <alignment vertical="top"/>
    </xf>
    <xf numFmtId="3" fontId="61" fillId="0" borderId="140" xfId="6" applyNumberFormat="1" applyFont="1" applyFill="1" applyBorder="1" applyAlignment="1">
      <alignment vertical="center"/>
    </xf>
    <xf numFmtId="3" fontId="33" fillId="0" borderId="140" xfId="4" applyNumberFormat="1" applyFont="1" applyFill="1" applyBorder="1" applyAlignment="1">
      <alignment horizontal="right" vertical="center"/>
    </xf>
    <xf numFmtId="3" fontId="33" fillId="25" borderId="140" xfId="4" applyNumberFormat="1" applyFont="1" applyFill="1" applyBorder="1" applyAlignment="1">
      <alignment horizontal="right" vertical="center"/>
    </xf>
    <xf numFmtId="3" fontId="33" fillId="25" borderId="140" xfId="4" applyNumberFormat="1" applyFont="1" applyFill="1" applyBorder="1" applyAlignment="1">
      <alignment horizontal="center" vertical="center"/>
    </xf>
    <xf numFmtId="3" fontId="62" fillId="23" borderId="140" xfId="6" applyNumberFormat="1" applyFont="1" applyFill="1" applyBorder="1" applyAlignment="1">
      <alignment vertical="center"/>
    </xf>
    <xf numFmtId="0" fontId="33" fillId="0" borderId="140" xfId="4" applyFont="1" applyFill="1" applyBorder="1" applyAlignment="1">
      <alignment vertical="center"/>
    </xf>
    <xf numFmtId="0" fontId="53" fillId="8" borderId="140" xfId="4" applyFont="1" applyFill="1" applyBorder="1" applyAlignment="1">
      <alignment vertical="center" wrapText="1"/>
    </xf>
    <xf numFmtId="0" fontId="53" fillId="8" borderId="140" xfId="4" applyFont="1" applyFill="1" applyBorder="1" applyAlignment="1">
      <alignment horizontal="center" vertical="center" wrapText="1"/>
    </xf>
    <xf numFmtId="3" fontId="53" fillId="8" borderId="140" xfId="4" applyNumberFormat="1" applyFont="1" applyFill="1" applyBorder="1" applyAlignment="1">
      <alignment horizontal="right" vertical="center"/>
    </xf>
    <xf numFmtId="3" fontId="54" fillId="6" borderId="140" xfId="4" applyNumberFormat="1" applyFont="1" applyFill="1" applyBorder="1" applyAlignment="1">
      <alignment horizontal="right" vertical="center"/>
    </xf>
    <xf numFmtId="3" fontId="58" fillId="2" borderId="140" xfId="4" applyNumberFormat="1" applyFont="1" applyFill="1" applyBorder="1" applyAlignment="1">
      <alignment vertical="top" wrapText="1"/>
    </xf>
    <xf numFmtId="3" fontId="60" fillId="0" borderId="140" xfId="4" applyNumberFormat="1" applyFont="1" applyFill="1" applyBorder="1" applyAlignment="1">
      <alignment horizontal="right" vertical="center"/>
    </xf>
    <xf numFmtId="0" fontId="57" fillId="0" borderId="140" xfId="4" applyFont="1" applyFill="1" applyBorder="1" applyAlignment="1">
      <alignment vertical="top"/>
    </xf>
    <xf numFmtId="3" fontId="57" fillId="0" borderId="140" xfId="4" applyNumberFormat="1" applyFont="1" applyFill="1" applyBorder="1" applyAlignment="1">
      <alignment horizontal="right" vertical="center"/>
    </xf>
    <xf numFmtId="3" fontId="57" fillId="25" borderId="140" xfId="4" applyNumberFormat="1" applyFont="1" applyFill="1" applyBorder="1" applyAlignment="1">
      <alignment horizontal="right" vertical="center"/>
    </xf>
    <xf numFmtId="3" fontId="56" fillId="25" borderId="140" xfId="4" applyNumberFormat="1" applyFont="1" applyFill="1" applyBorder="1" applyAlignment="1">
      <alignment horizontal="right" vertical="center"/>
    </xf>
    <xf numFmtId="3" fontId="62" fillId="25" borderId="140" xfId="6" applyNumberFormat="1" applyFont="1" applyFill="1" applyBorder="1" applyAlignment="1">
      <alignment vertical="center"/>
    </xf>
    <xf numFmtId="0" fontId="58" fillId="2" borderId="140" xfId="4" applyFont="1" applyFill="1" applyBorder="1" applyAlignment="1">
      <alignment vertical="center"/>
    </xf>
    <xf numFmtId="0" fontId="0" fillId="0" borderId="140" xfId="0" applyFont="1" applyBorder="1"/>
    <xf numFmtId="0" fontId="61" fillId="0" borderId="140" xfId="0" applyFont="1" applyBorder="1"/>
    <xf numFmtId="3" fontId="60" fillId="23" borderId="140" xfId="0" applyNumberFormat="1" applyFont="1" applyFill="1" applyBorder="1" applyAlignment="1">
      <alignment vertical="center"/>
    </xf>
    <xf numFmtId="3" fontId="60" fillId="0" borderId="140" xfId="0" applyNumberFormat="1" applyFont="1" applyFill="1" applyBorder="1" applyAlignment="1">
      <alignment horizontal="right"/>
    </xf>
    <xf numFmtId="3" fontId="60" fillId="0" borderId="140" xfId="0" applyNumberFormat="1" applyFont="1" applyFill="1" applyBorder="1" applyAlignment="1">
      <alignment horizontal="right" vertical="center"/>
    </xf>
    <xf numFmtId="3" fontId="53" fillId="6" borderId="140" xfId="4" applyNumberFormat="1" applyFont="1" applyFill="1" applyBorder="1" applyAlignment="1">
      <alignment vertical="center"/>
    </xf>
    <xf numFmtId="0" fontId="54" fillId="0" borderId="0" xfId="0" applyFont="1" applyBorder="1" applyAlignment="1">
      <alignment vertical="top"/>
    </xf>
    <xf numFmtId="3" fontId="50" fillId="0" borderId="0" xfId="0" applyNumberFormat="1" applyFont="1" applyBorder="1" applyAlignment="1">
      <alignment vertical="top"/>
    </xf>
    <xf numFmtId="0" fontId="91" fillId="0" borderId="0" xfId="0" applyFont="1" applyFill="1" applyBorder="1" applyAlignment="1">
      <alignment vertical="top"/>
    </xf>
    <xf numFmtId="0" fontId="91" fillId="30" borderId="0" xfId="0" applyFont="1" applyFill="1" applyBorder="1" applyAlignment="1">
      <alignment vertical="top"/>
    </xf>
    <xf numFmtId="0" fontId="50" fillId="0" borderId="0" xfId="0" applyFont="1" applyBorder="1" applyAlignment="1">
      <alignment horizontal="center" vertical="top" wrapText="1"/>
    </xf>
    <xf numFmtId="3" fontId="58" fillId="0" borderId="142" xfId="4" applyNumberFormat="1" applyFont="1" applyFill="1" applyBorder="1" applyAlignment="1">
      <alignment horizontal="right" vertical="center"/>
    </xf>
    <xf numFmtId="3" fontId="58" fillId="25" borderId="140" xfId="4" applyNumberFormat="1" applyFont="1" applyFill="1" applyBorder="1" applyAlignment="1">
      <alignment horizontal="right" vertical="center"/>
    </xf>
    <xf numFmtId="3" fontId="33" fillId="0" borderId="151" xfId="4" applyNumberFormat="1" applyFont="1" applyFill="1" applyBorder="1" applyAlignment="1">
      <alignment horizontal="right" vertical="center"/>
    </xf>
    <xf numFmtId="3" fontId="54" fillId="22" borderId="140" xfId="0" applyNumberFormat="1" applyFont="1" applyFill="1" applyBorder="1" applyAlignment="1">
      <alignment vertical="center"/>
    </xf>
    <xf numFmtId="0" fontId="54" fillId="6" borderId="131" xfId="4" applyFont="1" applyFill="1" applyBorder="1" applyAlignment="1">
      <alignment horizontal="left" vertical="center"/>
    </xf>
    <xf numFmtId="0" fontId="50" fillId="0" borderId="67" xfId="0" applyFont="1" applyBorder="1" applyAlignment="1">
      <alignment vertical="top"/>
    </xf>
    <xf numFmtId="0" fontId="0" fillId="0" borderId="68" xfId="0" applyFont="1" applyBorder="1" applyAlignment="1">
      <alignment horizontal="center" vertical="center"/>
    </xf>
    <xf numFmtId="0" fontId="60" fillId="0" borderId="24" xfId="4" applyFont="1" applyFill="1" applyBorder="1" applyAlignment="1">
      <alignment vertical="center"/>
    </xf>
    <xf numFmtId="0" fontId="52" fillId="0" borderId="24" xfId="0" applyFont="1" applyBorder="1" applyAlignment="1">
      <alignment horizontal="center" vertical="center" wrapText="1"/>
    </xf>
    <xf numFmtId="3" fontId="60" fillId="0" borderId="24" xfId="0" applyNumberFormat="1" applyFont="1" applyFill="1" applyBorder="1" applyAlignment="1">
      <alignment vertical="top"/>
    </xf>
    <xf numFmtId="3" fontId="60" fillId="0" borderId="24" xfId="0" applyNumberFormat="1" applyFont="1" applyFill="1" applyBorder="1" applyAlignment="1">
      <alignment horizontal="right" vertical="center"/>
    </xf>
    <xf numFmtId="3" fontId="60" fillId="58" borderId="24" xfId="0" applyNumberFormat="1" applyFont="1" applyFill="1" applyBorder="1" applyAlignment="1">
      <alignment horizontal="right" vertical="center"/>
    </xf>
    <xf numFmtId="3" fontId="60" fillId="60" borderId="24" xfId="0" applyNumberFormat="1" applyFont="1" applyFill="1" applyBorder="1" applyAlignment="1">
      <alignment horizontal="right" vertical="center"/>
    </xf>
    <xf numFmtId="3" fontId="54" fillId="22" borderId="24" xfId="0" applyNumberFormat="1" applyFont="1" applyFill="1" applyBorder="1" applyAlignment="1">
      <alignment horizontal="center" vertical="center"/>
    </xf>
    <xf numFmtId="0" fontId="52" fillId="0" borderId="69" xfId="0" applyFont="1" applyBorder="1" applyAlignment="1">
      <alignment horizontal="center" wrapText="1"/>
    </xf>
    <xf numFmtId="0" fontId="50" fillId="0" borderId="0" xfId="0" applyFont="1" applyBorder="1" applyAlignment="1">
      <alignment horizontal="center" vertical="top"/>
    </xf>
    <xf numFmtId="0" fontId="91" fillId="2" borderId="0" xfId="0" applyFont="1" applyFill="1" applyBorder="1" applyAlignment="1">
      <alignment vertical="top"/>
    </xf>
    <xf numFmtId="0" fontId="91" fillId="2" borderId="0" xfId="0" applyFont="1" applyFill="1" applyBorder="1" applyAlignment="1"/>
    <xf numFmtId="3" fontId="91" fillId="2" borderId="0" xfId="0" applyNumberFormat="1" applyFont="1" applyFill="1" applyBorder="1" applyAlignment="1">
      <alignment horizontal="left" vertical="top"/>
    </xf>
    <xf numFmtId="0" fontId="72" fillId="2" borderId="0" xfId="0" applyFont="1" applyFill="1" applyBorder="1" applyAlignment="1"/>
    <xf numFmtId="3" fontId="91" fillId="2" borderId="0" xfId="0" applyNumberFormat="1" applyFont="1" applyFill="1" applyBorder="1" applyAlignment="1">
      <alignment vertical="top"/>
    </xf>
    <xf numFmtId="0" fontId="72" fillId="2" borderId="24" xfId="0" applyFont="1" applyFill="1" applyBorder="1" applyAlignment="1"/>
    <xf numFmtId="0" fontId="91" fillId="2" borderId="24" xfId="0" applyFont="1" applyFill="1" applyBorder="1" applyAlignment="1"/>
    <xf numFmtId="0" fontId="49" fillId="2" borderId="1" xfId="0" applyFont="1" applyFill="1" applyBorder="1" applyAlignment="1">
      <alignment horizontal="center" vertical="top"/>
    </xf>
    <xf numFmtId="0" fontId="49" fillId="2" borderId="26" xfId="0" applyFont="1" applyFill="1" applyBorder="1" applyAlignment="1">
      <alignment horizontal="center" vertical="top"/>
    </xf>
    <xf numFmtId="0" fontId="50" fillId="0" borderId="87" xfId="0" applyFont="1" applyBorder="1" applyAlignment="1">
      <alignment horizontal="center" vertical="top"/>
    </xf>
    <xf numFmtId="0" fontId="50" fillId="0" borderId="79" xfId="0" applyFont="1" applyBorder="1" applyAlignment="1">
      <alignment horizontal="center" vertical="top"/>
    </xf>
    <xf numFmtId="0" fontId="50" fillId="0" borderId="15" xfId="0" quotePrefix="1" applyFont="1" applyBorder="1" applyAlignment="1">
      <alignment horizontal="center" vertical="top"/>
    </xf>
    <xf numFmtId="0" fontId="50" fillId="0" borderId="70" xfId="0" quotePrefix="1" applyFont="1" applyBorder="1" applyAlignment="1">
      <alignment horizontal="center" vertical="top"/>
    </xf>
    <xf numFmtId="0" fontId="50" fillId="2" borderId="70" xfId="0" applyFont="1" applyFill="1" applyBorder="1" applyAlignment="1">
      <alignment horizontal="center" vertical="top"/>
    </xf>
    <xf numFmtId="0" fontId="50" fillId="2" borderId="70" xfId="0" quotePrefix="1" applyFont="1" applyFill="1" applyBorder="1" applyAlignment="1">
      <alignment horizontal="center" vertical="top"/>
    </xf>
    <xf numFmtId="0" fontId="50" fillId="2" borderId="79" xfId="0" quotePrefix="1" applyFont="1" applyFill="1" applyBorder="1" applyAlignment="1">
      <alignment horizontal="center" vertical="top"/>
    </xf>
    <xf numFmtId="0" fontId="50" fillId="26" borderId="79" xfId="0" quotePrefix="1" applyFont="1" applyFill="1" applyBorder="1" applyAlignment="1">
      <alignment horizontal="center" vertical="top"/>
    </xf>
    <xf numFmtId="0" fontId="50" fillId="2" borderId="44" xfId="0" quotePrefix="1" applyFont="1" applyFill="1" applyBorder="1" applyAlignment="1">
      <alignment horizontal="center" vertical="top"/>
    </xf>
    <xf numFmtId="0" fontId="50" fillId="8" borderId="43" xfId="0" quotePrefix="1" applyFont="1" applyFill="1" applyBorder="1" applyAlignment="1">
      <alignment horizontal="center" vertical="top"/>
    </xf>
    <xf numFmtId="3" fontId="60" fillId="23" borderId="140" xfId="0" applyNumberFormat="1" applyFont="1" applyFill="1" applyBorder="1" applyAlignment="1">
      <alignment vertical="top"/>
    </xf>
    <xf numFmtId="3" fontId="60" fillId="23" borderId="140" xfId="0" applyNumberFormat="1" applyFont="1" applyFill="1" applyBorder="1" applyAlignment="1">
      <alignment horizontal="center" vertical="top"/>
    </xf>
    <xf numFmtId="3" fontId="54" fillId="6" borderId="140" xfId="0" applyNumberFormat="1" applyFont="1" applyFill="1" applyBorder="1" applyAlignment="1">
      <alignment vertical="top"/>
    </xf>
    <xf numFmtId="3" fontId="60" fillId="8" borderId="35" xfId="0" applyNumberFormat="1" applyFont="1" applyFill="1" applyBorder="1" applyAlignment="1">
      <alignment vertical="top"/>
    </xf>
    <xf numFmtId="3" fontId="60" fillId="23" borderId="10" xfId="0" applyNumberFormat="1" applyFont="1" applyFill="1" applyBorder="1" applyAlignment="1">
      <alignment vertical="top"/>
    </xf>
    <xf numFmtId="3" fontId="54" fillId="22" borderId="140" xfId="0" applyNumberFormat="1" applyFont="1" applyFill="1" applyBorder="1" applyAlignment="1">
      <alignment vertical="top"/>
    </xf>
    <xf numFmtId="3" fontId="56" fillId="2" borderId="140" xfId="4" applyNumberFormat="1" applyFont="1" applyFill="1" applyBorder="1" applyAlignment="1">
      <alignment vertical="top" wrapText="1"/>
    </xf>
    <xf numFmtId="3" fontId="54" fillId="25" borderId="140" xfId="0" applyNumberFormat="1" applyFont="1" applyFill="1" applyBorder="1" applyAlignment="1">
      <alignment vertical="top"/>
    </xf>
    <xf numFmtId="3" fontId="60" fillId="0" borderId="134" xfId="0" applyNumberFormat="1" applyFont="1" applyFill="1" applyBorder="1" applyAlignment="1">
      <alignment vertical="top"/>
    </xf>
    <xf numFmtId="0" fontId="56" fillId="2" borderId="35" xfId="4" applyFont="1" applyFill="1" applyBorder="1" applyAlignment="1">
      <alignment vertical="top"/>
    </xf>
    <xf numFmtId="3" fontId="56" fillId="0" borderId="35" xfId="0" applyNumberFormat="1" applyFont="1" applyFill="1" applyBorder="1" applyAlignment="1">
      <alignment vertical="top"/>
    </xf>
    <xf numFmtId="0" fontId="60" fillId="0" borderId="134" xfId="4" applyFont="1" applyFill="1" applyBorder="1" applyAlignment="1">
      <alignment vertical="center"/>
    </xf>
    <xf numFmtId="0" fontId="49" fillId="0" borderId="0" xfId="0" applyFont="1" applyFill="1" applyBorder="1" applyAlignment="1">
      <alignment vertical="top"/>
    </xf>
    <xf numFmtId="0" fontId="54" fillId="8" borderId="70" xfId="0" applyFont="1" applyFill="1" applyBorder="1" applyAlignment="1">
      <alignment vertical="center" wrapText="1"/>
    </xf>
    <xf numFmtId="0" fontId="54" fillId="8" borderId="70" xfId="0" applyFont="1" applyFill="1" applyBorder="1" applyAlignment="1">
      <alignment horizontal="center" vertical="center" wrapText="1"/>
    </xf>
    <xf numFmtId="0" fontId="60" fillId="6" borderId="140" xfId="0" applyFont="1" applyFill="1" applyBorder="1" applyAlignment="1">
      <alignment vertical="top"/>
    </xf>
    <xf numFmtId="3" fontId="60" fillId="2" borderId="140" xfId="0" applyNumberFormat="1" applyFont="1" applyFill="1" applyBorder="1" applyAlignment="1">
      <alignment vertical="top"/>
    </xf>
    <xf numFmtId="3" fontId="56" fillId="25" borderId="35" xfId="0" applyNumberFormat="1" applyFont="1" applyFill="1" applyBorder="1" applyAlignment="1">
      <alignment horizontal="center" vertical="top"/>
    </xf>
    <xf numFmtId="0" fontId="61" fillId="0" borderId="140" xfId="0" applyFont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3" fontId="56" fillId="0" borderId="140" xfId="4" applyNumberFormat="1" applyFont="1" applyFill="1" applyBorder="1" applyAlignment="1">
      <alignment vertical="center" wrapText="1"/>
    </xf>
    <xf numFmtId="3" fontId="49" fillId="0" borderId="0" xfId="0" applyNumberFormat="1" applyFont="1" applyFill="1" applyBorder="1" applyAlignment="1">
      <alignment vertical="center"/>
    </xf>
    <xf numFmtId="3" fontId="60" fillId="0" borderId="134" xfId="0" applyNumberFormat="1" applyFont="1" applyFill="1" applyBorder="1" applyAlignment="1">
      <alignment vertical="center"/>
    </xf>
    <xf numFmtId="0" fontId="60" fillId="8" borderId="70" xfId="0" applyFont="1" applyFill="1" applyBorder="1" applyAlignment="1">
      <alignment vertical="top"/>
    </xf>
    <xf numFmtId="3" fontId="60" fillId="8" borderId="70" xfId="0" applyNumberFormat="1" applyFont="1" applyFill="1" applyBorder="1" applyAlignment="1">
      <alignment vertical="top"/>
    </xf>
    <xf numFmtId="3" fontId="60" fillId="8" borderId="2" xfId="0" applyNumberFormat="1" applyFont="1" applyFill="1" applyBorder="1" applyAlignment="1">
      <alignment vertical="top"/>
    </xf>
    <xf numFmtId="3" fontId="54" fillId="22" borderId="2" xfId="0" applyNumberFormat="1" applyFont="1" applyFill="1" applyBorder="1" applyAlignment="1">
      <alignment vertical="top"/>
    </xf>
    <xf numFmtId="0" fontId="61" fillId="0" borderId="13" xfId="0" applyFont="1" applyBorder="1" applyAlignment="1">
      <alignment vertical="center"/>
    </xf>
    <xf numFmtId="3" fontId="60" fillId="23" borderId="35" xfId="0" applyNumberFormat="1" applyFont="1" applyFill="1" applyBorder="1" applyAlignment="1">
      <alignment horizontal="center" vertical="top"/>
    </xf>
    <xf numFmtId="3" fontId="56" fillId="2" borderId="140" xfId="4" applyNumberFormat="1" applyFont="1" applyFill="1" applyBorder="1" applyAlignment="1">
      <alignment vertical="center" wrapText="1"/>
    </xf>
    <xf numFmtId="3" fontId="60" fillId="25" borderId="140" xfId="0" applyNumberFormat="1" applyFont="1" applyFill="1" applyBorder="1" applyAlignment="1">
      <alignment horizontal="center" vertical="top"/>
    </xf>
    <xf numFmtId="3" fontId="54" fillId="0" borderId="140" xfId="0" applyNumberFormat="1" applyFont="1" applyFill="1" applyBorder="1" applyAlignment="1">
      <alignment vertical="top"/>
    </xf>
    <xf numFmtId="3" fontId="49" fillId="0" borderId="0" xfId="0" applyNumberFormat="1" applyFont="1" applyFill="1" applyBorder="1" applyAlignment="1">
      <alignment vertical="top"/>
    </xf>
    <xf numFmtId="0" fontId="61" fillId="0" borderId="134" xfId="0" applyFont="1" applyBorder="1" applyAlignment="1">
      <alignment vertical="center"/>
    </xf>
    <xf numFmtId="3" fontId="60" fillId="23" borderId="2" xfId="0" applyNumberFormat="1" applyFont="1" applyFill="1" applyBorder="1" applyAlignment="1">
      <alignment vertical="top"/>
    </xf>
    <xf numFmtId="3" fontId="56" fillId="25" borderId="140" xfId="0" applyNumberFormat="1" applyFont="1" applyFill="1" applyBorder="1" applyAlignment="1">
      <alignment vertical="top"/>
    </xf>
    <xf numFmtId="0" fontId="60" fillId="0" borderId="140" xfId="0" applyFont="1" applyFill="1" applyBorder="1" applyAlignment="1">
      <alignment vertical="top" wrapText="1"/>
    </xf>
    <xf numFmtId="3" fontId="54" fillId="0" borderId="35" xfId="0" applyNumberFormat="1" applyFont="1" applyFill="1" applyBorder="1" applyAlignment="1">
      <alignment vertical="top"/>
    </xf>
    <xf numFmtId="0" fontId="60" fillId="2" borderId="140" xfId="4" applyFont="1" applyFill="1" applyBorder="1" applyAlignment="1">
      <alignment vertical="center"/>
    </xf>
    <xf numFmtId="0" fontId="52" fillId="6" borderId="140" xfId="0" applyFont="1" applyFill="1" applyBorder="1" applyAlignment="1">
      <alignment horizontal="center" vertical="center"/>
    </xf>
    <xf numFmtId="0" fontId="56" fillId="2" borderId="35" xfId="4" applyFont="1" applyFill="1" applyBorder="1" applyAlignment="1">
      <alignment vertical="center"/>
    </xf>
    <xf numFmtId="0" fontId="60" fillId="2" borderId="134" xfId="4" applyFont="1" applyFill="1" applyBorder="1" applyAlignment="1">
      <alignment vertical="center"/>
    </xf>
    <xf numFmtId="0" fontId="60" fillId="0" borderId="140" xfId="0" applyFont="1" applyFill="1" applyBorder="1" applyAlignment="1">
      <alignment horizontal="left" vertical="center" wrapText="1"/>
    </xf>
    <xf numFmtId="0" fontId="52" fillId="0" borderId="13" xfId="0" applyFont="1" applyBorder="1" applyAlignment="1">
      <alignment horizontal="center" vertical="center" wrapText="1"/>
    </xf>
    <xf numFmtId="3" fontId="60" fillId="2" borderId="140" xfId="0" applyNumberFormat="1" applyFont="1" applyFill="1" applyBorder="1" applyAlignment="1">
      <alignment horizontal="right" vertical="center"/>
    </xf>
    <xf numFmtId="0" fontId="56" fillId="0" borderId="140" xfId="0" applyFont="1" applyFill="1" applyBorder="1" applyAlignment="1">
      <alignment vertical="top" wrapText="1"/>
    </xf>
    <xf numFmtId="3" fontId="54" fillId="2" borderId="140" xfId="0" applyNumberFormat="1" applyFont="1" applyFill="1" applyBorder="1" applyAlignment="1">
      <alignment vertical="top"/>
    </xf>
    <xf numFmtId="3" fontId="49" fillId="0" borderId="0" xfId="0" applyNumberFormat="1" applyFont="1" applyFill="1" applyBorder="1" applyAlignment="1">
      <alignment horizontal="right" vertical="top"/>
    </xf>
    <xf numFmtId="3" fontId="50" fillId="0" borderId="0" xfId="0" applyNumberFormat="1" applyFont="1" applyFill="1" applyBorder="1" applyAlignment="1"/>
    <xf numFmtId="0" fontId="50" fillId="30" borderId="0" xfId="0" applyFont="1" applyFill="1" applyBorder="1" applyAlignment="1">
      <alignment vertical="top"/>
    </xf>
    <xf numFmtId="0" fontId="49" fillId="0" borderId="1" xfId="0" applyFont="1" applyBorder="1" applyAlignment="1">
      <alignment vertical="top"/>
    </xf>
    <xf numFmtId="0" fontId="50" fillId="0" borderId="3" xfId="0" applyFont="1" applyBorder="1" applyAlignment="1">
      <alignment vertical="top"/>
    </xf>
    <xf numFmtId="0" fontId="50" fillId="0" borderId="66" xfId="0" applyFont="1" applyBorder="1" applyAlignment="1">
      <alignment vertical="top"/>
    </xf>
    <xf numFmtId="0" fontId="50" fillId="0" borderId="66" xfId="0" applyFont="1" applyBorder="1" applyAlignment="1">
      <alignment horizontal="center" vertical="top" wrapText="1"/>
    </xf>
    <xf numFmtId="0" fontId="49" fillId="0" borderId="26" xfId="0" applyFont="1" applyBorder="1" applyAlignment="1">
      <alignment vertical="top"/>
    </xf>
    <xf numFmtId="0" fontId="50" fillId="0" borderId="67" xfId="0" applyFont="1" applyBorder="1" applyAlignment="1">
      <alignment horizontal="center" vertical="top" wrapText="1"/>
    </xf>
    <xf numFmtId="0" fontId="49" fillId="0" borderId="68" xfId="0" applyFont="1" applyBorder="1" applyAlignment="1">
      <alignment vertical="top"/>
    </xf>
    <xf numFmtId="0" fontId="50" fillId="0" borderId="24" xfId="0" applyFont="1" applyBorder="1" applyAlignment="1">
      <alignment vertical="top"/>
    </xf>
    <xf numFmtId="0" fontId="50" fillId="0" borderId="69" xfId="0" applyFont="1" applyBorder="1" applyAlignment="1">
      <alignment vertical="top"/>
    </xf>
    <xf numFmtId="0" fontId="50" fillId="0" borderId="69" xfId="0" applyFont="1" applyBorder="1" applyAlignment="1">
      <alignment horizontal="center" vertical="top" wrapText="1"/>
    </xf>
    <xf numFmtId="3" fontId="54" fillId="8" borderId="17" xfId="4" applyNumberFormat="1" applyFont="1" applyFill="1" applyBorder="1" applyAlignment="1"/>
    <xf numFmtId="0" fontId="54" fillId="6" borderId="145" xfId="4" applyFont="1" applyFill="1" applyBorder="1" applyAlignment="1">
      <alignment horizontal="left" vertical="center"/>
    </xf>
    <xf numFmtId="3" fontId="54" fillId="6" borderId="142" xfId="4" applyNumberFormat="1" applyFont="1" applyFill="1" applyBorder="1" applyAlignment="1"/>
    <xf numFmtId="3" fontId="54" fillId="6" borderId="140" xfId="4" applyNumberFormat="1" applyFont="1" applyFill="1" applyBorder="1" applyAlignment="1"/>
    <xf numFmtId="3" fontId="54" fillId="6" borderId="9" xfId="4" applyNumberFormat="1" applyFont="1" applyFill="1" applyBorder="1" applyAlignment="1"/>
    <xf numFmtId="43" fontId="54" fillId="6" borderId="9" xfId="1" applyFont="1" applyFill="1" applyBorder="1" applyAlignment="1"/>
    <xf numFmtId="3" fontId="56" fillId="2" borderId="145" xfId="4" applyNumberFormat="1" applyFont="1" applyFill="1" applyBorder="1" applyAlignment="1">
      <alignment vertical="top" wrapText="1"/>
    </xf>
    <xf numFmtId="3" fontId="56" fillId="0" borderId="27" xfId="4" applyNumberFormat="1" applyFont="1" applyFill="1" applyBorder="1" applyAlignment="1"/>
    <xf numFmtId="43" fontId="56" fillId="0" borderId="27" xfId="1" applyFont="1" applyFill="1" applyBorder="1" applyAlignment="1"/>
    <xf numFmtId="3" fontId="56" fillId="25" borderId="142" xfId="4" applyNumberFormat="1" applyFont="1" applyFill="1" applyBorder="1" applyAlignment="1">
      <alignment horizontal="right" vertical="center"/>
    </xf>
    <xf numFmtId="0" fontId="33" fillId="0" borderId="145" xfId="4" applyFont="1" applyFill="1" applyBorder="1" applyAlignment="1">
      <alignment vertical="top"/>
    </xf>
    <xf numFmtId="3" fontId="60" fillId="0" borderId="139" xfId="4" applyNumberFormat="1" applyFont="1" applyFill="1" applyBorder="1" applyAlignment="1"/>
    <xf numFmtId="43" fontId="60" fillId="0" borderId="142" xfId="1" applyFont="1" applyFill="1" applyBorder="1" applyAlignment="1"/>
    <xf numFmtId="43" fontId="60" fillId="0" borderId="142" xfId="1" applyFont="1" applyFill="1" applyBorder="1" applyAlignment="1">
      <alignment horizontal="right" vertical="center"/>
    </xf>
    <xf numFmtId="3" fontId="60" fillId="25" borderId="142" xfId="4" applyNumberFormat="1" applyFont="1" applyFill="1" applyBorder="1" applyAlignment="1">
      <alignment horizontal="right" vertical="center"/>
    </xf>
    <xf numFmtId="3" fontId="33" fillId="0" borderId="139" xfId="4" applyNumberFormat="1" applyFont="1" applyFill="1" applyBorder="1" applyAlignment="1">
      <alignment horizontal="right" vertical="center"/>
    </xf>
    <xf numFmtId="3" fontId="60" fillId="0" borderId="141" xfId="4" applyNumberFormat="1" applyFont="1" applyFill="1" applyBorder="1" applyAlignment="1">
      <alignment horizontal="right" vertical="center"/>
    </xf>
    <xf numFmtId="3" fontId="33" fillId="0" borderId="141" xfId="4" applyNumberFormat="1" applyFont="1" applyFill="1" applyBorder="1" applyAlignment="1">
      <alignment horizontal="right" vertical="center"/>
    </xf>
    <xf numFmtId="43" fontId="60" fillId="0" borderId="139" xfId="1" applyFont="1" applyFill="1" applyBorder="1" applyAlignment="1">
      <alignment horizontal="right" vertical="center"/>
    </xf>
    <xf numFmtId="43" fontId="33" fillId="0" borderId="139" xfId="1" applyFont="1" applyFill="1" applyBorder="1" applyAlignment="1">
      <alignment horizontal="right" vertical="center"/>
    </xf>
    <xf numFmtId="3" fontId="60" fillId="0" borderId="139" xfId="4" applyNumberFormat="1" applyFont="1" applyFill="1" applyBorder="1" applyAlignment="1">
      <alignment horizontal="right" vertical="center"/>
    </xf>
    <xf numFmtId="0" fontId="56" fillId="2" borderId="145" xfId="4" applyFont="1" applyFill="1" applyBorder="1" applyAlignment="1">
      <alignment vertical="top"/>
    </xf>
    <xf numFmtId="3" fontId="62" fillId="0" borderId="142" xfId="6" applyNumberFormat="1" applyFont="1" applyFill="1" applyBorder="1" applyAlignment="1">
      <alignment vertical="center"/>
    </xf>
    <xf numFmtId="43" fontId="62" fillId="0" borderId="140" xfId="1" applyFont="1" applyFill="1" applyBorder="1" applyAlignment="1">
      <alignment vertical="center"/>
    </xf>
    <xf numFmtId="0" fontId="33" fillId="0" borderId="146" xfId="4" applyFont="1" applyFill="1" applyBorder="1" applyAlignment="1">
      <alignment vertical="top"/>
    </xf>
    <xf numFmtId="3" fontId="53" fillId="6" borderId="142" xfId="4" applyNumberFormat="1" applyFont="1" applyFill="1" applyBorder="1" applyAlignment="1"/>
    <xf numFmtId="3" fontId="53" fillId="26" borderId="113" xfId="4" applyNumberFormat="1" applyFont="1" applyFill="1" applyBorder="1" applyAlignment="1">
      <alignment horizontal="center" vertical="center"/>
    </xf>
    <xf numFmtId="0" fontId="33" fillId="2" borderId="21" xfId="4" applyFont="1" applyFill="1" applyBorder="1" applyAlignment="1">
      <alignment vertical="center"/>
    </xf>
    <xf numFmtId="3" fontId="60" fillId="0" borderId="139" xfId="4" applyNumberFormat="1" applyFont="1" applyFill="1" applyBorder="1" applyAlignment="1">
      <alignment vertical="center"/>
    </xf>
    <xf numFmtId="3" fontId="60" fillId="0" borderId="142" xfId="4" applyNumberFormat="1" applyFont="1" applyFill="1" applyBorder="1" applyAlignment="1">
      <alignment vertical="center"/>
    </xf>
    <xf numFmtId="3" fontId="61" fillId="0" borderId="9" xfId="6" applyNumberFormat="1" applyFont="1" applyFill="1" applyBorder="1" applyAlignment="1">
      <alignment vertical="center"/>
    </xf>
    <xf numFmtId="43" fontId="61" fillId="0" borderId="140" xfId="1" applyFont="1" applyFill="1" applyBorder="1" applyAlignment="1">
      <alignment vertical="center"/>
    </xf>
    <xf numFmtId="43" fontId="53" fillId="6" borderId="30" xfId="1" applyFont="1" applyFill="1" applyBorder="1" applyAlignment="1">
      <alignment horizontal="right" vertical="center"/>
    </xf>
    <xf numFmtId="3" fontId="56" fillId="0" borderId="47" xfId="0" applyNumberFormat="1" applyFont="1" applyFill="1" applyBorder="1" applyAlignment="1">
      <alignment horizontal="right" vertical="center"/>
    </xf>
    <xf numFmtId="3" fontId="56" fillId="0" borderId="72" xfId="0" applyNumberFormat="1" applyFont="1" applyFill="1" applyBorder="1" applyAlignment="1">
      <alignment horizontal="right" vertical="center"/>
    </xf>
    <xf numFmtId="0" fontId="33" fillId="0" borderId="94" xfId="4" applyFont="1" applyFill="1" applyBorder="1" applyAlignment="1">
      <alignment vertical="top"/>
    </xf>
    <xf numFmtId="3" fontId="60" fillId="2" borderId="99" xfId="4" applyNumberFormat="1" applyFont="1" applyFill="1" applyBorder="1" applyAlignment="1">
      <alignment vertical="top" wrapText="1"/>
    </xf>
    <xf numFmtId="3" fontId="23" fillId="17" borderId="10" xfId="0" applyNumberFormat="1" applyFont="1" applyFill="1" applyBorder="1"/>
    <xf numFmtId="0" fontId="23" fillId="0" borderId="113" xfId="0" applyFont="1" applyBorder="1" applyAlignment="1">
      <alignment horizontal="center" vertical="center"/>
    </xf>
    <xf numFmtId="3" fontId="19" fillId="11" borderId="149" xfId="0" applyNumberFormat="1" applyFont="1" applyFill="1" applyBorder="1"/>
    <xf numFmtId="3" fontId="19" fillId="11" borderId="152" xfId="0" applyNumberFormat="1" applyFont="1" applyFill="1" applyBorder="1"/>
    <xf numFmtId="3" fontId="35" fillId="18" borderId="78" xfId="0" applyNumberFormat="1" applyFont="1" applyFill="1" applyBorder="1" applyAlignment="1">
      <alignment vertical="top"/>
    </xf>
    <xf numFmtId="3" fontId="35" fillId="2" borderId="10" xfId="0" applyNumberFormat="1" applyFont="1" applyFill="1" applyBorder="1" applyAlignment="1">
      <alignment vertical="top"/>
    </xf>
    <xf numFmtId="3" fontId="19" fillId="11" borderId="149" xfId="0" applyNumberFormat="1" applyFont="1" applyFill="1" applyBorder="1" applyAlignment="1">
      <alignment vertical="center"/>
    </xf>
    <xf numFmtId="3" fontId="4" fillId="18" borderId="74" xfId="0" applyNumberFormat="1" applyFont="1" applyFill="1" applyBorder="1"/>
    <xf numFmtId="3" fontId="35" fillId="0" borderId="10" xfId="0" applyNumberFormat="1" applyFont="1" applyBorder="1"/>
    <xf numFmtId="3" fontId="4" fillId="0" borderId="74" xfId="0" applyNumberFormat="1" applyFont="1" applyBorder="1"/>
    <xf numFmtId="3" fontId="34" fillId="6" borderId="147" xfId="0" applyNumberFormat="1" applyFont="1" applyFill="1" applyBorder="1"/>
    <xf numFmtId="3" fontId="16" fillId="6" borderId="137" xfId="0" applyNumberFormat="1" applyFont="1" applyFill="1" applyBorder="1"/>
    <xf numFmtId="3" fontId="34" fillId="6" borderId="149" xfId="0" applyNumberFormat="1" applyFont="1" applyFill="1" applyBorder="1"/>
    <xf numFmtId="3" fontId="34" fillId="6" borderId="113" xfId="0" applyNumberFormat="1" applyFont="1" applyFill="1" applyBorder="1"/>
    <xf numFmtId="3" fontId="4" fillId="6" borderId="152" xfId="0" applyNumberFormat="1" applyFont="1" applyFill="1" applyBorder="1"/>
    <xf numFmtId="0" fontId="23" fillId="0" borderId="152" xfId="0" applyFont="1" applyBorder="1" applyAlignment="1">
      <alignment horizontal="center" vertical="center"/>
    </xf>
    <xf numFmtId="3" fontId="15" fillId="16" borderId="74" xfId="5" applyNumberFormat="1" applyFont="1" applyFill="1" applyBorder="1" applyAlignment="1">
      <alignment vertical="center"/>
    </xf>
    <xf numFmtId="3" fontId="4" fillId="8" borderId="149" xfId="0" applyNumberFormat="1" applyFont="1" applyFill="1" applyBorder="1"/>
    <xf numFmtId="3" fontId="4" fillId="8" borderId="113" xfId="0" applyNumberFormat="1" applyFont="1" applyFill="1" applyBorder="1"/>
    <xf numFmtId="3" fontId="4" fillId="8" borderId="152" xfId="0" applyNumberFormat="1" applyFont="1" applyFill="1" applyBorder="1"/>
    <xf numFmtId="3" fontId="36" fillId="17" borderId="10" xfId="0" applyNumberFormat="1" applyFont="1" applyFill="1" applyBorder="1"/>
    <xf numFmtId="3" fontId="36" fillId="8" borderId="10" xfId="0" applyNumberFormat="1" applyFont="1" applyFill="1" applyBorder="1"/>
    <xf numFmtId="3" fontId="14" fillId="8" borderId="10" xfId="0" applyNumberFormat="1" applyFont="1" applyFill="1" applyBorder="1"/>
    <xf numFmtId="3" fontId="4" fillId="8" borderId="149" xfId="0" applyNumberFormat="1" applyFont="1" applyFill="1" applyBorder="1" applyAlignment="1">
      <alignment vertical="center"/>
    </xf>
    <xf numFmtId="3" fontId="22" fillId="2" borderId="10" xfId="0" applyNumberFormat="1" applyFont="1" applyFill="1" applyBorder="1" applyAlignment="1">
      <alignment vertical="center" wrapText="1"/>
    </xf>
    <xf numFmtId="3" fontId="17" fillId="0" borderId="10" xfId="0" applyNumberFormat="1" applyFont="1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vertical="center" wrapText="1"/>
    </xf>
    <xf numFmtId="3" fontId="14" fillId="14" borderId="2" xfId="0" applyNumberFormat="1" applyFont="1" applyFill="1" applyBorder="1" applyAlignment="1">
      <alignment vertical="center" wrapText="1"/>
    </xf>
    <xf numFmtId="3" fontId="31" fillId="14" borderId="10" xfId="0" applyNumberFormat="1" applyFont="1" applyFill="1" applyBorder="1" applyAlignment="1">
      <alignment vertical="center" wrapText="1"/>
    </xf>
    <xf numFmtId="3" fontId="31" fillId="14" borderId="74" xfId="0" applyNumberFormat="1" applyFont="1" applyFill="1" applyBorder="1" applyAlignment="1">
      <alignment vertical="center" wrapText="1"/>
    </xf>
    <xf numFmtId="3" fontId="20" fillId="0" borderId="10" xfId="0" applyNumberFormat="1" applyFont="1" applyFill="1" applyBorder="1" applyAlignment="1">
      <alignment vertical="center" wrapText="1"/>
    </xf>
    <xf numFmtId="3" fontId="16" fillId="6" borderId="152" xfId="0" applyNumberFormat="1" applyFont="1" applyFill="1" applyBorder="1"/>
    <xf numFmtId="3" fontId="35" fillId="12" borderId="10" xfId="0" applyNumberFormat="1" applyFont="1" applyFill="1" applyBorder="1" applyAlignment="1">
      <alignment vertical="center"/>
    </xf>
    <xf numFmtId="3" fontId="115" fillId="8" borderId="10" xfId="0" applyNumberFormat="1" applyFont="1" applyFill="1" applyBorder="1"/>
    <xf numFmtId="3" fontId="35" fillId="12" borderId="10" xfId="0" applyNumberFormat="1" applyFont="1" applyFill="1" applyBorder="1"/>
    <xf numFmtId="0" fontId="23" fillId="0" borderId="139" xfId="0" applyFont="1" applyBorder="1" applyAlignment="1">
      <alignment horizontal="center" vertical="center"/>
    </xf>
    <xf numFmtId="3" fontId="34" fillId="6" borderId="142" xfId="0" applyNumberFormat="1" applyFont="1" applyFill="1" applyBorder="1"/>
    <xf numFmtId="3" fontId="70" fillId="6" borderId="151" xfId="0" applyNumberFormat="1" applyFont="1" applyFill="1" applyBorder="1"/>
    <xf numFmtId="3" fontId="34" fillId="6" borderId="139" xfId="0" applyNumberFormat="1" applyFont="1" applyFill="1" applyBorder="1"/>
    <xf numFmtId="3" fontId="4" fillId="6" borderId="151" xfId="0" applyNumberFormat="1" applyFont="1" applyFill="1" applyBorder="1"/>
    <xf numFmtId="3" fontId="4" fillId="8" borderId="142" xfId="0" applyNumberFormat="1" applyFont="1" applyFill="1" applyBorder="1"/>
    <xf numFmtId="3" fontId="4" fillId="8" borderId="139" xfId="0" applyNumberFormat="1" applyFont="1" applyFill="1" applyBorder="1"/>
    <xf numFmtId="3" fontId="4" fillId="8" borderId="151" xfId="0" applyNumberFormat="1" applyFont="1" applyFill="1" applyBorder="1"/>
    <xf numFmtId="3" fontId="4" fillId="8" borderId="142" xfId="0" applyNumberFormat="1" applyFont="1" applyFill="1" applyBorder="1" applyAlignment="1">
      <alignment vertical="center"/>
    </xf>
    <xf numFmtId="3" fontId="19" fillId="11" borderId="142" xfId="0" applyNumberFormat="1" applyFont="1" applyFill="1" applyBorder="1"/>
    <xf numFmtId="3" fontId="19" fillId="11" borderId="151" xfId="0" applyNumberFormat="1" applyFont="1" applyFill="1" applyBorder="1"/>
    <xf numFmtId="3" fontId="19" fillId="11" borderId="142" xfId="0" applyNumberFormat="1" applyFont="1" applyFill="1" applyBorder="1" applyAlignment="1">
      <alignment vertical="center"/>
    </xf>
    <xf numFmtId="3" fontId="34" fillId="6" borderId="138" xfId="0" applyNumberFormat="1" applyFont="1" applyFill="1" applyBorder="1"/>
    <xf numFmtId="3" fontId="34" fillId="6" borderId="148" xfId="0" applyNumberFormat="1" applyFont="1" applyFill="1" applyBorder="1"/>
    <xf numFmtId="3" fontId="35" fillId="12" borderId="11" xfId="0" applyNumberFormat="1" applyFont="1" applyFill="1" applyBorder="1"/>
    <xf numFmtId="3" fontId="35" fillId="12" borderId="21" xfId="0" applyNumberFormat="1" applyFont="1" applyFill="1" applyBorder="1"/>
    <xf numFmtId="0" fontId="23" fillId="0" borderId="148" xfId="0" applyFont="1" applyBorder="1" applyAlignment="1">
      <alignment horizontal="center" vertical="center"/>
    </xf>
    <xf numFmtId="3" fontId="4" fillId="8" borderId="138" xfId="0" applyNumberFormat="1" applyFont="1" applyFill="1" applyBorder="1"/>
    <xf numFmtId="3" fontId="4" fillId="8" borderId="148" xfId="0" applyNumberFormat="1" applyFont="1" applyFill="1" applyBorder="1"/>
    <xf numFmtId="3" fontId="4" fillId="8" borderId="138" xfId="0" applyNumberFormat="1" applyFont="1" applyFill="1" applyBorder="1" applyAlignment="1">
      <alignment vertical="center"/>
    </xf>
    <xf numFmtId="3" fontId="19" fillId="11" borderId="138" xfId="0" applyNumberFormat="1" applyFont="1" applyFill="1" applyBorder="1"/>
    <xf numFmtId="3" fontId="19" fillId="11" borderId="138" xfId="0" applyNumberFormat="1" applyFont="1" applyFill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3" fontId="4" fillId="8" borderId="136" xfId="0" applyNumberFormat="1" applyFont="1" applyFill="1" applyBorder="1"/>
    <xf numFmtId="3" fontId="35" fillId="12" borderId="46" xfId="0" applyNumberFormat="1" applyFont="1" applyFill="1" applyBorder="1"/>
    <xf numFmtId="0" fontId="23" fillId="0" borderId="134" xfId="0" applyFont="1" applyBorder="1" applyAlignment="1">
      <alignment horizontal="center"/>
    </xf>
    <xf numFmtId="3" fontId="134" fillId="41" borderId="46" xfId="0" applyNumberFormat="1" applyFont="1" applyFill="1" applyBorder="1" applyAlignment="1">
      <alignment horizontal="center" vertical="center" wrapText="1"/>
    </xf>
    <xf numFmtId="0" fontId="46" fillId="0" borderId="0" xfId="112" applyFont="1" applyBorder="1" applyAlignment="1">
      <alignment vertical="top"/>
    </xf>
    <xf numFmtId="0" fontId="47" fillId="0" borderId="0" xfId="112" applyFont="1" applyBorder="1" applyAlignment="1">
      <alignment vertical="top"/>
    </xf>
    <xf numFmtId="0" fontId="57" fillId="0" borderId="0" xfId="112" applyFont="1" applyFill="1" applyBorder="1" applyAlignment="1"/>
    <xf numFmtId="0" fontId="40" fillId="0" borderId="0" xfId="112" applyFont="1" applyFill="1" applyBorder="1" applyAlignment="1"/>
    <xf numFmtId="0" fontId="43" fillId="2" borderId="0" xfId="113" applyFont="1" applyFill="1" applyBorder="1" applyAlignment="1">
      <alignment horizontal="right" vertical="center"/>
    </xf>
    <xf numFmtId="0" fontId="44" fillId="2" borderId="0" xfId="112" applyFont="1" applyFill="1" applyBorder="1" applyAlignment="1">
      <alignment horizontal="right" vertical="center"/>
    </xf>
    <xf numFmtId="0" fontId="42" fillId="0" borderId="0" xfId="112" applyFont="1" applyFill="1" applyBorder="1" applyAlignment="1">
      <alignment horizontal="left"/>
    </xf>
    <xf numFmtId="0" fontId="57" fillId="0" borderId="0" xfId="112" applyFont="1" applyFill="1" applyBorder="1" applyAlignment="1">
      <alignment horizontal="left"/>
    </xf>
    <xf numFmtId="0" fontId="50" fillId="0" borderId="0" xfId="112" applyFont="1" applyBorder="1" applyAlignment="1">
      <alignment vertical="top"/>
    </xf>
    <xf numFmtId="0" fontId="49" fillId="2" borderId="5" xfId="112" applyFont="1" applyFill="1" applyBorder="1" applyAlignment="1">
      <alignment horizontal="center" vertical="top"/>
    </xf>
    <xf numFmtId="0" fontId="48" fillId="2" borderId="3" xfId="112" applyFont="1" applyFill="1" applyBorder="1" applyAlignment="1">
      <alignment vertical="center" wrapText="1"/>
    </xf>
    <xf numFmtId="0" fontId="49" fillId="2" borderId="11" xfId="112" applyFont="1" applyFill="1" applyBorder="1" applyAlignment="1">
      <alignment horizontal="center" vertical="top"/>
    </xf>
    <xf numFmtId="0" fontId="48" fillId="2" borderId="8" xfId="112" applyFont="1" applyFill="1" applyBorder="1" applyAlignment="1">
      <alignment vertical="center" wrapText="1"/>
    </xf>
    <xf numFmtId="0" fontId="55" fillId="0" borderId="12" xfId="112" applyFont="1" applyBorder="1" applyAlignment="1">
      <alignment horizontal="center" vertical="center" wrapText="1"/>
    </xf>
    <xf numFmtId="0" fontId="46" fillId="0" borderId="12" xfId="112" applyFont="1" applyBorder="1" applyAlignment="1">
      <alignment horizontal="center" vertical="center"/>
    </xf>
    <xf numFmtId="0" fontId="49" fillId="0" borderId="12" xfId="4" applyFont="1" applyBorder="1" applyAlignment="1">
      <alignment horizontal="center" vertical="center" wrapText="1"/>
    </xf>
    <xf numFmtId="0" fontId="49" fillId="32" borderId="12" xfId="4" applyFont="1" applyFill="1" applyBorder="1" applyAlignment="1">
      <alignment horizontal="center" vertical="center" wrapText="1"/>
    </xf>
    <xf numFmtId="0" fontId="55" fillId="32" borderId="12" xfId="114" applyFont="1" applyFill="1" applyBorder="1" applyAlignment="1">
      <alignment horizontal="center" vertical="center"/>
    </xf>
    <xf numFmtId="0" fontId="55" fillId="0" borderId="12" xfId="114" applyFont="1" applyBorder="1" applyAlignment="1">
      <alignment horizontal="center" vertical="center"/>
    </xf>
    <xf numFmtId="0" fontId="50" fillId="0" borderId="37" xfId="112" applyFont="1" applyBorder="1" applyAlignment="1">
      <alignment horizontal="center" vertical="top"/>
    </xf>
    <xf numFmtId="0" fontId="50" fillId="0" borderId="134" xfId="112" applyFont="1" applyBorder="1" applyAlignment="1">
      <alignment horizontal="center" vertical="top"/>
    </xf>
    <xf numFmtId="0" fontId="50" fillId="0" borderId="134" xfId="112" quotePrefix="1" applyFont="1" applyBorder="1" applyAlignment="1">
      <alignment horizontal="center" vertical="top"/>
    </xf>
    <xf numFmtId="0" fontId="50" fillId="2" borderId="134" xfId="112" applyFont="1" applyFill="1" applyBorder="1" applyAlignment="1">
      <alignment horizontal="center" vertical="top"/>
    </xf>
    <xf numFmtId="0" fontId="50" fillId="2" borderId="134" xfId="112" quotePrefix="1" applyFont="1" applyFill="1" applyBorder="1" applyAlignment="1">
      <alignment horizontal="center" vertical="top"/>
    </xf>
    <xf numFmtId="0" fontId="50" fillId="2" borderId="152" xfId="112" quotePrefix="1" applyFont="1" applyFill="1" applyBorder="1" applyAlignment="1">
      <alignment horizontal="center" vertical="top"/>
    </xf>
    <xf numFmtId="0" fontId="50" fillId="26" borderId="152" xfId="112" quotePrefix="1" applyFont="1" applyFill="1" applyBorder="1" applyAlignment="1">
      <alignment horizontal="center" vertical="top"/>
    </xf>
    <xf numFmtId="0" fontId="50" fillId="2" borderId="136" xfId="112" quotePrefix="1" applyFont="1" applyFill="1" applyBorder="1" applyAlignment="1">
      <alignment horizontal="center" vertical="top"/>
    </xf>
    <xf numFmtId="3" fontId="3" fillId="0" borderId="0" xfId="112" applyNumberFormat="1" applyFont="1" applyBorder="1"/>
    <xf numFmtId="0" fontId="3" fillId="0" borderId="0" xfId="112" applyFont="1" applyBorder="1"/>
    <xf numFmtId="3" fontId="56" fillId="21" borderId="141" xfId="4" applyNumberFormat="1" applyFont="1" applyFill="1" applyBorder="1" applyAlignment="1">
      <alignment horizontal="right" vertical="center"/>
    </xf>
    <xf numFmtId="0" fontId="56" fillId="56" borderId="25" xfId="112" applyFont="1" applyFill="1" applyBorder="1" applyAlignment="1">
      <alignment horizontal="left" vertical="top"/>
    </xf>
    <xf numFmtId="0" fontId="57" fillId="56" borderId="22" xfId="112" quotePrefix="1" applyFont="1" applyFill="1" applyBorder="1" applyAlignment="1">
      <alignment horizontal="center" vertical="top"/>
    </xf>
    <xf numFmtId="3" fontId="56" fillId="56" borderId="23" xfId="112" quotePrefix="1" applyNumberFormat="1" applyFont="1" applyFill="1" applyBorder="1" applyAlignment="1">
      <alignment horizontal="right" vertical="top"/>
    </xf>
    <xf numFmtId="3" fontId="47" fillId="8" borderId="43" xfId="4" applyNumberFormat="1" applyFont="1" applyFill="1" applyBorder="1" applyAlignment="1">
      <alignment horizontal="center" vertical="top"/>
    </xf>
    <xf numFmtId="3" fontId="58" fillId="8" borderId="145" xfId="4" applyNumberFormat="1" applyFont="1" applyFill="1" applyBorder="1" applyAlignment="1">
      <alignment vertical="top" wrapText="1"/>
    </xf>
    <xf numFmtId="3" fontId="58" fillId="8" borderId="131" xfId="4" applyNumberFormat="1" applyFont="1" applyFill="1" applyBorder="1" applyAlignment="1">
      <alignment vertical="top" wrapText="1"/>
    </xf>
    <xf numFmtId="3" fontId="56" fillId="8" borderId="140" xfId="112" applyNumberFormat="1" applyFont="1" applyFill="1" applyBorder="1" applyAlignment="1">
      <alignment vertical="top"/>
    </xf>
    <xf numFmtId="3" fontId="56" fillId="23" borderId="140" xfId="112" applyNumberFormat="1" applyFont="1" applyFill="1" applyBorder="1" applyAlignment="1">
      <alignment vertical="top"/>
    </xf>
    <xf numFmtId="0" fontId="47" fillId="8" borderId="43" xfId="4" applyFont="1" applyFill="1" applyBorder="1" applyAlignment="1">
      <alignment horizontal="center" vertical="top"/>
    </xf>
    <xf numFmtId="3" fontId="33" fillId="8" borderId="145" xfId="4" applyNumberFormat="1" applyFont="1" applyFill="1" applyBorder="1" applyAlignment="1">
      <alignment vertical="top" wrapText="1"/>
    </xf>
    <xf numFmtId="3" fontId="33" fillId="8" borderId="131" xfId="4" applyNumberFormat="1" applyFont="1" applyFill="1" applyBorder="1" applyAlignment="1">
      <alignment vertical="top" wrapText="1"/>
    </xf>
    <xf numFmtId="3" fontId="60" fillId="8" borderId="140" xfId="112" applyNumberFormat="1" applyFont="1" applyFill="1" applyBorder="1" applyAlignment="1">
      <alignment vertical="top"/>
    </xf>
    <xf numFmtId="3" fontId="33" fillId="8" borderId="140" xfId="112" applyNumberFormat="1" applyFont="1" applyFill="1" applyBorder="1" applyAlignment="1">
      <alignment vertical="top"/>
    </xf>
    <xf numFmtId="3" fontId="33" fillId="25" borderId="142" xfId="4" applyNumberFormat="1" applyFont="1" applyFill="1" applyBorder="1" applyAlignment="1">
      <alignment horizontal="right" vertical="center"/>
    </xf>
    <xf numFmtId="0" fontId="58" fillId="8" borderId="145" xfId="4" applyFont="1" applyFill="1" applyBorder="1" applyAlignment="1">
      <alignment vertical="top"/>
    </xf>
    <xf numFmtId="0" fontId="58" fillId="8" borderId="131" xfId="4" applyFont="1" applyFill="1" applyBorder="1" applyAlignment="1">
      <alignment vertical="top"/>
    </xf>
    <xf numFmtId="0" fontId="33" fillId="8" borderId="131" xfId="4" applyFont="1" applyFill="1" applyBorder="1" applyAlignment="1">
      <alignment vertical="top" wrapText="1"/>
    </xf>
    <xf numFmtId="3" fontId="61" fillId="8" borderId="142" xfId="114" applyNumberFormat="1" applyFont="1" applyFill="1" applyBorder="1" applyAlignment="1">
      <alignment vertical="center"/>
    </xf>
    <xf numFmtId="0" fontId="60" fillId="8" borderId="138" xfId="4" applyFont="1" applyFill="1" applyBorder="1" applyAlignment="1">
      <alignment vertical="center"/>
    </xf>
    <xf numFmtId="3" fontId="60" fillId="25" borderId="139" xfId="4" applyNumberFormat="1" applyFont="1" applyFill="1" applyBorder="1" applyAlignment="1">
      <alignment horizontal="right" vertical="center"/>
    </xf>
    <xf numFmtId="3" fontId="53" fillId="6" borderId="142" xfId="4" applyNumberFormat="1" applyFont="1" applyFill="1" applyBorder="1" applyAlignment="1">
      <alignment horizontal="right" vertical="center"/>
    </xf>
    <xf numFmtId="0" fontId="47" fillId="8" borderId="43" xfId="4" applyFont="1" applyFill="1" applyBorder="1" applyAlignment="1">
      <alignment vertical="top"/>
    </xf>
    <xf numFmtId="3" fontId="47" fillId="0" borderId="0" xfId="112" applyNumberFormat="1" applyFont="1" applyBorder="1" applyAlignment="1">
      <alignment vertical="top"/>
    </xf>
    <xf numFmtId="0" fontId="56" fillId="8" borderId="145" xfId="4" applyFont="1" applyFill="1" applyBorder="1" applyAlignment="1">
      <alignment vertical="center"/>
    </xf>
    <xf numFmtId="0" fontId="56" fillId="8" borderId="131" xfId="4" applyFont="1" applyFill="1" applyBorder="1" applyAlignment="1">
      <alignment vertical="center"/>
    </xf>
    <xf numFmtId="3" fontId="62" fillId="8" borderId="142" xfId="114" applyNumberFormat="1" applyFont="1" applyFill="1" applyBorder="1" applyAlignment="1">
      <alignment vertical="center"/>
    </xf>
    <xf numFmtId="0" fontId="46" fillId="8" borderId="11" xfId="4" applyFont="1" applyFill="1" applyBorder="1" applyAlignment="1">
      <alignment horizontal="center" vertical="center"/>
    </xf>
    <xf numFmtId="0" fontId="60" fillId="8" borderId="131" xfId="4" applyFont="1" applyFill="1" applyBorder="1" applyAlignment="1">
      <alignment vertical="center"/>
    </xf>
    <xf numFmtId="3" fontId="60" fillId="8" borderId="140" xfId="112" applyNumberFormat="1" applyFont="1" applyFill="1" applyBorder="1" applyAlignment="1">
      <alignment vertical="center"/>
    </xf>
    <xf numFmtId="0" fontId="47" fillId="8" borderId="43" xfId="4" applyFont="1" applyFill="1" applyBorder="1" applyAlignment="1">
      <alignment vertical="center"/>
    </xf>
    <xf numFmtId="3" fontId="47" fillId="0" borderId="0" xfId="112" applyNumberFormat="1" applyFont="1" applyBorder="1" applyAlignment="1">
      <alignment vertical="center"/>
    </xf>
    <xf numFmtId="0" fontId="47" fillId="0" borderId="0" xfId="112" applyFont="1" applyBorder="1" applyAlignment="1">
      <alignment vertical="center"/>
    </xf>
    <xf numFmtId="0" fontId="46" fillId="8" borderId="11" xfId="4" applyFont="1" applyFill="1" applyBorder="1" applyAlignment="1">
      <alignment vertical="center"/>
    </xf>
    <xf numFmtId="0" fontId="56" fillId="8" borderId="20" xfId="4" applyFont="1" applyFill="1" applyBorder="1" applyAlignment="1">
      <alignment vertical="center"/>
    </xf>
    <xf numFmtId="3" fontId="62" fillId="8" borderId="9" xfId="114" applyNumberFormat="1" applyFont="1" applyFill="1" applyBorder="1" applyAlignment="1">
      <alignment vertical="center"/>
    </xf>
    <xf numFmtId="0" fontId="56" fillId="8" borderId="131" xfId="4" applyFont="1" applyFill="1" applyBorder="1" applyAlignment="1">
      <alignment vertical="top"/>
    </xf>
    <xf numFmtId="0" fontId="46" fillId="8" borderId="25" xfId="4" applyFont="1" applyFill="1" applyBorder="1" applyAlignment="1">
      <alignment vertical="center"/>
    </xf>
    <xf numFmtId="0" fontId="60" fillId="8" borderId="12" xfId="4" applyFont="1" applyFill="1" applyBorder="1" applyAlignment="1">
      <alignment vertical="center"/>
    </xf>
    <xf numFmtId="0" fontId="56" fillId="8" borderId="6" xfId="4" applyFont="1" applyFill="1" applyBorder="1" applyAlignment="1">
      <alignment vertical="top"/>
    </xf>
    <xf numFmtId="0" fontId="47" fillId="8" borderId="41" xfId="4" applyFont="1" applyFill="1" applyBorder="1" applyAlignment="1">
      <alignment vertical="top"/>
    </xf>
    <xf numFmtId="0" fontId="53" fillId="8" borderId="19" xfId="112" applyFont="1" applyFill="1" applyBorder="1" applyAlignment="1">
      <alignment vertical="center" wrapText="1"/>
    </xf>
    <xf numFmtId="0" fontId="53" fillId="8" borderId="14" xfId="112" applyFont="1" applyFill="1" applyBorder="1" applyAlignment="1">
      <alignment horizontal="center" vertical="center" wrapText="1"/>
    </xf>
    <xf numFmtId="0" fontId="33" fillId="8" borderId="3" xfId="112" applyFont="1" applyFill="1" applyBorder="1" applyAlignment="1">
      <alignment vertical="top"/>
    </xf>
    <xf numFmtId="0" fontId="33" fillId="8" borderId="70" xfId="112" applyFont="1" applyFill="1" applyBorder="1" applyAlignment="1">
      <alignment vertical="top"/>
    </xf>
    <xf numFmtId="0" fontId="33" fillId="8" borderId="79" xfId="112" applyFont="1" applyFill="1" applyBorder="1" applyAlignment="1">
      <alignment vertical="top"/>
    </xf>
    <xf numFmtId="3" fontId="33" fillId="8" borderId="79" xfId="112" applyNumberFormat="1" applyFont="1" applyFill="1" applyBorder="1" applyAlignment="1">
      <alignment vertical="top"/>
    </xf>
    <xf numFmtId="3" fontId="33" fillId="23" borderId="70" xfId="112" applyNumberFormat="1" applyFont="1" applyFill="1" applyBorder="1" applyAlignment="1">
      <alignment vertical="top"/>
    </xf>
    <xf numFmtId="3" fontId="58" fillId="2" borderId="145" xfId="4" applyNumberFormat="1" applyFont="1" applyFill="1" applyBorder="1" applyAlignment="1">
      <alignment vertical="top" wrapText="1"/>
    </xf>
    <xf numFmtId="3" fontId="56" fillId="0" borderId="141" xfId="4" applyNumberFormat="1" applyFont="1" applyFill="1" applyBorder="1" applyAlignment="1">
      <alignment horizontal="right" vertical="center"/>
    </xf>
    <xf numFmtId="3" fontId="58" fillId="0" borderId="139" xfId="4" applyNumberFormat="1" applyFont="1" applyFill="1" applyBorder="1" applyAlignment="1">
      <alignment horizontal="right" vertical="center"/>
    </xf>
    <xf numFmtId="3" fontId="58" fillId="0" borderId="141" xfId="4" applyNumberFormat="1" applyFont="1" applyFill="1" applyBorder="1" applyAlignment="1">
      <alignment horizontal="right" vertical="center"/>
    </xf>
    <xf numFmtId="0" fontId="58" fillId="2" borderId="145" xfId="4" applyFont="1" applyFill="1" applyBorder="1" applyAlignment="1">
      <alignment vertical="top"/>
    </xf>
    <xf numFmtId="3" fontId="62" fillId="0" borderId="140" xfId="114" applyNumberFormat="1" applyFont="1" applyFill="1" applyBorder="1" applyAlignment="1">
      <alignment vertical="center"/>
    </xf>
    <xf numFmtId="3" fontId="56" fillId="0" borderId="139" xfId="4" applyNumberFormat="1" applyFont="1" applyFill="1" applyBorder="1" applyAlignment="1">
      <alignment horizontal="right" vertical="center"/>
    </xf>
    <xf numFmtId="0" fontId="60" fillId="0" borderId="146" xfId="4" applyFont="1" applyFill="1" applyBorder="1" applyAlignment="1">
      <alignment vertical="top"/>
    </xf>
    <xf numFmtId="3" fontId="33" fillId="0" borderId="140" xfId="112" applyNumberFormat="1" applyFont="1" applyFill="1" applyBorder="1" applyAlignment="1">
      <alignment vertical="center"/>
    </xf>
    <xf numFmtId="3" fontId="60" fillId="0" borderId="140" xfId="112" applyNumberFormat="1" applyFont="1" applyFill="1" applyBorder="1" applyAlignment="1">
      <alignment vertical="center"/>
    </xf>
    <xf numFmtId="3" fontId="33" fillId="0" borderId="35" xfId="112" applyNumberFormat="1" applyFont="1" applyFill="1" applyBorder="1" applyAlignment="1">
      <alignment vertical="center"/>
    </xf>
    <xf numFmtId="3" fontId="33" fillId="23" borderId="2" xfId="112" applyNumberFormat="1" applyFont="1" applyFill="1" applyBorder="1" applyAlignment="1">
      <alignment vertical="top"/>
    </xf>
    <xf numFmtId="3" fontId="56" fillId="2" borderId="142" xfId="4" applyNumberFormat="1" applyFont="1" applyFill="1" applyBorder="1" applyAlignment="1"/>
    <xf numFmtId="3" fontId="58" fillId="2" borderId="140" xfId="4" applyNumberFormat="1" applyFont="1" applyFill="1" applyBorder="1" applyAlignment="1">
      <alignment horizontal="right" vertical="center"/>
    </xf>
    <xf numFmtId="3" fontId="56" fillId="2" borderId="140" xfId="4" applyNumberFormat="1" applyFont="1" applyFill="1" applyBorder="1" applyAlignment="1">
      <alignment horizontal="right" vertical="center"/>
    </xf>
    <xf numFmtId="3" fontId="62" fillId="0" borderId="142" xfId="114" applyNumberFormat="1" applyFont="1" applyFill="1" applyBorder="1" applyAlignment="1">
      <alignment vertical="center"/>
    </xf>
    <xf numFmtId="3" fontId="60" fillId="0" borderId="134" xfId="112" applyNumberFormat="1" applyFont="1" applyFill="1" applyBorder="1" applyAlignment="1">
      <alignment vertical="center"/>
    </xf>
    <xf numFmtId="0" fontId="3" fillId="0" borderId="134" xfId="112" applyFont="1" applyBorder="1"/>
    <xf numFmtId="3" fontId="61" fillId="0" borderId="140" xfId="114" applyNumberFormat="1" applyFont="1" applyFill="1" applyBorder="1" applyAlignment="1">
      <alignment vertical="center"/>
    </xf>
    <xf numFmtId="0" fontId="3" fillId="0" borderId="27" xfId="112" applyFont="1" applyBorder="1"/>
    <xf numFmtId="3" fontId="62" fillId="0" borderId="9" xfId="114" applyNumberFormat="1" applyFont="1" applyFill="1" applyBorder="1" applyAlignment="1">
      <alignment vertical="center"/>
    </xf>
    <xf numFmtId="0" fontId="3" fillId="0" borderId="24" xfId="112" applyFont="1" applyBorder="1"/>
    <xf numFmtId="0" fontId="53" fillId="32" borderId="145" xfId="4" applyFont="1" applyFill="1" applyBorder="1" applyAlignment="1">
      <alignment horizontal="left" vertical="center"/>
    </xf>
    <xf numFmtId="0" fontId="54" fillId="32" borderId="144" xfId="4" applyFont="1" applyFill="1" applyBorder="1" applyAlignment="1">
      <alignment horizontal="left" vertical="center"/>
    </xf>
    <xf numFmtId="3" fontId="53" fillId="32" borderId="142" xfId="4" applyNumberFormat="1" applyFont="1" applyFill="1" applyBorder="1" applyAlignment="1"/>
    <xf numFmtId="3" fontId="53" fillId="32" borderId="140" xfId="4" applyNumberFormat="1" applyFont="1" applyFill="1" applyBorder="1" applyAlignment="1"/>
    <xf numFmtId="0" fontId="3" fillId="0" borderId="0" xfId="0" applyFont="1" applyBorder="1" applyAlignment="1"/>
    <xf numFmtId="3" fontId="53" fillId="22" borderId="140" xfId="4" applyNumberFormat="1" applyFont="1" applyFill="1" applyBorder="1" applyAlignment="1"/>
    <xf numFmtId="3" fontId="3" fillId="0" borderId="0" xfId="0" applyNumberFormat="1" applyFont="1" applyBorder="1" applyAlignment="1"/>
    <xf numFmtId="3" fontId="56" fillId="0" borderId="142" xfId="4" applyNumberFormat="1" applyFont="1" applyFill="1" applyBorder="1" applyAlignment="1"/>
    <xf numFmtId="3" fontId="58" fillId="0" borderId="142" xfId="4" applyNumberFormat="1" applyFont="1" applyFill="1" applyBorder="1" applyAlignment="1"/>
    <xf numFmtId="3" fontId="56" fillId="25" borderId="142" xfId="4" applyNumberFormat="1" applyFont="1" applyFill="1" applyBorder="1" applyAlignment="1"/>
    <xf numFmtId="3" fontId="33" fillId="0" borderId="142" xfId="4" applyNumberFormat="1" applyFont="1" applyFill="1" applyBorder="1" applyAlignment="1"/>
    <xf numFmtId="0" fontId="57" fillId="0" borderId="145" xfId="4" applyFont="1" applyFill="1" applyBorder="1" applyAlignment="1">
      <alignment vertical="top"/>
    </xf>
    <xf numFmtId="3" fontId="62" fillId="0" borderId="139" xfId="6" applyNumberFormat="1" applyFont="1" applyFill="1" applyBorder="1" applyAlignment="1">
      <alignment vertical="center"/>
    </xf>
    <xf numFmtId="3" fontId="57" fillId="0" borderId="142" xfId="4" applyNumberFormat="1" applyFont="1" applyFill="1" applyBorder="1" applyAlignment="1">
      <alignment horizontal="right" vertical="center"/>
    </xf>
    <xf numFmtId="3" fontId="57" fillId="25" borderId="142" xfId="4" applyNumberFormat="1" applyFont="1" applyFill="1" applyBorder="1" applyAlignment="1">
      <alignment horizontal="right" vertical="center"/>
    </xf>
    <xf numFmtId="0" fontId="60" fillId="0" borderId="145" xfId="4" applyFont="1" applyFill="1" applyBorder="1" applyAlignment="1">
      <alignment vertical="top"/>
    </xf>
    <xf numFmtId="3" fontId="61" fillId="0" borderId="139" xfId="6" applyNumberFormat="1" applyFont="1" applyFill="1" applyBorder="1" applyAlignment="1">
      <alignment vertical="center"/>
    </xf>
    <xf numFmtId="3" fontId="56" fillId="2" borderId="20" xfId="4" applyNumberFormat="1" applyFont="1" applyFill="1" applyBorder="1" applyAlignment="1">
      <alignment horizontal="center" vertical="center" wrapText="1"/>
    </xf>
    <xf numFmtId="3" fontId="111" fillId="0" borderId="139" xfId="6" applyNumberFormat="1" applyFont="1" applyFill="1" applyBorder="1" applyAlignment="1">
      <alignment vertical="center"/>
    </xf>
    <xf numFmtId="3" fontId="69" fillId="0" borderId="139" xfId="4" applyNumberFormat="1" applyFont="1" applyFill="1" applyBorder="1" applyAlignment="1">
      <alignment horizontal="right" vertical="center"/>
    </xf>
    <xf numFmtId="3" fontId="57" fillId="25" borderId="139" xfId="4" applyNumberFormat="1" applyFont="1" applyFill="1" applyBorder="1" applyAlignment="1">
      <alignment horizontal="right" vertical="center"/>
    </xf>
    <xf numFmtId="3" fontId="71" fillId="0" borderId="0" xfId="0" applyNumberFormat="1" applyFont="1" applyBorder="1" applyAlignment="1"/>
    <xf numFmtId="0" fontId="71" fillId="0" borderId="0" xfId="0" applyFont="1" applyBorder="1" applyAlignment="1"/>
    <xf numFmtId="0" fontId="58" fillId="2" borderId="138" xfId="4" applyFont="1" applyFill="1" applyBorder="1" applyAlignment="1">
      <alignment vertical="top"/>
    </xf>
    <xf numFmtId="0" fontId="3" fillId="0" borderId="140" xfId="112" applyFont="1" applyBorder="1"/>
    <xf numFmtId="0" fontId="53" fillId="32" borderId="21" xfId="4" applyFont="1" applyFill="1" applyBorder="1" applyAlignment="1">
      <alignment horizontal="left" vertical="center"/>
    </xf>
    <xf numFmtId="3" fontId="56" fillId="32" borderId="9" xfId="4" applyNumberFormat="1" applyFont="1" applyFill="1" applyBorder="1" applyAlignment="1"/>
    <xf numFmtId="3" fontId="56" fillId="32" borderId="35" xfId="4" applyNumberFormat="1" applyFont="1" applyFill="1" applyBorder="1" applyAlignment="1"/>
    <xf numFmtId="0" fontId="60" fillId="0" borderId="153" xfId="4" applyFont="1" applyFill="1" applyBorder="1" applyAlignment="1">
      <alignment vertical="top"/>
    </xf>
    <xf numFmtId="0" fontId="63" fillId="58" borderId="51" xfId="0" applyFont="1" applyFill="1" applyBorder="1" applyAlignment="1">
      <alignment vertical="top"/>
    </xf>
    <xf numFmtId="0" fontId="63" fillId="60" borderId="51" xfId="0" applyFont="1" applyFill="1" applyBorder="1" applyAlignment="1">
      <alignment vertical="top"/>
    </xf>
    <xf numFmtId="3" fontId="56" fillId="21" borderId="134" xfId="4" applyNumberFormat="1" applyFont="1" applyFill="1" applyBorder="1" applyAlignment="1">
      <alignment horizontal="right" vertical="center"/>
    </xf>
    <xf numFmtId="3" fontId="56" fillId="8" borderId="140" xfId="0" applyNumberFormat="1" applyFont="1" applyFill="1" applyBorder="1" applyAlignment="1">
      <alignment vertical="center"/>
    </xf>
    <xf numFmtId="3" fontId="56" fillId="58" borderId="140" xfId="0" applyNumberFormat="1" applyFont="1" applyFill="1" applyBorder="1" applyAlignment="1">
      <alignment vertical="center"/>
    </xf>
    <xf numFmtId="3" fontId="56" fillId="60" borderId="140" xfId="0" applyNumberFormat="1" applyFont="1" applyFill="1" applyBorder="1" applyAlignment="1">
      <alignment vertical="center"/>
    </xf>
    <xf numFmtId="3" fontId="56" fillId="23" borderId="140" xfId="0" applyNumberFormat="1" applyFont="1" applyFill="1" applyBorder="1" applyAlignment="1">
      <alignment vertical="center"/>
    </xf>
    <xf numFmtId="3" fontId="60" fillId="28" borderId="140" xfId="0" applyNumberFormat="1" applyFont="1" applyFill="1" applyBorder="1" applyAlignment="1">
      <alignment vertical="center"/>
    </xf>
    <xf numFmtId="3" fontId="60" fillId="59" borderId="140" xfId="0" applyNumberFormat="1" applyFont="1" applyFill="1" applyBorder="1" applyAlignment="1">
      <alignment vertical="center"/>
    </xf>
    <xf numFmtId="3" fontId="60" fillId="61" borderId="140" xfId="0" applyNumberFormat="1" applyFont="1" applyFill="1" applyBorder="1" applyAlignment="1">
      <alignment vertical="center"/>
    </xf>
    <xf numFmtId="3" fontId="60" fillId="8" borderId="17" xfId="0" applyNumberFormat="1" applyFont="1" applyFill="1" applyBorder="1" applyAlignment="1">
      <alignment vertical="top"/>
    </xf>
    <xf numFmtId="0" fontId="60" fillId="58" borderId="70" xfId="0" applyFont="1" applyFill="1" applyBorder="1" applyAlignment="1">
      <alignment vertical="top"/>
    </xf>
    <xf numFmtId="0" fontId="60" fillId="60" borderId="70" xfId="0" applyFont="1" applyFill="1" applyBorder="1" applyAlignment="1">
      <alignment vertical="top"/>
    </xf>
    <xf numFmtId="0" fontId="60" fillId="8" borderId="2" xfId="0" applyFont="1" applyFill="1" applyBorder="1" applyAlignment="1">
      <alignment vertical="top"/>
    </xf>
    <xf numFmtId="0" fontId="60" fillId="6" borderId="131" xfId="0" applyFont="1" applyFill="1" applyBorder="1" applyAlignment="1">
      <alignment vertical="top"/>
    </xf>
    <xf numFmtId="3" fontId="54" fillId="58" borderId="142" xfId="0" applyNumberFormat="1" applyFont="1" applyFill="1" applyBorder="1" applyAlignment="1">
      <alignment vertical="center"/>
    </xf>
    <xf numFmtId="3" fontId="54" fillId="60" borderId="142" xfId="0" applyNumberFormat="1" applyFont="1" applyFill="1" applyBorder="1" applyAlignment="1">
      <alignment vertical="center"/>
    </xf>
    <xf numFmtId="43" fontId="54" fillId="6" borderId="142" xfId="1" applyFont="1" applyFill="1" applyBorder="1" applyAlignment="1">
      <alignment vertical="center"/>
    </xf>
    <xf numFmtId="3" fontId="54" fillId="22" borderId="142" xfId="0" applyNumberFormat="1" applyFont="1" applyFill="1" applyBorder="1" applyAlignment="1">
      <alignment vertical="center"/>
    </xf>
    <xf numFmtId="3" fontId="56" fillId="2" borderId="138" xfId="4" applyNumberFormat="1" applyFont="1" applyFill="1" applyBorder="1" applyAlignment="1">
      <alignment vertical="center" wrapText="1"/>
    </xf>
    <xf numFmtId="3" fontId="56" fillId="0" borderId="142" xfId="0" applyNumberFormat="1" applyFont="1" applyFill="1" applyBorder="1" applyAlignment="1">
      <alignment vertical="center"/>
    </xf>
    <xf numFmtId="3" fontId="56" fillId="58" borderId="142" xfId="0" applyNumberFormat="1" applyFont="1" applyFill="1" applyBorder="1" applyAlignment="1">
      <alignment vertical="center"/>
    </xf>
    <xf numFmtId="3" fontId="56" fillId="60" borderId="142" xfId="0" applyNumberFormat="1" applyFont="1" applyFill="1" applyBorder="1" applyAlignment="1">
      <alignment vertical="center"/>
    </xf>
    <xf numFmtId="43" fontId="56" fillId="0" borderId="142" xfId="1" applyFont="1" applyFill="1" applyBorder="1" applyAlignment="1">
      <alignment vertical="center"/>
    </xf>
    <xf numFmtId="3" fontId="56" fillId="25" borderId="142" xfId="0" applyNumberFormat="1" applyFont="1" applyFill="1" applyBorder="1" applyAlignment="1">
      <alignment vertical="center"/>
    </xf>
    <xf numFmtId="0" fontId="60" fillId="0" borderId="77" xfId="0" applyFont="1" applyFill="1" applyBorder="1" applyAlignment="1">
      <alignment vertical="center"/>
    </xf>
    <xf numFmtId="3" fontId="60" fillId="0" borderId="151" xfId="0" applyNumberFormat="1" applyFont="1" applyFill="1" applyBorder="1" applyAlignment="1">
      <alignment vertical="center"/>
    </xf>
    <xf numFmtId="3" fontId="60" fillId="58" borderId="134" xfId="0" applyNumberFormat="1" applyFont="1" applyFill="1" applyBorder="1" applyAlignment="1">
      <alignment vertical="center"/>
    </xf>
    <xf numFmtId="3" fontId="60" fillId="60" borderId="134" xfId="0" applyNumberFormat="1" applyFont="1" applyFill="1" applyBorder="1" applyAlignment="1">
      <alignment vertical="center"/>
    </xf>
    <xf numFmtId="43" fontId="60" fillId="0" borderId="134" xfId="1" applyFont="1" applyFill="1" applyBorder="1" applyAlignment="1">
      <alignment vertical="center"/>
    </xf>
    <xf numFmtId="3" fontId="33" fillId="23" borderId="134" xfId="0" applyNumberFormat="1" applyFont="1" applyFill="1" applyBorder="1" applyAlignment="1">
      <alignment vertical="center"/>
    </xf>
    <xf numFmtId="0" fontId="47" fillId="0" borderId="0" xfId="112" applyFont="1" applyBorder="1" applyAlignment="1">
      <alignment horizontal="center" vertical="top" wrapText="1"/>
    </xf>
    <xf numFmtId="0" fontId="47" fillId="0" borderId="67" xfId="112" applyFont="1" applyBorder="1" applyAlignment="1">
      <alignment vertical="top"/>
    </xf>
    <xf numFmtId="0" fontId="56" fillId="56" borderId="8" xfId="4" applyFont="1" applyFill="1" applyBorder="1" applyAlignment="1">
      <alignment horizontal="left" vertical="center"/>
    </xf>
    <xf numFmtId="3" fontId="56" fillId="56" borderId="20" xfId="4" applyNumberFormat="1" applyFont="1" applyFill="1" applyBorder="1" applyAlignment="1">
      <alignment horizontal="right" vertical="center"/>
    </xf>
    <xf numFmtId="0" fontId="56" fillId="56" borderId="0" xfId="4" applyFont="1" applyFill="1" applyBorder="1" applyAlignment="1">
      <alignment horizontal="left" vertical="center"/>
    </xf>
    <xf numFmtId="3" fontId="56" fillId="56" borderId="6" xfId="4" applyNumberFormat="1" applyFont="1" applyFill="1" applyBorder="1" applyAlignment="1">
      <alignment horizontal="right" vertical="center"/>
    </xf>
    <xf numFmtId="0" fontId="56" fillId="56" borderId="68" xfId="0" applyFont="1" applyFill="1" applyBorder="1" applyAlignment="1">
      <alignment horizontal="left" vertical="top"/>
    </xf>
    <xf numFmtId="3" fontId="56" fillId="56" borderId="22" xfId="0" quotePrefix="1" applyNumberFormat="1" applyFont="1" applyFill="1" applyBorder="1" applyAlignment="1">
      <alignment horizontal="right" vertical="top"/>
    </xf>
    <xf numFmtId="3" fontId="56" fillId="8" borderId="28" xfId="0" applyNumberFormat="1" applyFont="1" applyFill="1" applyBorder="1" applyAlignment="1">
      <alignment vertical="top"/>
    </xf>
    <xf numFmtId="3" fontId="58" fillId="8" borderId="30" xfId="0" applyNumberFormat="1" applyFont="1" applyFill="1" applyBorder="1" applyAlignment="1">
      <alignment vertical="top"/>
    </xf>
    <xf numFmtId="3" fontId="56" fillId="8" borderId="30" xfId="0" applyNumberFormat="1" applyFont="1" applyFill="1" applyBorder="1" applyAlignment="1">
      <alignment vertical="top"/>
    </xf>
    <xf numFmtId="3" fontId="56" fillId="23" borderId="30" xfId="0" applyNumberFormat="1" applyFont="1" applyFill="1" applyBorder="1" applyAlignment="1">
      <alignment vertical="top"/>
    </xf>
    <xf numFmtId="3" fontId="33" fillId="8" borderId="31" xfId="4" applyNumberFormat="1" applyFont="1" applyFill="1" applyBorder="1" applyAlignment="1">
      <alignment vertical="top" wrapText="1"/>
    </xf>
    <xf numFmtId="3" fontId="33" fillId="8" borderId="28" xfId="0" applyNumberFormat="1" applyFont="1" applyFill="1" applyBorder="1" applyAlignment="1">
      <alignment vertical="top"/>
    </xf>
    <xf numFmtId="3" fontId="33" fillId="8" borderId="30" xfId="0" applyNumberFormat="1" applyFont="1" applyFill="1" applyBorder="1" applyAlignment="1">
      <alignment vertical="top"/>
    </xf>
    <xf numFmtId="3" fontId="60" fillId="23" borderId="30" xfId="4" applyNumberFormat="1" applyFont="1" applyFill="1" applyBorder="1" applyAlignment="1">
      <alignment vertical="top"/>
    </xf>
    <xf numFmtId="3" fontId="33" fillId="23" borderId="30" xfId="4" applyNumberFormat="1" applyFont="1" applyFill="1" applyBorder="1" applyAlignment="1">
      <alignment vertical="top"/>
    </xf>
    <xf numFmtId="0" fontId="53" fillId="8" borderId="87" xfId="0" applyFont="1" applyFill="1" applyBorder="1" applyAlignment="1">
      <alignment vertical="center" wrapText="1"/>
    </xf>
    <xf numFmtId="0" fontId="53" fillId="8" borderId="16" xfId="0" applyFont="1" applyFill="1" applyBorder="1" applyAlignment="1">
      <alignment horizontal="center" vertical="center" wrapText="1"/>
    </xf>
    <xf numFmtId="3" fontId="58" fillId="2" borderId="30" xfId="4" applyNumberFormat="1" applyFont="1" applyFill="1" applyBorder="1" applyAlignment="1">
      <alignment horizontal="right" vertical="center"/>
    </xf>
    <xf numFmtId="3" fontId="58" fillId="0" borderId="63" xfId="4" applyNumberFormat="1" applyFont="1" applyFill="1" applyBorder="1" applyAlignment="1">
      <alignment horizontal="right" vertical="center"/>
    </xf>
    <xf numFmtId="0" fontId="0" fillId="0" borderId="33" xfId="0" applyFont="1" applyBorder="1"/>
    <xf numFmtId="0" fontId="54" fillId="6" borderId="29" xfId="4" applyFont="1" applyFill="1" applyBorder="1" applyAlignment="1">
      <alignment horizontal="left" vertical="center"/>
    </xf>
    <xf numFmtId="3" fontId="56" fillId="2" borderId="31" xfId="4" applyNumberFormat="1" applyFont="1" applyFill="1" applyBorder="1" applyAlignment="1">
      <alignment vertical="top" wrapText="1"/>
    </xf>
    <xf numFmtId="0" fontId="0" fillId="0" borderId="24" xfId="0" applyFont="1" applyBorder="1"/>
    <xf numFmtId="0" fontId="53" fillId="8" borderId="45" xfId="0" applyFont="1" applyFill="1" applyBorder="1" applyAlignment="1">
      <alignment vertical="center" wrapText="1"/>
    </xf>
    <xf numFmtId="0" fontId="56" fillId="2" borderId="31" xfId="4" applyFont="1" applyFill="1" applyBorder="1" applyAlignment="1">
      <alignment vertical="top"/>
    </xf>
    <xf numFmtId="3" fontId="56" fillId="2" borderId="34" xfId="4" applyNumberFormat="1" applyFont="1" applyFill="1" applyBorder="1" applyAlignment="1">
      <alignment vertical="center" wrapText="1"/>
    </xf>
    <xf numFmtId="3" fontId="33" fillId="23" borderId="30" xfId="4" applyNumberFormat="1" applyFont="1" applyFill="1" applyBorder="1" applyAlignment="1">
      <alignment horizontal="center" vertical="top"/>
    </xf>
    <xf numFmtId="3" fontId="116" fillId="0" borderId="104" xfId="5" applyNumberFormat="1" applyFont="1" applyBorder="1" applyAlignment="1">
      <alignment horizontal="center" vertical="center"/>
    </xf>
    <xf numFmtId="3" fontId="117" fillId="0" borderId="156" xfId="5" applyNumberFormat="1" applyFont="1" applyBorder="1" applyAlignment="1">
      <alignment vertical="center"/>
    </xf>
    <xf numFmtId="3" fontId="56" fillId="23" borderId="91" xfId="4" applyNumberFormat="1" applyFont="1" applyFill="1" applyBorder="1" applyAlignment="1">
      <alignment vertical="top"/>
    </xf>
    <xf numFmtId="0" fontId="114" fillId="0" borderId="142" xfId="5" applyFont="1" applyBorder="1" applyAlignment="1">
      <alignment horizontal="left" vertical="center" wrapText="1"/>
    </xf>
    <xf numFmtId="0" fontId="49" fillId="6" borderId="20" xfId="4" applyFont="1" applyFill="1" applyBorder="1" applyAlignment="1">
      <alignment horizontal="center" vertical="center" wrapText="1"/>
    </xf>
    <xf numFmtId="0" fontId="54" fillId="6" borderId="28" xfId="4" applyFont="1" applyFill="1" applyBorder="1" applyAlignment="1">
      <alignment horizontal="center" vertical="center"/>
    </xf>
    <xf numFmtId="0" fontId="137" fillId="0" borderId="0" xfId="0" applyFont="1" applyBorder="1" applyAlignment="1">
      <alignment horizontal="center" vertical="center"/>
    </xf>
    <xf numFmtId="43" fontId="54" fillId="6" borderId="93" xfId="1" applyFont="1" applyFill="1" applyBorder="1" applyAlignment="1">
      <alignment vertical="top"/>
    </xf>
    <xf numFmtId="43" fontId="56" fillId="2" borderId="93" xfId="1" applyFont="1" applyFill="1" applyBorder="1" applyAlignment="1">
      <alignment vertical="top"/>
    </xf>
    <xf numFmtId="43" fontId="60" fillId="0" borderId="93" xfId="1" applyFont="1" applyFill="1" applyBorder="1" applyAlignment="1">
      <alignment vertical="top"/>
    </xf>
    <xf numFmtId="43" fontId="56" fillId="0" borderId="93" xfId="1" applyFont="1" applyFill="1" applyBorder="1" applyAlignment="1">
      <alignment vertical="top"/>
    </xf>
    <xf numFmtId="43" fontId="56" fillId="2" borderId="105" xfId="1" applyFont="1" applyFill="1" applyBorder="1" applyAlignment="1">
      <alignment vertical="top"/>
    </xf>
    <xf numFmtId="43" fontId="60" fillId="0" borderId="105" xfId="1" applyFont="1" applyFill="1" applyBorder="1" applyAlignment="1">
      <alignment vertical="top"/>
    </xf>
    <xf numFmtId="43" fontId="56" fillId="0" borderId="105" xfId="1" applyFont="1" applyFill="1" applyBorder="1" applyAlignment="1">
      <alignment vertical="top"/>
    </xf>
    <xf numFmtId="43" fontId="52" fillId="6" borderId="105" xfId="1" applyFont="1" applyFill="1" applyBorder="1" applyAlignment="1">
      <alignment horizontal="right" vertical="center"/>
    </xf>
    <xf numFmtId="43" fontId="62" fillId="0" borderId="105" xfId="1" applyFont="1" applyFill="1" applyBorder="1" applyAlignment="1">
      <alignment horizontal="right" vertical="center"/>
    </xf>
    <xf numFmtId="43" fontId="58" fillId="2" borderId="105" xfId="1" applyFont="1" applyFill="1" applyBorder="1" applyAlignment="1"/>
    <xf numFmtId="43" fontId="33" fillId="0" borderId="47" xfId="1" applyFont="1" applyFill="1" applyBorder="1" applyAlignment="1">
      <alignment horizontal="right"/>
    </xf>
    <xf numFmtId="43" fontId="62" fillId="0" borderId="120" xfId="1" applyFont="1" applyFill="1" applyBorder="1" applyAlignment="1">
      <alignment vertical="center"/>
    </xf>
    <xf numFmtId="43" fontId="53" fillId="6" borderId="120" xfId="1" applyFont="1" applyFill="1" applyBorder="1" applyAlignment="1"/>
    <xf numFmtId="43" fontId="58" fillId="2" borderId="120" xfId="1" applyFont="1" applyFill="1" applyBorder="1" applyAlignment="1"/>
    <xf numFmtId="43" fontId="60" fillId="0" borderId="120" xfId="1" applyFont="1" applyFill="1" applyBorder="1" applyAlignment="1">
      <alignment horizontal="right" vertical="center"/>
    </xf>
    <xf numFmtId="43" fontId="53" fillId="8" borderId="70" xfId="1" applyFont="1" applyFill="1" applyBorder="1" applyAlignment="1">
      <alignment horizontal="right" vertical="center"/>
    </xf>
    <xf numFmtId="43" fontId="56" fillId="2" borderId="105" xfId="1" applyFont="1" applyFill="1" applyBorder="1" applyAlignment="1"/>
    <xf numFmtId="3" fontId="54" fillId="22" borderId="177" xfId="4" applyNumberFormat="1" applyFont="1" applyFill="1" applyBorder="1" applyAlignment="1">
      <alignment horizontal="right" vertical="center"/>
    </xf>
    <xf numFmtId="3" fontId="56" fillId="25" borderId="177" xfId="4" applyNumberFormat="1" applyFont="1" applyFill="1" applyBorder="1" applyAlignment="1">
      <alignment horizontal="right" vertical="center"/>
    </xf>
    <xf numFmtId="3" fontId="60" fillId="25" borderId="177" xfId="4" applyNumberFormat="1" applyFont="1" applyFill="1" applyBorder="1" applyAlignment="1">
      <alignment horizontal="right" vertical="center"/>
    </xf>
    <xf numFmtId="3" fontId="52" fillId="6" borderId="177" xfId="6" applyNumberFormat="1" applyFont="1" applyFill="1" applyBorder="1" applyAlignment="1">
      <alignment horizontal="right" vertical="center"/>
    </xf>
    <xf numFmtId="3" fontId="62" fillId="0" borderId="177" xfId="6" applyNumberFormat="1" applyFont="1" applyFill="1" applyBorder="1" applyAlignment="1">
      <alignment horizontal="right" vertical="center"/>
    </xf>
    <xf numFmtId="3" fontId="60" fillId="0" borderId="177" xfId="4" applyNumberFormat="1" applyFont="1" applyFill="1" applyBorder="1" applyAlignment="1">
      <alignment horizontal="right" vertical="center"/>
    </xf>
    <xf numFmtId="3" fontId="62" fillId="0" borderId="177" xfId="6" applyNumberFormat="1" applyFont="1" applyFill="1" applyBorder="1" applyAlignment="1">
      <alignment vertical="center"/>
    </xf>
    <xf numFmtId="3" fontId="53" fillId="6" borderId="177" xfId="4" applyNumberFormat="1" applyFont="1" applyFill="1" applyBorder="1" applyAlignment="1"/>
    <xf numFmtId="3" fontId="56" fillId="2" borderId="177" xfId="4" applyNumberFormat="1" applyFont="1" applyFill="1" applyBorder="1" applyAlignment="1"/>
    <xf numFmtId="3" fontId="33" fillId="0" borderId="134" xfId="4" applyNumberFormat="1" applyFont="1" applyFill="1" applyBorder="1" applyAlignment="1">
      <alignment horizontal="right"/>
    </xf>
    <xf numFmtId="43" fontId="53" fillId="8" borderId="7" xfId="1" applyFont="1" applyFill="1" applyBorder="1" applyAlignment="1">
      <alignment horizontal="right" vertical="center"/>
    </xf>
    <xf numFmtId="43" fontId="54" fillId="6" borderId="9" xfId="1" applyFont="1" applyFill="1" applyBorder="1" applyAlignment="1">
      <alignment horizontal="right" vertical="center"/>
    </xf>
    <xf numFmtId="43" fontId="33" fillId="0" borderId="72" xfId="1" applyFont="1" applyFill="1" applyBorder="1" applyAlignment="1">
      <alignment horizontal="right" vertical="center"/>
    </xf>
    <xf numFmtId="43" fontId="54" fillId="8" borderId="2" xfId="1" applyFont="1" applyFill="1" applyBorder="1" applyAlignment="1">
      <alignment horizontal="right" vertical="center"/>
    </xf>
    <xf numFmtId="43" fontId="60" fillId="0" borderId="91" xfId="1" applyFont="1" applyFill="1" applyBorder="1" applyAlignment="1">
      <alignment horizontal="right" vertical="center"/>
    </xf>
    <xf numFmtId="0" fontId="138" fillId="0" borderId="0" xfId="0" applyFont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3" fontId="53" fillId="26" borderId="62" xfId="4" applyNumberFormat="1" applyFont="1" applyFill="1" applyBorder="1" applyAlignment="1">
      <alignment horizontal="center" vertical="center"/>
    </xf>
    <xf numFmtId="3" fontId="53" fillId="26" borderId="10" xfId="4" applyNumberFormat="1" applyFont="1" applyFill="1" applyBorder="1" applyAlignment="1">
      <alignment horizontal="center" vertical="center"/>
    </xf>
    <xf numFmtId="3" fontId="53" fillId="26" borderId="74" xfId="4" applyNumberFormat="1" applyFont="1" applyFill="1" applyBorder="1" applyAlignment="1">
      <alignment horizontal="center" vertical="center"/>
    </xf>
    <xf numFmtId="3" fontId="47" fillId="0" borderId="41" xfId="4" applyNumberFormat="1" applyFont="1" applyFill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/>
    </xf>
    <xf numFmtId="0" fontId="47" fillId="13" borderId="43" xfId="4" applyFont="1" applyFill="1" applyBorder="1" applyAlignment="1">
      <alignment horizontal="center" vertical="center" wrapText="1"/>
    </xf>
    <xf numFmtId="0" fontId="0" fillId="0" borderId="25" xfId="0" applyFont="1" applyBorder="1"/>
    <xf numFmtId="3" fontId="47" fillId="0" borderId="46" xfId="4" applyNumberFormat="1" applyFont="1" applyFill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/>
    </xf>
    <xf numFmtId="0" fontId="53" fillId="0" borderId="11" xfId="4" applyFont="1" applyFill="1" applyBorder="1" applyAlignment="1">
      <alignment horizontal="center" vertical="top"/>
    </xf>
    <xf numFmtId="0" fontId="33" fillId="8" borderId="43" xfId="4" applyFont="1" applyFill="1" applyBorder="1" applyAlignment="1">
      <alignment horizontal="center" vertical="top"/>
    </xf>
    <xf numFmtId="0" fontId="52" fillId="0" borderId="140" xfId="0" applyFont="1" applyBorder="1" applyAlignment="1">
      <alignment horizontal="center" vertical="center" wrapText="1"/>
    </xf>
    <xf numFmtId="3" fontId="53" fillId="22" borderId="134" xfId="4" applyNumberFormat="1" applyFont="1" applyFill="1" applyBorder="1" applyAlignment="1">
      <alignment horizontal="center" vertical="center"/>
    </xf>
    <xf numFmtId="0" fontId="54" fillId="0" borderId="140" xfId="4" applyFont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/>
    </xf>
    <xf numFmtId="3" fontId="54" fillId="22" borderId="35" xfId="0" applyNumberFormat="1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6" fillId="0" borderId="67" xfId="4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6" fillId="2" borderId="11" xfId="0" applyFont="1" applyFill="1" applyBorder="1" applyAlignment="1">
      <alignment horizontal="center" vertical="center"/>
    </xf>
    <xf numFmtId="0" fontId="33" fillId="0" borderId="107" xfId="0" applyFont="1" applyFill="1" applyBorder="1" applyAlignment="1">
      <alignment horizontal="center" vertical="center" wrapText="1"/>
    </xf>
    <xf numFmtId="0" fontId="0" fillId="0" borderId="68" xfId="0" applyFont="1" applyBorder="1"/>
    <xf numFmtId="0" fontId="61" fillId="0" borderId="141" xfId="0" applyFont="1" applyBorder="1" applyAlignment="1">
      <alignment horizontal="center" vertical="center"/>
    </xf>
    <xf numFmtId="0" fontId="0" fillId="0" borderId="26" xfId="0" applyFont="1" applyBorder="1"/>
    <xf numFmtId="0" fontId="10" fillId="2" borderId="0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3" fontId="22" fillId="10" borderId="99" xfId="0" applyNumberFormat="1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 wrapText="1"/>
    </xf>
    <xf numFmtId="3" fontId="22" fillId="10" borderId="33" xfId="0" applyNumberFormat="1" applyFont="1" applyFill="1" applyBorder="1" applyAlignment="1">
      <alignment horizontal="center" vertical="center" wrapText="1"/>
    </xf>
    <xf numFmtId="0" fontId="8" fillId="10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 wrapText="1"/>
    </xf>
    <xf numFmtId="0" fontId="15" fillId="15" borderId="23" xfId="0" applyFont="1" applyFill="1" applyBorder="1" applyAlignment="1">
      <alignment horizontal="center" vertical="center" wrapText="1"/>
    </xf>
    <xf numFmtId="0" fontId="15" fillId="16" borderId="4" xfId="0" applyFont="1" applyFill="1" applyBorder="1" applyAlignment="1">
      <alignment horizontal="center" wrapText="1"/>
    </xf>
    <xf numFmtId="0" fontId="15" fillId="16" borderId="23" xfId="0" applyFont="1" applyFill="1" applyBorder="1" applyAlignment="1">
      <alignment horizont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center" vertical="center" wrapText="1"/>
    </xf>
    <xf numFmtId="3" fontId="17" fillId="2" borderId="26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101" fillId="0" borderId="113" xfId="0" applyFont="1" applyBorder="1" applyAlignment="1">
      <alignment horizontal="center"/>
    </xf>
    <xf numFmtId="0" fontId="101" fillId="0" borderId="109" xfId="0" applyFont="1" applyBorder="1" applyAlignment="1">
      <alignment horizontal="center"/>
    </xf>
    <xf numFmtId="0" fontId="107" fillId="0" borderId="8" xfId="0" applyFont="1" applyBorder="1" applyAlignment="1">
      <alignment horizontal="center"/>
    </xf>
    <xf numFmtId="0" fontId="116" fillId="0" borderId="114" xfId="5" applyFont="1" applyBorder="1" applyAlignment="1">
      <alignment horizontal="center" vertical="center" wrapText="1"/>
    </xf>
    <xf numFmtId="0" fontId="116" fillId="0" borderId="110" xfId="5" applyFont="1" applyBorder="1" applyAlignment="1">
      <alignment horizontal="center" vertical="center" wrapText="1"/>
    </xf>
    <xf numFmtId="0" fontId="116" fillId="0" borderId="105" xfId="5" applyFont="1" applyBorder="1" applyAlignment="1">
      <alignment horizontal="center" vertical="center" wrapText="1"/>
    </xf>
    <xf numFmtId="0" fontId="117" fillId="0" borderId="114" xfId="5" applyFont="1" applyBorder="1" applyAlignment="1">
      <alignment horizontal="left" vertical="center" wrapText="1"/>
    </xf>
    <xf numFmtId="0" fontId="117" fillId="0" borderId="110" xfId="5" applyFont="1" applyBorder="1" applyAlignment="1">
      <alignment horizontal="left" vertical="center" wrapText="1"/>
    </xf>
    <xf numFmtId="0" fontId="117" fillId="0" borderId="105" xfId="5" applyFont="1" applyBorder="1" applyAlignment="1">
      <alignment horizontal="left" vertical="center" wrapText="1"/>
    </xf>
    <xf numFmtId="0" fontId="110" fillId="20" borderId="114" xfId="5" applyFont="1" applyFill="1" applyBorder="1" applyAlignment="1">
      <alignment horizontal="center" vertical="center"/>
    </xf>
    <xf numFmtId="0" fontId="110" fillId="20" borderId="110" xfId="5" applyFont="1" applyFill="1" applyBorder="1" applyAlignment="1">
      <alignment horizontal="center" vertical="center"/>
    </xf>
    <xf numFmtId="0" fontId="110" fillId="20" borderId="105" xfId="5" applyFont="1" applyFill="1" applyBorder="1" applyAlignment="1">
      <alignment horizontal="center" vertical="center"/>
    </xf>
    <xf numFmtId="0" fontId="53" fillId="2" borderId="5" xfId="4" applyFont="1" applyFill="1" applyBorder="1" applyAlignment="1">
      <alignment horizontal="center" vertical="center"/>
    </xf>
    <xf numFmtId="0" fontId="53" fillId="2" borderId="11" xfId="4" applyFont="1" applyFill="1" applyBorder="1" applyAlignment="1">
      <alignment horizontal="center" vertical="center"/>
    </xf>
    <xf numFmtId="0" fontId="53" fillId="2" borderId="25" xfId="4" applyFont="1" applyFill="1" applyBorder="1" applyAlignment="1">
      <alignment horizontal="center" vertical="center"/>
    </xf>
    <xf numFmtId="3" fontId="47" fillId="0" borderId="42" xfId="4" applyNumberFormat="1" applyFont="1" applyFill="1" applyBorder="1" applyAlignment="1">
      <alignment horizontal="center" vertical="center" wrapText="1"/>
    </xf>
    <xf numFmtId="3" fontId="47" fillId="0" borderId="43" xfId="4" applyNumberFormat="1" applyFont="1" applyFill="1" applyBorder="1" applyAlignment="1">
      <alignment horizontal="center" vertical="center" wrapText="1"/>
    </xf>
    <xf numFmtId="3" fontId="47" fillId="0" borderId="41" xfId="4" applyNumberFormat="1" applyFont="1" applyFill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/>
    </xf>
    <xf numFmtId="0" fontId="52" fillId="0" borderId="22" xfId="0" applyFont="1" applyBorder="1" applyAlignment="1">
      <alignment horizontal="center" vertical="center"/>
    </xf>
    <xf numFmtId="3" fontId="54" fillId="2" borderId="107" xfId="4" applyNumberFormat="1" applyFont="1" applyFill="1" applyBorder="1" applyAlignment="1">
      <alignment horizontal="center" vertical="center" wrapText="1"/>
    </xf>
    <xf numFmtId="3" fontId="54" fillId="2" borderId="6" xfId="4" applyNumberFormat="1" applyFont="1" applyFill="1" applyBorder="1" applyAlignment="1">
      <alignment horizontal="center" vertical="center" wrapText="1"/>
    </xf>
    <xf numFmtId="3" fontId="54" fillId="2" borderId="22" xfId="4" applyNumberFormat="1" applyFont="1" applyFill="1" applyBorder="1" applyAlignment="1">
      <alignment horizontal="center" vertical="center" wrapText="1"/>
    </xf>
    <xf numFmtId="0" fontId="46" fillId="0" borderId="5" xfId="4" applyFont="1" applyFill="1" applyBorder="1" applyAlignment="1">
      <alignment horizontal="center" vertical="center"/>
    </xf>
    <xf numFmtId="0" fontId="46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47" fillId="0" borderId="46" xfId="4" applyNumberFormat="1" applyFont="1" applyFill="1" applyBorder="1" applyAlignment="1">
      <alignment horizontal="center" vertical="center" wrapText="1"/>
    </xf>
    <xf numFmtId="3" fontId="54" fillId="2" borderId="73" xfId="4" applyNumberFormat="1" applyFont="1" applyFill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51" fillId="0" borderId="82" xfId="0" applyFont="1" applyBorder="1" applyAlignment="1">
      <alignment horizontal="center" vertical="center" wrapText="1"/>
    </xf>
    <xf numFmtId="0" fontId="51" fillId="0" borderId="43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61" fillId="0" borderId="22" xfId="0" applyFont="1" applyBorder="1" applyAlignment="1">
      <alignment horizontal="center" vertical="center" wrapText="1"/>
    </xf>
    <xf numFmtId="0" fontId="55" fillId="0" borderId="107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51" fillId="0" borderId="111" xfId="0" applyFont="1" applyBorder="1" applyAlignment="1">
      <alignment horizontal="center" vertical="center" wrapText="1"/>
    </xf>
    <xf numFmtId="0" fontId="46" fillId="27" borderId="5" xfId="4" applyFont="1" applyFill="1" applyBorder="1" applyAlignment="1">
      <alignment horizontal="center" vertical="top"/>
    </xf>
    <xf numFmtId="0" fontId="46" fillId="27" borderId="11" xfId="4" applyFont="1" applyFill="1" applyBorder="1" applyAlignment="1">
      <alignment horizontal="center" vertical="top"/>
    </xf>
    <xf numFmtId="0" fontId="46" fillId="27" borderId="25" xfId="4" applyFont="1" applyFill="1" applyBorder="1" applyAlignment="1">
      <alignment horizontal="center" vertical="top"/>
    </xf>
    <xf numFmtId="3" fontId="47" fillId="27" borderId="42" xfId="4" applyNumberFormat="1" applyFont="1" applyFill="1" applyBorder="1" applyAlignment="1">
      <alignment horizontal="center" vertical="top" wrapText="1"/>
    </xf>
    <xf numFmtId="3" fontId="47" fillId="27" borderId="43" xfId="4" applyNumberFormat="1" applyFont="1" applyFill="1" applyBorder="1" applyAlignment="1">
      <alignment horizontal="center" vertical="top" wrapText="1"/>
    </xf>
    <xf numFmtId="0" fontId="0" fillId="0" borderId="26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55" fillId="0" borderId="5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53" fillId="0" borderId="5" xfId="4" applyFont="1" applyFill="1" applyBorder="1" applyAlignment="1">
      <alignment horizontal="center" vertical="top"/>
    </xf>
    <xf numFmtId="0" fontId="53" fillId="0" borderId="11" xfId="4" applyFont="1" applyFill="1" applyBorder="1" applyAlignment="1">
      <alignment horizontal="center" vertical="top"/>
    </xf>
    <xf numFmtId="0" fontId="33" fillId="8" borderId="43" xfId="4" applyFont="1" applyFill="1" applyBorder="1" applyAlignment="1">
      <alignment horizontal="center" vertical="top"/>
    </xf>
    <xf numFmtId="0" fontId="33" fillId="8" borderId="41" xfId="4" applyFont="1" applyFill="1" applyBorder="1" applyAlignment="1">
      <alignment horizontal="center" vertical="top"/>
    </xf>
    <xf numFmtId="0" fontId="53" fillId="0" borderId="5" xfId="4" applyFont="1" applyFill="1" applyBorder="1" applyAlignment="1">
      <alignment horizontal="center" vertical="center"/>
    </xf>
    <xf numFmtId="0" fontId="53" fillId="0" borderId="11" xfId="4" applyFont="1" applyFill="1" applyBorder="1" applyAlignment="1">
      <alignment horizontal="center" vertical="center"/>
    </xf>
    <xf numFmtId="0" fontId="53" fillId="0" borderId="25" xfId="4" applyFont="1" applyFill="1" applyBorder="1" applyAlignment="1">
      <alignment horizontal="center" vertical="center"/>
    </xf>
    <xf numFmtId="3" fontId="47" fillId="0" borderId="42" xfId="4" applyNumberFormat="1" applyFont="1" applyFill="1" applyBorder="1" applyAlignment="1">
      <alignment horizontal="center" vertical="center"/>
    </xf>
    <xf numFmtId="3" fontId="47" fillId="0" borderId="43" xfId="4" applyNumberFormat="1" applyFont="1" applyFill="1" applyBorder="1" applyAlignment="1">
      <alignment horizontal="center" vertical="center"/>
    </xf>
    <xf numFmtId="3" fontId="47" fillId="0" borderId="41" xfId="4" applyNumberFormat="1" applyFont="1" applyFill="1" applyBorder="1" applyAlignment="1">
      <alignment horizontal="center" vertical="center"/>
    </xf>
    <xf numFmtId="3" fontId="54" fillId="26" borderId="178" xfId="4" applyNumberFormat="1" applyFont="1" applyFill="1" applyBorder="1" applyAlignment="1">
      <alignment horizontal="center" vertical="center"/>
    </xf>
    <xf numFmtId="3" fontId="54" fillId="26" borderId="27" xfId="4" applyNumberFormat="1" applyFont="1" applyFill="1" applyBorder="1" applyAlignment="1">
      <alignment horizontal="center" vertical="center"/>
    </xf>
    <xf numFmtId="3" fontId="54" fillId="26" borderId="23" xfId="4" applyNumberFormat="1" applyFont="1" applyFill="1" applyBorder="1" applyAlignment="1">
      <alignment horizontal="center" vertical="center"/>
    </xf>
    <xf numFmtId="3" fontId="54" fillId="26" borderId="63" xfId="4" applyNumberFormat="1" applyFont="1" applyFill="1" applyBorder="1" applyAlignment="1">
      <alignment horizontal="center" vertical="center"/>
    </xf>
    <xf numFmtId="3" fontId="54" fillId="26" borderId="13" xfId="4" applyNumberFormat="1" applyFont="1" applyFill="1" applyBorder="1" applyAlignment="1">
      <alignment horizontal="center" vertical="center"/>
    </xf>
    <xf numFmtId="3" fontId="54" fillId="26" borderId="12" xfId="4" applyNumberFormat="1" applyFont="1" applyFill="1" applyBorder="1" applyAlignment="1">
      <alignment horizontal="center" vertical="center"/>
    </xf>
    <xf numFmtId="3" fontId="54" fillId="26" borderId="121" xfId="4" applyNumberFormat="1" applyFont="1" applyFill="1" applyBorder="1" applyAlignment="1">
      <alignment horizontal="center" vertical="center"/>
    </xf>
    <xf numFmtId="0" fontId="47" fillId="0" borderId="43" xfId="4" applyFont="1" applyFill="1" applyBorder="1" applyAlignment="1">
      <alignment horizontal="center" vertical="center" wrapText="1"/>
    </xf>
    <xf numFmtId="0" fontId="47" fillId="0" borderId="46" xfId="4" applyFont="1" applyFill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3" fontId="53" fillId="26" borderId="121" xfId="4" applyNumberFormat="1" applyFont="1" applyFill="1" applyBorder="1" applyAlignment="1">
      <alignment horizontal="center" vertical="center"/>
    </xf>
    <xf numFmtId="3" fontId="53" fillId="26" borderId="13" xfId="4" applyNumberFormat="1" applyFont="1" applyFill="1" applyBorder="1" applyAlignment="1">
      <alignment horizontal="center" vertical="center"/>
    </xf>
    <xf numFmtId="3" fontId="53" fillId="26" borderId="12" xfId="4" applyNumberFormat="1" applyFont="1" applyFill="1" applyBorder="1" applyAlignment="1">
      <alignment horizontal="center" vertical="center"/>
    </xf>
    <xf numFmtId="0" fontId="61" fillId="0" borderId="111" xfId="0" applyFont="1" applyBorder="1" applyAlignment="1">
      <alignment horizontal="center" vertical="center" wrapText="1"/>
    </xf>
    <xf numFmtId="0" fontId="61" fillId="0" borderId="43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54" fillId="2" borderId="107" xfId="4" applyFont="1" applyFill="1" applyBorder="1" applyAlignment="1">
      <alignment horizontal="center" vertical="center" wrapText="1"/>
    </xf>
    <xf numFmtId="0" fontId="61" fillId="0" borderId="6" xfId="0" applyFont="1" applyBorder="1" applyAlignment="1">
      <alignment wrapText="1"/>
    </xf>
    <xf numFmtId="0" fontId="61" fillId="0" borderId="22" xfId="0" applyFont="1" applyBorder="1" applyAlignment="1">
      <alignment wrapText="1"/>
    </xf>
    <xf numFmtId="0" fontId="46" fillId="0" borderId="25" xfId="4" applyFont="1" applyFill="1" applyBorder="1" applyAlignment="1">
      <alignment horizontal="center" vertical="center"/>
    </xf>
    <xf numFmtId="0" fontId="47" fillId="0" borderId="41" xfId="4" applyFont="1" applyFill="1" applyBorder="1" applyAlignment="1">
      <alignment horizontal="center" vertical="center" wrapText="1"/>
    </xf>
    <xf numFmtId="3" fontId="53" fillId="2" borderId="107" xfId="4" applyNumberFormat="1" applyFont="1" applyFill="1" applyBorder="1" applyAlignment="1">
      <alignment horizontal="center" vertical="center" wrapText="1"/>
    </xf>
    <xf numFmtId="3" fontId="53" fillId="2" borderId="22" xfId="4" applyNumberFormat="1" applyFont="1" applyFill="1" applyBorder="1" applyAlignment="1">
      <alignment horizontal="center" vertical="center" wrapText="1"/>
    </xf>
    <xf numFmtId="3" fontId="54" fillId="26" borderId="103" xfId="4" applyNumberFormat="1" applyFont="1" applyFill="1" applyBorder="1" applyAlignment="1">
      <alignment horizontal="center" vertical="center"/>
    </xf>
    <xf numFmtId="3" fontId="53" fillId="26" borderId="63" xfId="4" applyNumberFormat="1" applyFont="1" applyFill="1" applyBorder="1" applyAlignment="1">
      <alignment horizontal="center" vertical="center"/>
    </xf>
    <xf numFmtId="0" fontId="61" fillId="0" borderId="82" xfId="0" applyFont="1" applyBorder="1" applyAlignment="1">
      <alignment horizontal="center" vertical="center" wrapText="1"/>
    </xf>
    <xf numFmtId="0" fontId="54" fillId="2" borderId="73" xfId="4" applyFont="1" applyFill="1" applyBorder="1" applyAlignment="1">
      <alignment horizontal="center" vertical="center" wrapText="1"/>
    </xf>
    <xf numFmtId="3" fontId="54" fillId="2" borderId="20" xfId="4" applyNumberFormat="1" applyFont="1" applyFill="1" applyBorder="1" applyAlignment="1">
      <alignment horizontal="center" vertical="center" wrapText="1"/>
    </xf>
    <xf numFmtId="0" fontId="47" fillId="0" borderId="82" xfId="4" applyFont="1" applyFill="1" applyBorder="1" applyAlignment="1">
      <alignment horizontal="center" vertical="center" wrapText="1"/>
    </xf>
    <xf numFmtId="0" fontId="46" fillId="0" borderId="5" xfId="4" applyFont="1" applyFill="1" applyBorder="1" applyAlignment="1">
      <alignment horizontal="center" vertical="center" wrapText="1"/>
    </xf>
    <xf numFmtId="0" fontId="46" fillId="0" borderId="11" xfId="4" applyFont="1" applyFill="1" applyBorder="1" applyAlignment="1">
      <alignment horizontal="center" vertical="center" wrapText="1"/>
    </xf>
    <xf numFmtId="0" fontId="46" fillId="0" borderId="25" xfId="4" applyFont="1" applyFill="1" applyBorder="1" applyAlignment="1">
      <alignment horizontal="center" vertical="center" wrapText="1"/>
    </xf>
    <xf numFmtId="0" fontId="51" fillId="0" borderId="123" xfId="0" applyFont="1" applyBorder="1" applyAlignment="1">
      <alignment horizontal="center" vertical="center" wrapText="1"/>
    </xf>
    <xf numFmtId="3" fontId="54" fillId="2" borderId="125" xfId="4" applyNumberFormat="1" applyFont="1" applyFill="1" applyBorder="1" applyAlignment="1">
      <alignment horizontal="center" vertical="center" wrapText="1"/>
    </xf>
    <xf numFmtId="0" fontId="45" fillId="2" borderId="0" xfId="4" applyFont="1" applyFill="1" applyBorder="1" applyAlignment="1">
      <alignment horizontal="left" vertical="center" wrapText="1"/>
    </xf>
    <xf numFmtId="0" fontId="47" fillId="0" borderId="14" xfId="4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47" fillId="0" borderId="15" xfId="4" applyFont="1" applyBorder="1" applyAlignment="1">
      <alignment horizontal="center" vertical="center" wrapText="1"/>
    </xf>
    <xf numFmtId="0" fontId="51" fillId="0" borderId="13" xfId="6" applyFont="1" applyBorder="1" applyAlignment="1">
      <alignment horizontal="center" vertical="center" wrapText="1"/>
    </xf>
    <xf numFmtId="0" fontId="51" fillId="0" borderId="12" xfId="6" applyFont="1" applyBorder="1" applyAlignment="1">
      <alignment horizontal="center" vertical="center" wrapText="1"/>
    </xf>
    <xf numFmtId="0" fontId="50" fillId="0" borderId="66" xfId="4" applyFont="1" applyBorder="1" applyAlignment="1">
      <alignment horizontal="center" vertical="center" wrapText="1"/>
    </xf>
    <xf numFmtId="0" fontId="50" fillId="0" borderId="67" xfId="4" applyFont="1" applyBorder="1" applyAlignment="1">
      <alignment horizontal="center" vertical="center" wrapText="1"/>
    </xf>
    <xf numFmtId="0" fontId="50" fillId="0" borderId="69" xfId="4" applyFont="1" applyBorder="1" applyAlignment="1">
      <alignment horizontal="center" vertical="center" wrapText="1"/>
    </xf>
    <xf numFmtId="0" fontId="47" fillId="8" borderId="5" xfId="4" applyFont="1" applyFill="1" applyBorder="1" applyAlignment="1">
      <alignment horizontal="center" vertical="top" wrapText="1"/>
    </xf>
    <xf numFmtId="0" fontId="47" fillId="8" borderId="11" xfId="4" applyFont="1" applyFill="1" applyBorder="1" applyAlignment="1">
      <alignment horizontal="center" vertical="top" wrapText="1"/>
    </xf>
    <xf numFmtId="0" fontId="0" fillId="0" borderId="25" xfId="0" applyFont="1" applyBorder="1"/>
    <xf numFmtId="0" fontId="49" fillId="19" borderId="15" xfId="4" applyFont="1" applyFill="1" applyBorder="1" applyAlignment="1">
      <alignment horizontal="center" vertical="center" wrapText="1"/>
    </xf>
    <xf numFmtId="0" fontId="0" fillId="19" borderId="13" xfId="0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54" fillId="23" borderId="63" xfId="4" applyNumberFormat="1" applyFont="1" applyFill="1" applyBorder="1" applyAlignment="1">
      <alignment horizontal="center" vertical="center"/>
    </xf>
    <xf numFmtId="3" fontId="54" fillId="23" borderId="13" xfId="4" applyNumberFormat="1" applyFont="1" applyFill="1" applyBorder="1" applyAlignment="1">
      <alignment horizontal="center" vertical="center"/>
    </xf>
    <xf numFmtId="3" fontId="54" fillId="23" borderId="12" xfId="4" applyNumberFormat="1" applyFont="1" applyFill="1" applyBorder="1" applyAlignment="1">
      <alignment horizontal="center" vertical="center"/>
    </xf>
    <xf numFmtId="0" fontId="53" fillId="2" borderId="2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4" fillId="2" borderId="15" xfId="0" applyFont="1" applyFill="1" applyBorder="1" applyAlignment="1">
      <alignment horizontal="center" vertical="center" wrapText="1"/>
    </xf>
    <xf numFmtId="0" fontId="54" fillId="2" borderId="35" xfId="0" applyFont="1" applyFill="1" applyBorder="1" applyAlignment="1">
      <alignment horizontal="center" vertical="center" wrapText="1"/>
    </xf>
    <xf numFmtId="0" fontId="54" fillId="0" borderId="2" xfId="4" applyFont="1" applyBorder="1" applyAlignment="1">
      <alignment horizontal="center" vertical="center" wrapText="1"/>
    </xf>
    <xf numFmtId="0" fontId="54" fillId="0" borderId="3" xfId="4" applyFont="1" applyBorder="1" applyAlignment="1">
      <alignment horizontal="center" vertical="center" wrapText="1"/>
    </xf>
    <xf numFmtId="0" fontId="54" fillId="0" borderId="4" xfId="4" applyFont="1" applyBorder="1" applyAlignment="1">
      <alignment horizontal="center" vertical="center" wrapText="1"/>
    </xf>
    <xf numFmtId="0" fontId="54" fillId="0" borderId="7" xfId="4" applyFont="1" applyBorder="1" applyAlignment="1">
      <alignment horizontal="center" vertical="center" wrapText="1"/>
    </xf>
    <xf numFmtId="0" fontId="54" fillId="0" borderId="8" xfId="4" applyFont="1" applyBorder="1" applyAlignment="1">
      <alignment horizontal="center" vertical="center" wrapText="1"/>
    </xf>
    <xf numFmtId="0" fontId="54" fillId="0" borderId="9" xfId="4" applyFont="1" applyBorder="1" applyAlignment="1">
      <alignment horizontal="center" vertical="center" wrapText="1"/>
    </xf>
    <xf numFmtId="0" fontId="47" fillId="0" borderId="42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3" fontId="54" fillId="2" borderId="144" xfId="4" applyNumberFormat="1" applyFont="1" applyFill="1" applyBorder="1" applyAlignment="1">
      <alignment horizontal="center" vertical="center" wrapText="1"/>
    </xf>
    <xf numFmtId="0" fontId="54" fillId="2" borderId="144" xfId="4" applyFont="1" applyFill="1" applyBorder="1" applyAlignment="1">
      <alignment horizontal="center" vertical="center" wrapText="1"/>
    </xf>
    <xf numFmtId="0" fontId="54" fillId="2" borderId="6" xfId="4" applyFont="1" applyFill="1" applyBorder="1" applyAlignment="1">
      <alignment horizontal="center" vertical="center" wrapText="1"/>
    </xf>
    <xf numFmtId="3" fontId="61" fillId="25" borderId="103" xfId="6" applyNumberFormat="1" applyFont="1" applyFill="1" applyBorder="1" applyAlignment="1">
      <alignment horizontal="center" vertical="center"/>
    </xf>
    <xf numFmtId="3" fontId="61" fillId="25" borderId="13" xfId="6" applyNumberFormat="1" applyFont="1" applyFill="1" applyBorder="1" applyAlignment="1">
      <alignment horizontal="center" vertical="center"/>
    </xf>
    <xf numFmtId="3" fontId="61" fillId="25" borderId="12" xfId="6" applyNumberFormat="1" applyFont="1" applyFill="1" applyBorder="1" applyAlignment="1">
      <alignment horizontal="center" vertical="center"/>
    </xf>
    <xf numFmtId="0" fontId="54" fillId="0" borderId="73" xfId="4" applyFont="1" applyFill="1" applyBorder="1" applyAlignment="1">
      <alignment horizontal="center" vertical="center"/>
    </xf>
    <xf numFmtId="0" fontId="54" fillId="0" borderId="20" xfId="4" applyFont="1" applyFill="1" applyBorder="1" applyAlignment="1">
      <alignment horizontal="center" vertical="center"/>
    </xf>
    <xf numFmtId="0" fontId="53" fillId="13" borderId="5" xfId="4" applyFont="1" applyFill="1" applyBorder="1" applyAlignment="1">
      <alignment horizontal="center" vertical="top"/>
    </xf>
    <xf numFmtId="0" fontId="53" fillId="13" borderId="11" xfId="4" applyFont="1" applyFill="1" applyBorder="1" applyAlignment="1">
      <alignment horizontal="center" vertical="top"/>
    </xf>
    <xf numFmtId="0" fontId="61" fillId="0" borderId="11" xfId="0" applyFont="1" applyBorder="1" applyAlignment="1">
      <alignment horizontal="center" vertical="top"/>
    </xf>
    <xf numFmtId="0" fontId="61" fillId="0" borderId="25" xfId="0" applyFont="1" applyBorder="1" applyAlignment="1">
      <alignment horizontal="center" vertical="top"/>
    </xf>
    <xf numFmtId="0" fontId="47" fillId="13" borderId="42" xfId="4" applyFont="1" applyFill="1" applyBorder="1" applyAlignment="1">
      <alignment horizontal="center" vertical="center" wrapText="1"/>
    </xf>
    <xf numFmtId="0" fontId="47" fillId="13" borderId="43" xfId="4" applyFont="1" applyFill="1" applyBorder="1" applyAlignment="1">
      <alignment horizontal="center" vertical="center" wrapText="1"/>
    </xf>
    <xf numFmtId="0" fontId="51" fillId="0" borderId="42" xfId="0" applyFont="1" applyBorder="1" applyAlignment="1">
      <alignment horizontal="center" vertical="center" wrapText="1"/>
    </xf>
    <xf numFmtId="3" fontId="53" fillId="26" borderId="103" xfId="4" applyNumberFormat="1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61" fillId="0" borderId="11" xfId="0" applyFont="1" applyFill="1" applyBorder="1" applyAlignment="1">
      <alignment vertical="center"/>
    </xf>
    <xf numFmtId="0" fontId="61" fillId="0" borderId="25" xfId="0" applyFont="1" applyFill="1" applyBorder="1" applyAlignment="1">
      <alignment vertical="center"/>
    </xf>
    <xf numFmtId="0" fontId="47" fillId="0" borderId="42" xfId="0" applyFont="1" applyFill="1" applyBorder="1" applyAlignment="1">
      <alignment horizontal="center" vertical="center" wrapText="1"/>
    </xf>
    <xf numFmtId="0" fontId="47" fillId="0" borderId="43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61" fillId="0" borderId="22" xfId="0" applyFont="1" applyBorder="1" applyAlignment="1">
      <alignment horizontal="center" vertical="center"/>
    </xf>
    <xf numFmtId="0" fontId="47" fillId="0" borderId="49" xfId="4" applyFont="1" applyFill="1" applyBorder="1" applyAlignment="1">
      <alignment horizontal="center" vertical="center" wrapText="1"/>
    </xf>
    <xf numFmtId="0" fontId="47" fillId="0" borderId="48" xfId="4" applyFont="1" applyFill="1" applyBorder="1" applyAlignment="1">
      <alignment horizontal="center" vertical="center" wrapText="1"/>
    </xf>
    <xf numFmtId="0" fontId="53" fillId="0" borderId="5" xfId="4" applyFont="1" applyFill="1" applyBorder="1" applyAlignment="1">
      <alignment horizontal="center" vertical="center" wrapText="1"/>
    </xf>
    <xf numFmtId="0" fontId="53" fillId="0" borderId="11" xfId="4" applyFont="1" applyFill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25" xfId="0" applyFont="1" applyBorder="1" applyAlignment="1">
      <alignment horizontal="center" vertical="center" wrapText="1"/>
    </xf>
    <xf numFmtId="0" fontId="51" fillId="0" borderId="43" xfId="0" applyFont="1" applyBorder="1" applyAlignment="1">
      <alignment vertical="center" wrapText="1"/>
    </xf>
    <xf numFmtId="0" fontId="51" fillId="0" borderId="41" xfId="0" applyFont="1" applyBorder="1" applyAlignment="1">
      <alignment vertical="center" wrapText="1"/>
    </xf>
    <xf numFmtId="3" fontId="54" fillId="2" borderId="92" xfId="4" applyNumberFormat="1" applyFont="1" applyFill="1" applyBorder="1" applyAlignment="1">
      <alignment horizontal="center" vertical="center" wrapText="1"/>
    </xf>
    <xf numFmtId="3" fontId="54" fillId="25" borderId="96" xfId="4" applyNumberFormat="1" applyFont="1" applyFill="1" applyBorder="1" applyAlignment="1">
      <alignment horizontal="center" vertical="center"/>
    </xf>
    <xf numFmtId="3" fontId="54" fillId="25" borderId="13" xfId="4" applyNumberFormat="1" applyFont="1" applyFill="1" applyBorder="1" applyAlignment="1">
      <alignment horizontal="center" vertical="center"/>
    </xf>
    <xf numFmtId="3" fontId="54" fillId="25" borderId="12" xfId="4" applyNumberFormat="1" applyFont="1" applyFill="1" applyBorder="1" applyAlignment="1">
      <alignment horizontal="center" vertical="center"/>
    </xf>
    <xf numFmtId="0" fontId="53" fillId="27" borderId="5" xfId="4" applyFont="1" applyFill="1" applyBorder="1" applyAlignment="1">
      <alignment horizontal="center" vertical="top" wrapText="1"/>
    </xf>
    <xf numFmtId="0" fontId="53" fillId="27" borderId="11" xfId="4" applyFont="1" applyFill="1" applyBorder="1" applyAlignment="1">
      <alignment horizontal="center" vertical="top" wrapText="1"/>
    </xf>
    <xf numFmtId="0" fontId="53" fillId="27" borderId="25" xfId="4" applyFont="1" applyFill="1" applyBorder="1" applyAlignment="1">
      <alignment horizontal="center" vertical="top" wrapText="1"/>
    </xf>
    <xf numFmtId="0" fontId="53" fillId="27" borderId="66" xfId="4" applyFont="1" applyFill="1" applyBorder="1" applyAlignment="1">
      <alignment horizontal="center" vertical="center" wrapText="1"/>
    </xf>
    <xf numFmtId="0" fontId="53" fillId="27" borderId="67" xfId="4" applyFont="1" applyFill="1" applyBorder="1" applyAlignment="1">
      <alignment horizontal="center" vertical="center" wrapText="1"/>
    </xf>
    <xf numFmtId="0" fontId="53" fillId="27" borderId="69" xfId="4" applyFont="1" applyFill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3" fontId="47" fillId="0" borderId="82" xfId="4" applyNumberFormat="1" applyFont="1" applyFill="1" applyBorder="1" applyAlignment="1">
      <alignment horizontal="center" vertical="center" wrapText="1"/>
    </xf>
    <xf numFmtId="43" fontId="53" fillId="22" borderId="121" xfId="1" applyFont="1" applyFill="1" applyBorder="1" applyAlignment="1">
      <alignment horizontal="center" vertical="center"/>
    </xf>
    <xf numFmtId="43" fontId="53" fillId="22" borderId="13" xfId="1" applyFont="1" applyFill="1" applyBorder="1" applyAlignment="1">
      <alignment horizontal="center" vertical="center"/>
    </xf>
    <xf numFmtId="43" fontId="53" fillId="22" borderId="12" xfId="1" applyFont="1" applyFill="1" applyBorder="1" applyAlignment="1">
      <alignment horizontal="center" vertical="center"/>
    </xf>
    <xf numFmtId="3" fontId="47" fillId="0" borderId="111" xfId="4" applyNumberFormat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42" fillId="0" borderId="3" xfId="4" applyFont="1" applyFill="1" applyBorder="1" applyAlignment="1">
      <alignment horizontal="left" vertical="center"/>
    </xf>
    <xf numFmtId="3" fontId="54" fillId="25" borderId="63" xfId="4" applyNumberFormat="1" applyFont="1" applyFill="1" applyBorder="1" applyAlignment="1">
      <alignment horizontal="center" vertical="center"/>
    </xf>
    <xf numFmtId="3" fontId="53" fillId="26" borderId="62" xfId="4" applyNumberFormat="1" applyFont="1" applyFill="1" applyBorder="1" applyAlignment="1">
      <alignment horizontal="center" vertical="center"/>
    </xf>
    <xf numFmtId="3" fontId="53" fillId="26" borderId="10" xfId="4" applyNumberFormat="1" applyFont="1" applyFill="1" applyBorder="1" applyAlignment="1">
      <alignment horizontal="center" vertical="center"/>
    </xf>
    <xf numFmtId="3" fontId="53" fillId="26" borderId="74" xfId="4" applyNumberFormat="1" applyFont="1" applyFill="1" applyBorder="1" applyAlignment="1">
      <alignment horizontal="center" vertical="center"/>
    </xf>
    <xf numFmtId="3" fontId="60" fillId="26" borderId="121" xfId="4" applyNumberFormat="1" applyFont="1" applyFill="1" applyBorder="1" applyAlignment="1">
      <alignment horizontal="center" vertical="center"/>
    </xf>
    <xf numFmtId="3" fontId="60" fillId="26" borderId="13" xfId="4" applyNumberFormat="1" applyFont="1" applyFill="1" applyBorder="1" applyAlignment="1">
      <alignment horizontal="center" vertical="center"/>
    </xf>
    <xf numFmtId="3" fontId="60" fillId="26" borderId="12" xfId="4" applyNumberFormat="1" applyFont="1" applyFill="1" applyBorder="1" applyAlignment="1">
      <alignment horizontal="center" vertical="center"/>
    </xf>
    <xf numFmtId="3" fontId="60" fillId="26" borderId="63" xfId="4" applyNumberFormat="1" applyFont="1" applyFill="1" applyBorder="1" applyAlignment="1">
      <alignment horizontal="center" vertical="center"/>
    </xf>
    <xf numFmtId="43" fontId="53" fillId="22" borderId="98" xfId="1" applyFont="1" applyFill="1" applyBorder="1" applyAlignment="1">
      <alignment horizontal="center" vertical="center"/>
    </xf>
    <xf numFmtId="43" fontId="53" fillId="22" borderId="10" xfId="1" applyFont="1" applyFill="1" applyBorder="1" applyAlignment="1">
      <alignment horizontal="center" vertical="center"/>
    </xf>
    <xf numFmtId="43" fontId="53" fillId="22" borderId="74" xfId="1" applyFont="1" applyFill="1" applyBorder="1" applyAlignment="1">
      <alignment horizontal="center" vertical="center"/>
    </xf>
    <xf numFmtId="3" fontId="54" fillId="26" borderId="133" xfId="4" applyNumberFormat="1" applyFont="1" applyFill="1" applyBorder="1" applyAlignment="1">
      <alignment horizontal="center" vertical="center"/>
    </xf>
    <xf numFmtId="3" fontId="53" fillId="26" borderId="109" xfId="4" applyNumberFormat="1" applyFont="1" applyFill="1" applyBorder="1" applyAlignment="1">
      <alignment horizontal="center" vertical="center"/>
    </xf>
    <xf numFmtId="3" fontId="53" fillId="26" borderId="27" xfId="4" applyNumberFormat="1" applyFont="1" applyFill="1" applyBorder="1" applyAlignment="1">
      <alignment horizontal="center" vertical="center"/>
    </xf>
    <xf numFmtId="3" fontId="53" fillId="26" borderId="23" xfId="4" applyNumberFormat="1" applyFont="1" applyFill="1" applyBorder="1" applyAlignment="1">
      <alignment horizontal="center" vertical="center"/>
    </xf>
    <xf numFmtId="43" fontId="53" fillId="22" borderId="62" xfId="1" applyFont="1" applyFill="1" applyBorder="1" applyAlignment="1">
      <alignment horizontal="center" vertical="center"/>
    </xf>
    <xf numFmtId="43" fontId="53" fillId="22" borderId="63" xfId="1" applyFont="1" applyFill="1" applyBorder="1" applyAlignment="1">
      <alignment horizontal="center" vertical="center"/>
    </xf>
    <xf numFmtId="3" fontId="54" fillId="26" borderId="130" xfId="4" applyNumberFormat="1" applyFont="1" applyFill="1" applyBorder="1" applyAlignment="1">
      <alignment horizontal="center" vertical="center"/>
    </xf>
    <xf numFmtId="0" fontId="46" fillId="0" borderId="20" xfId="4" applyFont="1" applyFill="1" applyBorder="1" applyAlignment="1">
      <alignment horizontal="center" vertical="center"/>
    </xf>
    <xf numFmtId="0" fontId="46" fillId="0" borderId="131" xfId="4" applyFont="1" applyFill="1" applyBorder="1" applyAlignment="1">
      <alignment horizontal="center" vertical="center"/>
    </xf>
    <xf numFmtId="0" fontId="46" fillId="0" borderId="37" xfId="4" applyFont="1" applyFill="1" applyBorder="1" applyAlignment="1">
      <alignment horizontal="center" vertical="center"/>
    </xf>
    <xf numFmtId="0" fontId="46" fillId="0" borderId="46" xfId="4" applyFont="1" applyFill="1" applyBorder="1" applyAlignment="1">
      <alignment horizontal="center" vertical="center" wrapText="1"/>
    </xf>
    <xf numFmtId="0" fontId="46" fillId="0" borderId="118" xfId="4" applyFont="1" applyFill="1" applyBorder="1" applyAlignment="1">
      <alignment horizontal="center" vertical="center" wrapText="1"/>
    </xf>
    <xf numFmtId="0" fontId="66" fillId="0" borderId="118" xfId="0" applyFont="1" applyFill="1" applyBorder="1" applyAlignment="1">
      <alignment horizontal="center" vertical="center" wrapText="1"/>
    </xf>
    <xf numFmtId="0" fontId="66" fillId="0" borderId="136" xfId="0" applyFont="1" applyFill="1" applyBorder="1" applyAlignment="1">
      <alignment horizontal="center" vertical="center" wrapText="1"/>
    </xf>
    <xf numFmtId="0" fontId="45" fillId="2" borderId="27" xfId="4" applyFont="1" applyFill="1" applyBorder="1" applyAlignment="1">
      <alignment horizontal="left" vertical="center" wrapText="1"/>
    </xf>
    <xf numFmtId="0" fontId="45" fillId="2" borderId="13" xfId="4" applyFont="1" applyFill="1" applyBorder="1" applyAlignment="1">
      <alignment horizontal="left" vertical="center" wrapText="1"/>
    </xf>
    <xf numFmtId="0" fontId="45" fillId="2" borderId="10" xfId="4" applyFont="1" applyFill="1" applyBorder="1" applyAlignment="1">
      <alignment horizontal="left" vertical="center" wrapText="1"/>
    </xf>
    <xf numFmtId="0" fontId="47" fillId="0" borderId="70" xfId="4" applyFont="1" applyBorder="1" applyAlignment="1">
      <alignment horizontal="center" vertical="center" wrapText="1"/>
    </xf>
    <xf numFmtId="0" fontId="0" fillId="0" borderId="140" xfId="0" applyFont="1" applyBorder="1" applyAlignment="1">
      <alignment horizontal="center" vertical="center" wrapText="1"/>
    </xf>
    <xf numFmtId="0" fontId="51" fillId="0" borderId="140" xfId="6" applyFont="1" applyBorder="1" applyAlignment="1">
      <alignment horizontal="center" vertical="center" wrapText="1"/>
    </xf>
    <xf numFmtId="0" fontId="46" fillId="0" borderId="44" xfId="4" applyFont="1" applyBorder="1" applyAlignment="1">
      <alignment horizontal="center" vertical="center" wrapText="1"/>
    </xf>
    <xf numFmtId="0" fontId="46" fillId="0" borderId="118" xfId="4" applyFont="1" applyBorder="1" applyAlignment="1">
      <alignment horizontal="center" vertical="center" wrapText="1"/>
    </xf>
    <xf numFmtId="0" fontId="49" fillId="19" borderId="70" xfId="4" applyFont="1" applyFill="1" applyBorder="1" applyAlignment="1">
      <alignment horizontal="center" vertical="center" wrapText="1"/>
    </xf>
    <xf numFmtId="0" fontId="0" fillId="19" borderId="140" xfId="0" applyFont="1" applyFill="1" applyBorder="1" applyAlignment="1">
      <alignment horizontal="center" vertical="center" wrapText="1"/>
    </xf>
    <xf numFmtId="0" fontId="46" fillId="0" borderId="70" xfId="4" applyFont="1" applyBorder="1" applyAlignment="1">
      <alignment horizontal="center" vertical="center" wrapText="1"/>
    </xf>
    <xf numFmtId="0" fontId="46" fillId="0" borderId="140" xfId="4" applyFont="1" applyBorder="1" applyAlignment="1">
      <alignment horizontal="center" vertical="center" wrapText="1"/>
    </xf>
    <xf numFmtId="0" fontId="53" fillId="2" borderId="70" xfId="0" applyFont="1" applyFill="1" applyBorder="1" applyAlignment="1">
      <alignment horizontal="center" vertical="center" wrapText="1"/>
    </xf>
    <xf numFmtId="0" fontId="53" fillId="2" borderId="140" xfId="0" applyFont="1" applyFill="1" applyBorder="1" applyAlignment="1">
      <alignment horizontal="center" vertical="center" wrapText="1"/>
    </xf>
    <xf numFmtId="0" fontId="54" fillId="2" borderId="70" xfId="0" applyFont="1" applyFill="1" applyBorder="1" applyAlignment="1">
      <alignment horizontal="center" vertical="center" wrapText="1"/>
    </xf>
    <xf numFmtId="0" fontId="54" fillId="2" borderId="140" xfId="0" applyFont="1" applyFill="1" applyBorder="1" applyAlignment="1">
      <alignment horizontal="center" vertical="center" wrapText="1"/>
    </xf>
    <xf numFmtId="0" fontId="54" fillId="0" borderId="70" xfId="4" applyFont="1" applyBorder="1" applyAlignment="1">
      <alignment horizontal="center" vertical="center" wrapText="1"/>
    </xf>
    <xf numFmtId="0" fontId="54" fillId="0" borderId="140" xfId="4" applyFont="1" applyBorder="1" applyAlignment="1">
      <alignment horizontal="center" vertical="center" wrapText="1"/>
    </xf>
    <xf numFmtId="0" fontId="46" fillId="0" borderId="14" xfId="4" applyFont="1" applyBorder="1" applyAlignment="1">
      <alignment horizontal="center" vertical="center"/>
    </xf>
    <xf numFmtId="0" fontId="46" fillId="0" borderId="6" xfId="4" applyFont="1" applyBorder="1" applyAlignment="1">
      <alignment horizontal="center" vertical="center"/>
    </xf>
    <xf numFmtId="0" fontId="46" fillId="0" borderId="20" xfId="4" applyFont="1" applyBorder="1" applyAlignment="1">
      <alignment horizontal="center" vertical="center"/>
    </xf>
    <xf numFmtId="3" fontId="53" fillId="22" borderId="140" xfId="4" applyNumberFormat="1" applyFont="1" applyFill="1" applyBorder="1" applyAlignment="1">
      <alignment horizontal="center" vertical="center"/>
    </xf>
    <xf numFmtId="3" fontId="53" fillId="22" borderId="141" xfId="4" applyNumberFormat="1" applyFont="1" applyFill="1" applyBorder="1" applyAlignment="1">
      <alignment horizontal="center" vertical="center"/>
    </xf>
    <xf numFmtId="3" fontId="53" fillId="22" borderId="134" xfId="4" applyNumberFormat="1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66" fillId="0" borderId="118" xfId="0" applyFont="1" applyBorder="1" applyAlignment="1">
      <alignment horizontal="center" vertical="center" wrapText="1"/>
    </xf>
    <xf numFmtId="3" fontId="54" fillId="2" borderId="140" xfId="4" applyNumberFormat="1" applyFont="1" applyFill="1" applyBorder="1" applyAlignment="1">
      <alignment horizontal="center" vertical="center" wrapText="1"/>
    </xf>
    <xf numFmtId="0" fontId="61" fillId="0" borderId="140" xfId="0" applyFont="1" applyBorder="1" applyAlignment="1">
      <alignment horizontal="center" vertical="center" wrapText="1"/>
    </xf>
    <xf numFmtId="0" fontId="54" fillId="2" borderId="140" xfId="4" applyFont="1" applyFill="1" applyBorder="1" applyAlignment="1">
      <alignment horizontal="center" vertical="center" wrapText="1"/>
    </xf>
    <xf numFmtId="0" fontId="61" fillId="0" borderId="140" xfId="0" applyFont="1" applyBorder="1" applyAlignment="1">
      <alignment wrapText="1"/>
    </xf>
    <xf numFmtId="3" fontId="53" fillId="26" borderId="140" xfId="4" applyNumberFormat="1" applyFont="1" applyFill="1" applyBorder="1" applyAlignment="1">
      <alignment horizontal="center" vertical="center"/>
    </xf>
    <xf numFmtId="0" fontId="46" fillId="0" borderId="131" xfId="4" quotePrefix="1" applyFont="1" applyFill="1" applyBorder="1" applyAlignment="1">
      <alignment horizontal="center" vertical="center" wrapText="1"/>
    </xf>
    <xf numFmtId="0" fontId="46" fillId="0" borderId="131" xfId="4" applyFont="1" applyFill="1" applyBorder="1" applyAlignment="1">
      <alignment horizontal="center" vertical="center" wrapText="1"/>
    </xf>
    <xf numFmtId="0" fontId="46" fillId="0" borderId="117" xfId="4" applyFont="1" applyFill="1" applyBorder="1" applyAlignment="1">
      <alignment horizontal="center" vertical="center" wrapText="1"/>
    </xf>
    <xf numFmtId="0" fontId="0" fillId="0" borderId="131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66" fillId="0" borderId="136" xfId="0" applyFont="1" applyBorder="1" applyAlignment="1">
      <alignment horizontal="center" vertical="center" wrapText="1"/>
    </xf>
    <xf numFmtId="0" fontId="61" fillId="0" borderId="142" xfId="0" applyFont="1" applyBorder="1" applyAlignment="1">
      <alignment horizontal="center" vertical="center" wrapText="1"/>
    </xf>
    <xf numFmtId="0" fontId="61" fillId="0" borderId="134" xfId="0" applyFont="1" applyBorder="1" applyAlignment="1">
      <alignment wrapText="1"/>
    </xf>
    <xf numFmtId="3" fontId="53" fillId="26" borderId="134" xfId="4" applyNumberFormat="1" applyFont="1" applyFill="1" applyBorder="1" applyAlignment="1">
      <alignment horizontal="center" vertical="center"/>
    </xf>
    <xf numFmtId="0" fontId="46" fillId="0" borderId="20" xfId="4" quotePrefix="1" applyFont="1" applyFill="1" applyBorder="1" applyAlignment="1">
      <alignment horizontal="center" vertical="center"/>
    </xf>
    <xf numFmtId="0" fontId="52" fillId="0" borderId="140" xfId="0" applyFont="1" applyFill="1" applyBorder="1" applyAlignment="1">
      <alignment horizontal="center" vertical="center" wrapText="1"/>
    </xf>
    <xf numFmtId="0" fontId="52" fillId="0" borderId="140" xfId="0" applyFont="1" applyFill="1" applyBorder="1" applyAlignment="1">
      <alignment horizontal="center" wrapText="1"/>
    </xf>
    <xf numFmtId="0" fontId="0" fillId="0" borderId="37" xfId="0" applyFont="1" applyBorder="1" applyAlignment="1">
      <alignment horizontal="center" vertical="center"/>
    </xf>
    <xf numFmtId="3" fontId="54" fillId="22" borderId="140" xfId="4" applyNumberFormat="1" applyFont="1" applyFill="1" applyBorder="1" applyAlignment="1">
      <alignment horizontal="center" vertical="center"/>
    </xf>
    <xf numFmtId="0" fontId="52" fillId="0" borderId="140" xfId="0" applyFont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2" fillId="0" borderId="43" xfId="0" applyFont="1" applyBorder="1" applyAlignment="1">
      <alignment horizontal="center" wrapText="1"/>
    </xf>
    <xf numFmtId="0" fontId="52" fillId="0" borderId="41" xfId="0" applyFont="1" applyBorder="1" applyAlignment="1">
      <alignment horizontal="center" wrapText="1"/>
    </xf>
    <xf numFmtId="0" fontId="54" fillId="2" borderId="92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3" fontId="54" fillId="22" borderId="96" xfId="0" applyNumberFormat="1" applyFont="1" applyFill="1" applyBorder="1" applyAlignment="1">
      <alignment horizontal="center" vertical="center"/>
    </xf>
    <xf numFmtId="3" fontId="54" fillId="22" borderId="13" xfId="0" applyNumberFormat="1" applyFont="1" applyFill="1" applyBorder="1" applyAlignment="1">
      <alignment horizontal="center" vertical="center"/>
    </xf>
    <xf numFmtId="3" fontId="54" fillId="22" borderId="12" xfId="0" applyNumberFormat="1" applyFont="1" applyFill="1" applyBorder="1" applyAlignment="1">
      <alignment horizontal="center" vertical="center"/>
    </xf>
    <xf numFmtId="0" fontId="52" fillId="0" borderId="22" xfId="0" applyFont="1" applyBorder="1" applyAlignment="1">
      <alignment horizontal="center" vertical="center" wrapText="1"/>
    </xf>
    <xf numFmtId="0" fontId="34" fillId="0" borderId="107" xfId="4" applyFont="1" applyFill="1" applyBorder="1" applyAlignment="1">
      <alignment horizontal="center" vertical="center" wrapText="1"/>
    </xf>
    <xf numFmtId="0" fontId="34" fillId="0" borderId="6" xfId="4" applyFont="1" applyFill="1" applyBorder="1" applyAlignment="1">
      <alignment horizontal="center" vertical="center" wrapText="1"/>
    </xf>
    <xf numFmtId="0" fontId="34" fillId="0" borderId="20" xfId="4" applyFont="1" applyFill="1" applyBorder="1" applyAlignment="1">
      <alignment horizontal="center" vertical="center" wrapText="1"/>
    </xf>
    <xf numFmtId="0" fontId="33" fillId="0" borderId="107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107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16" fillId="0" borderId="107" xfId="4" applyFont="1" applyFill="1" applyBorder="1" applyAlignment="1">
      <alignment horizontal="center" vertical="center" wrapText="1"/>
    </xf>
    <xf numFmtId="0" fontId="16" fillId="0" borderId="20" xfId="4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3" fontId="54" fillId="22" borderId="103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0" fillId="32" borderId="0" xfId="0" applyFont="1" applyFill="1" applyBorder="1" applyAlignment="1">
      <alignment horizontal="left" vertical="center" wrapText="1"/>
    </xf>
    <xf numFmtId="3" fontId="54" fillId="28" borderId="42" xfId="0" applyNumberFormat="1" applyFont="1" applyFill="1" applyBorder="1" applyAlignment="1">
      <alignment horizontal="center" vertical="center" wrapText="1"/>
    </xf>
    <xf numFmtId="3" fontId="54" fillId="28" borderId="43" xfId="0" applyNumberFormat="1" applyFont="1" applyFill="1" applyBorder="1" applyAlignment="1">
      <alignment horizontal="center" vertical="center" wrapText="1"/>
    </xf>
    <xf numFmtId="3" fontId="54" fillId="28" borderId="41" xfId="0" applyNumberFormat="1" applyFont="1" applyFill="1" applyBorder="1" applyAlignment="1">
      <alignment horizontal="center" vertical="center" wrapText="1"/>
    </xf>
    <xf numFmtId="0" fontId="54" fillId="8" borderId="92" xfId="0" applyFont="1" applyFill="1" applyBorder="1" applyAlignment="1">
      <alignment horizontal="center" vertical="center" wrapText="1"/>
    </xf>
    <xf numFmtId="0" fontId="54" fillId="8" borderId="6" xfId="0" applyFont="1" applyFill="1" applyBorder="1" applyAlignment="1">
      <alignment horizontal="center" vertical="center" wrapText="1"/>
    </xf>
    <xf numFmtId="0" fontId="53" fillId="0" borderId="43" xfId="0" applyFont="1" applyFill="1" applyBorder="1" applyAlignment="1">
      <alignment horizontal="center" vertical="center" wrapText="1"/>
    </xf>
    <xf numFmtId="0" fontId="53" fillId="0" borderId="41" xfId="0" applyFont="1" applyFill="1" applyBorder="1" applyAlignment="1">
      <alignment horizontal="center" vertical="center" wrapText="1"/>
    </xf>
    <xf numFmtId="0" fontId="54" fillId="2" borderId="107" xfId="0" applyFont="1" applyFill="1" applyBorder="1" applyAlignment="1">
      <alignment horizontal="center" vertical="center" wrapText="1"/>
    </xf>
    <xf numFmtId="0" fontId="52" fillId="2" borderId="22" xfId="0" applyFont="1" applyFill="1" applyBorder="1" applyAlignment="1">
      <alignment horizontal="center" vertical="center" wrapText="1"/>
    </xf>
    <xf numFmtId="3" fontId="60" fillId="8" borderId="79" xfId="0" applyNumberFormat="1" applyFont="1" applyFill="1" applyBorder="1" applyAlignment="1">
      <alignment horizontal="center" vertical="top"/>
    </xf>
    <xf numFmtId="3" fontId="60" fillId="8" borderId="18" xfId="0" applyNumberFormat="1" applyFont="1" applyFill="1" applyBorder="1" applyAlignment="1">
      <alignment horizontal="center" vertical="top"/>
    </xf>
    <xf numFmtId="3" fontId="60" fillId="8" borderId="17" xfId="0" applyNumberFormat="1" applyFont="1" applyFill="1" applyBorder="1" applyAlignment="1">
      <alignment horizontal="center" vertical="top"/>
    </xf>
    <xf numFmtId="0" fontId="46" fillId="2" borderId="5" xfId="0" applyFont="1" applyFill="1" applyBorder="1" applyAlignment="1">
      <alignment horizontal="center" vertical="center"/>
    </xf>
    <xf numFmtId="0" fontId="46" fillId="2" borderId="11" xfId="0" applyFont="1" applyFill="1" applyBorder="1" applyAlignment="1">
      <alignment horizontal="center" vertical="center"/>
    </xf>
    <xf numFmtId="0" fontId="46" fillId="2" borderId="25" xfId="0" applyFont="1" applyFill="1" applyBorder="1" applyAlignment="1">
      <alignment horizontal="center" vertical="center"/>
    </xf>
    <xf numFmtId="3" fontId="53" fillId="22" borderId="96" xfId="0" applyNumberFormat="1" applyFont="1" applyFill="1" applyBorder="1" applyAlignment="1">
      <alignment horizontal="center" vertical="center"/>
    </xf>
    <xf numFmtId="3" fontId="53" fillId="22" borderId="13" xfId="0" applyNumberFormat="1" applyFont="1" applyFill="1" applyBorder="1" applyAlignment="1">
      <alignment horizontal="center" vertical="center"/>
    </xf>
    <xf numFmtId="3" fontId="53" fillId="22" borderId="12" xfId="0" applyNumberFormat="1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6" fillId="0" borderId="42" xfId="0" applyFont="1" applyFill="1" applyBorder="1" applyAlignment="1">
      <alignment horizontal="center" vertical="center" wrapText="1"/>
    </xf>
    <xf numFmtId="0" fontId="66" fillId="0" borderId="43" xfId="0" applyFont="1" applyBorder="1" applyAlignment="1">
      <alignment horizontal="center" wrapText="1"/>
    </xf>
    <xf numFmtId="0" fontId="66" fillId="0" borderId="41" xfId="0" applyFont="1" applyBorder="1" applyAlignment="1">
      <alignment horizontal="center" wrapText="1"/>
    </xf>
    <xf numFmtId="0" fontId="45" fillId="2" borderId="24" xfId="0" applyFont="1" applyFill="1" applyBorder="1" applyAlignment="1">
      <alignment horizontal="left" vertical="center" wrapText="1"/>
    </xf>
    <xf numFmtId="0" fontId="49" fillId="0" borderId="52" xfId="0" applyFont="1" applyBorder="1" applyAlignment="1">
      <alignment horizontal="center" vertical="center" wrapText="1"/>
    </xf>
    <xf numFmtId="0" fontId="46" fillId="0" borderId="66" xfId="4" applyFont="1" applyBorder="1" applyAlignment="1">
      <alignment horizontal="center" vertical="center" wrapText="1"/>
    </xf>
    <xf numFmtId="0" fontId="46" fillId="0" borderId="67" xfId="4" applyFont="1" applyBorder="1" applyAlignment="1">
      <alignment horizontal="center" vertical="center" wrapText="1"/>
    </xf>
    <xf numFmtId="0" fontId="46" fillId="0" borderId="69" xfId="4" applyFont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2" xfId="4" applyFont="1" applyFill="1" applyBorder="1" applyAlignment="1">
      <alignment horizontal="center" vertical="center" wrapText="1"/>
    </xf>
    <xf numFmtId="3" fontId="54" fillId="22" borderId="35" xfId="0" applyNumberFormat="1" applyFont="1" applyFill="1" applyBorder="1" applyAlignment="1">
      <alignment horizontal="center" vertical="center"/>
    </xf>
    <xf numFmtId="0" fontId="46" fillId="0" borderId="108" xfId="0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6" fillId="0" borderId="25" xfId="0" applyFont="1" applyFill="1" applyBorder="1" applyAlignment="1">
      <alignment horizontal="center" vertical="center"/>
    </xf>
    <xf numFmtId="0" fontId="54" fillId="2" borderId="42" xfId="0" applyFont="1" applyFill="1" applyBorder="1" applyAlignment="1">
      <alignment horizontal="center" vertical="center" wrapText="1"/>
    </xf>
    <xf numFmtId="0" fontId="52" fillId="2" borderId="43" xfId="0" applyFont="1" applyFill="1" applyBorder="1" applyAlignment="1">
      <alignment horizontal="center" wrapText="1"/>
    </xf>
    <xf numFmtId="0" fontId="52" fillId="2" borderId="41" xfId="0" applyFont="1" applyFill="1" applyBorder="1" applyAlignment="1">
      <alignment horizontal="center" wrapText="1"/>
    </xf>
    <xf numFmtId="0" fontId="53" fillId="2" borderId="42" xfId="0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53" fillId="2" borderId="43" xfId="0" applyFont="1" applyFill="1" applyBorder="1" applyAlignment="1">
      <alignment horizontal="center" vertical="center" wrapText="1"/>
    </xf>
    <xf numFmtId="0" fontId="53" fillId="2" borderId="41" xfId="0" applyFont="1" applyFill="1" applyBorder="1" applyAlignment="1">
      <alignment horizontal="center" vertical="center" wrapText="1"/>
    </xf>
    <xf numFmtId="3" fontId="54" fillId="22" borderId="121" xfId="0" applyNumberFormat="1" applyFont="1" applyFill="1" applyBorder="1" applyAlignment="1">
      <alignment horizontal="center" vertical="center"/>
    </xf>
    <xf numFmtId="0" fontId="49" fillId="0" borderId="39" xfId="0" applyFont="1" applyBorder="1" applyAlignment="1">
      <alignment horizontal="center" vertical="center" wrapText="1"/>
    </xf>
    <xf numFmtId="0" fontId="47" fillId="0" borderId="4" xfId="4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49" fillId="8" borderId="43" xfId="0" applyNumberFormat="1" applyFont="1" applyFill="1" applyBorder="1" applyAlignment="1">
      <alignment horizontal="center" vertical="center" wrapText="1"/>
    </xf>
    <xf numFmtId="3" fontId="49" fillId="8" borderId="41" xfId="0" applyNumberFormat="1" applyFont="1" applyFill="1" applyBorder="1" applyAlignment="1">
      <alignment horizontal="center" vertical="center" wrapText="1"/>
    </xf>
    <xf numFmtId="0" fontId="49" fillId="19" borderId="4" xfId="4" applyFont="1" applyFill="1" applyBorder="1" applyAlignment="1">
      <alignment horizontal="center" vertical="center" wrapText="1"/>
    </xf>
    <xf numFmtId="0" fontId="0" fillId="19" borderId="27" xfId="0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0" fontId="49" fillId="2" borderId="14" xfId="0" applyFont="1" applyFill="1" applyBorder="1" applyAlignment="1">
      <alignment horizontal="center" vertical="center" wrapText="1"/>
    </xf>
    <xf numFmtId="0" fontId="49" fillId="2" borderId="6" xfId="0" applyFont="1" applyFill="1" applyBorder="1" applyAlignment="1">
      <alignment horizontal="center" vertical="center" wrapText="1"/>
    </xf>
    <xf numFmtId="0" fontId="49" fillId="2" borderId="22" xfId="0" applyFont="1" applyFill="1" applyBorder="1" applyAlignment="1">
      <alignment horizontal="center" vertical="center" wrapText="1"/>
    </xf>
    <xf numFmtId="0" fontId="50" fillId="0" borderId="42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50" fillId="0" borderId="41" xfId="0" applyFont="1" applyFill="1" applyBorder="1" applyAlignment="1">
      <alignment horizontal="center" vertical="center" wrapText="1"/>
    </xf>
    <xf numFmtId="0" fontId="61" fillId="0" borderId="141" xfId="0" applyFont="1" applyBorder="1" applyAlignment="1">
      <alignment horizontal="center" vertical="center"/>
    </xf>
    <xf numFmtId="0" fontId="52" fillId="0" borderId="141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35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3" fontId="54" fillId="25" borderId="141" xfId="0" applyNumberFormat="1" applyFont="1" applyFill="1" applyBorder="1" applyAlignment="1">
      <alignment horizontal="center" vertical="center"/>
    </xf>
    <xf numFmtId="3" fontId="54" fillId="25" borderId="13" xfId="0" applyNumberFormat="1" applyFont="1" applyFill="1" applyBorder="1" applyAlignment="1">
      <alignment horizontal="center" vertical="center"/>
    </xf>
    <xf numFmtId="3" fontId="54" fillId="25" borderId="12" xfId="0" applyNumberFormat="1" applyFont="1" applyFill="1" applyBorder="1" applyAlignment="1">
      <alignment horizontal="center" vertical="center"/>
    </xf>
    <xf numFmtId="3" fontId="54" fillId="22" borderId="141" xfId="0" applyNumberFormat="1" applyFont="1" applyFill="1" applyBorder="1" applyAlignment="1">
      <alignment horizontal="center" vertical="center"/>
    </xf>
    <xf numFmtId="0" fontId="0" fillId="0" borderId="68" xfId="0" applyFont="1" applyBorder="1"/>
    <xf numFmtId="0" fontId="50" fillId="0" borderId="67" xfId="0" applyFont="1" applyFill="1" applyBorder="1" applyAlignment="1">
      <alignment horizontal="center" vertical="center" wrapText="1"/>
    </xf>
    <xf numFmtId="0" fontId="0" fillId="0" borderId="69" xfId="0" applyFont="1" applyBorder="1"/>
    <xf numFmtId="0" fontId="55" fillId="0" borderId="1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0" fontId="55" fillId="0" borderId="68" xfId="0" applyFont="1" applyBorder="1" applyAlignment="1">
      <alignment horizontal="center" vertical="center"/>
    </xf>
    <xf numFmtId="3" fontId="54" fillId="2" borderId="141" xfId="4" applyNumberFormat="1" applyFont="1" applyFill="1" applyBorder="1" applyAlignment="1">
      <alignment horizontal="center" vertical="center" wrapText="1"/>
    </xf>
    <xf numFmtId="3" fontId="54" fillId="2" borderId="13" xfId="4" applyNumberFormat="1" applyFont="1" applyFill="1" applyBorder="1" applyAlignment="1">
      <alignment horizontal="center" vertical="center" wrapText="1"/>
    </xf>
    <xf numFmtId="3" fontId="54" fillId="2" borderId="35" xfId="4" applyNumberFormat="1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47" fillId="0" borderId="67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0" fillId="0" borderId="67" xfId="0" applyFont="1" applyBorder="1"/>
    <xf numFmtId="0" fontId="0" fillId="0" borderId="41" xfId="0" applyFont="1" applyBorder="1"/>
    <xf numFmtId="0" fontId="47" fillId="0" borderId="46" xfId="0" applyFont="1" applyFill="1" applyBorder="1" applyAlignment="1">
      <alignment horizontal="center" vertical="center" wrapText="1"/>
    </xf>
    <xf numFmtId="0" fontId="54" fillId="2" borderId="92" xfId="4" applyFont="1" applyFill="1" applyBorder="1" applyAlignment="1">
      <alignment horizontal="center" vertical="center" wrapText="1"/>
    </xf>
    <xf numFmtId="3" fontId="46" fillId="26" borderId="96" xfId="4" applyNumberFormat="1" applyFont="1" applyFill="1" applyBorder="1" applyAlignment="1">
      <alignment horizontal="center" vertical="center"/>
    </xf>
    <xf numFmtId="3" fontId="46" fillId="26" borderId="13" xfId="4" applyNumberFormat="1" applyFont="1" applyFill="1" applyBorder="1" applyAlignment="1">
      <alignment horizontal="center" vertical="center"/>
    </xf>
    <xf numFmtId="3" fontId="46" fillId="26" borderId="12" xfId="4" applyNumberFormat="1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 wrapText="1"/>
    </xf>
    <xf numFmtId="3" fontId="53" fillId="26" borderId="96" xfId="4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left" vertical="top" wrapText="1"/>
    </xf>
    <xf numFmtId="0" fontId="46" fillId="32" borderId="11" xfId="0" applyFont="1" applyFill="1" applyBorder="1" applyAlignment="1">
      <alignment horizontal="center" vertical="center" wrapText="1"/>
    </xf>
    <xf numFmtId="0" fontId="47" fillId="32" borderId="10" xfId="0" applyFont="1" applyFill="1" applyBorder="1" applyAlignment="1">
      <alignment horizontal="center" vertical="center" wrapText="1"/>
    </xf>
    <xf numFmtId="3" fontId="54" fillId="32" borderId="28" xfId="4" applyNumberFormat="1" applyFont="1" applyFill="1" applyBorder="1" applyAlignment="1">
      <alignment horizontal="center" vertical="center" wrapText="1"/>
    </xf>
    <xf numFmtId="0" fontId="61" fillId="32" borderId="28" xfId="0" applyFont="1" applyFill="1" applyBorder="1" applyAlignment="1">
      <alignment horizontal="center" vertical="center" wrapText="1"/>
    </xf>
    <xf numFmtId="0" fontId="54" fillId="2" borderId="125" xfId="4" applyFont="1" applyFill="1" applyBorder="1" applyAlignment="1">
      <alignment horizontal="center" vertical="center" wrapText="1"/>
    </xf>
    <xf numFmtId="3" fontId="53" fillId="26" borderId="133" xfId="4" applyNumberFormat="1" applyFont="1" applyFill="1" applyBorder="1" applyAlignment="1">
      <alignment horizontal="center" vertical="center"/>
    </xf>
    <xf numFmtId="0" fontId="46" fillId="0" borderId="25" xfId="0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6" fillId="0" borderId="25" xfId="0" applyFont="1" applyBorder="1" applyAlignment="1">
      <alignment horizontal="center" vertical="center"/>
    </xf>
    <xf numFmtId="0" fontId="45" fillId="2" borderId="24" xfId="0" applyFont="1" applyFill="1" applyBorder="1" applyAlignment="1">
      <alignment horizontal="left" vertical="top" wrapText="1"/>
    </xf>
    <xf numFmtId="0" fontId="49" fillId="0" borderId="1" xfId="0" applyFont="1" applyBorder="1" applyAlignment="1">
      <alignment horizontal="center" vertical="center" wrapText="1"/>
    </xf>
    <xf numFmtId="0" fontId="49" fillId="0" borderId="26" xfId="0" applyFont="1" applyBorder="1" applyAlignment="1">
      <alignment horizontal="center" vertical="center" wrapText="1"/>
    </xf>
    <xf numFmtId="0" fontId="49" fillId="0" borderId="68" xfId="0" applyFont="1" applyBorder="1" applyAlignment="1">
      <alignment horizontal="center" vertical="center" wrapText="1"/>
    </xf>
    <xf numFmtId="0" fontId="0" fillId="0" borderId="26" xfId="0" applyFont="1" applyBorder="1"/>
    <xf numFmtId="0" fontId="47" fillId="0" borderId="13" xfId="4" applyFont="1" applyBorder="1" applyAlignment="1">
      <alignment horizontal="center" vertical="center" wrapText="1"/>
    </xf>
    <xf numFmtId="0" fontId="47" fillId="0" borderId="12" xfId="4" applyFont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8" fillId="2" borderId="7" xfId="0" applyFont="1" applyFill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 wrapText="1"/>
    </xf>
    <xf numFmtId="0" fontId="48" fillId="2" borderId="9" xfId="0" applyFont="1" applyFill="1" applyBorder="1" applyAlignment="1">
      <alignment horizontal="center" vertical="center" wrapText="1"/>
    </xf>
    <xf numFmtId="0" fontId="47" fillId="0" borderId="66" xfId="0" applyFont="1" applyFill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52" fillId="0" borderId="65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3" fontId="54" fillId="2" borderId="26" xfId="4" applyNumberFormat="1" applyFont="1" applyFill="1" applyBorder="1" applyAlignment="1">
      <alignment horizontal="center" vertical="center" wrapText="1"/>
    </xf>
    <xf numFmtId="0" fontId="0" fillId="0" borderId="85" xfId="0" applyFont="1" applyBorder="1"/>
    <xf numFmtId="0" fontId="54" fillId="2" borderId="86" xfId="4" applyFont="1" applyFill="1" applyBorder="1" applyAlignment="1">
      <alignment horizontal="center" vertical="center" wrapText="1"/>
    </xf>
    <xf numFmtId="0" fontId="61" fillId="0" borderId="68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54" fillId="8" borderId="73" xfId="0" applyFont="1" applyFill="1" applyBorder="1" applyAlignment="1">
      <alignment horizontal="center" vertical="center" wrapText="1"/>
    </xf>
    <xf numFmtId="3" fontId="53" fillId="26" borderId="141" xfId="4" applyNumberFormat="1" applyFont="1" applyFill="1" applyBorder="1" applyAlignment="1">
      <alignment horizontal="center" vertical="center"/>
    </xf>
    <xf numFmtId="2" fontId="46" fillId="0" borderId="5" xfId="4" applyNumberFormat="1" applyFont="1" applyFill="1" applyBorder="1" applyAlignment="1">
      <alignment horizontal="center" vertical="center"/>
    </xf>
    <xf numFmtId="2" fontId="3" fillId="0" borderId="11" xfId="112" applyNumberFormat="1" applyFont="1" applyBorder="1" applyAlignment="1">
      <alignment horizontal="center" vertical="center" wrapText="1"/>
    </xf>
    <xf numFmtId="2" fontId="3" fillId="0" borderId="25" xfId="112" applyNumberFormat="1" applyFont="1" applyBorder="1" applyAlignment="1">
      <alignment horizontal="center" vertical="center" wrapText="1"/>
    </xf>
    <xf numFmtId="0" fontId="46" fillId="0" borderId="5" xfId="112" applyFont="1" applyFill="1" applyBorder="1" applyAlignment="1">
      <alignment horizontal="center" vertical="center" wrapText="1"/>
    </xf>
    <xf numFmtId="0" fontId="46" fillId="0" borderId="11" xfId="112" applyFont="1" applyFill="1" applyBorder="1" applyAlignment="1">
      <alignment horizontal="center" vertical="center" wrapText="1"/>
    </xf>
    <xf numFmtId="0" fontId="46" fillId="0" borderId="25" xfId="112" applyFont="1" applyFill="1" applyBorder="1" applyAlignment="1">
      <alignment horizontal="center" vertical="center" wrapText="1"/>
    </xf>
    <xf numFmtId="0" fontId="47" fillId="0" borderId="66" xfId="112" applyFont="1" applyFill="1" applyBorder="1" applyAlignment="1">
      <alignment horizontal="center" vertical="center" wrapText="1"/>
    </xf>
    <xf numFmtId="0" fontId="47" fillId="0" borderId="67" xfId="112" applyFont="1" applyFill="1" applyBorder="1" applyAlignment="1">
      <alignment horizontal="center" vertical="center" wrapText="1"/>
    </xf>
    <xf numFmtId="0" fontId="3" fillId="0" borderId="67" xfId="112" applyFont="1" applyBorder="1" applyAlignment="1">
      <alignment horizontal="center" vertical="center" wrapText="1"/>
    </xf>
    <xf numFmtId="0" fontId="3" fillId="0" borderId="69" xfId="112" applyFont="1" applyBorder="1" applyAlignment="1">
      <alignment horizontal="center" vertical="center" wrapText="1"/>
    </xf>
    <xf numFmtId="0" fontId="61" fillId="0" borderId="6" xfId="112" applyFont="1" applyBorder="1" applyAlignment="1">
      <alignment horizontal="center" vertical="center" wrapText="1"/>
    </xf>
    <xf numFmtId="0" fontId="61" fillId="0" borderId="22" xfId="112" applyFont="1" applyBorder="1" applyAlignment="1">
      <alignment horizontal="center" vertical="center" wrapText="1"/>
    </xf>
    <xf numFmtId="0" fontId="54" fillId="2" borderId="22" xfId="4" applyFont="1" applyFill="1" applyBorder="1" applyAlignment="1">
      <alignment horizontal="center" vertical="center" wrapText="1"/>
    </xf>
    <xf numFmtId="0" fontId="3" fillId="0" borderId="11" xfId="112" applyFont="1" applyBorder="1" applyAlignment="1">
      <alignment vertical="center" wrapText="1"/>
    </xf>
    <xf numFmtId="0" fontId="3" fillId="0" borderId="25" xfId="112" applyFont="1" applyBorder="1" applyAlignment="1">
      <alignment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112" fillId="0" borderId="43" xfId="0" applyFont="1" applyFill="1" applyBorder="1" applyAlignment="1">
      <alignment horizontal="center" vertical="center" wrapText="1"/>
    </xf>
    <xf numFmtId="0" fontId="113" fillId="0" borderId="41" xfId="0" applyFont="1" applyBorder="1"/>
    <xf numFmtId="0" fontId="54" fillId="0" borderId="144" xfId="0" applyFont="1" applyFill="1" applyBorder="1" applyAlignment="1">
      <alignment horizontal="center" vertical="center" wrapText="1"/>
    </xf>
    <xf numFmtId="0" fontId="54" fillId="8" borderId="144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45" fillId="2" borderId="24" xfId="112" applyFont="1" applyFill="1" applyBorder="1" applyAlignment="1">
      <alignment horizontal="left" vertical="top" wrapText="1"/>
    </xf>
    <xf numFmtId="0" fontId="49" fillId="0" borderId="5" xfId="112" applyFont="1" applyBorder="1" applyAlignment="1">
      <alignment horizontal="center" vertical="center" wrapText="1"/>
    </xf>
    <xf numFmtId="0" fontId="49" fillId="0" borderId="11" xfId="112" applyFont="1" applyBorder="1" applyAlignment="1">
      <alignment horizontal="center" vertical="center" wrapText="1"/>
    </xf>
    <xf numFmtId="0" fontId="49" fillId="0" borderId="25" xfId="112" applyFont="1" applyBorder="1" applyAlignment="1">
      <alignment horizontal="center" vertical="center" wrapText="1"/>
    </xf>
    <xf numFmtId="0" fontId="47" fillId="0" borderId="6" xfId="4" applyFont="1" applyBorder="1" applyAlignment="1">
      <alignment horizontal="center" vertical="center" wrapText="1"/>
    </xf>
    <xf numFmtId="0" fontId="47" fillId="0" borderId="22" xfId="4" applyFont="1" applyBorder="1" applyAlignment="1">
      <alignment horizontal="center" vertical="center" wrapText="1"/>
    </xf>
    <xf numFmtId="0" fontId="48" fillId="2" borderId="2" xfId="112" applyFont="1" applyFill="1" applyBorder="1" applyAlignment="1">
      <alignment horizontal="center" vertical="center" wrapText="1"/>
    </xf>
    <xf numFmtId="0" fontId="48" fillId="2" borderId="3" xfId="112" applyFont="1" applyFill="1" applyBorder="1" applyAlignment="1">
      <alignment horizontal="center" vertical="center" wrapText="1"/>
    </xf>
    <xf numFmtId="0" fontId="48" fillId="2" borderId="4" xfId="112" applyFont="1" applyFill="1" applyBorder="1" applyAlignment="1">
      <alignment horizontal="center" vertical="center" wrapText="1"/>
    </xf>
    <xf numFmtId="0" fontId="48" fillId="2" borderId="7" xfId="112" applyFont="1" applyFill="1" applyBorder="1" applyAlignment="1">
      <alignment horizontal="center" vertical="center" wrapText="1"/>
    </xf>
    <xf numFmtId="0" fontId="48" fillId="2" borderId="8" xfId="112" applyFont="1" applyFill="1" applyBorder="1" applyAlignment="1">
      <alignment horizontal="center" vertical="center" wrapText="1"/>
    </xf>
    <xf numFmtId="0" fontId="48" fillId="2" borderId="9" xfId="112" applyFont="1" applyFill="1" applyBorder="1" applyAlignment="1">
      <alignment horizontal="center" vertical="center" wrapText="1"/>
    </xf>
    <xf numFmtId="0" fontId="3" fillId="19" borderId="27" xfId="112" applyFont="1" applyFill="1" applyBorder="1" applyAlignment="1">
      <alignment horizontal="center" vertical="center" wrapText="1"/>
    </xf>
    <xf numFmtId="0" fontId="3" fillId="19" borderId="23" xfId="112" applyFont="1" applyFill="1" applyBorder="1" applyAlignment="1">
      <alignment horizontal="center" vertical="center" wrapText="1"/>
    </xf>
    <xf numFmtId="0" fontId="53" fillId="2" borderId="2" xfId="112" applyFont="1" applyFill="1" applyBorder="1" applyAlignment="1">
      <alignment horizontal="center" vertical="center" wrapText="1"/>
    </xf>
    <xf numFmtId="0" fontId="53" fillId="2" borderId="7" xfId="112" applyFont="1" applyFill="1" applyBorder="1" applyAlignment="1">
      <alignment horizontal="center" vertical="center" wrapText="1"/>
    </xf>
    <xf numFmtId="0" fontId="127" fillId="38" borderId="88" xfId="4" applyFont="1" applyFill="1" applyBorder="1" applyAlignment="1">
      <alignment horizontal="left" vertical="center"/>
    </xf>
    <xf numFmtId="0" fontId="120" fillId="38" borderId="50" xfId="0" applyFont="1" applyFill="1" applyBorder="1" applyAlignment="1">
      <alignment vertical="center"/>
    </xf>
    <xf numFmtId="0" fontId="127" fillId="6" borderId="88" xfId="4" applyFont="1" applyFill="1" applyBorder="1" applyAlignment="1">
      <alignment horizontal="left" vertical="center"/>
    </xf>
    <xf numFmtId="0" fontId="120" fillId="6" borderId="50" xfId="0" applyFont="1" applyFill="1" applyBorder="1" applyAlignment="1">
      <alignment vertical="center"/>
    </xf>
    <xf numFmtId="0" fontId="119" fillId="2" borderId="0" xfId="0" applyFont="1" applyFill="1" applyBorder="1" applyAlignment="1">
      <alignment horizontal="center" wrapText="1"/>
    </xf>
    <xf numFmtId="0" fontId="120" fillId="0" borderId="0" xfId="0" applyFont="1" applyAlignment="1">
      <alignment horizontal="center" wrapText="1"/>
    </xf>
    <xf numFmtId="0" fontId="122" fillId="2" borderId="1" xfId="0" applyFont="1" applyFill="1" applyBorder="1" applyAlignment="1">
      <alignment horizontal="center" vertical="center"/>
    </xf>
    <xf numFmtId="0" fontId="122" fillId="2" borderId="4" xfId="0" applyFont="1" applyFill="1" applyBorder="1" applyAlignment="1">
      <alignment horizontal="center" vertical="center"/>
    </xf>
    <xf numFmtId="0" fontId="122" fillId="2" borderId="26" xfId="0" applyFont="1" applyFill="1" applyBorder="1" applyAlignment="1">
      <alignment horizontal="center" vertical="center"/>
    </xf>
    <xf numFmtId="0" fontId="122" fillId="2" borderId="27" xfId="0" applyFont="1" applyFill="1" applyBorder="1" applyAlignment="1">
      <alignment horizontal="center" vertical="center"/>
    </xf>
    <xf numFmtId="0" fontId="122" fillId="2" borderId="68" xfId="0" applyFont="1" applyFill="1" applyBorder="1" applyAlignment="1">
      <alignment horizontal="center" vertical="center"/>
    </xf>
    <xf numFmtId="0" fontId="122" fillId="2" borderId="23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 wrapText="1"/>
    </xf>
    <xf numFmtId="0" fontId="122" fillId="0" borderId="10" xfId="0" applyFont="1" applyBorder="1" applyAlignment="1">
      <alignment horizontal="center" vertical="center" wrapText="1"/>
    </xf>
    <xf numFmtId="0" fontId="122" fillId="0" borderId="42" xfId="0" applyFont="1" applyBorder="1" applyAlignment="1">
      <alignment horizontal="center" vertical="center" wrapText="1"/>
    </xf>
    <xf numFmtId="0" fontId="122" fillId="0" borderId="43" xfId="0" applyFont="1" applyBorder="1" applyAlignment="1">
      <alignment horizontal="center" vertical="center" wrapText="1"/>
    </xf>
    <xf numFmtId="0" fontId="125" fillId="0" borderId="68" xfId="0" applyFont="1" applyBorder="1" applyAlignment="1">
      <alignment horizontal="center" vertical="center"/>
    </xf>
    <xf numFmtId="0" fontId="125" fillId="0" borderId="23" xfId="0" applyFont="1" applyBorder="1" applyAlignment="1">
      <alignment horizontal="center" vertical="center"/>
    </xf>
    <xf numFmtId="0" fontId="123" fillId="0" borderId="2" xfId="0" applyFont="1" applyBorder="1" applyAlignment="1">
      <alignment horizontal="center" vertical="center" wrapText="1"/>
    </xf>
    <xf numFmtId="0" fontId="123" fillId="0" borderId="3" xfId="0" applyFont="1" applyBorder="1" applyAlignment="1">
      <alignment horizontal="center" vertical="center" wrapText="1"/>
    </xf>
    <xf numFmtId="0" fontId="123" fillId="0" borderId="7" xfId="0" applyFont="1" applyBorder="1" applyAlignment="1">
      <alignment horizontal="center" vertical="center" wrapText="1"/>
    </xf>
    <xf numFmtId="0" fontId="123" fillId="0" borderId="8" xfId="0" applyFont="1" applyBorder="1" applyAlignment="1">
      <alignment horizontal="center" vertical="center" wrapText="1"/>
    </xf>
    <xf numFmtId="0" fontId="122" fillId="2" borderId="3" xfId="0" applyFont="1" applyFill="1" applyBorder="1" applyAlignment="1">
      <alignment horizontal="center" vertical="center" wrapText="1"/>
    </xf>
    <xf numFmtId="0" fontId="122" fillId="2" borderId="4" xfId="0" applyFont="1" applyFill="1" applyBorder="1" applyAlignment="1">
      <alignment horizontal="center" vertical="center" wrapText="1"/>
    </xf>
    <xf numFmtId="0" fontId="122" fillId="2" borderId="8" xfId="0" applyFont="1" applyFill="1" applyBorder="1" applyAlignment="1">
      <alignment horizontal="center" vertical="center" wrapText="1"/>
    </xf>
    <xf numFmtId="0" fontId="122" fillId="2" borderId="9" xfId="0" applyFont="1" applyFill="1" applyBorder="1" applyAlignment="1">
      <alignment horizontal="center" vertical="center" wrapText="1"/>
    </xf>
    <xf numFmtId="0" fontId="123" fillId="2" borderId="2" xfId="0" applyFont="1" applyFill="1" applyBorder="1" applyAlignment="1">
      <alignment horizontal="center" vertical="center" wrapText="1"/>
    </xf>
    <xf numFmtId="0" fontId="123" fillId="2" borderId="3" xfId="0" applyFont="1" applyFill="1" applyBorder="1" applyAlignment="1">
      <alignment horizontal="center" vertical="center" wrapText="1"/>
    </xf>
    <xf numFmtId="0" fontId="123" fillId="2" borderId="4" xfId="0" applyFont="1" applyFill="1" applyBorder="1" applyAlignment="1">
      <alignment horizontal="center" vertical="center" wrapText="1"/>
    </xf>
    <xf numFmtId="0" fontId="123" fillId="2" borderId="7" xfId="0" applyFont="1" applyFill="1" applyBorder="1" applyAlignment="1">
      <alignment horizontal="center" vertical="center" wrapText="1"/>
    </xf>
    <xf numFmtId="0" fontId="123" fillId="2" borderId="8" xfId="0" applyFont="1" applyFill="1" applyBorder="1" applyAlignment="1">
      <alignment horizontal="center" vertical="center" wrapText="1"/>
    </xf>
    <xf numFmtId="0" fontId="123" fillId="2" borderId="9" xfId="0" applyFont="1" applyFill="1" applyBorder="1" applyAlignment="1">
      <alignment horizontal="center" vertical="center" wrapText="1"/>
    </xf>
    <xf numFmtId="0" fontId="127" fillId="6" borderId="88" xfId="4" applyFont="1" applyFill="1" applyBorder="1" applyAlignment="1">
      <alignment horizontal="left" vertical="center" wrapText="1"/>
    </xf>
    <xf numFmtId="0" fontId="120" fillId="6" borderId="50" xfId="0" applyFont="1" applyFill="1" applyBorder="1" applyAlignment="1">
      <alignment vertical="center" wrapText="1"/>
    </xf>
    <xf numFmtId="0" fontId="132" fillId="4" borderId="85" xfId="4" applyFont="1" applyFill="1" applyBorder="1" applyAlignment="1">
      <alignment horizontal="left" vertical="center"/>
    </xf>
    <xf numFmtId="0" fontId="133" fillId="4" borderId="9" xfId="0" applyFont="1" applyFill="1" applyBorder="1" applyAlignment="1">
      <alignment vertical="center"/>
    </xf>
    <xf numFmtId="0" fontId="132" fillId="6" borderId="84" xfId="4" applyFont="1" applyFill="1" applyBorder="1" applyAlignment="1">
      <alignment horizontal="left" vertical="center"/>
    </xf>
    <xf numFmtId="0" fontId="133" fillId="6" borderId="29" xfId="0" applyFont="1" applyFill="1" applyBorder="1" applyAlignment="1">
      <alignment vertical="center"/>
    </xf>
    <xf numFmtId="0" fontId="132" fillId="4" borderId="84" xfId="4" applyFont="1" applyFill="1" applyBorder="1" applyAlignment="1">
      <alignment horizontal="left" vertical="center"/>
    </xf>
    <xf numFmtId="0" fontId="133" fillId="4" borderId="29" xfId="0" applyFont="1" applyFill="1" applyBorder="1" applyAlignment="1">
      <alignment vertical="center"/>
    </xf>
    <xf numFmtId="0" fontId="127" fillId="38" borderId="68" xfId="4" applyFont="1" applyFill="1" applyBorder="1" applyAlignment="1">
      <alignment horizontal="left" vertical="center" wrapText="1"/>
    </xf>
    <xf numFmtId="0" fontId="120" fillId="38" borderId="23" xfId="0" applyFont="1" applyFill="1" applyBorder="1" applyAlignment="1">
      <alignment vertical="center" wrapText="1"/>
    </xf>
    <xf numFmtId="0" fontId="127" fillId="38" borderId="88" xfId="4" applyFont="1" applyFill="1" applyBorder="1" applyAlignment="1">
      <alignment horizontal="left" vertical="center" wrapText="1"/>
    </xf>
    <xf numFmtId="0" fontId="120" fillId="38" borderId="50" xfId="0" applyFont="1" applyFill="1" applyBorder="1" applyAlignment="1">
      <alignment vertical="center" wrapText="1"/>
    </xf>
    <xf numFmtId="0" fontId="132" fillId="4" borderId="117" xfId="4" applyFont="1" applyFill="1" applyBorder="1" applyAlignment="1">
      <alignment horizontal="left" vertical="center" wrapText="1"/>
    </xf>
    <xf numFmtId="0" fontId="133" fillId="4" borderId="142" xfId="0" applyFont="1" applyFill="1" applyBorder="1" applyAlignment="1">
      <alignment vertical="center" wrapText="1"/>
    </xf>
    <xf numFmtId="0" fontId="132" fillId="6" borderId="84" xfId="4" applyFont="1" applyFill="1" applyBorder="1" applyAlignment="1">
      <alignment horizontal="left" vertical="center" wrapText="1"/>
    </xf>
    <xf numFmtId="0" fontId="133" fillId="6" borderId="29" xfId="0" applyFont="1" applyFill="1" applyBorder="1" applyAlignment="1">
      <alignment vertical="center" wrapText="1"/>
    </xf>
    <xf numFmtId="0" fontId="131" fillId="0" borderId="1" xfId="4" applyFont="1" applyFill="1" applyBorder="1" applyAlignment="1">
      <alignment horizontal="center" vertical="center" wrapText="1"/>
    </xf>
    <xf numFmtId="0" fontId="131" fillId="0" borderId="4" xfId="4" applyFont="1" applyFill="1" applyBorder="1" applyAlignment="1">
      <alignment horizontal="center" vertical="center" wrapText="1"/>
    </xf>
    <xf numFmtId="0" fontId="130" fillId="38" borderId="88" xfId="0" applyFont="1" applyFill="1" applyBorder="1" applyAlignment="1">
      <alignment horizontal="left" vertical="center"/>
    </xf>
    <xf numFmtId="0" fontId="130" fillId="38" borderId="50" xfId="0" applyFont="1" applyFill="1" applyBorder="1" applyAlignment="1">
      <alignment horizontal="left" vertical="center"/>
    </xf>
    <xf numFmtId="0" fontId="53" fillId="8" borderId="19" xfId="0" applyFont="1" applyFill="1" applyBorder="1" applyAlignment="1">
      <alignment horizontal="left" vertical="center" wrapText="1"/>
    </xf>
    <xf numFmtId="3" fontId="53" fillId="8" borderId="3" xfId="0" applyNumberFormat="1" applyFont="1" applyFill="1" applyBorder="1" applyAlignment="1">
      <alignment vertical="center"/>
    </xf>
    <xf numFmtId="3" fontId="60" fillId="0" borderId="30" xfId="0" applyNumberFormat="1" applyFont="1" applyFill="1" applyBorder="1" applyAlignment="1">
      <alignment horizontal="right" vertical="center"/>
    </xf>
    <xf numFmtId="3" fontId="60" fillId="0" borderId="29" xfId="0" applyNumberFormat="1" applyFont="1" applyFill="1" applyBorder="1" applyAlignment="1">
      <alignment horizontal="right" vertical="center"/>
    </xf>
    <xf numFmtId="3" fontId="33" fillId="0" borderId="30" xfId="0" applyNumberFormat="1" applyFont="1" applyFill="1" applyBorder="1" applyAlignment="1">
      <alignment horizontal="right" vertical="center"/>
    </xf>
    <xf numFmtId="0" fontId="62" fillId="0" borderId="6" xfId="0" applyFont="1" applyBorder="1" applyAlignment="1">
      <alignment horizontal="center" vertical="center"/>
    </xf>
    <xf numFmtId="3" fontId="58" fillId="0" borderId="29" xfId="4" applyNumberFormat="1" applyFont="1" applyFill="1" applyBorder="1" applyAlignment="1">
      <alignment horizontal="right" vertical="center"/>
    </xf>
    <xf numFmtId="3" fontId="60" fillId="0" borderId="9" xfId="0" applyNumberFormat="1" applyFont="1" applyFill="1" applyBorder="1" applyAlignment="1">
      <alignment horizontal="right" vertical="center"/>
    </xf>
    <xf numFmtId="3" fontId="33" fillId="0" borderId="29" xfId="0" applyNumberFormat="1" applyFont="1" applyFill="1" applyBorder="1" applyAlignment="1">
      <alignment horizontal="right" vertical="center"/>
    </xf>
    <xf numFmtId="0" fontId="95" fillId="2" borderId="0" xfId="0" applyFont="1" applyFill="1" applyAlignment="1"/>
    <xf numFmtId="3" fontId="60" fillId="2" borderId="65" xfId="4" applyNumberFormat="1" applyFont="1" applyFill="1" applyBorder="1" applyAlignment="1"/>
    <xf numFmtId="3" fontId="33" fillId="2" borderId="30" xfId="4" applyNumberFormat="1" applyFont="1" applyFill="1" applyBorder="1" applyAlignment="1"/>
    <xf numFmtId="3" fontId="33" fillId="2" borderId="29" xfId="4" applyNumberFormat="1" applyFont="1" applyFill="1" applyBorder="1" applyAlignment="1"/>
    <xf numFmtId="3" fontId="60" fillId="2" borderId="29" xfId="4" applyNumberFormat="1" applyFont="1" applyFill="1" applyBorder="1" applyAlignment="1"/>
    <xf numFmtId="3" fontId="33" fillId="2" borderId="65" xfId="4" applyNumberFormat="1" applyFont="1" applyFill="1" applyBorder="1" applyAlignment="1"/>
    <xf numFmtId="0" fontId="60" fillId="2" borderId="36" xfId="4" applyFont="1" applyFill="1" applyBorder="1" applyAlignment="1">
      <alignment vertical="top"/>
    </xf>
    <xf numFmtId="3" fontId="33" fillId="2" borderId="35" xfId="4" applyNumberFormat="1" applyFont="1" applyFill="1" applyBorder="1" applyAlignment="1"/>
    <xf numFmtId="3" fontId="33" fillId="2" borderId="9" xfId="4" applyNumberFormat="1" applyFont="1" applyFill="1" applyBorder="1" applyAlignment="1"/>
    <xf numFmtId="3" fontId="60" fillId="2" borderId="9" xfId="4" applyNumberFormat="1" applyFont="1" applyFill="1" applyBorder="1" applyAlignment="1"/>
    <xf numFmtId="3" fontId="60" fillId="2" borderId="30" xfId="4" applyNumberFormat="1" applyFont="1" applyFill="1" applyBorder="1" applyAlignment="1"/>
    <xf numFmtId="0" fontId="56" fillId="2" borderId="36" xfId="4" applyFont="1" applyFill="1" applyBorder="1" applyAlignment="1">
      <alignment vertical="top"/>
    </xf>
    <xf numFmtId="3" fontId="60" fillId="2" borderId="71" xfId="4" applyNumberFormat="1" applyFont="1" applyFill="1" applyBorder="1" applyAlignment="1"/>
    <xf numFmtId="3" fontId="58" fillId="2" borderId="71" xfId="4" applyNumberFormat="1" applyFont="1" applyFill="1" applyBorder="1" applyAlignment="1"/>
    <xf numFmtId="3" fontId="56" fillId="2" borderId="71" xfId="4" applyNumberFormat="1" applyFont="1" applyFill="1" applyBorder="1" applyAlignment="1"/>
    <xf numFmtId="3" fontId="33" fillId="0" borderId="71" xfId="0" applyNumberFormat="1" applyFont="1" applyFill="1" applyBorder="1" applyAlignment="1">
      <alignment horizontal="right" vertical="center"/>
    </xf>
    <xf numFmtId="3" fontId="60" fillId="0" borderId="71" xfId="0" applyNumberFormat="1" applyFont="1" applyFill="1" applyBorder="1" applyAlignment="1">
      <alignment horizontal="right" vertical="center"/>
    </xf>
    <xf numFmtId="3" fontId="60" fillId="2" borderId="12" xfId="4" applyNumberFormat="1" applyFont="1" applyFill="1" applyBorder="1" applyAlignment="1"/>
    <xf numFmtId="3" fontId="60" fillId="2" borderId="23" xfId="4" applyNumberFormat="1" applyFont="1" applyFill="1" applyBorder="1" applyAlignment="1"/>
    <xf numFmtId="3" fontId="33" fillId="0" borderId="74" xfId="0" applyNumberFormat="1" applyFont="1" applyFill="1" applyBorder="1" applyAlignment="1">
      <alignment horizontal="right" vertical="center"/>
    </xf>
    <xf numFmtId="3" fontId="60" fillId="0" borderId="74" xfId="0" applyNumberFormat="1" applyFont="1" applyFill="1" applyBorder="1" applyAlignment="1">
      <alignment horizontal="right" vertical="center"/>
    </xf>
    <xf numFmtId="3" fontId="60" fillId="0" borderId="75" xfId="0" applyNumberFormat="1" applyFont="1" applyFill="1" applyBorder="1" applyAlignment="1">
      <alignment horizontal="right" vertical="center"/>
    </xf>
    <xf numFmtId="0" fontId="46" fillId="0" borderId="16" xfId="4" quotePrefix="1" applyFont="1" applyFill="1" applyBorder="1" applyAlignment="1">
      <alignment horizontal="center" vertical="center" wrapText="1"/>
    </xf>
    <xf numFmtId="0" fontId="53" fillId="8" borderId="79" xfId="4" applyFont="1" applyFill="1" applyBorder="1" applyAlignment="1">
      <alignment vertical="center" wrapText="1"/>
    </xf>
    <xf numFmtId="0" fontId="53" fillId="8" borderId="70" xfId="4" applyFont="1" applyFill="1" applyBorder="1" applyAlignment="1">
      <alignment horizontal="center" vertical="center" wrapText="1"/>
    </xf>
    <xf numFmtId="3" fontId="53" fillId="22" borderId="70" xfId="4" applyNumberFormat="1" applyFont="1" applyFill="1" applyBorder="1" applyAlignment="1">
      <alignment horizontal="right" vertical="center"/>
    </xf>
    <xf numFmtId="0" fontId="46" fillId="0" borderId="44" xfId="4" applyFont="1" applyFill="1" applyBorder="1" applyAlignment="1">
      <alignment horizontal="center" vertical="center" wrapText="1"/>
    </xf>
    <xf numFmtId="0" fontId="53" fillId="6" borderId="35" xfId="4" applyFont="1" applyFill="1" applyBorder="1" applyAlignment="1">
      <alignment horizontal="left" vertical="center"/>
    </xf>
    <xf numFmtId="3" fontId="54" fillId="0" borderId="140" xfId="4" applyNumberFormat="1" applyFont="1" applyFill="1" applyBorder="1" applyAlignment="1">
      <alignment horizontal="center" vertical="center" wrapText="1"/>
    </xf>
    <xf numFmtId="0" fontId="61" fillId="0" borderId="140" xfId="0" applyFont="1" applyFill="1" applyBorder="1" applyAlignment="1">
      <alignment horizontal="center" vertical="center" wrapText="1"/>
    </xf>
    <xf numFmtId="0" fontId="61" fillId="0" borderId="140" xfId="0" applyFont="1" applyFill="1" applyBorder="1" applyAlignment="1">
      <alignment horizontal="center" vertical="center" wrapText="1"/>
    </xf>
    <xf numFmtId="0" fontId="54" fillId="0" borderId="141" xfId="4" applyFont="1" applyFill="1" applyBorder="1" applyAlignment="1">
      <alignment horizontal="center" wrapText="1"/>
    </xf>
    <xf numFmtId="0" fontId="61" fillId="0" borderId="13" xfId="0" applyFont="1" applyFill="1" applyBorder="1" applyAlignment="1">
      <alignment horizontal="center" wrapText="1"/>
    </xf>
    <xf numFmtId="0" fontId="33" fillId="0" borderId="134" xfId="4" applyFont="1" applyFill="1" applyBorder="1" applyAlignment="1">
      <alignment vertical="top"/>
    </xf>
    <xf numFmtId="0" fontId="61" fillId="0" borderId="12" xfId="0" applyFont="1" applyFill="1" applyBorder="1" applyAlignment="1">
      <alignment horizontal="center" wrapText="1"/>
    </xf>
    <xf numFmtId="0" fontId="61" fillId="0" borderId="134" xfId="0" applyFont="1" applyBorder="1"/>
    <xf numFmtId="3" fontId="56" fillId="0" borderId="140" xfId="4" applyNumberFormat="1" applyFont="1" applyFill="1" applyBorder="1" applyAlignment="1">
      <alignment horizontal="center" vertical="center"/>
    </xf>
    <xf numFmtId="0" fontId="52" fillId="0" borderId="134" xfId="0" applyFont="1" applyBorder="1" applyAlignment="1">
      <alignment horizontal="center" vertical="center" wrapText="1"/>
    </xf>
    <xf numFmtId="3" fontId="60" fillId="0" borderId="134" xfId="0" applyNumberFormat="1" applyFont="1" applyFill="1" applyBorder="1" applyAlignment="1">
      <alignment horizontal="right"/>
    </xf>
    <xf numFmtId="3" fontId="60" fillId="0" borderId="134" xfId="0" applyNumberFormat="1" applyFont="1" applyFill="1" applyBorder="1" applyAlignment="1">
      <alignment horizontal="right" vertical="center"/>
    </xf>
    <xf numFmtId="3" fontId="57" fillId="2" borderId="142" xfId="0" applyNumberFormat="1" applyFont="1" applyFill="1" applyBorder="1" applyAlignment="1">
      <alignment vertical="top"/>
    </xf>
    <xf numFmtId="3" fontId="57" fillId="58" borderId="142" xfId="0" applyNumberFormat="1" applyFont="1" applyFill="1" applyBorder="1" applyAlignment="1">
      <alignment vertical="top"/>
    </xf>
    <xf numFmtId="3" fontId="57" fillId="60" borderId="142" xfId="0" applyNumberFormat="1" applyFont="1" applyFill="1" applyBorder="1" applyAlignment="1">
      <alignment vertical="top"/>
    </xf>
    <xf numFmtId="43" fontId="57" fillId="2" borderId="142" xfId="1" applyFont="1" applyFill="1" applyBorder="1" applyAlignment="1">
      <alignment vertical="top"/>
    </xf>
    <xf numFmtId="3" fontId="57" fillId="2" borderId="9" xfId="0" applyNumberFormat="1" applyFont="1" applyFill="1" applyBorder="1" applyAlignment="1">
      <alignment vertical="top"/>
    </xf>
    <xf numFmtId="3" fontId="60" fillId="25" borderId="140" xfId="0" applyNumberFormat="1" applyFont="1" applyFill="1" applyBorder="1" applyAlignment="1">
      <alignment vertical="top"/>
    </xf>
    <xf numFmtId="3" fontId="60" fillId="56" borderId="9" xfId="0" applyNumberFormat="1" applyFont="1" applyFill="1" applyBorder="1" applyAlignment="1">
      <alignment vertical="top"/>
    </xf>
    <xf numFmtId="3" fontId="57" fillId="64" borderId="120" xfId="0" applyNumberFormat="1" applyFont="1" applyFill="1" applyBorder="1" applyAlignment="1">
      <alignment vertical="center"/>
    </xf>
    <xf numFmtId="0" fontId="53" fillId="8" borderId="5" xfId="0" applyFont="1" applyFill="1" applyBorder="1" applyAlignment="1">
      <alignment vertical="center" wrapText="1"/>
    </xf>
    <xf numFmtId="0" fontId="139" fillId="6" borderId="84" xfId="4" applyFont="1" applyFill="1" applyBorder="1" applyAlignment="1">
      <alignment horizontal="left" vertical="center"/>
    </xf>
    <xf numFmtId="3" fontId="53" fillId="6" borderId="91" xfId="0" applyNumberFormat="1" applyFont="1" applyFill="1" applyBorder="1" applyAlignment="1">
      <alignment vertical="center"/>
    </xf>
    <xf numFmtId="3" fontId="53" fillId="22" borderId="35" xfId="0" applyNumberFormat="1" applyFont="1" applyFill="1" applyBorder="1" applyAlignment="1">
      <alignment vertical="center"/>
    </xf>
    <xf numFmtId="0" fontId="48" fillId="0" borderId="26" xfId="4" applyFont="1" applyFill="1" applyBorder="1" applyAlignment="1">
      <alignment horizontal="center" vertical="center" wrapText="1"/>
    </xf>
    <xf numFmtId="3" fontId="58" fillId="0" borderId="91" xfId="0" applyNumberFormat="1" applyFont="1" applyFill="1" applyBorder="1" applyAlignment="1">
      <alignment vertical="center"/>
    </xf>
    <xf numFmtId="3" fontId="58" fillId="22" borderId="91" xfId="0" applyNumberFormat="1" applyFont="1" applyFill="1" applyBorder="1" applyAlignment="1">
      <alignment horizontal="right" vertical="center"/>
    </xf>
    <xf numFmtId="0" fontId="34" fillId="0" borderId="32" xfId="0" applyFont="1" applyFill="1" applyBorder="1" applyAlignment="1">
      <alignment vertical="center" wrapText="1"/>
    </xf>
    <xf numFmtId="3" fontId="69" fillId="0" borderId="91" xfId="0" applyNumberFormat="1" applyFont="1" applyFill="1" applyBorder="1" applyAlignment="1">
      <alignment vertical="center"/>
    </xf>
    <xf numFmtId="3" fontId="69" fillId="22" borderId="91" xfId="0" applyNumberFormat="1" applyFont="1" applyFill="1" applyBorder="1" applyAlignment="1">
      <alignment horizontal="right" vertical="center"/>
    </xf>
    <xf numFmtId="3" fontId="58" fillId="0" borderId="91" xfId="0" applyNumberFormat="1" applyFont="1" applyFill="1" applyBorder="1" applyAlignment="1">
      <alignment horizontal="right" vertical="center"/>
    </xf>
    <xf numFmtId="3" fontId="69" fillId="0" borderId="96" xfId="0" applyNumberFormat="1" applyFont="1" applyFill="1" applyBorder="1" applyAlignment="1">
      <alignment vertical="center"/>
    </xf>
    <xf numFmtId="3" fontId="33" fillId="0" borderId="91" xfId="0" applyNumberFormat="1" applyFont="1" applyFill="1" applyBorder="1" applyAlignment="1">
      <alignment vertical="center"/>
    </xf>
    <xf numFmtId="0" fontId="33" fillId="0" borderId="99" xfId="0" applyFont="1" applyFill="1" applyBorder="1" applyAlignment="1">
      <alignment vertical="center" wrapText="1"/>
    </xf>
    <xf numFmtId="0" fontId="48" fillId="0" borderId="68" xfId="4" applyFont="1" applyFill="1" applyBorder="1" applyAlignment="1">
      <alignment horizontal="center" vertical="center" wrapText="1"/>
    </xf>
    <xf numFmtId="3" fontId="69" fillId="0" borderId="47" xfId="0" applyNumberFormat="1" applyFont="1" applyFill="1" applyBorder="1" applyAlignment="1">
      <alignment vertical="center"/>
    </xf>
    <xf numFmtId="0" fontId="54" fillId="8" borderId="20" xfId="0" applyFont="1" applyFill="1" applyBorder="1" applyAlignment="1">
      <alignment horizontal="center" vertical="center" wrapText="1"/>
    </xf>
    <xf numFmtId="3" fontId="60" fillId="8" borderId="7" xfId="0" applyNumberFormat="1" applyFont="1" applyFill="1" applyBorder="1" applyAlignment="1">
      <alignment vertical="top"/>
    </xf>
    <xf numFmtId="0" fontId="60" fillId="8" borderId="8" xfId="0" applyFont="1" applyFill="1" applyBorder="1" applyAlignment="1">
      <alignment vertical="top"/>
    </xf>
    <xf numFmtId="0" fontId="60" fillId="58" borderId="8" xfId="0" applyFont="1" applyFill="1" applyBorder="1" applyAlignment="1">
      <alignment vertical="top"/>
    </xf>
    <xf numFmtId="3" fontId="60" fillId="58" borderId="8" xfId="0" applyNumberFormat="1" applyFont="1" applyFill="1" applyBorder="1" applyAlignment="1">
      <alignment vertical="top"/>
    </xf>
    <xf numFmtId="3" fontId="60" fillId="60" borderId="8" xfId="0" applyNumberFormat="1" applyFont="1" applyFill="1" applyBorder="1" applyAlignment="1">
      <alignment vertical="top"/>
    </xf>
    <xf numFmtId="0" fontId="60" fillId="60" borderId="8" xfId="0" applyFont="1" applyFill="1" applyBorder="1" applyAlignment="1">
      <alignment vertical="top"/>
    </xf>
    <xf numFmtId="3" fontId="60" fillId="8" borderId="8" xfId="0" applyNumberFormat="1" applyFont="1" applyFill="1" applyBorder="1" applyAlignment="1">
      <alignment vertical="top"/>
    </xf>
    <xf numFmtId="0" fontId="60" fillId="8" borderId="9" xfId="0" applyFont="1" applyFill="1" applyBorder="1" applyAlignment="1">
      <alignment vertical="top"/>
    </xf>
    <xf numFmtId="0" fontId="106" fillId="6" borderId="28" xfId="4" applyFont="1" applyFill="1" applyBorder="1" applyAlignment="1">
      <alignment horizontal="left" vertical="center"/>
    </xf>
    <xf numFmtId="3" fontId="0" fillId="22" borderId="91" xfId="0" applyNumberFormat="1" applyFont="1" applyFill="1" applyBorder="1" applyAlignment="1">
      <alignment horizontal="right" vertical="center"/>
    </xf>
    <xf numFmtId="3" fontId="60" fillId="22" borderId="91" xfId="0" applyNumberFormat="1" applyFont="1" applyFill="1" applyBorder="1" applyAlignment="1">
      <alignment horizontal="right" vertical="center"/>
    </xf>
    <xf numFmtId="3" fontId="56" fillId="22" borderId="91" xfId="0" applyNumberFormat="1" applyFont="1" applyFill="1" applyBorder="1" applyAlignment="1">
      <alignment horizontal="right" vertical="center"/>
    </xf>
    <xf numFmtId="3" fontId="57" fillId="0" borderId="91" xfId="0" applyNumberFormat="1" applyFont="1" applyFill="1" applyBorder="1" applyAlignment="1">
      <alignment vertical="top"/>
    </xf>
    <xf numFmtId="3" fontId="57" fillId="22" borderId="91" xfId="0" applyNumberFormat="1" applyFont="1" applyFill="1" applyBorder="1" applyAlignment="1">
      <alignment horizontal="right" vertical="center"/>
    </xf>
    <xf numFmtId="3" fontId="57" fillId="0" borderId="96" xfId="0" applyNumberFormat="1" applyFont="1" applyFill="1" applyBorder="1" applyAlignment="1">
      <alignment horizontal="right" vertical="center"/>
    </xf>
    <xf numFmtId="3" fontId="57" fillId="58" borderId="96" xfId="0" applyNumberFormat="1" applyFont="1" applyFill="1" applyBorder="1" applyAlignment="1">
      <alignment horizontal="right" vertical="center"/>
    </xf>
    <xf numFmtId="3" fontId="57" fillId="60" borderId="96" xfId="0" applyNumberFormat="1" applyFont="1" applyFill="1" applyBorder="1" applyAlignment="1">
      <alignment horizontal="right" vertical="center"/>
    </xf>
    <xf numFmtId="3" fontId="57" fillId="0" borderId="96" xfId="0" applyNumberFormat="1" applyFont="1" applyFill="1" applyBorder="1" applyAlignment="1">
      <alignment vertical="top"/>
    </xf>
    <xf numFmtId="3" fontId="57" fillId="0" borderId="96" xfId="0" applyNumberFormat="1" applyFont="1" applyFill="1" applyBorder="1" applyAlignment="1">
      <alignment vertical="center"/>
    </xf>
    <xf numFmtId="0" fontId="16" fillId="0" borderId="6" xfId="4" applyFont="1" applyFill="1" applyBorder="1" applyAlignment="1">
      <alignment horizontal="center" vertical="center" wrapText="1"/>
    </xf>
    <xf numFmtId="0" fontId="16" fillId="0" borderId="20" xfId="4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3" fontId="69" fillId="0" borderId="13" xfId="0" applyNumberFormat="1" applyFont="1" applyFill="1" applyBorder="1" applyAlignment="1">
      <alignment horizontal="right" vertical="center"/>
    </xf>
    <xf numFmtId="3" fontId="69" fillId="58" borderId="13" xfId="0" applyNumberFormat="1" applyFont="1" applyFill="1" applyBorder="1" applyAlignment="1">
      <alignment horizontal="right" vertical="center"/>
    </xf>
    <xf numFmtId="3" fontId="69" fillId="60" borderId="13" xfId="0" applyNumberFormat="1" applyFont="1" applyFill="1" applyBorder="1" applyAlignment="1">
      <alignment horizontal="right" vertical="center"/>
    </xf>
    <xf numFmtId="3" fontId="69" fillId="0" borderId="91" xfId="0" applyNumberFormat="1" applyFont="1" applyFill="1" applyBorder="1" applyAlignment="1">
      <alignment vertical="top"/>
    </xf>
    <xf numFmtId="3" fontId="69" fillId="0" borderId="91" xfId="0" applyNumberFormat="1" applyFont="1" applyFill="1" applyBorder="1" applyAlignment="1">
      <alignment horizontal="right" vertical="center"/>
    </xf>
    <xf numFmtId="0" fontId="46" fillId="2" borderId="43" xfId="0" applyFont="1" applyFill="1" applyBorder="1" applyAlignment="1">
      <alignment horizontal="center" vertical="center" wrapText="1"/>
    </xf>
    <xf numFmtId="0" fontId="33" fillId="0" borderId="77" xfId="0" applyFont="1" applyFill="1" applyBorder="1" applyAlignment="1">
      <alignment vertical="center" wrapText="1"/>
    </xf>
    <xf numFmtId="3" fontId="69" fillId="0" borderId="47" xfId="0" applyNumberFormat="1" applyFont="1" applyFill="1" applyBorder="1" applyAlignment="1">
      <alignment vertical="top"/>
    </xf>
    <xf numFmtId="3" fontId="69" fillId="0" borderId="47" xfId="0" applyNumberFormat="1" applyFont="1" applyFill="1" applyBorder="1" applyAlignment="1">
      <alignment horizontal="right" vertical="center"/>
    </xf>
    <xf numFmtId="0" fontId="54" fillId="0" borderId="92" xfId="0" applyFont="1" applyFill="1" applyBorder="1" applyAlignment="1">
      <alignment horizontal="center" vertical="center" wrapText="1"/>
    </xf>
    <xf numFmtId="3" fontId="56" fillId="25" borderId="93" xfId="0" applyNumberFormat="1" applyFont="1" applyFill="1" applyBorder="1" applyAlignment="1">
      <alignment vertical="top"/>
    </xf>
    <xf numFmtId="0" fontId="60" fillId="0" borderId="77" xfId="0" applyFont="1" applyFill="1" applyBorder="1" applyAlignment="1">
      <alignment vertical="top"/>
    </xf>
    <xf numFmtId="43" fontId="60" fillId="0" borderId="47" xfId="1" applyFont="1" applyFill="1" applyBorder="1" applyAlignment="1">
      <alignment vertical="top"/>
    </xf>
    <xf numFmtId="0" fontId="61" fillId="0" borderId="41" xfId="0" applyFont="1" applyBorder="1"/>
    <xf numFmtId="3" fontId="33" fillId="8" borderId="79" xfId="0" applyNumberFormat="1" applyFont="1" applyFill="1" applyBorder="1" applyAlignment="1">
      <alignment horizontal="center" vertical="top"/>
    </xf>
    <xf numFmtId="3" fontId="33" fillId="8" borderId="18" xfId="0" applyNumberFormat="1" applyFont="1" applyFill="1" applyBorder="1" applyAlignment="1">
      <alignment horizontal="center" vertical="top"/>
    </xf>
    <xf numFmtId="3" fontId="33" fillId="8" borderId="17" xfId="0" applyNumberFormat="1" applyFont="1" applyFill="1" applyBorder="1" applyAlignment="1">
      <alignment horizontal="center" vertical="top"/>
    </xf>
    <xf numFmtId="3" fontId="53" fillId="22" borderId="3" xfId="0" applyNumberFormat="1" applyFont="1" applyFill="1" applyBorder="1" applyAlignment="1">
      <alignment vertical="top"/>
    </xf>
    <xf numFmtId="0" fontId="55" fillId="0" borderId="66" xfId="0" applyFont="1" applyBorder="1" applyAlignment="1">
      <alignment horizontal="center" vertical="center" wrapText="1"/>
    </xf>
    <xf numFmtId="0" fontId="54" fillId="6" borderId="138" xfId="4" applyFont="1" applyFill="1" applyBorder="1" applyAlignment="1">
      <alignment horizontal="left" vertical="center"/>
    </xf>
    <xf numFmtId="0" fontId="60" fillId="6" borderId="175" xfId="0" applyFont="1" applyFill="1" applyBorder="1" applyAlignment="1">
      <alignment vertical="top"/>
    </xf>
    <xf numFmtId="3" fontId="54" fillId="6" borderId="175" xfId="0" applyNumberFormat="1" applyFont="1" applyFill="1" applyBorder="1" applyAlignment="1">
      <alignment vertical="top"/>
    </xf>
    <xf numFmtId="3" fontId="54" fillId="58" borderId="175" xfId="0" applyNumberFormat="1" applyFont="1" applyFill="1" applyBorder="1" applyAlignment="1">
      <alignment vertical="top"/>
    </xf>
    <xf numFmtId="3" fontId="54" fillId="60" borderId="175" xfId="0" applyNumberFormat="1" applyFont="1" applyFill="1" applyBorder="1" applyAlignment="1">
      <alignment vertical="top"/>
    </xf>
    <xf numFmtId="43" fontId="54" fillId="6" borderId="175" xfId="1" applyFont="1" applyFill="1" applyBorder="1" applyAlignment="1">
      <alignment vertical="top"/>
    </xf>
    <xf numFmtId="3" fontId="53" fillId="22" borderId="175" xfId="0" applyNumberFormat="1" applyFont="1" applyFill="1" applyBorder="1" applyAlignment="1">
      <alignment vertical="top"/>
    </xf>
    <xf numFmtId="0" fontId="55" fillId="0" borderId="67" xfId="0" applyFont="1" applyBorder="1"/>
    <xf numFmtId="0" fontId="54" fillId="2" borderId="144" xfId="0" applyFont="1" applyFill="1" applyBorder="1" applyAlignment="1">
      <alignment horizontal="center" vertical="center" wrapText="1"/>
    </xf>
    <xf numFmtId="3" fontId="56" fillId="2" borderId="175" xfId="0" applyNumberFormat="1" applyFont="1" applyFill="1" applyBorder="1" applyAlignment="1">
      <alignment vertical="center"/>
    </xf>
    <xf numFmtId="3" fontId="56" fillId="58" borderId="175" xfId="0" applyNumberFormat="1" applyFont="1" applyFill="1" applyBorder="1" applyAlignment="1">
      <alignment vertical="center"/>
    </xf>
    <xf numFmtId="3" fontId="56" fillId="60" borderId="175" xfId="0" applyNumberFormat="1" applyFont="1" applyFill="1" applyBorder="1" applyAlignment="1">
      <alignment vertical="center"/>
    </xf>
    <xf numFmtId="43" fontId="56" fillId="2" borderId="175" xfId="1" applyFont="1" applyFill="1" applyBorder="1" applyAlignment="1">
      <alignment vertical="center"/>
    </xf>
    <xf numFmtId="3" fontId="58" fillId="26" borderId="175" xfId="0" applyNumberFormat="1" applyFont="1" applyFill="1" applyBorder="1" applyAlignment="1">
      <alignment vertical="center"/>
    </xf>
    <xf numFmtId="0" fontId="0" fillId="0" borderId="138" xfId="0" applyFont="1" applyBorder="1"/>
    <xf numFmtId="3" fontId="60" fillId="0" borderId="175" xfId="0" applyNumberFormat="1" applyFont="1" applyFill="1" applyBorder="1" applyAlignment="1">
      <alignment vertical="center"/>
    </xf>
    <xf numFmtId="3" fontId="0" fillId="0" borderId="176" xfId="0" applyNumberFormat="1" applyFont="1" applyBorder="1"/>
    <xf numFmtId="3" fontId="0" fillId="58" borderId="176" xfId="0" applyNumberFormat="1" applyFont="1" applyFill="1" applyBorder="1"/>
    <xf numFmtId="3" fontId="0" fillId="60" borderId="176" xfId="0" applyNumberFormat="1" applyFont="1" applyFill="1" applyBorder="1"/>
    <xf numFmtId="3" fontId="60" fillId="0" borderId="175" xfId="0" applyNumberFormat="1" applyFont="1" applyFill="1" applyBorder="1" applyAlignment="1">
      <alignment vertical="top"/>
    </xf>
    <xf numFmtId="43" fontId="0" fillId="0" borderId="176" xfId="1" applyFont="1" applyBorder="1"/>
    <xf numFmtId="43" fontId="0" fillId="0" borderId="141" xfId="1" applyFont="1" applyBorder="1"/>
    <xf numFmtId="3" fontId="33" fillId="23" borderId="176" xfId="0" applyNumberFormat="1" applyFont="1" applyFill="1" applyBorder="1" applyAlignment="1">
      <alignment vertical="center"/>
    </xf>
    <xf numFmtId="0" fontId="54" fillId="2" borderId="20" xfId="0" applyFont="1" applyFill="1" applyBorder="1" applyAlignment="1">
      <alignment horizontal="center" vertical="center" wrapText="1"/>
    </xf>
    <xf numFmtId="3" fontId="61" fillId="0" borderId="176" xfId="0" applyNumberFormat="1" applyFont="1" applyBorder="1"/>
    <xf numFmtId="3" fontId="61" fillId="58" borderId="176" xfId="0" applyNumberFormat="1" applyFont="1" applyFill="1" applyBorder="1"/>
    <xf numFmtId="3" fontId="61" fillId="60" borderId="176" xfId="0" applyNumberFormat="1" applyFont="1" applyFill="1" applyBorder="1"/>
    <xf numFmtId="43" fontId="61" fillId="0" borderId="176" xfId="1" applyFont="1" applyBorder="1"/>
    <xf numFmtId="43" fontId="54" fillId="6" borderId="176" xfId="1" applyFont="1" applyFill="1" applyBorder="1" applyAlignment="1">
      <alignment vertical="top"/>
    </xf>
    <xf numFmtId="43" fontId="56" fillId="2" borderId="35" xfId="1" applyFont="1" applyFill="1" applyBorder="1" applyAlignment="1">
      <alignment vertical="center"/>
    </xf>
    <xf numFmtId="43" fontId="56" fillId="2" borderId="9" xfId="1" applyFont="1" applyFill="1" applyBorder="1" applyAlignment="1">
      <alignment vertical="center"/>
    </xf>
    <xf numFmtId="3" fontId="61" fillId="0" borderId="134" xfId="0" applyNumberFormat="1" applyFont="1" applyBorder="1"/>
    <xf numFmtId="3" fontId="61" fillId="58" borderId="134" xfId="0" applyNumberFormat="1" applyFont="1" applyFill="1" applyBorder="1"/>
    <xf numFmtId="3" fontId="61" fillId="60" borderId="134" xfId="0" applyNumberFormat="1" applyFont="1" applyFill="1" applyBorder="1"/>
    <xf numFmtId="3" fontId="60" fillId="0" borderId="151" xfId="0" applyNumberFormat="1" applyFont="1" applyFill="1" applyBorder="1" applyAlignment="1">
      <alignment vertical="top"/>
    </xf>
    <xf numFmtId="43" fontId="61" fillId="0" borderId="134" xfId="1" applyFont="1" applyBorder="1"/>
    <xf numFmtId="43" fontId="61" fillId="0" borderId="12" xfId="1" applyFont="1" applyBorder="1"/>
    <xf numFmtId="0" fontId="55" fillId="0" borderId="69" xfId="0" applyFont="1" applyBorder="1"/>
    <xf numFmtId="0" fontId="49" fillId="2" borderId="6" xfId="0" applyFont="1" applyFill="1" applyBorder="1" applyAlignment="1">
      <alignment vertical="top"/>
    </xf>
    <xf numFmtId="0" fontId="56" fillId="56" borderId="149" xfId="4" applyFont="1" applyFill="1" applyBorder="1" applyAlignment="1">
      <alignment horizontal="left" vertical="center"/>
    </xf>
    <xf numFmtId="3" fontId="56" fillId="56" borderId="142" xfId="4" applyNumberFormat="1" applyFont="1" applyFill="1" applyBorder="1" applyAlignment="1">
      <alignment horizontal="right" vertical="center"/>
    </xf>
    <xf numFmtId="0" fontId="56" fillId="56" borderId="10" xfId="4" applyFont="1" applyFill="1" applyBorder="1" applyAlignment="1">
      <alignment horizontal="left" vertical="center"/>
    </xf>
    <xf numFmtId="0" fontId="56" fillId="56" borderId="13" xfId="4" applyFont="1" applyFill="1" applyBorder="1" applyAlignment="1">
      <alignment horizontal="left" vertical="center"/>
    </xf>
    <xf numFmtId="0" fontId="56" fillId="56" borderId="74" xfId="0" applyFont="1" applyFill="1" applyBorder="1" applyAlignment="1">
      <alignment horizontal="left" vertical="top"/>
    </xf>
    <xf numFmtId="0" fontId="57" fillId="56" borderId="12" xfId="0" quotePrefix="1" applyFont="1" applyFill="1" applyBorder="1" applyAlignment="1">
      <alignment horizontal="center" vertical="top"/>
    </xf>
    <xf numFmtId="0" fontId="54" fillId="6" borderId="35" xfId="4" applyFont="1" applyFill="1" applyBorder="1" applyAlignment="1">
      <alignment horizontal="left" vertical="center"/>
    </xf>
    <xf numFmtId="0" fontId="56" fillId="8" borderId="140" xfId="4" applyFont="1" applyFill="1" applyBorder="1" applyAlignment="1">
      <alignment horizontal="center" vertical="center"/>
    </xf>
    <xf numFmtId="3" fontId="56" fillId="8" borderId="140" xfId="0" applyNumberFormat="1" applyFont="1" applyFill="1" applyBorder="1" applyAlignment="1">
      <alignment vertical="top"/>
    </xf>
    <xf numFmtId="3" fontId="56" fillId="23" borderId="140" xfId="0" applyNumberFormat="1" applyFont="1" applyFill="1" applyBorder="1" applyAlignment="1">
      <alignment vertical="top"/>
    </xf>
    <xf numFmtId="0" fontId="60" fillId="8" borderId="140" xfId="0" applyFont="1" applyFill="1" applyBorder="1" applyAlignment="1">
      <alignment vertical="top"/>
    </xf>
    <xf numFmtId="3" fontId="57" fillId="8" borderId="140" xfId="0" applyNumberFormat="1" applyFont="1" applyFill="1" applyBorder="1" applyAlignment="1">
      <alignment vertical="top"/>
    </xf>
    <xf numFmtId="3" fontId="57" fillId="23" borderId="140" xfId="0" applyNumberFormat="1" applyFont="1" applyFill="1" applyBorder="1" applyAlignment="1">
      <alignment horizontal="center" vertical="top"/>
    </xf>
    <xf numFmtId="3" fontId="60" fillId="8" borderId="140" xfId="0" applyNumberFormat="1" applyFont="1" applyFill="1" applyBorder="1" applyAlignment="1">
      <alignment vertical="top"/>
    </xf>
    <xf numFmtId="3" fontId="56" fillId="23" borderId="140" xfId="0" applyNumberFormat="1" applyFont="1" applyFill="1" applyBorder="1" applyAlignment="1">
      <alignment horizontal="center" vertical="top"/>
    </xf>
    <xf numFmtId="0" fontId="60" fillId="8" borderId="140" xfId="4" applyFont="1" applyFill="1" applyBorder="1" applyAlignment="1">
      <alignment vertical="center"/>
    </xf>
    <xf numFmtId="3" fontId="54" fillId="23" borderId="141" xfId="0" applyNumberFormat="1" applyFont="1" applyFill="1" applyBorder="1" applyAlignment="1">
      <alignment horizontal="center" vertical="center"/>
    </xf>
    <xf numFmtId="0" fontId="56" fillId="8" borderId="141" xfId="4" applyFont="1" applyFill="1" applyBorder="1" applyAlignment="1">
      <alignment horizontal="center" vertical="center"/>
    </xf>
    <xf numFmtId="3" fontId="54" fillId="23" borderId="13" xfId="0" applyNumberFormat="1" applyFont="1" applyFill="1" applyBorder="1" applyAlignment="1">
      <alignment horizontal="center" vertical="center"/>
    </xf>
    <xf numFmtId="0" fontId="56" fillId="8" borderId="13" xfId="4" applyFont="1" applyFill="1" applyBorder="1" applyAlignment="1">
      <alignment horizontal="center" vertical="center"/>
    </xf>
    <xf numFmtId="0" fontId="56" fillId="8" borderId="35" xfId="4" applyFont="1" applyFill="1" applyBorder="1" applyAlignment="1">
      <alignment vertical="center"/>
    </xf>
    <xf numFmtId="3" fontId="56" fillId="8" borderId="35" xfId="0" applyNumberFormat="1" applyFont="1" applyFill="1" applyBorder="1" applyAlignment="1">
      <alignment vertical="top"/>
    </xf>
    <xf numFmtId="0" fontId="49" fillId="2" borderId="22" xfId="0" applyFont="1" applyFill="1" applyBorder="1" applyAlignment="1">
      <alignment vertical="top"/>
    </xf>
    <xf numFmtId="0" fontId="60" fillId="8" borderId="134" xfId="4" applyFont="1" applyFill="1" applyBorder="1" applyAlignment="1">
      <alignment vertical="center"/>
    </xf>
    <xf numFmtId="0" fontId="56" fillId="8" borderId="12" xfId="4" applyFont="1" applyFill="1" applyBorder="1" applyAlignment="1">
      <alignment horizontal="center" vertical="center"/>
    </xf>
    <xf numFmtId="3" fontId="60" fillId="8" borderId="134" xfId="0" applyNumberFormat="1" applyFont="1" applyFill="1" applyBorder="1" applyAlignment="1">
      <alignment vertical="top"/>
    </xf>
    <xf numFmtId="3" fontId="54" fillId="23" borderId="12" xfId="0" applyNumberFormat="1" applyFont="1" applyFill="1" applyBorder="1" applyAlignment="1">
      <alignment horizontal="center" vertical="center"/>
    </xf>
    <xf numFmtId="0" fontId="54" fillId="8" borderId="35" xfId="0" applyFont="1" applyFill="1" applyBorder="1" applyAlignment="1">
      <alignment horizontal="left" vertical="center" wrapText="1"/>
    </xf>
    <xf numFmtId="0" fontId="54" fillId="8" borderId="35" xfId="0" applyFont="1" applyFill="1" applyBorder="1" applyAlignment="1">
      <alignment horizontal="center" vertical="center" wrapText="1"/>
    </xf>
    <xf numFmtId="0" fontId="60" fillId="8" borderId="35" xfId="0" applyFont="1" applyFill="1" applyBorder="1" applyAlignment="1">
      <alignment vertical="top"/>
    </xf>
    <xf numFmtId="3" fontId="60" fillId="8" borderId="10" xfId="0" applyNumberFormat="1" applyFont="1" applyFill="1" applyBorder="1" applyAlignment="1">
      <alignment vertical="top"/>
    </xf>
    <xf numFmtId="3" fontId="56" fillId="25" borderId="140" xfId="0" applyNumberFormat="1" applyFont="1" applyFill="1" applyBorder="1" applyAlignment="1">
      <alignment horizontal="center" vertical="top"/>
    </xf>
    <xf numFmtId="0" fontId="60" fillId="0" borderId="140" xfId="4" applyFont="1" applyFill="1" applyBorder="1" applyAlignment="1">
      <alignment vertical="center"/>
    </xf>
    <xf numFmtId="3" fontId="54" fillId="6" borderId="35" xfId="0" applyNumberFormat="1" applyFont="1" applyFill="1" applyBorder="1" applyAlignment="1">
      <alignment vertical="top"/>
    </xf>
    <xf numFmtId="3" fontId="54" fillId="6" borderId="13" xfId="0" applyNumberFormat="1" applyFont="1" applyFill="1" applyBorder="1" applyAlignment="1">
      <alignment vertical="top"/>
    </xf>
    <xf numFmtId="3" fontId="54" fillId="22" borderId="141" xfId="0" applyNumberFormat="1" applyFont="1" applyFill="1" applyBorder="1" applyAlignment="1">
      <alignment horizontal="center" vertical="top"/>
    </xf>
    <xf numFmtId="3" fontId="54" fillId="22" borderId="13" xfId="0" applyNumberFormat="1" applyFont="1" applyFill="1" applyBorder="1" applyAlignment="1">
      <alignment horizontal="center" vertical="top"/>
    </xf>
    <xf numFmtId="3" fontId="54" fillId="2" borderId="12" xfId="4" applyNumberFormat="1" applyFont="1" applyFill="1" applyBorder="1" applyAlignment="1">
      <alignment horizontal="center" vertical="center" wrapText="1"/>
    </xf>
    <xf numFmtId="0" fontId="0" fillId="0" borderId="134" xfId="0" applyFont="1" applyBorder="1"/>
    <xf numFmtId="3" fontId="54" fillId="22" borderId="12" xfId="0" applyNumberFormat="1" applyFont="1" applyFill="1" applyBorder="1" applyAlignment="1">
      <alignment horizontal="center" vertical="top"/>
    </xf>
    <xf numFmtId="3" fontId="56" fillId="0" borderId="140" xfId="4" applyNumberFormat="1" applyFont="1" applyFill="1" applyBorder="1" applyAlignment="1">
      <alignment vertical="top" wrapText="1"/>
    </xf>
    <xf numFmtId="3" fontId="60" fillId="2" borderId="35" xfId="0" applyNumberFormat="1" applyFont="1" applyFill="1" applyBorder="1" applyAlignment="1">
      <alignment vertical="top"/>
    </xf>
    <xf numFmtId="0" fontId="62" fillId="0" borderId="140" xfId="0" applyFont="1" applyBorder="1" applyAlignment="1">
      <alignment vertical="center"/>
    </xf>
    <xf numFmtId="3" fontId="56" fillId="0" borderId="140" xfId="0" applyNumberFormat="1" applyFont="1" applyFill="1" applyBorder="1" applyAlignment="1">
      <alignment vertical="center"/>
    </xf>
    <xf numFmtId="3" fontId="56" fillId="0" borderId="35" xfId="0" applyNumberFormat="1" applyFont="1" applyFill="1" applyBorder="1" applyAlignment="1">
      <alignment vertical="center"/>
    </xf>
    <xf numFmtId="3" fontId="56" fillId="25" borderId="35" xfId="0" applyNumberFormat="1" applyFont="1" applyFill="1" applyBorder="1" applyAlignment="1">
      <alignment horizontal="center" vertical="center"/>
    </xf>
    <xf numFmtId="3" fontId="60" fillId="0" borderId="35" xfId="0" applyNumberFormat="1" applyFont="1" applyFill="1" applyBorder="1" applyAlignment="1">
      <alignment vertical="center"/>
    </xf>
    <xf numFmtId="3" fontId="60" fillId="25" borderId="35" xfId="0" applyNumberFormat="1" applyFont="1" applyFill="1" applyBorder="1" applyAlignment="1">
      <alignment horizontal="center" vertical="center"/>
    </xf>
    <xf numFmtId="0" fontId="60" fillId="6" borderId="140" xfId="0" applyFont="1" applyFill="1" applyBorder="1" applyAlignment="1">
      <alignment vertical="center"/>
    </xf>
    <xf numFmtId="3" fontId="54" fillId="25" borderId="113" xfId="0" applyNumberFormat="1" applyFont="1" applyFill="1" applyBorder="1" applyAlignment="1">
      <alignment horizontal="center" vertical="center"/>
    </xf>
    <xf numFmtId="3" fontId="56" fillId="2" borderId="140" xfId="0" applyNumberFormat="1" applyFont="1" applyFill="1" applyBorder="1" applyAlignment="1">
      <alignment vertical="center"/>
    </xf>
    <xf numFmtId="3" fontId="54" fillId="25" borderId="10" xfId="0" applyNumberFormat="1" applyFont="1" applyFill="1" applyBorder="1" applyAlignment="1">
      <alignment horizontal="center" vertical="center"/>
    </xf>
    <xf numFmtId="3" fontId="54" fillId="25" borderId="74" xfId="0" applyNumberFormat="1" applyFont="1" applyFill="1" applyBorder="1" applyAlignment="1">
      <alignment horizontal="center" vertical="center"/>
    </xf>
    <xf numFmtId="3" fontId="58" fillId="0" borderId="122" xfId="4" applyNumberFormat="1" applyFont="1" applyFill="1" applyBorder="1" applyAlignment="1">
      <alignment horizontal="right" vertical="center"/>
    </xf>
    <xf numFmtId="3" fontId="58" fillId="0" borderId="95" xfId="4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vertical="top"/>
    </xf>
    <xf numFmtId="3" fontId="42" fillId="0" borderId="0" xfId="0" applyNumberFormat="1" applyFont="1" applyFill="1" applyBorder="1" applyAlignment="1">
      <alignment horizontal="left"/>
    </xf>
    <xf numFmtId="0" fontId="45" fillId="2" borderId="24" xfId="0" applyFont="1" applyFill="1" applyBorder="1" applyAlignment="1">
      <alignment vertical="top"/>
    </xf>
    <xf numFmtId="0" fontId="46" fillId="2" borderId="5" xfId="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0" fontId="52" fillId="0" borderId="74" xfId="6" applyFont="1" applyBorder="1" applyAlignment="1">
      <alignment horizontal="center" vertical="center"/>
    </xf>
    <xf numFmtId="0" fontId="50" fillId="2" borderId="14" xfId="0" applyFont="1" applyFill="1" applyBorder="1" applyAlignment="1">
      <alignment horizontal="center" vertical="top"/>
    </xf>
    <xf numFmtId="0" fontId="50" fillId="2" borderId="42" xfId="0" applyFont="1" applyFill="1" applyBorder="1" applyAlignment="1">
      <alignment horizontal="center" vertical="top"/>
    </xf>
    <xf numFmtId="0" fontId="50" fillId="2" borderId="15" xfId="0" quotePrefix="1" applyFont="1" applyFill="1" applyBorder="1" applyAlignment="1">
      <alignment horizontal="center" vertical="top"/>
    </xf>
    <xf numFmtId="0" fontId="50" fillId="2" borderId="4" xfId="0" quotePrefix="1" applyFont="1" applyFill="1" applyBorder="1" applyAlignment="1">
      <alignment horizontal="center" vertical="top"/>
    </xf>
    <xf numFmtId="0" fontId="51" fillId="0" borderId="51" xfId="6" applyFont="1" applyBorder="1" applyAlignment="1">
      <alignment horizontal="center" vertical="center"/>
    </xf>
    <xf numFmtId="0" fontId="51" fillId="19" borderId="78" xfId="0" applyFont="1" applyFill="1" applyBorder="1" applyAlignment="1">
      <alignment horizontal="center" vertical="center" wrapText="1"/>
    </xf>
    <xf numFmtId="3" fontId="33" fillId="0" borderId="0" xfId="0" applyNumberFormat="1" applyFont="1" applyFill="1" applyBorder="1" applyAlignment="1">
      <alignment vertical="top"/>
    </xf>
    <xf numFmtId="3" fontId="56" fillId="56" borderId="18" xfId="4" applyNumberFormat="1" applyFont="1" applyFill="1" applyBorder="1" applyAlignment="1">
      <alignment horizontal="right" vertical="center"/>
    </xf>
    <xf numFmtId="3" fontId="56" fillId="21" borderId="44" xfId="4" applyNumberFormat="1" applyFont="1" applyFill="1" applyBorder="1" applyAlignment="1">
      <alignment horizontal="right" vertical="center"/>
    </xf>
    <xf numFmtId="3" fontId="47" fillId="8" borderId="66" xfId="4" applyNumberFormat="1" applyFont="1" applyFill="1" applyBorder="1" applyAlignment="1">
      <alignment vertical="top" wrapText="1"/>
    </xf>
    <xf numFmtId="3" fontId="56" fillId="56" borderId="0" xfId="4" applyNumberFormat="1" applyFont="1" applyFill="1" applyBorder="1" applyAlignment="1">
      <alignment horizontal="right" vertical="center"/>
    </xf>
    <xf numFmtId="3" fontId="56" fillId="21" borderId="43" xfId="4" applyNumberFormat="1" applyFont="1" applyFill="1" applyBorder="1" applyAlignment="1">
      <alignment horizontal="right" vertical="center"/>
    </xf>
    <xf numFmtId="0" fontId="57" fillId="56" borderId="22" xfId="0" quotePrefix="1" applyFont="1" applyFill="1" applyBorder="1" applyAlignment="1">
      <alignment horizontal="center" vertical="top"/>
    </xf>
    <xf numFmtId="3" fontId="56" fillId="56" borderId="24" xfId="0" quotePrefix="1" applyNumberFormat="1" applyFont="1" applyFill="1" applyBorder="1" applyAlignment="1">
      <alignment horizontal="right" vertical="top"/>
    </xf>
    <xf numFmtId="3" fontId="56" fillId="21" borderId="41" xfId="4" applyNumberFormat="1" applyFont="1" applyFill="1" applyBorder="1" applyAlignment="1">
      <alignment horizontal="right" vertical="center"/>
    </xf>
    <xf numFmtId="0" fontId="54" fillId="6" borderId="21" xfId="4" applyFont="1" applyFill="1" applyBorder="1" applyAlignment="1">
      <alignment horizontal="left"/>
    </xf>
    <xf numFmtId="0" fontId="54" fillId="6" borderId="9" xfId="4" applyFont="1" applyFill="1" applyBorder="1" applyAlignment="1">
      <alignment horizontal="left"/>
    </xf>
    <xf numFmtId="3" fontId="54" fillId="6" borderId="8" xfId="0" applyNumberFormat="1" applyFont="1" applyFill="1" applyBorder="1" applyAlignment="1"/>
    <xf numFmtId="3" fontId="54" fillId="6" borderId="35" xfId="0" applyNumberFormat="1" applyFont="1" applyFill="1" applyBorder="1" applyAlignment="1"/>
    <xf numFmtId="3" fontId="54" fillId="6" borderId="7" xfId="0" applyNumberFormat="1" applyFont="1" applyFill="1" applyBorder="1" applyAlignment="1"/>
    <xf numFmtId="3" fontId="54" fillId="22" borderId="46" xfId="0" applyNumberFormat="1" applyFont="1" applyFill="1" applyBorder="1" applyAlignment="1"/>
    <xf numFmtId="3" fontId="47" fillId="8" borderId="67" xfId="0" applyNumberFormat="1" applyFont="1" applyFill="1" applyBorder="1" applyAlignment="1">
      <alignment horizontal="center" vertical="top" wrapText="1"/>
    </xf>
    <xf numFmtId="0" fontId="56" fillId="8" borderId="36" xfId="4" applyFont="1" applyFill="1" applyBorder="1" applyAlignment="1"/>
    <xf numFmtId="0" fontId="54" fillId="8" borderId="9" xfId="0" applyFont="1" applyFill="1" applyBorder="1" applyAlignment="1">
      <alignment wrapText="1"/>
    </xf>
    <xf numFmtId="3" fontId="54" fillId="8" borderId="35" xfId="0" applyNumberFormat="1" applyFont="1" applyFill="1" applyBorder="1" applyAlignment="1"/>
    <xf numFmtId="3" fontId="54" fillId="8" borderId="7" xfId="0" applyNumberFormat="1" applyFont="1" applyFill="1" applyBorder="1" applyAlignment="1"/>
    <xf numFmtId="3" fontId="54" fillId="23" borderId="46" xfId="0" applyNumberFormat="1" applyFont="1" applyFill="1" applyBorder="1" applyAlignment="1"/>
    <xf numFmtId="3" fontId="47" fillId="8" borderId="67" xfId="0" applyNumberFormat="1" applyFont="1" applyFill="1" applyBorder="1" applyAlignment="1">
      <alignment horizontal="center" vertical="center" wrapText="1"/>
    </xf>
    <xf numFmtId="0" fontId="60" fillId="8" borderId="21" xfId="0" applyFont="1" applyFill="1" applyBorder="1" applyAlignment="1">
      <alignment vertical="center"/>
    </xf>
    <xf numFmtId="3" fontId="60" fillId="8" borderId="35" xfId="0" applyNumberFormat="1" applyFont="1" applyFill="1" applyBorder="1" applyAlignment="1"/>
    <xf numFmtId="3" fontId="60" fillId="8" borderId="7" xfId="0" applyNumberFormat="1" applyFont="1" applyFill="1" applyBorder="1" applyAlignment="1"/>
    <xf numFmtId="3" fontId="60" fillId="23" borderId="179" xfId="0" applyNumberFormat="1" applyFont="1" applyFill="1" applyBorder="1" applyAlignment="1"/>
    <xf numFmtId="0" fontId="60" fillId="8" borderId="9" xfId="0" applyFont="1" applyFill="1" applyBorder="1" applyAlignment="1">
      <alignment vertical="center"/>
    </xf>
    <xf numFmtId="3" fontId="60" fillId="8" borderId="176" xfId="0" applyNumberFormat="1" applyFont="1" applyFill="1" applyBorder="1" applyAlignment="1">
      <alignment vertical="center"/>
    </xf>
    <xf numFmtId="43" fontId="60" fillId="8" borderId="35" xfId="1" applyFont="1" applyFill="1" applyBorder="1" applyAlignment="1"/>
    <xf numFmtId="43" fontId="60" fillId="8" borderId="7" xfId="1" applyFont="1" applyFill="1" applyBorder="1" applyAlignment="1"/>
    <xf numFmtId="3" fontId="60" fillId="25" borderId="179" xfId="0" applyNumberFormat="1" applyFont="1" applyFill="1" applyBorder="1" applyAlignment="1">
      <alignment horizontal="center" vertical="top"/>
    </xf>
    <xf numFmtId="3" fontId="60" fillId="8" borderId="35" xfId="0" applyNumberFormat="1" applyFont="1" applyFill="1" applyBorder="1" applyAlignment="1">
      <alignment vertical="center"/>
    </xf>
    <xf numFmtId="43" fontId="60" fillId="8" borderId="176" xfId="1" applyFont="1" applyFill="1" applyBorder="1" applyAlignment="1">
      <alignment vertical="center"/>
    </xf>
    <xf numFmtId="43" fontId="60" fillId="8" borderId="180" xfId="1" applyFont="1" applyFill="1" applyBorder="1" applyAlignment="1">
      <alignment vertical="center"/>
    </xf>
    <xf numFmtId="3" fontId="60" fillId="23" borderId="179" xfId="0" applyNumberFormat="1" applyFont="1" applyFill="1" applyBorder="1" applyAlignment="1">
      <alignment vertical="top"/>
    </xf>
    <xf numFmtId="0" fontId="89" fillId="8" borderId="67" xfId="0" applyFont="1" applyFill="1" applyBorder="1" applyAlignment="1">
      <alignment horizontal="center" vertical="top" wrapText="1"/>
    </xf>
    <xf numFmtId="0" fontId="59" fillId="8" borderId="11" xfId="0" applyFont="1" applyFill="1" applyBorder="1" applyAlignment="1">
      <alignment vertical="center"/>
    </xf>
    <xf numFmtId="0" fontId="60" fillId="8" borderId="138" xfId="0" applyFont="1" applyFill="1" applyBorder="1" applyAlignment="1">
      <alignment vertical="center" wrapText="1"/>
    </xf>
    <xf numFmtId="43" fontId="60" fillId="8" borderId="35" xfId="1" applyFont="1" applyFill="1" applyBorder="1" applyAlignment="1">
      <alignment vertical="center"/>
    </xf>
    <xf numFmtId="43" fontId="60" fillId="8" borderId="7" xfId="1" applyFont="1" applyFill="1" applyBorder="1" applyAlignment="1">
      <alignment vertical="center"/>
    </xf>
    <xf numFmtId="3" fontId="60" fillId="23" borderId="179" xfId="0" applyNumberFormat="1" applyFont="1" applyFill="1" applyBorder="1" applyAlignment="1">
      <alignment vertical="center"/>
    </xf>
    <xf numFmtId="0" fontId="89" fillId="8" borderId="67" xfId="0" applyFont="1" applyFill="1" applyBorder="1" applyAlignment="1">
      <alignment horizontal="center" vertical="center" wrapText="1"/>
    </xf>
    <xf numFmtId="0" fontId="33" fillId="8" borderId="138" xfId="0" applyFont="1" applyFill="1" applyBorder="1" applyAlignment="1">
      <alignment vertical="center" wrapText="1"/>
    </xf>
    <xf numFmtId="0" fontId="33" fillId="8" borderId="9" xfId="0" applyFont="1" applyFill="1" applyBorder="1" applyAlignment="1">
      <alignment vertical="center"/>
    </xf>
    <xf numFmtId="3" fontId="33" fillId="8" borderId="35" xfId="0" applyNumberFormat="1" applyFont="1" applyFill="1" applyBorder="1" applyAlignment="1">
      <alignment vertical="center"/>
    </xf>
    <xf numFmtId="43" fontId="33" fillId="8" borderId="35" xfId="1" applyFont="1" applyFill="1" applyBorder="1" applyAlignment="1">
      <alignment vertical="center"/>
    </xf>
    <xf numFmtId="43" fontId="33" fillId="8" borderId="7" xfId="1" applyFont="1" applyFill="1" applyBorder="1" applyAlignment="1">
      <alignment vertical="center"/>
    </xf>
    <xf numFmtId="3" fontId="33" fillId="23" borderId="179" xfId="0" applyNumberFormat="1" applyFont="1" applyFill="1" applyBorder="1" applyAlignment="1">
      <alignment vertical="center"/>
    </xf>
    <xf numFmtId="3" fontId="47" fillId="0" borderId="0" xfId="0" applyNumberFormat="1" applyFont="1" applyFill="1" applyBorder="1" applyAlignment="1">
      <alignment vertical="center"/>
    </xf>
    <xf numFmtId="0" fontId="54" fillId="8" borderId="9" xfId="0" applyFont="1" applyFill="1" applyBorder="1" applyAlignment="1">
      <alignment vertical="center" wrapText="1"/>
    </xf>
    <xf numFmtId="3" fontId="54" fillId="8" borderId="35" xfId="0" applyNumberFormat="1" applyFont="1" applyFill="1" applyBorder="1" applyAlignment="1">
      <alignment vertical="center"/>
    </xf>
    <xf numFmtId="43" fontId="54" fillId="8" borderId="35" xfId="1" applyFont="1" applyFill="1" applyBorder="1" applyAlignment="1">
      <alignment vertical="center"/>
    </xf>
    <xf numFmtId="43" fontId="54" fillId="8" borderId="7" xfId="1" applyFont="1" applyFill="1" applyBorder="1" applyAlignment="1">
      <alignment vertical="center"/>
    </xf>
    <xf numFmtId="0" fontId="60" fillId="8" borderId="148" xfId="4" applyFont="1" applyFill="1" applyBorder="1" applyAlignment="1">
      <alignment vertical="top" wrapText="1"/>
    </xf>
    <xf numFmtId="0" fontId="60" fillId="8" borderId="181" xfId="0" applyFont="1" applyFill="1" applyBorder="1" applyAlignment="1">
      <alignment vertical="top" wrapText="1"/>
    </xf>
    <xf numFmtId="3" fontId="60" fillId="8" borderId="141" xfId="0" applyNumberFormat="1" applyFont="1" applyFill="1" applyBorder="1" applyAlignment="1">
      <alignment vertical="top"/>
    </xf>
    <xf numFmtId="43" fontId="60" fillId="8" borderId="141" xfId="1" applyFont="1" applyFill="1" applyBorder="1" applyAlignment="1">
      <alignment vertical="top"/>
    </xf>
    <xf numFmtId="43" fontId="60" fillId="8" borderId="113" xfId="1" applyFont="1" applyFill="1" applyBorder="1" applyAlignment="1">
      <alignment vertical="top"/>
    </xf>
    <xf numFmtId="0" fontId="47" fillId="8" borderId="67" xfId="0" applyFont="1" applyFill="1" applyBorder="1" applyAlignment="1">
      <alignment horizontal="center" vertical="top" wrapText="1"/>
    </xf>
    <xf numFmtId="3" fontId="54" fillId="6" borderId="176" xfId="0" applyNumberFormat="1" applyFont="1" applyFill="1" applyBorder="1" applyAlignment="1">
      <alignment vertical="top"/>
    </xf>
    <xf numFmtId="43" fontId="54" fillId="6" borderId="180" xfId="1" applyFont="1" applyFill="1" applyBorder="1" applyAlignment="1">
      <alignment vertical="top"/>
    </xf>
    <xf numFmtId="3" fontId="54" fillId="22" borderId="143" xfId="0" applyNumberFormat="1" applyFont="1" applyFill="1" applyBorder="1" applyAlignment="1">
      <alignment horizontal="center" vertical="center"/>
    </xf>
    <xf numFmtId="3" fontId="54" fillId="22" borderId="43" xfId="0" applyNumberFormat="1" applyFont="1" applyFill="1" applyBorder="1" applyAlignment="1">
      <alignment horizontal="center" vertical="center"/>
    </xf>
    <xf numFmtId="43" fontId="60" fillId="8" borderId="8" xfId="1" applyFont="1" applyFill="1" applyBorder="1" applyAlignment="1">
      <alignment vertical="center"/>
    </xf>
    <xf numFmtId="43" fontId="54" fillId="8" borderId="8" xfId="1" applyFont="1" applyFill="1" applyBorder="1" applyAlignment="1">
      <alignment vertical="center"/>
    </xf>
    <xf numFmtId="0" fontId="60" fillId="8" borderId="27" xfId="0" applyFont="1" applyFill="1" applyBorder="1" applyAlignment="1">
      <alignment vertical="top" wrapText="1"/>
    </xf>
    <xf numFmtId="43" fontId="60" fillId="8" borderId="134" xfId="1" applyFont="1" applyFill="1" applyBorder="1" applyAlignment="1">
      <alignment vertical="top"/>
    </xf>
    <xf numFmtId="43" fontId="60" fillId="8" borderId="137" xfId="1" applyFont="1" applyFill="1" applyBorder="1" applyAlignment="1">
      <alignment vertical="top"/>
    </xf>
    <xf numFmtId="3" fontId="54" fillId="22" borderId="41" xfId="0" applyNumberFormat="1" applyFont="1" applyFill="1" applyBorder="1" applyAlignment="1">
      <alignment horizontal="center" vertical="center"/>
    </xf>
    <xf numFmtId="0" fontId="46" fillId="0" borderId="5" xfId="0" quotePrefix="1" applyFont="1" applyFill="1" applyBorder="1" applyAlignment="1">
      <alignment horizontal="center" vertical="center" wrapText="1"/>
    </xf>
    <xf numFmtId="0" fontId="53" fillId="8" borderId="19" xfId="0" applyFont="1" applyFill="1" applyBorder="1" applyAlignment="1">
      <alignment vertical="top" wrapText="1"/>
    </xf>
    <xf numFmtId="0" fontId="53" fillId="8" borderId="17" xfId="0" applyFont="1" applyFill="1" applyBorder="1" applyAlignment="1">
      <alignment horizontal="center" vertical="center" wrapText="1"/>
    </xf>
    <xf numFmtId="3" fontId="60" fillId="8" borderId="3" xfId="0" applyNumberFormat="1" applyFont="1" applyFill="1" applyBorder="1" applyAlignment="1">
      <alignment vertical="top"/>
    </xf>
    <xf numFmtId="3" fontId="60" fillId="8" borderId="15" xfId="0" applyNumberFormat="1" applyFont="1" applyFill="1" applyBorder="1" applyAlignment="1">
      <alignment vertical="top"/>
    </xf>
    <xf numFmtId="3" fontId="60" fillId="8" borderId="4" xfId="0" applyNumberFormat="1" applyFont="1" applyFill="1" applyBorder="1" applyAlignment="1">
      <alignment vertical="top"/>
    </xf>
    <xf numFmtId="3" fontId="60" fillId="23" borderId="42" xfId="0" applyNumberFormat="1" applyFont="1" applyFill="1" applyBorder="1" applyAlignment="1">
      <alignment vertical="top"/>
    </xf>
    <xf numFmtId="0" fontId="33" fillId="0" borderId="0" xfId="0" applyFont="1" applyFill="1" applyBorder="1" applyAlignment="1">
      <alignment vertical="top"/>
    </xf>
    <xf numFmtId="0" fontId="46" fillId="0" borderId="11" xfId="0" quotePrefix="1" applyFont="1" applyFill="1" applyBorder="1" applyAlignment="1">
      <alignment horizontal="center" vertical="center" wrapText="1"/>
    </xf>
    <xf numFmtId="0" fontId="53" fillId="6" borderId="182" xfId="4" applyFont="1" applyFill="1" applyBorder="1" applyAlignment="1">
      <alignment horizontal="left" vertical="center"/>
    </xf>
    <xf numFmtId="0" fontId="33" fillId="6" borderId="181" xfId="0" applyFont="1" applyFill="1" applyBorder="1" applyAlignment="1">
      <alignment vertical="top" wrapText="1"/>
    </xf>
    <xf numFmtId="3" fontId="54" fillId="6" borderId="176" xfId="0" applyNumberFormat="1" applyFont="1" applyFill="1" applyBorder="1" applyAlignment="1"/>
    <xf numFmtId="3" fontId="54" fillId="6" borderId="27" xfId="0" applyNumberFormat="1" applyFont="1" applyFill="1" applyBorder="1" applyAlignment="1"/>
    <xf numFmtId="3" fontId="54" fillId="6" borderId="13" xfId="0" applyNumberFormat="1" applyFont="1" applyFill="1" applyBorder="1" applyAlignment="1"/>
    <xf numFmtId="3" fontId="54" fillId="6" borderId="0" xfId="0" applyNumberFormat="1" applyFont="1" applyFill="1" applyBorder="1" applyAlignment="1"/>
    <xf numFmtId="3" fontId="54" fillId="22" borderId="43" xfId="0" applyNumberFormat="1" applyFont="1" applyFill="1" applyBorder="1" applyAlignment="1"/>
    <xf numFmtId="3" fontId="58" fillId="2" borderId="138" xfId="4" applyNumberFormat="1" applyFont="1" applyFill="1" applyBorder="1" applyAlignment="1">
      <alignment vertical="center" wrapText="1"/>
    </xf>
    <xf numFmtId="0" fontId="53" fillId="0" borderId="144" xfId="0" applyFont="1" applyFill="1" applyBorder="1" applyAlignment="1">
      <alignment horizontal="center" vertical="center" wrapText="1"/>
    </xf>
    <xf numFmtId="3" fontId="56" fillId="2" borderId="176" xfId="0" applyNumberFormat="1" applyFont="1" applyFill="1" applyBorder="1" applyAlignment="1"/>
    <xf numFmtId="3" fontId="56" fillId="2" borderId="27" xfId="0" applyNumberFormat="1" applyFont="1" applyFill="1" applyBorder="1" applyAlignment="1"/>
    <xf numFmtId="3" fontId="56" fillId="2" borderId="13" xfId="0" applyNumberFormat="1" applyFont="1" applyFill="1" applyBorder="1" applyAlignment="1"/>
    <xf numFmtId="3" fontId="56" fillId="2" borderId="0" xfId="0" applyNumberFormat="1" applyFont="1" applyFill="1" applyBorder="1" applyAlignment="1"/>
    <xf numFmtId="3" fontId="56" fillId="26" borderId="43" xfId="0" applyNumberFormat="1" applyFont="1" applyFill="1" applyBorder="1" applyAlignment="1"/>
    <xf numFmtId="0" fontId="0" fillId="0" borderId="67" xfId="0" applyFont="1" applyBorder="1" applyAlignment="1">
      <alignment horizontal="center" wrapText="1"/>
    </xf>
    <xf numFmtId="3" fontId="60" fillId="0" borderId="176" xfId="0" applyNumberFormat="1" applyFont="1" applyFill="1" applyBorder="1" applyAlignment="1">
      <alignment vertical="top"/>
    </xf>
    <xf numFmtId="3" fontId="60" fillId="0" borderId="27" xfId="0" applyNumberFormat="1" applyFont="1" applyFill="1" applyBorder="1" applyAlignment="1">
      <alignment vertical="top"/>
    </xf>
    <xf numFmtId="3" fontId="60" fillId="0" borderId="0" xfId="0" applyNumberFormat="1" applyFont="1" applyFill="1" applyBorder="1" applyAlignment="1">
      <alignment vertical="top"/>
    </xf>
    <xf numFmtId="3" fontId="60" fillId="25" borderId="43" xfId="0" applyNumberFormat="1" applyFont="1" applyFill="1" applyBorder="1" applyAlignment="1">
      <alignment horizontal="center" vertical="top"/>
    </xf>
    <xf numFmtId="0" fontId="33" fillId="0" borderId="138" xfId="0" applyFont="1" applyFill="1" applyBorder="1" applyAlignment="1">
      <alignment vertical="center" wrapText="1"/>
    </xf>
    <xf numFmtId="3" fontId="60" fillId="25" borderId="43" xfId="0" applyNumberFormat="1" applyFont="1" applyFill="1" applyBorder="1" applyAlignment="1">
      <alignment vertical="top"/>
    </xf>
    <xf numFmtId="0" fontId="58" fillId="2" borderId="138" xfId="4" applyFont="1" applyFill="1" applyBorder="1" applyAlignment="1">
      <alignment vertical="center"/>
    </xf>
    <xf numFmtId="3" fontId="56" fillId="0" borderId="176" xfId="0" applyNumberFormat="1" applyFont="1" applyFill="1" applyBorder="1" applyAlignment="1">
      <alignment vertical="top"/>
    </xf>
    <xf numFmtId="3" fontId="56" fillId="0" borderId="27" xfId="0" applyNumberFormat="1" applyFont="1" applyFill="1" applyBorder="1" applyAlignment="1">
      <alignment vertical="top"/>
    </xf>
    <xf numFmtId="3" fontId="56" fillId="0" borderId="13" xfId="0" applyNumberFormat="1" applyFont="1" applyFill="1" applyBorder="1" applyAlignment="1">
      <alignment vertical="top"/>
    </xf>
    <xf numFmtId="3" fontId="56" fillId="0" borderId="0" xfId="0" applyNumberFormat="1" applyFont="1" applyFill="1" applyBorder="1" applyAlignment="1">
      <alignment vertical="top"/>
    </xf>
    <xf numFmtId="3" fontId="56" fillId="25" borderId="43" xfId="0" applyNumberFormat="1" applyFont="1" applyFill="1" applyBorder="1" applyAlignment="1">
      <alignment horizontal="center" vertical="top"/>
    </xf>
    <xf numFmtId="0" fontId="33" fillId="0" borderId="148" xfId="4" applyFont="1" applyFill="1" applyBorder="1" applyAlignment="1">
      <alignment vertical="center"/>
    </xf>
    <xf numFmtId="3" fontId="60" fillId="0" borderId="141" xfId="0" applyNumberFormat="1" applyFont="1" applyFill="1" applyBorder="1" applyAlignment="1">
      <alignment vertical="top"/>
    </xf>
    <xf numFmtId="0" fontId="33" fillId="6" borderId="181" xfId="0" applyFont="1" applyFill="1" applyBorder="1" applyAlignment="1">
      <alignment vertical="top"/>
    </xf>
    <xf numFmtId="3" fontId="54" fillId="22" borderId="43" xfId="0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vertical="top"/>
    </xf>
    <xf numFmtId="3" fontId="54" fillId="2" borderId="180" xfId="0" applyNumberFormat="1" applyFont="1" applyFill="1" applyBorder="1" applyAlignment="1"/>
    <xf numFmtId="3" fontId="54" fillId="2" borderId="27" xfId="0" applyNumberFormat="1" applyFont="1" applyFill="1" applyBorder="1" applyAlignment="1"/>
    <xf numFmtId="3" fontId="54" fillId="2" borderId="13" xfId="0" applyNumberFormat="1" applyFont="1" applyFill="1" applyBorder="1" applyAlignment="1"/>
    <xf numFmtId="3" fontId="54" fillId="2" borderId="0" xfId="0" applyNumberFormat="1" applyFont="1" applyFill="1" applyBorder="1" applyAlignment="1"/>
    <xf numFmtId="0" fontId="46" fillId="0" borderId="25" xfId="0" quotePrefix="1" applyFont="1" applyFill="1" applyBorder="1" applyAlignment="1">
      <alignment horizontal="center" vertical="center" wrapText="1"/>
    </xf>
    <xf numFmtId="0" fontId="33" fillId="0" borderId="148" xfId="4" applyFont="1" applyFill="1" applyBorder="1" applyAlignment="1">
      <alignment horizontal="left"/>
    </xf>
    <xf numFmtId="0" fontId="52" fillId="0" borderId="27" xfId="0" applyFont="1" applyBorder="1" applyAlignment="1">
      <alignment horizontal="center" vertical="center" wrapText="1"/>
    </xf>
    <xf numFmtId="3" fontId="60" fillId="0" borderId="8" xfId="0" applyNumberFormat="1" applyFont="1" applyFill="1" applyBorder="1" applyAlignment="1">
      <alignment vertical="top"/>
    </xf>
    <xf numFmtId="3" fontId="54" fillId="22" borderId="41" xfId="0" applyNumberFormat="1" applyFont="1" applyFill="1" applyBorder="1" applyAlignment="1">
      <alignment horizontal="center" vertical="center"/>
    </xf>
    <xf numFmtId="0" fontId="0" fillId="0" borderId="69" xfId="0" applyFont="1" applyBorder="1" applyAlignment="1">
      <alignment horizontal="center" wrapText="1"/>
    </xf>
    <xf numFmtId="0" fontId="53" fillId="8" borderId="5" xfId="0" applyFont="1" applyFill="1" applyBorder="1" applyAlignment="1">
      <alignment horizontal="left" vertical="center" wrapText="1"/>
    </xf>
    <xf numFmtId="0" fontId="53" fillId="8" borderId="14" xfId="0" applyFont="1" applyFill="1" applyBorder="1" applyAlignment="1">
      <alignment horizontal="center" vertical="center" wrapText="1"/>
    </xf>
    <xf numFmtId="3" fontId="54" fillId="8" borderId="3" xfId="0" applyNumberFormat="1" applyFont="1" applyFill="1" applyBorder="1" applyAlignment="1">
      <alignment vertical="top"/>
    </xf>
    <xf numFmtId="3" fontId="54" fillId="8" borderId="15" xfId="0" applyNumberFormat="1" applyFont="1" applyFill="1" applyBorder="1" applyAlignment="1">
      <alignment vertical="top"/>
    </xf>
    <xf numFmtId="3" fontId="54" fillId="8" borderId="15" xfId="0" applyNumberFormat="1" applyFont="1" applyFill="1" applyBorder="1" applyAlignment="1">
      <alignment vertical="top"/>
    </xf>
    <xf numFmtId="3" fontId="54" fillId="8" borderId="4" xfId="0" applyNumberFormat="1" applyFont="1" applyFill="1" applyBorder="1" applyAlignment="1">
      <alignment vertical="top"/>
    </xf>
    <xf numFmtId="3" fontId="54" fillId="23" borderId="42" xfId="0" applyNumberFormat="1" applyFont="1" applyFill="1" applyBorder="1" applyAlignment="1">
      <alignment vertical="top"/>
    </xf>
    <xf numFmtId="0" fontId="53" fillId="8" borderId="21" xfId="0" applyFont="1" applyFill="1" applyBorder="1" applyAlignment="1">
      <alignment horizontal="left" vertical="center" wrapText="1"/>
    </xf>
    <xf numFmtId="0" fontId="53" fillId="8" borderId="20" xfId="0" applyFont="1" applyFill="1" applyBorder="1" applyAlignment="1">
      <alignment horizontal="center" vertical="center" wrapText="1"/>
    </xf>
    <xf numFmtId="3" fontId="60" fillId="8" borderId="0" xfId="0" applyNumberFormat="1" applyFont="1" applyFill="1" applyBorder="1" applyAlignment="1"/>
    <xf numFmtId="3" fontId="60" fillId="8" borderId="13" xfId="0" applyNumberFormat="1" applyFont="1" applyFill="1" applyBorder="1" applyAlignment="1"/>
    <xf numFmtId="3" fontId="60" fillId="8" borderId="13" xfId="0" applyNumberFormat="1" applyFont="1" applyFill="1" applyBorder="1" applyAlignment="1"/>
    <xf numFmtId="3" fontId="60" fillId="8" borderId="27" xfId="0" applyNumberFormat="1" applyFont="1" applyFill="1" applyBorder="1" applyAlignment="1"/>
    <xf numFmtId="3" fontId="60" fillId="23" borderId="43" xfId="0" applyNumberFormat="1" applyFont="1" applyFill="1" applyBorder="1" applyAlignment="1"/>
    <xf numFmtId="0" fontId="33" fillId="6" borderId="177" xfId="0" applyFont="1" applyFill="1" applyBorder="1" applyAlignment="1">
      <alignment vertical="top"/>
    </xf>
    <xf numFmtId="43" fontId="54" fillId="6" borderId="176" xfId="1" applyFont="1" applyFill="1" applyBorder="1" applyAlignment="1"/>
    <xf numFmtId="43" fontId="54" fillId="6" borderId="177" xfId="1" applyFont="1" applyFill="1" applyBorder="1" applyAlignment="1"/>
    <xf numFmtId="3" fontId="54" fillId="22" borderId="179" xfId="0" applyNumberFormat="1" applyFont="1" applyFill="1" applyBorder="1" applyAlignment="1"/>
    <xf numFmtId="3" fontId="58" fillId="2" borderId="138" xfId="4" applyNumberFormat="1" applyFont="1" applyFill="1" applyBorder="1" applyAlignment="1">
      <alignment vertical="top" wrapText="1"/>
    </xf>
    <xf numFmtId="3" fontId="56" fillId="0" borderId="176" xfId="0" applyNumberFormat="1" applyFont="1" applyFill="1" applyBorder="1" applyAlignment="1"/>
    <xf numFmtId="43" fontId="56" fillId="0" borderId="176" xfId="1" applyFont="1" applyFill="1" applyBorder="1" applyAlignment="1"/>
    <xf numFmtId="43" fontId="56" fillId="0" borderId="177" xfId="1" applyFont="1" applyFill="1" applyBorder="1" applyAlignment="1"/>
    <xf numFmtId="3" fontId="56" fillId="25" borderId="179" xfId="0" applyNumberFormat="1" applyFont="1" applyFill="1" applyBorder="1" applyAlignment="1"/>
    <xf numFmtId="0" fontId="33" fillId="0" borderId="21" xfId="0" applyFont="1" applyFill="1" applyBorder="1" applyAlignment="1">
      <alignment vertical="top"/>
    </xf>
    <xf numFmtId="43" fontId="60" fillId="0" borderId="176" xfId="1" applyFont="1" applyFill="1" applyBorder="1" applyAlignment="1">
      <alignment vertical="top"/>
    </xf>
    <xf numFmtId="43" fontId="60" fillId="0" borderId="177" xfId="1" applyFont="1" applyFill="1" applyBorder="1" applyAlignment="1">
      <alignment vertical="top"/>
    </xf>
    <xf numFmtId="0" fontId="33" fillId="0" borderId="138" xfId="0" applyFont="1" applyFill="1" applyBorder="1" applyAlignment="1">
      <alignment vertical="top" wrapText="1"/>
    </xf>
    <xf numFmtId="3" fontId="60" fillId="25" borderId="179" xfId="0" applyNumberFormat="1" applyFont="1" applyFill="1" applyBorder="1" applyAlignment="1">
      <alignment vertical="top"/>
    </xf>
    <xf numFmtId="3" fontId="60" fillId="0" borderId="176" xfId="0" applyNumberFormat="1" applyFont="1" applyFill="1" applyBorder="1" applyAlignment="1">
      <alignment vertical="center"/>
    </xf>
    <xf numFmtId="43" fontId="60" fillId="0" borderId="176" xfId="1" applyFont="1" applyFill="1" applyBorder="1" applyAlignment="1">
      <alignment vertical="center"/>
    </xf>
    <xf numFmtId="43" fontId="60" fillId="0" borderId="177" xfId="1" applyFont="1" applyFill="1" applyBorder="1" applyAlignment="1">
      <alignment vertical="center"/>
    </xf>
    <xf numFmtId="3" fontId="60" fillId="25" borderId="179" xfId="0" applyNumberFormat="1" applyFont="1" applyFill="1" applyBorder="1" applyAlignment="1">
      <alignment vertical="center"/>
    </xf>
    <xf numFmtId="43" fontId="56" fillId="0" borderId="176" xfId="1" applyFont="1" applyFill="1" applyBorder="1" applyAlignment="1">
      <alignment vertical="top"/>
    </xf>
    <xf numFmtId="43" fontId="56" fillId="0" borderId="177" xfId="1" applyFont="1" applyFill="1" applyBorder="1" applyAlignment="1">
      <alignment vertical="top"/>
    </xf>
    <xf numFmtId="3" fontId="56" fillId="25" borderId="179" xfId="0" applyNumberFormat="1" applyFont="1" applyFill="1" applyBorder="1" applyAlignment="1">
      <alignment horizontal="center" vertical="top"/>
    </xf>
    <xf numFmtId="43" fontId="54" fillId="6" borderId="35" xfId="1" applyFont="1" applyFill="1" applyBorder="1" applyAlignment="1"/>
    <xf numFmtId="3" fontId="56" fillId="2" borderId="138" xfId="4" applyNumberFormat="1" applyFont="1" applyFill="1" applyBorder="1" applyAlignment="1">
      <alignment vertical="top" wrapText="1"/>
    </xf>
    <xf numFmtId="0" fontId="54" fillId="2" borderId="144" xfId="0" applyFont="1" applyFill="1" applyBorder="1" applyAlignment="1">
      <alignment horizontal="center" vertical="top" wrapText="1"/>
    </xf>
    <xf numFmtId="43" fontId="54" fillId="2" borderId="180" xfId="1" applyFont="1" applyFill="1" applyBorder="1" applyAlignment="1"/>
    <xf numFmtId="0" fontId="54" fillId="2" borderId="20" xfId="0" applyFont="1" applyFill="1" applyBorder="1" applyAlignment="1">
      <alignment horizontal="center" vertical="top" wrapText="1"/>
    </xf>
    <xf numFmtId="0" fontId="33" fillId="2" borderId="181" xfId="0" applyFont="1" applyFill="1" applyBorder="1" applyAlignment="1">
      <alignment vertical="top"/>
    </xf>
    <xf numFmtId="0" fontId="52" fillId="0" borderId="37" xfId="0" applyFont="1" applyBorder="1" applyAlignment="1">
      <alignment horizontal="center" vertical="center" wrapText="1"/>
    </xf>
    <xf numFmtId="43" fontId="60" fillId="0" borderId="12" xfId="1" applyFont="1" applyFill="1" applyBorder="1" applyAlignment="1">
      <alignment vertical="top"/>
    </xf>
    <xf numFmtId="0" fontId="46" fillId="2" borderId="5" xfId="0" quotePrefix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top" wrapText="1"/>
    </xf>
    <xf numFmtId="43" fontId="56" fillId="2" borderId="176" xfId="1" applyFont="1" applyFill="1" applyBorder="1" applyAlignment="1"/>
    <xf numFmtId="43" fontId="56" fillId="2" borderId="177" xfId="1" applyFont="1" applyFill="1" applyBorder="1" applyAlignment="1"/>
    <xf numFmtId="43" fontId="60" fillId="0" borderId="141" xfId="1" applyFont="1" applyFill="1" applyBorder="1" applyAlignment="1">
      <alignment vertical="top"/>
    </xf>
    <xf numFmtId="43" fontId="60" fillId="0" borderId="178" xfId="1" applyFont="1" applyFill="1" applyBorder="1" applyAlignment="1">
      <alignment vertical="top"/>
    </xf>
    <xf numFmtId="0" fontId="0" fillId="0" borderId="8" xfId="0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35" xfId="1" applyFont="1" applyBorder="1"/>
    <xf numFmtId="0" fontId="33" fillId="6" borderId="20" xfId="0" applyFont="1" applyFill="1" applyBorder="1" applyAlignment="1">
      <alignment vertical="top"/>
    </xf>
    <xf numFmtId="43" fontId="54" fillId="22" borderId="46" xfId="1" applyFont="1" applyFill="1" applyBorder="1" applyAlignment="1">
      <alignment horizontal="center" vertical="center"/>
    </xf>
    <xf numFmtId="43" fontId="54" fillId="22" borderId="143" xfId="1" applyFont="1" applyFill="1" applyBorder="1" applyAlignment="1">
      <alignment horizontal="center" vertical="center"/>
    </xf>
    <xf numFmtId="0" fontId="66" fillId="0" borderId="144" xfId="0" applyFont="1" applyBorder="1" applyAlignment="1">
      <alignment horizontal="center" vertical="center" wrapText="1"/>
    </xf>
    <xf numFmtId="43" fontId="54" fillId="22" borderId="43" xfId="1" applyFont="1" applyFill="1" applyBorder="1" applyAlignment="1">
      <alignment horizontal="center" vertical="center"/>
    </xf>
    <xf numFmtId="0" fontId="66" fillId="0" borderId="6" xfId="0" applyFont="1" applyBorder="1" applyAlignment="1">
      <alignment horizontal="center" vertical="center" wrapText="1"/>
    </xf>
    <xf numFmtId="0" fontId="66" fillId="0" borderId="22" xfId="0" applyFont="1" applyBorder="1" applyAlignment="1">
      <alignment horizontal="center" vertical="center" wrapText="1"/>
    </xf>
    <xf numFmtId="43" fontId="60" fillId="0" borderId="134" xfId="1" applyFont="1" applyFill="1" applyBorder="1" applyAlignment="1">
      <alignment vertical="top"/>
    </xf>
    <xf numFmtId="43" fontId="60" fillId="0" borderId="151" xfId="1" applyFont="1" applyFill="1" applyBorder="1" applyAlignment="1">
      <alignment vertical="top"/>
    </xf>
    <xf numFmtId="43" fontId="54" fillId="22" borderId="41" xfId="1" applyFont="1" applyFill="1" applyBorder="1" applyAlignment="1">
      <alignment horizontal="center" vertical="center"/>
    </xf>
    <xf numFmtId="0" fontId="46" fillId="2" borderId="11" xfId="0" quotePrefix="1" applyFont="1" applyFill="1" applyBorder="1" applyAlignment="1">
      <alignment horizontal="center" vertical="center" wrapText="1"/>
    </xf>
    <xf numFmtId="0" fontId="53" fillId="8" borderId="67" xfId="0" applyFont="1" applyFill="1" applyBorder="1" applyAlignment="1">
      <alignment vertical="center" wrapText="1"/>
    </xf>
    <xf numFmtId="0" fontId="53" fillId="8" borderId="9" xfId="0" applyFont="1" applyFill="1" applyBorder="1" applyAlignment="1">
      <alignment horizontal="center" vertical="center" wrapText="1"/>
    </xf>
    <xf numFmtId="3" fontId="54" fillId="8" borderId="0" xfId="0" applyNumberFormat="1" applyFont="1" applyFill="1" applyBorder="1" applyAlignment="1">
      <alignment vertical="top"/>
    </xf>
    <xf numFmtId="3" fontId="54" fillId="8" borderId="13" xfId="0" applyNumberFormat="1" applyFont="1" applyFill="1" applyBorder="1" applyAlignment="1">
      <alignment vertical="top"/>
    </xf>
    <xf numFmtId="3" fontId="54" fillId="8" borderId="27" xfId="0" applyNumberFormat="1" applyFont="1" applyFill="1" applyBorder="1" applyAlignment="1">
      <alignment vertical="top"/>
    </xf>
    <xf numFmtId="0" fontId="51" fillId="0" borderId="67" xfId="0" applyFont="1" applyBorder="1" applyAlignment="1">
      <alignment horizontal="center" vertical="center" wrapText="1"/>
    </xf>
    <xf numFmtId="0" fontId="0" fillId="0" borderId="11" xfId="0" applyFont="1" applyBorder="1"/>
    <xf numFmtId="3" fontId="58" fillId="2" borderId="182" xfId="4" applyNumberFormat="1" applyFont="1" applyFill="1" applyBorder="1" applyAlignment="1">
      <alignment vertical="center" wrapText="1"/>
    </xf>
    <xf numFmtId="0" fontId="33" fillId="0" borderId="36" xfId="0" applyFont="1" applyFill="1" applyBorder="1" applyAlignment="1">
      <alignment vertical="center"/>
    </xf>
    <xf numFmtId="0" fontId="53" fillId="0" borderId="6" xfId="0" applyFont="1" applyFill="1" applyBorder="1" applyAlignment="1">
      <alignment horizontal="center" vertical="center" wrapText="1"/>
    </xf>
    <xf numFmtId="3" fontId="60" fillId="2" borderId="141" xfId="0" applyNumberFormat="1" applyFont="1" applyFill="1" applyBorder="1" applyAlignment="1"/>
    <xf numFmtId="43" fontId="60" fillId="2" borderId="141" xfId="1" applyFont="1" applyFill="1" applyBorder="1" applyAlignment="1"/>
    <xf numFmtId="43" fontId="60" fillId="2" borderId="178" xfId="1" applyFont="1" applyFill="1" applyBorder="1" applyAlignment="1"/>
    <xf numFmtId="0" fontId="33" fillId="0" borderId="182" xfId="0" applyFont="1" applyFill="1" applyBorder="1" applyAlignment="1">
      <alignment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58" fillId="2" borderId="182" xfId="4" applyFont="1" applyFill="1" applyBorder="1" applyAlignment="1">
      <alignment vertical="center"/>
    </xf>
    <xf numFmtId="0" fontId="52" fillId="0" borderId="144" xfId="0" applyFont="1" applyBorder="1" applyAlignment="1">
      <alignment horizontal="center" vertical="center" wrapText="1"/>
    </xf>
    <xf numFmtId="3" fontId="56" fillId="2" borderId="9" xfId="0" applyNumberFormat="1" applyFont="1" applyFill="1" applyBorder="1" applyAlignment="1"/>
    <xf numFmtId="43" fontId="56" fillId="2" borderId="9" xfId="1" applyFont="1" applyFill="1" applyBorder="1" applyAlignment="1"/>
    <xf numFmtId="43" fontId="56" fillId="2" borderId="35" xfId="1" applyFont="1" applyFill="1" applyBorder="1" applyAlignment="1"/>
    <xf numFmtId="0" fontId="33" fillId="0" borderId="146" xfId="4" applyFont="1" applyFill="1" applyBorder="1" applyAlignment="1">
      <alignment vertical="center"/>
    </xf>
    <xf numFmtId="0" fontId="0" fillId="0" borderId="178" xfId="0" applyFont="1" applyBorder="1"/>
    <xf numFmtId="0" fontId="0" fillId="0" borderId="141" xfId="0" applyFont="1" applyBorder="1"/>
    <xf numFmtId="43" fontId="0" fillId="0" borderId="177" xfId="1" applyFont="1" applyBorder="1"/>
    <xf numFmtId="0" fontId="53" fillId="6" borderId="181" xfId="0" applyFont="1" applyFill="1" applyBorder="1" applyAlignment="1">
      <alignment vertical="top"/>
    </xf>
    <xf numFmtId="0" fontId="66" fillId="0" borderId="20" xfId="0" applyFont="1" applyBorder="1" applyAlignment="1">
      <alignment horizontal="center" vertical="center" wrapText="1"/>
    </xf>
    <xf numFmtId="43" fontId="60" fillId="2" borderId="176" xfId="1" applyFont="1" applyFill="1" applyBorder="1" applyAlignment="1"/>
    <xf numFmtId="0" fontId="0" fillId="0" borderId="11" xfId="0" applyFont="1" applyBorder="1"/>
    <xf numFmtId="0" fontId="66" fillId="0" borderId="6" xfId="0" applyFont="1" applyBorder="1" applyAlignment="1">
      <alignment vertical="center" wrapText="1"/>
    </xf>
    <xf numFmtId="3" fontId="56" fillId="2" borderId="141" xfId="0" applyNumberFormat="1" applyFont="1" applyFill="1" applyBorder="1" applyAlignment="1"/>
    <xf numFmtId="43" fontId="56" fillId="2" borderId="141" xfId="1" applyFont="1" applyFill="1" applyBorder="1" applyAlignment="1"/>
    <xf numFmtId="43" fontId="56" fillId="2" borderId="178" xfId="1" applyFont="1" applyFill="1" applyBorder="1" applyAlignment="1"/>
    <xf numFmtId="0" fontId="66" fillId="0" borderId="22" xfId="0" applyFont="1" applyBorder="1" applyAlignment="1">
      <alignment horizontal="center" vertical="center" wrapText="1"/>
    </xf>
    <xf numFmtId="43" fontId="60" fillId="0" borderId="151" xfId="1" applyFont="1" applyFill="1" applyBorder="1" applyAlignment="1">
      <alignment vertical="center"/>
    </xf>
    <xf numFmtId="0" fontId="51" fillId="0" borderId="69" xfId="0" applyFont="1" applyBorder="1" applyAlignment="1">
      <alignment horizontal="center" vertical="center" wrapText="1"/>
    </xf>
    <xf numFmtId="49" fontId="51" fillId="0" borderId="66" xfId="3" applyNumberFormat="1" applyFont="1" applyBorder="1" applyAlignment="1">
      <alignment horizontal="center" vertical="center" wrapText="1"/>
    </xf>
    <xf numFmtId="0" fontId="33" fillId="6" borderId="181" xfId="0" applyFont="1" applyFill="1" applyBorder="1" applyAlignment="1">
      <alignment vertical="center"/>
    </xf>
    <xf numFmtId="3" fontId="54" fillId="6" borderId="176" xfId="0" applyNumberFormat="1" applyFont="1" applyFill="1" applyBorder="1" applyAlignment="1">
      <alignment vertical="center"/>
    </xf>
    <xf numFmtId="49" fontId="51" fillId="0" borderId="67" xfId="3" applyNumberFormat="1" applyFont="1" applyBorder="1" applyAlignment="1">
      <alignment horizontal="center" vertical="center" wrapText="1"/>
    </xf>
    <xf numFmtId="0" fontId="53" fillId="2" borderId="144" xfId="0" applyFont="1" applyFill="1" applyBorder="1" applyAlignment="1">
      <alignment horizontal="center" vertical="center" wrapText="1"/>
    </xf>
    <xf numFmtId="3" fontId="56" fillId="23" borderId="179" xfId="0" applyNumberFormat="1" applyFont="1" applyFill="1" applyBorder="1" applyAlignment="1"/>
    <xf numFmtId="0" fontId="53" fillId="2" borderId="6" xfId="0" applyFont="1" applyFill="1" applyBorder="1" applyAlignment="1">
      <alignment horizontal="center" vertical="center" wrapText="1"/>
    </xf>
    <xf numFmtId="43" fontId="60" fillId="25" borderId="179" xfId="1" applyFont="1" applyFill="1" applyBorder="1" applyAlignment="1">
      <alignment horizontal="center" vertical="top"/>
    </xf>
    <xf numFmtId="0" fontId="46" fillId="2" borderId="25" xfId="0" quotePrefix="1" applyFont="1" applyFill="1" applyBorder="1" applyAlignment="1">
      <alignment horizontal="center" vertical="center" wrapText="1"/>
    </xf>
    <xf numFmtId="0" fontId="33" fillId="2" borderId="77" xfId="0" applyFont="1" applyFill="1" applyBorder="1" applyAlignment="1">
      <alignment vertical="top" wrapText="1"/>
    </xf>
    <xf numFmtId="0" fontId="53" fillId="8" borderId="5" xfId="0" applyFont="1" applyFill="1" applyBorder="1" applyAlignment="1">
      <alignment vertical="top" wrapText="1"/>
    </xf>
    <xf numFmtId="3" fontId="60" fillId="0" borderId="12" xfId="0" applyNumberFormat="1" applyFont="1" applyFill="1" applyBorder="1" applyAlignment="1">
      <alignment vertical="center"/>
    </xf>
    <xf numFmtId="3" fontId="54" fillId="6" borderId="147" xfId="0" applyNumberFormat="1" applyFont="1" applyFill="1" applyBorder="1" applyAlignment="1"/>
    <xf numFmtId="3" fontId="56" fillId="2" borderId="176" xfId="0" applyNumberFormat="1" applyFont="1" applyFill="1" applyBorder="1" applyAlignment="1">
      <alignment vertical="center"/>
    </xf>
    <xf numFmtId="3" fontId="56" fillId="2" borderId="147" xfId="0" applyNumberFormat="1" applyFont="1" applyFill="1" applyBorder="1" applyAlignment="1">
      <alignment vertical="center"/>
    </xf>
    <xf numFmtId="3" fontId="60" fillId="2" borderId="141" xfId="0" applyNumberFormat="1" applyFont="1" applyFill="1" applyBorder="1" applyAlignment="1">
      <alignment vertical="center"/>
    </xf>
    <xf numFmtId="0" fontId="0" fillId="0" borderId="176" xfId="0" applyFont="1" applyBorder="1" applyAlignment="1">
      <alignment vertical="center"/>
    </xf>
    <xf numFmtId="3" fontId="60" fillId="2" borderId="176" xfId="0" applyNumberFormat="1" applyFont="1" applyFill="1" applyBorder="1" applyAlignment="1">
      <alignment vertical="center"/>
    </xf>
    <xf numFmtId="3" fontId="60" fillId="0" borderId="147" xfId="0" applyNumberFormat="1" applyFont="1" applyFill="1" applyBorder="1" applyAlignment="1">
      <alignment vertical="center"/>
    </xf>
    <xf numFmtId="0" fontId="33" fillId="0" borderId="25" xfId="0" applyFont="1" applyFill="1" applyBorder="1" applyAlignment="1">
      <alignment vertical="center"/>
    </xf>
    <xf numFmtId="0" fontId="53" fillId="2" borderId="22" xfId="0" applyFont="1" applyFill="1" applyBorder="1" applyAlignment="1">
      <alignment horizontal="center" vertical="center" wrapText="1"/>
    </xf>
    <xf numFmtId="3" fontId="60" fillId="2" borderId="134" xfId="0" applyNumberFormat="1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3" fontId="60" fillId="0" borderId="137" xfId="0" applyNumberFormat="1" applyFont="1" applyFill="1" applyBorder="1" applyAlignment="1">
      <alignment vertical="center"/>
    </xf>
    <xf numFmtId="3" fontId="60" fillId="23" borderId="136" xfId="0" applyNumberFormat="1" applyFont="1" applyFill="1" applyBorder="1" applyAlignment="1"/>
    <xf numFmtId="49" fontId="51" fillId="0" borderId="69" xfId="3" applyNumberFormat="1" applyFont="1" applyBorder="1" applyAlignment="1">
      <alignment horizontal="center" vertical="center" wrapText="1"/>
    </xf>
    <xf numFmtId="3" fontId="56" fillId="26" borderId="179" xfId="0" applyNumberFormat="1" applyFont="1" applyFill="1" applyBorder="1" applyAlignment="1"/>
    <xf numFmtId="3" fontId="60" fillId="25" borderId="143" xfId="0" applyNumberFormat="1" applyFont="1" applyFill="1" applyBorder="1" applyAlignment="1">
      <alignment horizontal="center" vertical="top"/>
    </xf>
    <xf numFmtId="43" fontId="54" fillId="2" borderId="176" xfId="1" applyFont="1" applyFill="1" applyBorder="1" applyAlignment="1"/>
    <xf numFmtId="43" fontId="54" fillId="2" borderId="147" xfId="1" applyFont="1" applyFill="1" applyBorder="1" applyAlignment="1"/>
    <xf numFmtId="0" fontId="33" fillId="0" borderId="77" xfId="4" applyFont="1" applyFill="1" applyBorder="1" applyAlignment="1">
      <alignment horizontal="left"/>
    </xf>
    <xf numFmtId="43" fontId="60" fillId="0" borderId="23" xfId="1" applyFont="1" applyFill="1" applyBorder="1" applyAlignment="1">
      <alignment vertical="top"/>
    </xf>
    <xf numFmtId="0" fontId="47" fillId="0" borderId="5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7" fontId="60" fillId="0" borderId="176" xfId="1" applyNumberFormat="1" applyFont="1" applyFill="1" applyBorder="1" applyAlignment="1">
      <alignment vertical="top"/>
    </xf>
    <xf numFmtId="0" fontId="53" fillId="0" borderId="6" xfId="0" applyFont="1" applyFill="1" applyBorder="1" applyAlignment="1">
      <alignment horizontal="center" vertical="center" wrapText="1"/>
    </xf>
    <xf numFmtId="3" fontId="56" fillId="2" borderId="180" xfId="0" applyNumberFormat="1" applyFont="1" applyFill="1" applyBorder="1" applyAlignment="1"/>
    <xf numFmtId="3" fontId="54" fillId="0" borderId="176" xfId="0" applyNumberFormat="1" applyFont="1" applyFill="1" applyBorder="1" applyAlignment="1"/>
    <xf numFmtId="0" fontId="0" fillId="0" borderId="25" xfId="0" applyFont="1" applyBorder="1" applyAlignment="1">
      <alignment horizontal="center" vertical="center" wrapText="1"/>
    </xf>
    <xf numFmtId="49" fontId="51" fillId="0" borderId="5" xfId="3" applyNumberFormat="1" applyFont="1" applyBorder="1" applyAlignment="1">
      <alignment horizontal="center" vertical="center" wrapText="1"/>
    </xf>
    <xf numFmtId="3" fontId="54" fillId="6" borderId="177" xfId="0" applyNumberFormat="1" applyFont="1" applyFill="1" applyBorder="1" applyAlignment="1">
      <alignment vertical="center"/>
    </xf>
    <xf numFmtId="3" fontId="54" fillId="22" borderId="179" xfId="0" applyNumberFormat="1" applyFont="1" applyFill="1" applyBorder="1" applyAlignment="1">
      <alignment vertical="center"/>
    </xf>
    <xf numFmtId="49" fontId="51" fillId="0" borderId="11" xfId="3" applyNumberFormat="1" applyFont="1" applyBorder="1" applyAlignment="1">
      <alignment horizontal="center" vertical="center" wrapText="1"/>
    </xf>
    <xf numFmtId="3" fontId="56" fillId="2" borderId="177" xfId="0" applyNumberFormat="1" applyFont="1" applyFill="1" applyBorder="1" applyAlignment="1">
      <alignment vertical="center"/>
    </xf>
    <xf numFmtId="0" fontId="33" fillId="0" borderId="138" xfId="0" applyFont="1" applyFill="1" applyBorder="1" applyAlignment="1">
      <alignment vertical="center"/>
    </xf>
    <xf numFmtId="0" fontId="0" fillId="0" borderId="141" xfId="0" applyFont="1" applyBorder="1" applyAlignment="1">
      <alignment vertical="center"/>
    </xf>
    <xf numFmtId="3" fontId="60" fillId="0" borderId="141" xfId="0" applyNumberFormat="1" applyFont="1" applyFill="1" applyBorder="1" applyAlignment="1">
      <alignment vertical="center"/>
    </xf>
    <xf numFmtId="3" fontId="60" fillId="0" borderId="178" xfId="0" applyNumberFormat="1" applyFont="1" applyFill="1" applyBorder="1" applyAlignment="1">
      <alignment vertical="center"/>
    </xf>
    <xf numFmtId="3" fontId="60" fillId="0" borderId="112" xfId="0" applyNumberFormat="1" applyFont="1" applyFill="1" applyBorder="1" applyAlignment="1">
      <alignment vertical="center"/>
    </xf>
    <xf numFmtId="0" fontId="46" fillId="2" borderId="11" xfId="0" quotePrefix="1" applyFont="1" applyFill="1" applyBorder="1" applyAlignment="1">
      <alignment horizontal="center" vertical="center" wrapText="1"/>
    </xf>
    <xf numFmtId="3" fontId="60" fillId="23" borderId="41" xfId="0" applyNumberFormat="1" applyFont="1" applyFill="1" applyBorder="1" applyAlignment="1"/>
    <xf numFmtId="49" fontId="51" fillId="0" borderId="25" xfId="3" applyNumberFormat="1" applyFont="1" applyBorder="1" applyAlignment="1">
      <alignment horizontal="center" vertical="center" wrapText="1"/>
    </xf>
    <xf numFmtId="43" fontId="56" fillId="2" borderId="176" xfId="1" applyFont="1" applyFill="1" applyBorder="1" applyAlignment="1">
      <alignment vertical="center"/>
    </xf>
    <xf numFmtId="43" fontId="56" fillId="2" borderId="177" xfId="1" applyFont="1" applyFill="1" applyBorder="1" applyAlignment="1">
      <alignment vertical="center"/>
    </xf>
    <xf numFmtId="3" fontId="60" fillId="25" borderId="182" xfId="0" applyNumberFormat="1" applyFont="1" applyFill="1" applyBorder="1" applyAlignment="1">
      <alignment horizontal="center" vertical="top"/>
    </xf>
    <xf numFmtId="3" fontId="60" fillId="23" borderId="153" xfId="0" applyNumberFormat="1" applyFont="1" applyFill="1" applyBorder="1" applyAlignment="1"/>
    <xf numFmtId="3" fontId="54" fillId="8" borderId="17" xfId="0" applyNumberFormat="1" applyFont="1" applyFill="1" applyBorder="1" applyAlignment="1">
      <alignment vertical="top"/>
    </xf>
    <xf numFmtId="3" fontId="60" fillId="23" borderId="36" xfId="0" applyNumberFormat="1" applyFont="1" applyFill="1" applyBorder="1" applyAlignment="1"/>
    <xf numFmtId="3" fontId="54" fillId="22" borderId="182" xfId="0" applyNumberFormat="1" applyFont="1" applyFill="1" applyBorder="1" applyAlignment="1"/>
    <xf numFmtId="3" fontId="54" fillId="22" borderId="136" xfId="0" applyNumberFormat="1" applyFont="1" applyFill="1" applyBorder="1" applyAlignment="1"/>
    <xf numFmtId="3" fontId="60" fillId="25" borderId="36" xfId="0" applyNumberFormat="1" applyFont="1" applyFill="1" applyBorder="1" applyAlignment="1">
      <alignment horizontal="center" vertical="top"/>
    </xf>
    <xf numFmtId="0" fontId="42" fillId="2" borderId="3" xfId="0" applyFont="1" applyFill="1" applyBorder="1" applyAlignment="1">
      <alignment horizontal="left" vertical="center" wrapText="1"/>
    </xf>
    <xf numFmtId="0" fontId="42" fillId="2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wrapText="1"/>
    </xf>
    <xf numFmtId="0" fontId="42" fillId="2" borderId="0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vertical="top"/>
    </xf>
    <xf numFmtId="0" fontId="89" fillId="0" borderId="0" xfId="0" applyFont="1" applyFill="1" applyBorder="1" applyAlignment="1">
      <alignment vertical="top"/>
    </xf>
    <xf numFmtId="3" fontId="89" fillId="0" borderId="0" xfId="0" applyNumberFormat="1" applyFont="1" applyFill="1" applyBorder="1" applyAlignment="1">
      <alignment vertical="top"/>
    </xf>
    <xf numFmtId="0" fontId="69" fillId="0" borderId="0" xfId="0" applyFont="1" applyFill="1" applyBorder="1" applyAlignment="1">
      <alignment vertical="top"/>
    </xf>
    <xf numFmtId="3" fontId="51" fillId="0" borderId="0" xfId="0" applyNumberFormat="1" applyFont="1" applyBorder="1" applyAlignment="1">
      <alignment vertical="top"/>
    </xf>
    <xf numFmtId="0" fontId="0" fillId="0" borderId="176" xfId="0" applyFont="1" applyBorder="1" applyAlignment="1">
      <alignment horizontal="center" vertical="top"/>
    </xf>
    <xf numFmtId="0" fontId="66" fillId="0" borderId="0" xfId="0" applyFont="1" applyBorder="1" applyAlignment="1">
      <alignment horizontal="center" vertical="top"/>
    </xf>
    <xf numFmtId="3" fontId="66" fillId="0" borderId="0" xfId="0" applyNumberFormat="1" applyFont="1" applyBorder="1" applyAlignment="1">
      <alignment horizontal="center" vertical="top"/>
    </xf>
    <xf numFmtId="3" fontId="66" fillId="0" borderId="176" xfId="0" applyNumberFormat="1" applyFont="1" applyBorder="1" applyAlignment="1">
      <alignment vertical="top"/>
    </xf>
    <xf numFmtId="0" fontId="46" fillId="0" borderId="0" xfId="0" applyFont="1" applyFill="1" applyBorder="1" applyAlignment="1">
      <alignment vertical="top"/>
    </xf>
    <xf numFmtId="0" fontId="48" fillId="0" borderId="0" xfId="0" applyFont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26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49" fillId="0" borderId="5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top"/>
    </xf>
    <xf numFmtId="0" fontId="50" fillId="0" borderId="134" xfId="0" applyFont="1" applyBorder="1" applyAlignment="1">
      <alignment horizontal="center" vertical="top"/>
    </xf>
    <xf numFmtId="0" fontId="50" fillId="0" borderId="134" xfId="0" quotePrefix="1" applyFont="1" applyBorder="1" applyAlignment="1">
      <alignment horizontal="center" vertical="top"/>
    </xf>
    <xf numFmtId="0" fontId="50" fillId="2" borderId="134" xfId="0" applyFont="1" applyFill="1" applyBorder="1" applyAlignment="1">
      <alignment horizontal="center" vertical="top"/>
    </xf>
    <xf numFmtId="0" fontId="50" fillId="2" borderId="134" xfId="0" quotePrefix="1" applyFont="1" applyFill="1" applyBorder="1" applyAlignment="1">
      <alignment horizontal="center" vertical="top"/>
    </xf>
    <xf numFmtId="0" fontId="47" fillId="2" borderId="134" xfId="0" quotePrefix="1" applyFont="1" applyFill="1" applyBorder="1" applyAlignment="1">
      <alignment horizontal="center" vertical="top"/>
    </xf>
    <xf numFmtId="0" fontId="33" fillId="8" borderId="181" xfId="0" applyFont="1" applyFill="1" applyBorder="1" applyAlignment="1">
      <alignment vertical="center" wrapText="1"/>
    </xf>
    <xf numFmtId="3" fontId="58" fillId="8" borderId="176" xfId="0" applyNumberFormat="1" applyFont="1" applyFill="1" applyBorder="1" applyAlignment="1">
      <alignment vertical="center"/>
    </xf>
    <xf numFmtId="3" fontId="58" fillId="23" borderId="176" xfId="0" applyNumberFormat="1" applyFont="1" applyFill="1" applyBorder="1" applyAlignment="1">
      <alignment vertical="center"/>
    </xf>
    <xf numFmtId="3" fontId="33" fillId="28" borderId="176" xfId="0" applyNumberFormat="1" applyFont="1" applyFill="1" applyBorder="1" applyAlignment="1">
      <alignment vertical="center"/>
    </xf>
    <xf numFmtId="0" fontId="58" fillId="8" borderId="138" xfId="4" applyFont="1" applyFill="1" applyBorder="1" applyAlignment="1">
      <alignment vertical="center"/>
    </xf>
    <xf numFmtId="0" fontId="53" fillId="8" borderId="181" xfId="0" applyFont="1" applyFill="1" applyBorder="1" applyAlignment="1">
      <alignment vertical="center"/>
    </xf>
    <xf numFmtId="0" fontId="33" fillId="8" borderId="148" xfId="0" applyFont="1" applyFill="1" applyBorder="1" applyAlignment="1">
      <alignment vertical="top" wrapText="1"/>
    </xf>
    <xf numFmtId="3" fontId="33" fillId="8" borderId="144" xfId="0" applyNumberFormat="1" applyFont="1" applyFill="1" applyBorder="1" applyAlignment="1">
      <alignment vertical="top" wrapText="1"/>
    </xf>
    <xf numFmtId="3" fontId="33" fillId="23" borderId="141" xfId="0" applyNumberFormat="1" applyFont="1" applyFill="1" applyBorder="1" applyAlignment="1">
      <alignment vertical="top"/>
    </xf>
    <xf numFmtId="0" fontId="33" fillId="6" borderId="181" xfId="0" applyFont="1" applyFill="1" applyBorder="1" applyAlignment="1">
      <alignment vertical="center" wrapText="1"/>
    </xf>
    <xf numFmtId="3" fontId="53" fillId="6" borderId="176" xfId="0" applyNumberFormat="1" applyFont="1" applyFill="1" applyBorder="1" applyAlignment="1">
      <alignment vertical="center"/>
    </xf>
    <xf numFmtId="3" fontId="53" fillId="22" borderId="141" xfId="0" applyNumberFormat="1" applyFont="1" applyFill="1" applyBorder="1" applyAlignment="1">
      <alignment horizontal="center" vertical="center"/>
    </xf>
    <xf numFmtId="3" fontId="33" fillId="28" borderId="67" xfId="0" applyNumberFormat="1" applyFont="1" applyFill="1" applyBorder="1" applyAlignment="1">
      <alignment horizontal="center" vertical="center" wrapText="1"/>
    </xf>
    <xf numFmtId="0" fontId="47" fillId="0" borderId="0" xfId="0" applyFont="1" applyBorder="1" applyAlignment="1">
      <alignment vertical="center"/>
    </xf>
    <xf numFmtId="0" fontId="46" fillId="8" borderId="25" xfId="0" applyFont="1" applyFill="1" applyBorder="1" applyAlignment="1">
      <alignment vertical="center"/>
    </xf>
    <xf numFmtId="0" fontId="33" fillId="8" borderId="148" xfId="0" applyFont="1" applyFill="1" applyBorder="1" applyAlignment="1">
      <alignment vertical="center" wrapText="1"/>
    </xf>
    <xf numFmtId="0" fontId="33" fillId="8" borderId="37" xfId="0" applyFont="1" applyFill="1" applyBorder="1" applyAlignment="1">
      <alignment vertical="center" wrapText="1"/>
    </xf>
    <xf numFmtId="3" fontId="33" fillId="28" borderId="134" xfId="0" applyNumberFormat="1" applyFont="1" applyFill="1" applyBorder="1" applyAlignment="1">
      <alignment vertical="center"/>
    </xf>
    <xf numFmtId="3" fontId="47" fillId="8" borderId="69" xfId="0" applyNumberFormat="1" applyFont="1" applyFill="1" applyBorder="1" applyAlignment="1">
      <alignment horizontal="center" vertical="center" wrapText="1"/>
    </xf>
    <xf numFmtId="3" fontId="47" fillId="0" borderId="0" xfId="0" applyNumberFormat="1" applyFont="1" applyBorder="1" applyAlignment="1">
      <alignment vertical="center"/>
    </xf>
    <xf numFmtId="3" fontId="33" fillId="8" borderId="4" xfId="0" applyNumberFormat="1" applyFont="1" applyFill="1" applyBorder="1" applyAlignment="1">
      <alignment vertical="top"/>
    </xf>
    <xf numFmtId="3" fontId="33" fillId="8" borderId="70" xfId="0" applyNumberFormat="1" applyFont="1" applyFill="1" applyBorder="1" applyAlignment="1">
      <alignment vertical="top"/>
    </xf>
    <xf numFmtId="0" fontId="33" fillId="8" borderId="2" xfId="0" applyFont="1" applyFill="1" applyBorder="1" applyAlignment="1">
      <alignment vertical="top"/>
    </xf>
    <xf numFmtId="0" fontId="33" fillId="23" borderId="15" xfId="0" applyFont="1" applyFill="1" applyBorder="1" applyAlignment="1">
      <alignment vertical="center"/>
    </xf>
    <xf numFmtId="3" fontId="60" fillId="6" borderId="181" xfId="0" applyNumberFormat="1" applyFont="1" applyFill="1" applyBorder="1" applyAlignment="1">
      <alignment vertical="top"/>
    </xf>
    <xf numFmtId="3" fontId="54" fillId="6" borderId="177" xfId="0" applyNumberFormat="1" applyFont="1" applyFill="1" applyBorder="1" applyAlignment="1">
      <alignment vertical="top"/>
    </xf>
    <xf numFmtId="3" fontId="54" fillId="22" borderId="176" xfId="0" applyNumberFormat="1" applyFont="1" applyFill="1" applyBorder="1" applyAlignment="1">
      <alignment vertical="top"/>
    </xf>
    <xf numFmtId="3" fontId="56" fillId="2" borderId="177" xfId="0" applyNumberFormat="1" applyFont="1" applyFill="1" applyBorder="1" applyAlignment="1">
      <alignment vertical="top"/>
    </xf>
    <xf numFmtId="3" fontId="54" fillId="25" borderId="176" xfId="0" applyNumberFormat="1" applyFont="1" applyFill="1" applyBorder="1" applyAlignment="1">
      <alignment vertical="top"/>
    </xf>
    <xf numFmtId="3" fontId="60" fillId="0" borderId="177" xfId="0" applyNumberFormat="1" applyFont="1" applyFill="1" applyBorder="1" applyAlignment="1">
      <alignment vertical="top"/>
    </xf>
    <xf numFmtId="3" fontId="60" fillId="25" borderId="35" xfId="0" applyNumberFormat="1" applyFont="1" applyFill="1" applyBorder="1" applyAlignment="1">
      <alignment vertical="top"/>
    </xf>
    <xf numFmtId="0" fontId="56" fillId="2" borderId="138" xfId="4" applyFont="1" applyFill="1" applyBorder="1" applyAlignment="1">
      <alignment vertical="top"/>
    </xf>
    <xf numFmtId="3" fontId="56" fillId="0" borderId="177" xfId="0" applyNumberFormat="1" applyFont="1" applyFill="1" applyBorder="1" applyAlignment="1">
      <alignment vertical="top"/>
    </xf>
    <xf numFmtId="0" fontId="60" fillId="0" borderId="148" xfId="0" applyFont="1" applyFill="1" applyBorder="1" applyAlignment="1">
      <alignment horizontal="left" vertical="center" wrapText="1"/>
    </xf>
    <xf numFmtId="3" fontId="60" fillId="0" borderId="178" xfId="0" applyNumberFormat="1" applyFont="1" applyFill="1" applyBorder="1" applyAlignment="1">
      <alignment vertical="top"/>
    </xf>
    <xf numFmtId="3" fontId="60" fillId="0" borderId="141" xfId="0" applyNumberFormat="1" applyFont="1" applyFill="1" applyBorder="1" applyAlignment="1">
      <alignment horizontal="right" vertical="center"/>
    </xf>
    <xf numFmtId="0" fontId="33" fillId="6" borderId="181" xfId="0" applyFont="1" applyFill="1" applyBorder="1" applyAlignment="1">
      <alignment horizontal="left" vertical="center" wrapText="1"/>
    </xf>
    <xf numFmtId="3" fontId="54" fillId="6" borderId="141" xfId="0" applyNumberFormat="1" applyFont="1" applyFill="1" applyBorder="1" applyAlignment="1">
      <alignment vertical="top"/>
    </xf>
    <xf numFmtId="3" fontId="56" fillId="2" borderId="183" xfId="4" applyNumberFormat="1" applyFont="1" applyFill="1" applyBorder="1" applyAlignment="1">
      <alignment vertical="center" wrapText="1"/>
    </xf>
    <xf numFmtId="3" fontId="56" fillId="2" borderId="176" xfId="0" applyNumberFormat="1" applyFont="1" applyFill="1" applyBorder="1" applyAlignment="1">
      <alignment vertical="top"/>
    </xf>
    <xf numFmtId="3" fontId="56" fillId="2" borderId="13" xfId="0" applyNumberFormat="1" applyFont="1" applyFill="1" applyBorder="1" applyAlignment="1">
      <alignment vertical="top"/>
    </xf>
    <xf numFmtId="0" fontId="56" fillId="2" borderId="147" xfId="4" applyFont="1" applyFill="1" applyBorder="1" applyAlignment="1">
      <alignment vertical="top"/>
    </xf>
    <xf numFmtId="0" fontId="60" fillId="0" borderId="77" xfId="0" applyFont="1" applyFill="1" applyBorder="1" applyAlignment="1">
      <alignment horizontal="left" vertical="center" wrapText="1"/>
    </xf>
    <xf numFmtId="0" fontId="60" fillId="6" borderId="181" xfId="0" applyFont="1" applyFill="1" applyBorder="1" applyAlignment="1">
      <alignment vertical="top"/>
    </xf>
    <xf numFmtId="43" fontId="54" fillId="6" borderId="177" xfId="1" applyFont="1" applyFill="1" applyBorder="1" applyAlignment="1">
      <alignment vertical="top"/>
    </xf>
    <xf numFmtId="43" fontId="56" fillId="2" borderId="177" xfId="1" applyFont="1" applyFill="1" applyBorder="1" applyAlignment="1">
      <alignment vertical="top"/>
    </xf>
    <xf numFmtId="43" fontId="60" fillId="0" borderId="9" xfId="1" applyFont="1" applyFill="1" applyBorder="1" applyAlignment="1">
      <alignment vertical="top"/>
    </xf>
    <xf numFmtId="43" fontId="60" fillId="0" borderId="13" xfId="1" applyFont="1" applyFill="1" applyBorder="1" applyAlignment="1">
      <alignment horizontal="right" vertical="center"/>
    </xf>
    <xf numFmtId="43" fontId="60" fillId="0" borderId="134" xfId="1" applyFont="1" applyFill="1" applyBorder="1" applyAlignment="1">
      <alignment horizontal="right" vertical="center"/>
    </xf>
    <xf numFmtId="0" fontId="56" fillId="2" borderId="183" xfId="4" applyFont="1" applyFill="1" applyBorder="1" applyAlignment="1">
      <alignment vertical="top"/>
    </xf>
    <xf numFmtId="0" fontId="60" fillId="0" borderId="184" xfId="0" applyFont="1" applyFill="1" applyBorder="1" applyAlignment="1">
      <alignment horizontal="left" vertical="center" wrapText="1"/>
    </xf>
    <xf numFmtId="0" fontId="54" fillId="6" borderId="183" xfId="4" applyFont="1" applyFill="1" applyBorder="1" applyAlignment="1">
      <alignment horizontal="left" vertical="center"/>
    </xf>
    <xf numFmtId="0" fontId="60" fillId="0" borderId="185" xfId="0" applyFont="1" applyFill="1" applyBorder="1" applyAlignment="1">
      <alignment horizontal="left" vertical="center" wrapText="1"/>
    </xf>
    <xf numFmtId="0" fontId="50" fillId="0" borderId="0" xfId="0" applyFont="1" applyFill="1" applyBorder="1" applyAlignment="1">
      <alignment horizontal="left" vertical="center" wrapText="1"/>
    </xf>
    <xf numFmtId="0" fontId="55" fillId="0" borderId="0" xfId="0" applyFont="1" applyBorder="1" applyAlignment="1">
      <alignment horizontal="center" vertical="center" wrapText="1"/>
    </xf>
    <xf numFmtId="3" fontId="49" fillId="0" borderId="0" xfId="0" applyNumberFormat="1" applyFont="1" applyFill="1" applyBorder="1" applyAlignment="1">
      <alignment horizontal="center" vertical="center"/>
    </xf>
    <xf numFmtId="3" fontId="54" fillId="0" borderId="0" xfId="0" applyNumberFormat="1" applyFont="1" applyFill="1" applyBorder="1" applyAlignment="1">
      <alignment horizontal="center" vertical="center"/>
    </xf>
    <xf numFmtId="0" fontId="53" fillId="2" borderId="24" xfId="0" applyFont="1" applyFill="1" applyBorder="1" applyAlignment="1">
      <alignment horizontal="left" vertical="top" wrapText="1"/>
    </xf>
    <xf numFmtId="0" fontId="47" fillId="2" borderId="24" xfId="0" applyFont="1" applyFill="1" applyBorder="1" applyAlignment="1">
      <alignment vertical="top"/>
    </xf>
    <xf numFmtId="0" fontId="47" fillId="30" borderId="0" xfId="0" applyFont="1" applyFill="1" applyBorder="1" applyAlignment="1">
      <alignment vertical="top"/>
    </xf>
    <xf numFmtId="0" fontId="56" fillId="56" borderId="182" xfId="4" applyFont="1" applyFill="1" applyBorder="1" applyAlignment="1">
      <alignment horizontal="left" vertical="center"/>
    </xf>
    <xf numFmtId="3" fontId="56" fillId="56" borderId="177" xfId="4" applyNumberFormat="1" applyFont="1" applyFill="1" applyBorder="1" applyAlignment="1">
      <alignment horizontal="right" vertical="center"/>
    </xf>
    <xf numFmtId="3" fontId="49" fillId="31" borderId="42" xfId="0" applyNumberFormat="1" applyFont="1" applyFill="1" applyBorder="1" applyAlignment="1">
      <alignment horizontal="center" vertical="center" wrapText="1"/>
    </xf>
    <xf numFmtId="3" fontId="49" fillId="31" borderId="43" xfId="0" applyNumberFormat="1" applyFont="1" applyFill="1" applyBorder="1" applyAlignment="1">
      <alignment horizontal="center" vertical="center" wrapText="1"/>
    </xf>
    <xf numFmtId="3" fontId="54" fillId="6" borderId="17" xfId="0" applyNumberFormat="1" applyFont="1" applyFill="1" applyBorder="1" applyAlignment="1">
      <alignment vertical="top"/>
    </xf>
    <xf numFmtId="3" fontId="54" fillId="22" borderId="70" xfId="0" applyNumberFormat="1" applyFont="1" applyFill="1" applyBorder="1" applyAlignment="1">
      <alignment vertical="top"/>
    </xf>
    <xf numFmtId="0" fontId="56" fillId="8" borderId="36" xfId="4" applyFont="1" applyFill="1" applyBorder="1" applyAlignment="1">
      <alignment vertical="top"/>
    </xf>
    <xf numFmtId="3" fontId="56" fillId="8" borderId="177" xfId="0" applyNumberFormat="1" applyFont="1" applyFill="1" applyBorder="1" applyAlignment="1">
      <alignment vertical="top"/>
    </xf>
    <xf numFmtId="3" fontId="56" fillId="23" borderId="176" xfId="0" applyNumberFormat="1" applyFont="1" applyFill="1" applyBorder="1" applyAlignment="1">
      <alignment vertical="top"/>
    </xf>
    <xf numFmtId="0" fontId="60" fillId="8" borderId="138" xfId="0" applyFont="1" applyFill="1" applyBorder="1" applyAlignment="1">
      <alignment vertical="top"/>
    </xf>
    <xf numFmtId="3" fontId="60" fillId="8" borderId="177" xfId="0" applyNumberFormat="1" applyFont="1" applyFill="1" applyBorder="1" applyAlignment="1">
      <alignment vertical="top"/>
    </xf>
    <xf numFmtId="3" fontId="54" fillId="23" borderId="177" xfId="0" applyNumberFormat="1" applyFont="1" applyFill="1" applyBorder="1" applyAlignment="1">
      <alignment horizontal="center" vertical="top"/>
    </xf>
    <xf numFmtId="0" fontId="60" fillId="8" borderId="138" xfId="0" applyFont="1" applyFill="1" applyBorder="1" applyAlignment="1">
      <alignment vertical="center"/>
    </xf>
    <xf numFmtId="3" fontId="60" fillId="8" borderId="177" xfId="0" applyNumberFormat="1" applyFont="1" applyFill="1" applyBorder="1" applyAlignment="1">
      <alignment vertical="center"/>
    </xf>
    <xf numFmtId="3" fontId="54" fillId="23" borderId="177" xfId="0" applyNumberFormat="1" applyFont="1" applyFill="1" applyBorder="1" applyAlignment="1">
      <alignment vertical="center"/>
    </xf>
    <xf numFmtId="0" fontId="47" fillId="30" borderId="0" xfId="0" applyFont="1" applyFill="1" applyBorder="1" applyAlignment="1">
      <alignment vertical="center"/>
    </xf>
    <xf numFmtId="3" fontId="56" fillId="8" borderId="177" xfId="0" applyNumberFormat="1" applyFont="1" applyFill="1" applyBorder="1" applyAlignment="1">
      <alignment horizontal="right" vertical="center"/>
    </xf>
    <xf numFmtId="3" fontId="56" fillId="8" borderId="176" xfId="0" applyNumberFormat="1" applyFont="1" applyFill="1" applyBorder="1" applyAlignment="1">
      <alignment horizontal="right" vertical="center"/>
    </xf>
    <xf numFmtId="3" fontId="54" fillId="23" borderId="177" xfId="0" applyNumberFormat="1" applyFont="1" applyFill="1" applyBorder="1" applyAlignment="1">
      <alignment horizontal="center" vertical="center"/>
    </xf>
    <xf numFmtId="3" fontId="49" fillId="8" borderId="67" xfId="0" applyNumberFormat="1" applyFont="1" applyFill="1" applyBorder="1" applyAlignment="1">
      <alignment horizontal="center" vertical="center" wrapText="1"/>
    </xf>
    <xf numFmtId="3" fontId="60" fillId="8" borderId="176" xfId="0" applyNumberFormat="1" applyFont="1" applyFill="1" applyBorder="1" applyAlignment="1">
      <alignment vertical="top"/>
    </xf>
    <xf numFmtId="3" fontId="54" fillId="23" borderId="176" xfId="0" applyNumberFormat="1" applyFont="1" applyFill="1" applyBorder="1" applyAlignment="1">
      <alignment horizontal="center" vertical="center"/>
    </xf>
    <xf numFmtId="3" fontId="54" fillId="6" borderId="176" xfId="4" applyNumberFormat="1" applyFont="1" applyFill="1" applyBorder="1" applyAlignment="1">
      <alignment horizontal="right" vertical="center"/>
    </xf>
    <xf numFmtId="0" fontId="54" fillId="6" borderId="176" xfId="4" applyFont="1" applyFill="1" applyBorder="1" applyAlignment="1">
      <alignment horizontal="right" vertical="center"/>
    </xf>
    <xf numFmtId="0" fontId="56" fillId="8" borderId="6" xfId="4" applyFont="1" applyFill="1" applyBorder="1" applyAlignment="1">
      <alignment horizontal="center" vertical="center"/>
    </xf>
    <xf numFmtId="3" fontId="54" fillId="8" borderId="177" xfId="0" applyNumberFormat="1" applyFont="1" applyFill="1" applyBorder="1" applyAlignment="1">
      <alignment vertical="center"/>
    </xf>
    <xf numFmtId="0" fontId="64" fillId="8" borderId="11" xfId="0" applyFont="1" applyFill="1" applyBorder="1" applyAlignment="1">
      <alignment vertical="top"/>
    </xf>
    <xf numFmtId="3" fontId="56" fillId="8" borderId="177" xfId="0" applyNumberFormat="1" applyFont="1" applyFill="1" applyBorder="1" applyAlignment="1">
      <alignment vertical="center"/>
    </xf>
    <xf numFmtId="3" fontId="64" fillId="8" borderId="67" xfId="0" applyNumberFormat="1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vertical="top"/>
    </xf>
    <xf numFmtId="0" fontId="64" fillId="30" borderId="0" xfId="0" applyFont="1" applyFill="1" applyBorder="1" applyAlignment="1">
      <alignment vertical="top"/>
    </xf>
    <xf numFmtId="0" fontId="46" fillId="57" borderId="5" xfId="0" applyFont="1" applyFill="1" applyBorder="1" applyAlignment="1">
      <alignment horizontal="center" vertical="center" wrapText="1"/>
    </xf>
    <xf numFmtId="3" fontId="49" fillId="0" borderId="42" xfId="0" applyNumberFormat="1" applyFont="1" applyFill="1" applyBorder="1" applyAlignment="1">
      <alignment horizontal="center" vertical="center" wrapText="1"/>
    </xf>
    <xf numFmtId="0" fontId="0" fillId="57" borderId="11" xfId="0" applyFont="1" applyFill="1" applyBorder="1" applyAlignment="1">
      <alignment vertical="center" wrapText="1"/>
    </xf>
    <xf numFmtId="3" fontId="49" fillId="0" borderId="43" xfId="0" applyNumberFormat="1" applyFont="1" applyFill="1" applyBorder="1" applyAlignment="1">
      <alignment horizontal="center" vertical="center" wrapText="1"/>
    </xf>
    <xf numFmtId="0" fontId="56" fillId="0" borderId="36" xfId="4" applyFont="1" applyFill="1" applyBorder="1" applyAlignment="1">
      <alignment vertical="center"/>
    </xf>
    <xf numFmtId="3" fontId="60" fillId="0" borderId="177" xfId="0" applyNumberFormat="1" applyFont="1" applyFill="1" applyBorder="1" applyAlignment="1">
      <alignment vertical="center"/>
    </xf>
    <xf numFmtId="3" fontId="54" fillId="0" borderId="177" xfId="0" applyNumberFormat="1" applyFont="1" applyFill="1" applyBorder="1" applyAlignment="1">
      <alignment vertical="center"/>
    </xf>
    <xf numFmtId="0" fontId="0" fillId="57" borderId="25" xfId="0" applyFont="1" applyFill="1" applyBorder="1" applyAlignment="1">
      <alignment vertical="center" wrapText="1"/>
    </xf>
    <xf numFmtId="0" fontId="60" fillId="32" borderId="138" xfId="0" applyFont="1" applyFill="1" applyBorder="1" applyAlignment="1">
      <alignment vertical="center"/>
    </xf>
    <xf numFmtId="3" fontId="60" fillId="32" borderId="177" xfId="0" applyNumberFormat="1" applyFont="1" applyFill="1" applyBorder="1" applyAlignment="1">
      <alignment vertical="center"/>
    </xf>
    <xf numFmtId="3" fontId="49" fillId="0" borderId="46" xfId="0" applyNumberFormat="1" applyFont="1" applyFill="1" applyBorder="1" applyAlignment="1">
      <alignment horizontal="center" vertical="center" wrapText="1"/>
    </xf>
    <xf numFmtId="0" fontId="61" fillId="0" borderId="0" xfId="0" applyFont="1" applyBorder="1"/>
    <xf numFmtId="0" fontId="54" fillId="6" borderId="177" xfId="4" applyFont="1" applyFill="1" applyBorder="1" applyAlignment="1">
      <alignment horizontal="left" vertical="center"/>
    </xf>
    <xf numFmtId="3" fontId="53" fillId="6" borderId="176" xfId="0" applyNumberFormat="1" applyFont="1" applyFill="1" applyBorder="1" applyAlignment="1">
      <alignment vertical="top"/>
    </xf>
    <xf numFmtId="0" fontId="0" fillId="0" borderId="0" xfId="0" applyFont="1" applyBorder="1"/>
    <xf numFmtId="0" fontId="53" fillId="8" borderId="4" xfId="0" applyFont="1" applyFill="1" applyBorder="1" applyAlignment="1">
      <alignment horizontal="center" vertical="center" wrapText="1"/>
    </xf>
    <xf numFmtId="0" fontId="33" fillId="23" borderId="70" xfId="0" applyFont="1" applyFill="1" applyBorder="1" applyAlignment="1">
      <alignment vertical="center"/>
    </xf>
    <xf numFmtId="3" fontId="60" fillId="2" borderId="138" xfId="4" applyNumberFormat="1" applyFont="1" applyFill="1" applyBorder="1" applyAlignment="1">
      <alignment vertical="center" wrapText="1"/>
    </xf>
    <xf numFmtId="0" fontId="0" fillId="0" borderId="176" xfId="0" applyFont="1" applyBorder="1"/>
    <xf numFmtId="3" fontId="33" fillId="23" borderId="176" xfId="0" applyNumberFormat="1" applyFont="1" applyFill="1" applyBorder="1" applyAlignment="1">
      <alignment horizontal="center" vertical="top"/>
    </xf>
    <xf numFmtId="0" fontId="0" fillId="0" borderId="144" xfId="0" applyFont="1" applyBorder="1" applyAlignment="1">
      <alignment horizontal="center" vertical="center"/>
    </xf>
    <xf numFmtId="3" fontId="54" fillId="2" borderId="176" xfId="0" applyNumberFormat="1" applyFont="1" applyFill="1" applyBorder="1" applyAlignment="1"/>
    <xf numFmtId="0" fontId="0" fillId="0" borderId="6" xfId="0" applyFont="1" applyBorder="1" applyAlignment="1">
      <alignment horizontal="center" vertical="center"/>
    </xf>
    <xf numFmtId="3" fontId="60" fillId="2" borderId="176" xfId="0" applyNumberFormat="1" applyFont="1" applyFill="1" applyBorder="1" applyAlignment="1"/>
    <xf numFmtId="3" fontId="57" fillId="2" borderId="176" xfId="0" applyNumberFormat="1" applyFont="1" applyFill="1" applyBorder="1" applyAlignment="1"/>
    <xf numFmtId="3" fontId="60" fillId="2" borderId="77" xfId="4" applyNumberFormat="1" applyFont="1" applyFill="1" applyBorder="1" applyAlignment="1">
      <alignment vertical="center" wrapText="1"/>
    </xf>
    <xf numFmtId="0" fontId="0" fillId="0" borderId="22" xfId="0" applyFont="1" applyBorder="1" applyAlignment="1">
      <alignment horizontal="center" vertical="center"/>
    </xf>
    <xf numFmtId="0" fontId="53" fillId="8" borderId="70" xfId="0" applyFont="1" applyFill="1" applyBorder="1" applyAlignment="1">
      <alignment horizontal="center" vertical="center" wrapText="1"/>
    </xf>
    <xf numFmtId="0" fontId="53" fillId="6" borderId="85" xfId="4" applyFont="1" applyFill="1" applyBorder="1" applyAlignment="1">
      <alignment horizontal="left" vertical="center"/>
    </xf>
    <xf numFmtId="3" fontId="54" fillId="22" borderId="176" xfId="0" applyNumberFormat="1" applyFont="1" applyFill="1" applyBorder="1" applyAlignment="1">
      <alignment vertical="center"/>
    </xf>
    <xf numFmtId="0" fontId="58" fillId="0" borderId="85" xfId="0" applyFont="1" applyFill="1" applyBorder="1" applyAlignment="1">
      <alignment vertical="center"/>
    </xf>
    <xf numFmtId="0" fontId="52" fillId="0" borderId="141" xfId="0" applyFont="1" applyBorder="1" applyAlignment="1">
      <alignment horizontal="center" vertical="center" wrapText="1"/>
    </xf>
    <xf numFmtId="3" fontId="54" fillId="25" borderId="176" xfId="0" applyNumberFormat="1" applyFont="1" applyFill="1" applyBorder="1" applyAlignment="1">
      <alignment vertical="center"/>
    </xf>
    <xf numFmtId="0" fontId="59" fillId="0" borderId="0" xfId="0" applyFont="1" applyBorder="1" applyAlignment="1">
      <alignment vertical="top"/>
    </xf>
    <xf numFmtId="0" fontId="33" fillId="0" borderId="185" xfId="0" applyFont="1" applyFill="1" applyBorder="1" applyAlignment="1">
      <alignment vertical="center" wrapText="1"/>
    </xf>
    <xf numFmtId="0" fontId="52" fillId="0" borderId="12" xfId="0" applyFont="1" applyBorder="1" applyAlignment="1">
      <alignment horizontal="center" vertical="center" wrapText="1"/>
    </xf>
    <xf numFmtId="3" fontId="60" fillId="25" borderId="12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top"/>
    </xf>
    <xf numFmtId="0" fontId="72" fillId="2" borderId="0" xfId="0" applyFont="1" applyFill="1" applyBorder="1" applyAlignment="1">
      <alignment horizontal="left" wrapText="1"/>
    </xf>
    <xf numFmtId="0" fontId="54" fillId="2" borderId="143" xfId="0" applyFont="1" applyFill="1" applyBorder="1" applyAlignment="1">
      <alignment horizontal="center" vertical="top"/>
    </xf>
    <xf numFmtId="0" fontId="49" fillId="0" borderId="148" xfId="0" applyFont="1" applyBorder="1" applyAlignment="1">
      <alignment horizontal="center" vertical="center" wrapText="1"/>
    </xf>
    <xf numFmtId="0" fontId="50" fillId="0" borderId="144" xfId="0" applyFont="1" applyBorder="1" applyAlignment="1">
      <alignment horizontal="center" vertical="center" wrapText="1"/>
    </xf>
    <xf numFmtId="0" fontId="50" fillId="0" borderId="112" xfId="0" applyFont="1" applyBorder="1" applyAlignment="1">
      <alignment horizontal="center" vertical="center" wrapText="1"/>
    </xf>
    <xf numFmtId="0" fontId="48" fillId="2" borderId="113" xfId="0" applyFont="1" applyFill="1" applyBorder="1" applyAlignment="1">
      <alignment horizontal="center" vertical="center" wrapText="1"/>
    </xf>
    <xf numFmtId="0" fontId="48" fillId="2" borderId="112" xfId="0" applyFont="1" applyFill="1" applyBorder="1" applyAlignment="1">
      <alignment horizontal="center" vertical="center" wrapText="1"/>
    </xf>
    <xf numFmtId="0" fontId="48" fillId="2" borderId="178" xfId="0" applyFont="1" applyFill="1" applyBorder="1" applyAlignment="1">
      <alignment vertical="center" wrapText="1"/>
    </xf>
    <xf numFmtId="0" fontId="53" fillId="2" borderId="113" xfId="0" applyFont="1" applyFill="1" applyBorder="1" applyAlignment="1">
      <alignment horizontal="center" vertical="center" wrapText="1"/>
    </xf>
    <xf numFmtId="0" fontId="48" fillId="2" borderId="112" xfId="0" applyFont="1" applyFill="1" applyBorder="1" applyAlignment="1">
      <alignment vertical="center" wrapText="1"/>
    </xf>
    <xf numFmtId="0" fontId="54" fillId="2" borderId="141" xfId="0" applyFont="1" applyFill="1" applyBorder="1" applyAlignment="1">
      <alignment horizontal="center" vertical="center" wrapText="1"/>
    </xf>
    <xf numFmtId="0" fontId="54" fillId="0" borderId="113" xfId="4" applyFont="1" applyBorder="1" applyAlignment="1">
      <alignment horizontal="center" vertical="center" wrapText="1"/>
    </xf>
    <xf numFmtId="0" fontId="54" fillId="0" borderId="112" xfId="4" applyFont="1" applyBorder="1" applyAlignment="1">
      <alignment horizontal="center" vertical="center" wrapText="1"/>
    </xf>
    <xf numFmtId="0" fontId="54" fillId="0" borderId="178" xfId="4" applyFont="1" applyBorder="1" applyAlignment="1">
      <alignment horizontal="center" vertical="center" wrapText="1"/>
    </xf>
    <xf numFmtId="0" fontId="49" fillId="19" borderId="178" xfId="4" applyFont="1" applyFill="1" applyBorder="1" applyAlignment="1">
      <alignment horizontal="center" vertical="center" wrapText="1"/>
    </xf>
    <xf numFmtId="0" fontId="46" fillId="0" borderId="178" xfId="4" applyFont="1" applyBorder="1" applyAlignment="1">
      <alignment horizontal="center" vertical="center" wrapText="1"/>
    </xf>
    <xf numFmtId="0" fontId="54" fillId="2" borderId="43" xfId="0" applyFont="1" applyFill="1" applyBorder="1" applyAlignment="1">
      <alignment horizontal="center" vertical="top"/>
    </xf>
    <xf numFmtId="0" fontId="50" fillId="0" borderId="6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48" fillId="2" borderId="10" xfId="0" applyFont="1" applyFill="1" applyBorder="1" applyAlignment="1">
      <alignment vertical="center" wrapText="1"/>
    </xf>
    <xf numFmtId="0" fontId="48" fillId="2" borderId="0" xfId="0" applyFont="1" applyFill="1" applyBorder="1" applyAlignment="1">
      <alignment vertical="center" wrapText="1"/>
    </xf>
    <xf numFmtId="0" fontId="48" fillId="2" borderId="27" xfId="0" applyFont="1" applyFill="1" applyBorder="1" applyAlignment="1">
      <alignment vertical="center" wrapText="1"/>
    </xf>
    <xf numFmtId="0" fontId="53" fillId="2" borderId="10" xfId="0" applyFont="1" applyFill="1" applyBorder="1" applyAlignment="1">
      <alignment horizontal="center" vertical="center" wrapText="1"/>
    </xf>
    <xf numFmtId="0" fontId="54" fillId="2" borderId="13" xfId="0" applyFont="1" applyFill="1" applyBorder="1" applyAlignment="1">
      <alignment horizontal="center" vertical="center" wrapText="1"/>
    </xf>
    <xf numFmtId="0" fontId="46" fillId="0" borderId="27" xfId="4" applyFont="1" applyBorder="1" applyAlignment="1">
      <alignment horizontal="center" vertical="center" wrapText="1"/>
    </xf>
    <xf numFmtId="9" fontId="54" fillId="2" borderId="46" xfId="2" applyFont="1" applyFill="1" applyBorder="1" applyAlignment="1">
      <alignment horizontal="center" vertical="top"/>
    </xf>
    <xf numFmtId="0" fontId="49" fillId="0" borderId="21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/>
    </xf>
    <xf numFmtId="0" fontId="54" fillId="0" borderId="35" xfId="4" applyFont="1" applyBorder="1" applyAlignment="1">
      <alignment horizontal="center" vertical="center" wrapText="1"/>
    </xf>
    <xf numFmtId="0" fontId="54" fillId="32" borderId="35" xfId="4" applyFont="1" applyFill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46" fillId="0" borderId="9" xfId="4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top"/>
    </xf>
    <xf numFmtId="0" fontId="50" fillId="0" borderId="11" xfId="0" applyFont="1" applyBorder="1" applyAlignment="1">
      <alignment horizontal="center" vertical="top"/>
    </xf>
    <xf numFmtId="0" fontId="50" fillId="0" borderId="27" xfId="0" applyFont="1" applyBorder="1" applyAlignment="1">
      <alignment horizontal="center" vertical="top"/>
    </xf>
    <xf numFmtId="0" fontId="50" fillId="0" borderId="13" xfId="0" applyFont="1" applyBorder="1" applyAlignment="1">
      <alignment horizontal="center" vertical="top"/>
    </xf>
    <xf numFmtId="0" fontId="50" fillId="2" borderId="13" xfId="0" quotePrefix="1" applyFont="1" applyFill="1" applyBorder="1" applyAlignment="1">
      <alignment horizontal="center" vertical="top"/>
    </xf>
    <xf numFmtId="0" fontId="50" fillId="26" borderId="10" xfId="0" quotePrefix="1" applyFont="1" applyFill="1" applyBorder="1" applyAlignment="1">
      <alignment horizontal="center" vertical="top"/>
    </xf>
    <xf numFmtId="0" fontId="58" fillId="8" borderId="43" xfId="0" applyFont="1" applyFill="1" applyBorder="1" applyAlignment="1">
      <alignment vertical="top"/>
    </xf>
    <xf numFmtId="0" fontId="56" fillId="56" borderId="21" xfId="4" applyFont="1" applyFill="1" applyBorder="1" applyAlignment="1">
      <alignment horizontal="left" vertical="center"/>
    </xf>
    <xf numFmtId="3" fontId="47" fillId="8" borderId="13" xfId="4" applyNumberFormat="1" applyFont="1" applyFill="1" applyBorder="1" applyAlignment="1">
      <alignment vertical="top" wrapText="1"/>
    </xf>
    <xf numFmtId="0" fontId="33" fillId="8" borderId="43" xfId="4" applyFont="1" applyFill="1" applyBorder="1" applyAlignment="1">
      <alignment vertical="top"/>
    </xf>
    <xf numFmtId="3" fontId="47" fillId="8" borderId="12" xfId="4" applyNumberFormat="1" applyFont="1" applyFill="1" applyBorder="1" applyAlignment="1">
      <alignment vertical="top" wrapText="1"/>
    </xf>
    <xf numFmtId="0" fontId="54" fillId="8" borderId="10" xfId="0" applyFont="1" applyFill="1" applyBorder="1" applyAlignment="1">
      <alignment vertical="center"/>
    </xf>
    <xf numFmtId="3" fontId="54" fillId="22" borderId="35" xfId="4" applyNumberFormat="1" applyFont="1" applyFill="1" applyBorder="1" applyAlignment="1">
      <alignment horizontal="right" vertical="center"/>
    </xf>
    <xf numFmtId="3" fontId="47" fillId="0" borderId="13" xfId="4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30" borderId="0" xfId="0" applyFont="1" applyFill="1" applyBorder="1" applyAlignment="1">
      <alignment vertical="center"/>
    </xf>
    <xf numFmtId="0" fontId="53" fillId="8" borderId="10" xfId="4" applyFont="1" applyFill="1" applyBorder="1" applyAlignment="1">
      <alignment horizontal="right" vertical="top"/>
    </xf>
    <xf numFmtId="0" fontId="58" fillId="8" borderId="138" xfId="4" applyFont="1" applyFill="1" applyBorder="1" applyAlignment="1">
      <alignment vertical="top"/>
    </xf>
    <xf numFmtId="0" fontId="56" fillId="8" borderId="177" xfId="4" applyFont="1" applyFill="1" applyBorder="1" applyAlignment="1">
      <alignment horizontal="left" vertical="center"/>
    </xf>
    <xf numFmtId="3" fontId="56" fillId="8" borderId="176" xfId="4" applyNumberFormat="1" applyFont="1" applyFill="1" applyBorder="1" applyAlignment="1">
      <alignment vertical="top"/>
    </xf>
    <xf numFmtId="3" fontId="56" fillId="23" borderId="176" xfId="4" applyNumberFormat="1" applyFont="1" applyFill="1" applyBorder="1" applyAlignment="1">
      <alignment vertical="top"/>
    </xf>
    <xf numFmtId="0" fontId="47" fillId="0" borderId="13" xfId="4" applyFont="1" applyFill="1" applyBorder="1" applyAlignment="1">
      <alignment horizontal="center" vertical="center" wrapText="1"/>
    </xf>
    <xf numFmtId="0" fontId="33" fillId="8" borderId="10" xfId="4" applyFont="1" applyFill="1" applyBorder="1" applyAlignment="1">
      <alignment vertical="top"/>
    </xf>
    <xf numFmtId="0" fontId="33" fillId="8" borderId="138" xfId="4" applyFont="1" applyFill="1" applyBorder="1" applyAlignment="1">
      <alignment vertical="top"/>
    </xf>
    <xf numFmtId="0" fontId="33" fillId="8" borderId="177" xfId="4" applyFont="1" applyFill="1" applyBorder="1" applyAlignment="1">
      <alignment vertical="top"/>
    </xf>
    <xf numFmtId="3" fontId="33" fillId="8" borderId="176" xfId="4" applyNumberFormat="1" applyFont="1" applyFill="1" applyBorder="1" applyAlignment="1">
      <alignment vertical="top"/>
    </xf>
    <xf numFmtId="3" fontId="33" fillId="23" borderId="176" xfId="4" applyNumberFormat="1" applyFont="1" applyFill="1" applyBorder="1" applyAlignment="1">
      <alignment vertical="top"/>
    </xf>
    <xf numFmtId="3" fontId="0" fillId="0" borderId="0" xfId="0" applyNumberFormat="1" applyFont="1" applyFill="1" applyBorder="1"/>
    <xf numFmtId="0" fontId="33" fillId="8" borderId="138" xfId="4" applyFont="1" applyFill="1" applyBorder="1" applyAlignment="1">
      <alignment vertical="top" wrapText="1"/>
    </xf>
    <xf numFmtId="0" fontId="33" fillId="8" borderId="181" xfId="4" applyFont="1" applyFill="1" applyBorder="1" applyAlignment="1">
      <alignment vertical="top"/>
    </xf>
    <xf numFmtId="0" fontId="56" fillId="8" borderId="21" xfId="4" applyFont="1" applyFill="1" applyBorder="1" applyAlignment="1">
      <alignment horizontal="left" vertical="center"/>
    </xf>
    <xf numFmtId="0" fontId="56" fillId="8" borderId="20" xfId="4" applyFont="1" applyFill="1" applyBorder="1" applyAlignment="1">
      <alignment horizontal="left" vertical="center"/>
    </xf>
    <xf numFmtId="3" fontId="56" fillId="8" borderId="35" xfId="4" applyNumberFormat="1" applyFont="1" applyFill="1" applyBorder="1" applyAlignment="1">
      <alignment vertical="top"/>
    </xf>
    <xf numFmtId="3" fontId="56" fillId="23" borderId="35" xfId="4" applyNumberFormat="1" applyFont="1" applyFill="1" applyBorder="1" applyAlignment="1">
      <alignment vertical="top"/>
    </xf>
    <xf numFmtId="0" fontId="58" fillId="8" borderId="177" xfId="4" applyFont="1" applyFill="1" applyBorder="1" applyAlignment="1">
      <alignment horizontal="left" vertical="center"/>
    </xf>
    <xf numFmtId="0" fontId="47" fillId="0" borderId="35" xfId="4" applyFont="1" applyFill="1" applyBorder="1" applyAlignment="1">
      <alignment horizontal="center" vertical="center" wrapText="1"/>
    </xf>
    <xf numFmtId="3" fontId="54" fillId="6" borderId="35" xfId="4" applyNumberFormat="1" applyFont="1" applyFill="1" applyBorder="1" applyAlignment="1">
      <alignment vertical="center"/>
    </xf>
    <xf numFmtId="3" fontId="54" fillId="22" borderId="141" xfId="4" applyNumberFormat="1" applyFont="1" applyFill="1" applyBorder="1" applyAlignment="1">
      <alignment horizontal="center" vertical="center"/>
    </xf>
    <xf numFmtId="0" fontId="47" fillId="0" borderId="141" xfId="4" applyFont="1" applyFill="1" applyBorder="1" applyAlignment="1">
      <alignment horizontal="center" vertical="center" wrapText="1"/>
    </xf>
    <xf numFmtId="3" fontId="54" fillId="22" borderId="13" xfId="4" applyNumberFormat="1" applyFont="1" applyFill="1" applyBorder="1" applyAlignment="1">
      <alignment horizontal="center" vertical="center"/>
    </xf>
    <xf numFmtId="0" fontId="33" fillId="8" borderId="11" xfId="4" applyFont="1" applyFill="1" applyBorder="1" applyAlignment="1">
      <alignment vertical="top"/>
    </xf>
    <xf numFmtId="0" fontId="33" fillId="8" borderId="27" xfId="4" applyFont="1" applyFill="1" applyBorder="1" applyAlignment="1">
      <alignment vertical="top"/>
    </xf>
    <xf numFmtId="3" fontId="33" fillId="8" borderId="13" xfId="4" applyNumberFormat="1" applyFont="1" applyFill="1" applyBorder="1" applyAlignment="1">
      <alignment vertical="top"/>
    </xf>
    <xf numFmtId="0" fontId="56" fillId="8" borderId="9" xfId="4" applyFont="1" applyFill="1" applyBorder="1" applyAlignment="1">
      <alignment horizontal="left" vertical="center"/>
    </xf>
    <xf numFmtId="0" fontId="33" fillId="8" borderId="177" xfId="4" applyFont="1" applyFill="1" applyBorder="1" applyAlignment="1">
      <alignment horizontal="left" vertical="center"/>
    </xf>
    <xf numFmtId="0" fontId="33" fillId="8" borderId="74" xfId="4" applyFont="1" applyFill="1" applyBorder="1" applyAlignment="1">
      <alignment vertical="top"/>
    </xf>
    <xf numFmtId="0" fontId="33" fillId="8" borderId="77" xfId="4" applyFont="1" applyFill="1" applyBorder="1" applyAlignment="1">
      <alignment vertical="top" wrapText="1"/>
    </xf>
    <xf numFmtId="0" fontId="60" fillId="8" borderId="151" xfId="4" applyFont="1" applyFill="1" applyBorder="1" applyAlignment="1">
      <alignment horizontal="left" vertical="center"/>
    </xf>
    <xf numFmtId="3" fontId="33" fillId="8" borderId="134" xfId="4" applyNumberFormat="1" applyFont="1" applyFill="1" applyBorder="1" applyAlignment="1">
      <alignment vertical="top"/>
    </xf>
    <xf numFmtId="3" fontId="54" fillId="22" borderId="12" xfId="4" applyNumberFormat="1" applyFont="1" applyFill="1" applyBorder="1" applyAlignment="1">
      <alignment horizontal="center" vertical="center"/>
    </xf>
    <xf numFmtId="0" fontId="47" fillId="0" borderId="12" xfId="4" applyFont="1" applyFill="1" applyBorder="1" applyAlignment="1">
      <alignment horizontal="center" vertical="center" wrapText="1"/>
    </xf>
    <xf numFmtId="0" fontId="53" fillId="0" borderId="43" xfId="4" quotePrefix="1" applyFont="1" applyFill="1" applyBorder="1" applyAlignment="1">
      <alignment horizontal="center" vertical="center"/>
    </xf>
    <xf numFmtId="0" fontId="53" fillId="8" borderId="11" xfId="4" applyFont="1" applyFill="1" applyBorder="1" applyAlignment="1">
      <alignment horizontal="left" vertical="center" wrapText="1"/>
    </xf>
    <xf numFmtId="3" fontId="53" fillId="8" borderId="27" xfId="4" applyNumberFormat="1" applyFont="1" applyFill="1" applyBorder="1" applyAlignment="1">
      <alignment horizontal="center" vertical="center" wrapText="1"/>
    </xf>
    <xf numFmtId="3" fontId="33" fillId="8" borderId="27" xfId="4" applyNumberFormat="1" applyFont="1" applyFill="1" applyBorder="1" applyAlignment="1">
      <alignment horizontal="right" vertical="center"/>
    </xf>
    <xf numFmtId="3" fontId="33" fillId="8" borderId="13" xfId="4" applyNumberFormat="1" applyFont="1" applyFill="1" applyBorder="1" applyAlignment="1">
      <alignment horizontal="right" vertical="center"/>
    </xf>
    <xf numFmtId="3" fontId="33" fillId="23" borderId="10" xfId="4" applyNumberFormat="1" applyFont="1" applyFill="1" applyBorder="1" applyAlignment="1">
      <alignment horizontal="right" vertical="center"/>
    </xf>
    <xf numFmtId="0" fontId="47" fillId="0" borderId="13" xfId="4" applyFont="1" applyFill="1" applyBorder="1" applyAlignment="1">
      <alignment horizontal="center" vertical="center" wrapText="1"/>
    </xf>
    <xf numFmtId="3" fontId="53" fillId="6" borderId="181" xfId="4" applyNumberFormat="1" applyFont="1" applyFill="1" applyBorder="1" applyAlignment="1">
      <alignment vertical="center"/>
    </xf>
    <xf numFmtId="3" fontId="53" fillId="6" borderId="177" xfId="4" applyNumberFormat="1" applyFont="1" applyFill="1" applyBorder="1" applyAlignment="1">
      <alignment vertical="center"/>
    </xf>
    <xf numFmtId="3" fontId="53" fillId="6" borderId="176" xfId="4" applyNumberFormat="1" applyFont="1" applyFill="1" applyBorder="1" applyAlignment="1">
      <alignment vertical="center"/>
    </xf>
    <xf numFmtId="3" fontId="53" fillId="6" borderId="147" xfId="4" applyNumberFormat="1" applyFont="1" applyFill="1" applyBorder="1" applyAlignment="1">
      <alignment vertical="center"/>
    </xf>
    <xf numFmtId="3" fontId="53" fillId="22" borderId="176" xfId="4" applyNumberFormat="1" applyFont="1" applyFill="1" applyBorder="1" applyAlignment="1">
      <alignment vertical="center"/>
    </xf>
    <xf numFmtId="0" fontId="58" fillId="0" borderId="138" xfId="4" applyFont="1" applyFill="1" applyBorder="1" applyAlignment="1">
      <alignment vertical="top"/>
    </xf>
    <xf numFmtId="0" fontId="53" fillId="2" borderId="181" xfId="4" applyFont="1" applyFill="1" applyBorder="1" applyAlignment="1">
      <alignment horizontal="center" vertical="center" wrapText="1"/>
    </xf>
    <xf numFmtId="3" fontId="58" fillId="0" borderId="177" xfId="4" applyNumberFormat="1" applyFont="1" applyFill="1" applyBorder="1" applyAlignment="1">
      <alignment horizontal="right" vertical="center"/>
    </xf>
    <xf numFmtId="3" fontId="58" fillId="0" borderId="147" xfId="4" applyNumberFormat="1" applyFont="1" applyFill="1" applyBorder="1" applyAlignment="1">
      <alignment horizontal="right" vertical="center"/>
    </xf>
    <xf numFmtId="3" fontId="58" fillId="0" borderId="176" xfId="4" applyNumberFormat="1" applyFont="1" applyFill="1" applyBorder="1" applyAlignment="1">
      <alignment horizontal="right" vertical="center"/>
    </xf>
    <xf numFmtId="3" fontId="58" fillId="25" borderId="176" xfId="4" applyNumberFormat="1" applyFont="1" applyFill="1" applyBorder="1" applyAlignment="1">
      <alignment horizontal="right" vertical="center"/>
    </xf>
    <xf numFmtId="0" fontId="33" fillId="0" borderId="138" xfId="4" applyFont="1" applyFill="1" applyBorder="1" applyAlignment="1">
      <alignment vertical="top"/>
    </xf>
    <xf numFmtId="3" fontId="33" fillId="0" borderId="176" xfId="0" applyNumberFormat="1" applyFont="1" applyFill="1" applyBorder="1" applyAlignment="1">
      <alignment vertical="top"/>
    </xf>
    <xf numFmtId="3" fontId="33" fillId="0" borderId="176" xfId="4" applyNumberFormat="1" applyFont="1" applyFill="1" applyBorder="1" applyAlignment="1">
      <alignment vertical="top"/>
    </xf>
    <xf numFmtId="3" fontId="33" fillId="0" borderId="180" xfId="4" applyNumberFormat="1" applyFont="1" applyFill="1" applyBorder="1" applyAlignment="1">
      <alignment vertical="top"/>
    </xf>
    <xf numFmtId="3" fontId="33" fillId="25" borderId="176" xfId="4" applyNumberFormat="1" applyFont="1" applyFill="1" applyBorder="1" applyAlignment="1">
      <alignment vertical="top"/>
    </xf>
    <xf numFmtId="3" fontId="47" fillId="0" borderId="0" xfId="0" applyNumberFormat="1" applyFont="1" applyBorder="1" applyAlignment="1">
      <alignment vertical="top"/>
    </xf>
    <xf numFmtId="0" fontId="33" fillId="0" borderId="138" xfId="4" applyFont="1" applyFill="1" applyBorder="1" applyAlignment="1">
      <alignment vertical="top" wrapText="1"/>
    </xf>
    <xf numFmtId="3" fontId="33" fillId="0" borderId="177" xfId="4" applyNumberFormat="1" applyFont="1" applyFill="1" applyBorder="1" applyAlignment="1">
      <alignment vertical="top"/>
    </xf>
    <xf numFmtId="0" fontId="58" fillId="0" borderId="138" xfId="4" applyFont="1" applyFill="1" applyBorder="1" applyAlignment="1">
      <alignment horizontal="left" vertical="center"/>
    </xf>
    <xf numFmtId="3" fontId="60" fillId="0" borderId="147" xfId="4" applyNumberFormat="1" applyFont="1" applyFill="1" applyBorder="1" applyAlignment="1">
      <alignment horizontal="right" vertical="center"/>
    </xf>
    <xf numFmtId="3" fontId="33" fillId="0" borderId="177" xfId="4" applyNumberFormat="1" applyFont="1" applyFill="1" applyBorder="1" applyAlignment="1">
      <alignment horizontal="right" vertical="center"/>
    </xf>
    <xf numFmtId="0" fontId="61" fillId="0" borderId="147" xfId="0" applyFont="1" applyBorder="1"/>
    <xf numFmtId="3" fontId="33" fillId="0" borderId="176" xfId="4" applyNumberFormat="1" applyFont="1" applyFill="1" applyBorder="1" applyAlignment="1">
      <alignment horizontal="right" vertical="center"/>
    </xf>
    <xf numFmtId="3" fontId="33" fillId="0" borderId="180" xfId="4" applyNumberFormat="1" applyFont="1" applyFill="1" applyBorder="1" applyAlignment="1">
      <alignment horizontal="right" vertical="center"/>
    </xf>
    <xf numFmtId="3" fontId="53" fillId="22" borderId="176" xfId="4" applyNumberFormat="1" applyFont="1" applyFill="1" applyBorder="1" applyAlignment="1">
      <alignment horizontal="center" vertical="center"/>
    </xf>
    <xf numFmtId="3" fontId="58" fillId="0" borderId="180" xfId="4" applyNumberFormat="1" applyFont="1" applyFill="1" applyBorder="1" applyAlignment="1">
      <alignment horizontal="right" vertical="center"/>
    </xf>
    <xf numFmtId="3" fontId="60" fillId="0" borderId="176" xfId="4" applyNumberFormat="1" applyFont="1" applyFill="1" applyBorder="1" applyAlignment="1">
      <alignment horizontal="right" vertical="center"/>
    </xf>
    <xf numFmtId="0" fontId="53" fillId="0" borderId="41" xfId="4" quotePrefix="1" applyFont="1" applyFill="1" applyBorder="1" applyAlignment="1">
      <alignment horizontal="center" vertical="center"/>
    </xf>
    <xf numFmtId="0" fontId="33" fillId="0" borderId="77" xfId="4" applyFont="1" applyFill="1" applyBorder="1" applyAlignment="1">
      <alignment vertical="top" wrapText="1"/>
    </xf>
    <xf numFmtId="0" fontId="53" fillId="2" borderId="37" xfId="4" applyFont="1" applyFill="1" applyBorder="1" applyAlignment="1">
      <alignment horizontal="center" vertical="center" wrapText="1"/>
    </xf>
    <xf numFmtId="3" fontId="33" fillId="0" borderId="134" xfId="0" applyNumberFormat="1" applyFont="1" applyFill="1" applyBorder="1" applyAlignment="1">
      <alignment vertical="top"/>
    </xf>
    <xf numFmtId="3" fontId="58" fillId="0" borderId="151" xfId="4" applyNumberFormat="1" applyFont="1" applyFill="1" applyBorder="1" applyAlignment="1">
      <alignment horizontal="right" vertical="center"/>
    </xf>
    <xf numFmtId="3" fontId="58" fillId="0" borderId="134" xfId="4" applyNumberFormat="1" applyFont="1" applyFill="1" applyBorder="1" applyAlignment="1">
      <alignment horizontal="right" vertical="center"/>
    </xf>
    <xf numFmtId="3" fontId="33" fillId="0" borderId="134" xfId="4" applyNumberFormat="1" applyFont="1" applyFill="1" applyBorder="1" applyAlignment="1">
      <alignment vertical="top"/>
    </xf>
    <xf numFmtId="0" fontId="47" fillId="0" borderId="12" xfId="4" applyFont="1" applyFill="1" applyBorder="1" applyAlignment="1">
      <alignment horizontal="center" vertical="center" wrapText="1"/>
    </xf>
    <xf numFmtId="0" fontId="53" fillId="8" borderId="21" xfId="4" applyFont="1" applyFill="1" applyBorder="1" applyAlignment="1">
      <alignment horizontal="left" vertical="center" wrapText="1"/>
    </xf>
    <xf numFmtId="3" fontId="53" fillId="8" borderId="9" xfId="4" applyNumberFormat="1" applyFont="1" applyFill="1" applyBorder="1" applyAlignment="1">
      <alignment horizontal="center" vertical="center" wrapText="1"/>
    </xf>
    <xf numFmtId="3" fontId="33" fillId="23" borderId="35" xfId="4" applyNumberFormat="1" applyFont="1" applyFill="1" applyBorder="1" applyAlignment="1">
      <alignment horizontal="right" vertical="center"/>
    </xf>
    <xf numFmtId="43" fontId="53" fillId="6" borderId="176" xfId="1" applyFont="1" applyFill="1" applyBorder="1" applyAlignment="1">
      <alignment vertical="center"/>
    </xf>
    <xf numFmtId="43" fontId="53" fillId="6" borderId="147" xfId="1" applyFont="1" applyFill="1" applyBorder="1" applyAlignment="1">
      <alignment vertical="center"/>
    </xf>
    <xf numFmtId="43" fontId="53" fillId="22" borderId="176" xfId="1" applyFont="1" applyFill="1" applyBorder="1" applyAlignment="1">
      <alignment vertical="center"/>
    </xf>
    <xf numFmtId="43" fontId="58" fillId="0" borderId="177" xfId="1" applyFont="1" applyFill="1" applyBorder="1" applyAlignment="1">
      <alignment horizontal="right" vertical="center"/>
    </xf>
    <xf numFmtId="43" fontId="58" fillId="25" borderId="176" xfId="1" applyFont="1" applyFill="1" applyBorder="1" applyAlignment="1">
      <alignment horizontal="right" vertical="center"/>
    </xf>
    <xf numFmtId="43" fontId="33" fillId="0" borderId="176" xfId="1" applyFont="1" applyFill="1" applyBorder="1" applyAlignment="1">
      <alignment vertical="top"/>
    </xf>
    <xf numFmtId="43" fontId="33" fillId="25" borderId="176" xfId="1" applyFont="1" applyFill="1" applyBorder="1" applyAlignment="1">
      <alignment vertical="top"/>
    </xf>
    <xf numFmtId="43" fontId="33" fillId="0" borderId="177" xfId="1" applyFont="1" applyFill="1" applyBorder="1" applyAlignment="1">
      <alignment vertical="top"/>
    </xf>
    <xf numFmtId="43" fontId="58" fillId="0" borderId="176" xfId="1" applyFont="1" applyFill="1" applyBorder="1" applyAlignment="1">
      <alignment horizontal="right" vertical="center"/>
    </xf>
    <xf numFmtId="43" fontId="33" fillId="0" borderId="176" xfId="1" applyFont="1" applyFill="1" applyBorder="1" applyAlignment="1">
      <alignment horizontal="right" vertical="center"/>
    </xf>
    <xf numFmtId="43" fontId="33" fillId="0" borderId="180" xfId="1" applyFont="1" applyFill="1" applyBorder="1" applyAlignment="1">
      <alignment horizontal="right" vertical="center"/>
    </xf>
    <xf numFmtId="0" fontId="53" fillId="2" borderId="181" xfId="4" applyFont="1" applyFill="1" applyBorder="1" applyAlignment="1">
      <alignment horizontal="center" vertical="center" wrapText="1"/>
    </xf>
    <xf numFmtId="43" fontId="33" fillId="0" borderId="147" xfId="1" applyFont="1" applyFill="1" applyBorder="1" applyAlignment="1">
      <alignment horizontal="right" vertical="center"/>
    </xf>
    <xf numFmtId="43" fontId="58" fillId="0" borderId="180" xfId="1" applyFont="1" applyFill="1" applyBorder="1" applyAlignment="1">
      <alignment horizontal="right" vertical="center"/>
    </xf>
    <xf numFmtId="43" fontId="33" fillId="0" borderId="180" xfId="1" applyFont="1" applyFill="1" applyBorder="1" applyAlignment="1">
      <alignment vertical="top"/>
    </xf>
    <xf numFmtId="0" fontId="53" fillId="0" borderId="43" xfId="4" quotePrefix="1" applyFont="1" applyFill="1" applyBorder="1" applyAlignment="1">
      <alignment horizontal="center" vertical="center"/>
    </xf>
    <xf numFmtId="0" fontId="53" fillId="2" borderId="177" xfId="4" applyFont="1" applyFill="1" applyBorder="1" applyAlignment="1">
      <alignment horizontal="center" vertical="center" wrapText="1"/>
    </xf>
    <xf numFmtId="3" fontId="53" fillId="22" borderId="176" xfId="4" applyNumberFormat="1" applyFont="1" applyFill="1" applyBorder="1" applyAlignment="1">
      <alignment horizontal="center" vertical="center"/>
    </xf>
    <xf numFmtId="0" fontId="47" fillId="0" borderId="35" xfId="4" applyFont="1" applyFill="1" applyBorder="1" applyAlignment="1">
      <alignment horizontal="center" vertical="center" wrapText="1"/>
    </xf>
    <xf numFmtId="0" fontId="53" fillId="0" borderId="43" xfId="4" applyFont="1" applyFill="1" applyBorder="1" applyAlignment="1">
      <alignment horizontal="center" vertical="center"/>
    </xf>
    <xf numFmtId="0" fontId="53" fillId="8" borderId="138" xfId="4" applyFont="1" applyFill="1" applyBorder="1" applyAlignment="1">
      <alignment horizontal="left" vertical="center" wrapText="1"/>
    </xf>
    <xf numFmtId="3" fontId="54" fillId="8" borderId="177" xfId="4" applyNumberFormat="1" applyFont="1" applyFill="1" applyBorder="1" applyAlignment="1">
      <alignment horizontal="center" vertical="center"/>
    </xf>
    <xf numFmtId="3" fontId="33" fillId="8" borderId="177" xfId="4" applyNumberFormat="1" applyFont="1" applyFill="1" applyBorder="1" applyAlignment="1">
      <alignment horizontal="right" vertical="center"/>
    </xf>
    <xf numFmtId="3" fontId="33" fillId="8" borderId="176" xfId="4" applyNumberFormat="1" applyFont="1" applyFill="1" applyBorder="1" applyAlignment="1">
      <alignment horizontal="right" vertical="center"/>
    </xf>
    <xf numFmtId="3" fontId="33" fillId="8" borderId="180" xfId="4" applyNumberFormat="1" applyFont="1" applyFill="1" applyBorder="1" applyAlignment="1">
      <alignment horizontal="right" vertical="center"/>
    </xf>
    <xf numFmtId="3" fontId="33" fillId="23" borderId="176" xfId="4" applyNumberFormat="1" applyFont="1" applyFill="1" applyBorder="1" applyAlignment="1">
      <alignment horizontal="right" vertical="center"/>
    </xf>
    <xf numFmtId="0" fontId="47" fillId="0" borderId="141" xfId="4" applyFont="1" applyFill="1" applyBorder="1" applyAlignment="1">
      <alignment horizontal="center" vertical="center" wrapText="1"/>
    </xf>
    <xf numFmtId="0" fontId="60" fillId="0" borderId="0" xfId="0" applyFont="1" applyBorder="1" applyAlignment="1">
      <alignment vertical="top"/>
    </xf>
    <xf numFmtId="3" fontId="54" fillId="6" borderId="177" xfId="4" applyNumberFormat="1" applyFont="1" applyFill="1" applyBorder="1" applyAlignment="1">
      <alignment vertical="center"/>
    </xf>
    <xf numFmtId="43" fontId="54" fillId="6" borderId="176" xfId="1" applyFont="1" applyFill="1" applyBorder="1" applyAlignment="1">
      <alignment vertical="center"/>
    </xf>
    <xf numFmtId="3" fontId="54" fillId="6" borderId="176" xfId="4" applyNumberFormat="1" applyFont="1" applyFill="1" applyBorder="1" applyAlignment="1">
      <alignment vertical="center"/>
    </xf>
    <xf numFmtId="3" fontId="54" fillId="6" borderId="147" xfId="4" applyNumberFormat="1" applyFont="1" applyFill="1" applyBorder="1" applyAlignment="1">
      <alignment vertical="center"/>
    </xf>
    <xf numFmtId="3" fontId="54" fillId="22" borderId="176" xfId="4" applyNumberFormat="1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58" fillId="0" borderId="138" xfId="4" applyFont="1" applyFill="1" applyBorder="1" applyAlignment="1">
      <alignment vertical="center"/>
    </xf>
    <xf numFmtId="0" fontId="54" fillId="0" borderId="181" xfId="4" applyFont="1" applyFill="1" applyBorder="1" applyAlignment="1">
      <alignment horizontal="center" vertical="center" wrapText="1"/>
    </xf>
    <xf numFmtId="3" fontId="56" fillId="25" borderId="176" xfId="4" applyNumberFormat="1" applyFont="1" applyFill="1" applyBorder="1" applyAlignment="1">
      <alignment horizontal="right" vertical="center"/>
    </xf>
    <xf numFmtId="0" fontId="33" fillId="0" borderId="138" xfId="4" applyFont="1" applyFill="1" applyBorder="1" applyAlignment="1">
      <alignment vertical="center"/>
    </xf>
    <xf numFmtId="0" fontId="61" fillId="0" borderId="181" xfId="0" applyFont="1" applyFill="1" applyBorder="1" applyAlignment="1">
      <alignment horizontal="center" vertical="center" wrapText="1"/>
    </xf>
    <xf numFmtId="3" fontId="33" fillId="0" borderId="176" xfId="0" applyNumberFormat="1" applyFont="1" applyFill="1" applyBorder="1" applyAlignment="1">
      <alignment vertical="center"/>
    </xf>
    <xf numFmtId="43" fontId="33" fillId="0" borderId="177" xfId="1" applyFont="1" applyFill="1" applyBorder="1" applyAlignment="1">
      <alignment vertical="center"/>
    </xf>
    <xf numFmtId="43" fontId="33" fillId="0" borderId="176" xfId="1" applyFont="1" applyFill="1" applyBorder="1" applyAlignment="1">
      <alignment vertical="center"/>
    </xf>
    <xf numFmtId="3" fontId="33" fillId="0" borderId="176" xfId="4" applyNumberFormat="1" applyFont="1" applyFill="1" applyBorder="1" applyAlignment="1">
      <alignment vertical="center"/>
    </xf>
    <xf numFmtId="3" fontId="33" fillId="0" borderId="180" xfId="4" applyNumberFormat="1" applyFont="1" applyFill="1" applyBorder="1" applyAlignment="1">
      <alignment vertical="center"/>
    </xf>
    <xf numFmtId="3" fontId="33" fillId="25" borderId="176" xfId="4" applyNumberFormat="1" applyFont="1" applyFill="1" applyBorder="1" applyAlignment="1">
      <alignment vertical="center"/>
    </xf>
    <xf numFmtId="3" fontId="53" fillId="34" borderId="176" xfId="4" applyNumberFormat="1" applyFont="1" applyFill="1" applyBorder="1" applyAlignment="1">
      <alignment horizontal="center" vertical="center"/>
    </xf>
    <xf numFmtId="0" fontId="56" fillId="0" borderId="138" xfId="4" applyFont="1" applyFill="1" applyBorder="1" applyAlignment="1">
      <alignment horizontal="left" vertical="center"/>
    </xf>
    <xf numFmtId="0" fontId="53" fillId="0" borderId="41" xfId="4" applyFont="1" applyFill="1" applyBorder="1" applyAlignment="1">
      <alignment horizontal="center" vertical="center"/>
    </xf>
    <xf numFmtId="0" fontId="61" fillId="0" borderId="37" xfId="0" applyFont="1" applyFill="1" applyBorder="1" applyAlignment="1">
      <alignment horizontal="center" vertical="center" wrapText="1"/>
    </xf>
    <xf numFmtId="3" fontId="33" fillId="0" borderId="134" xfId="0" applyNumberFormat="1" applyFont="1" applyFill="1" applyBorder="1" applyAlignment="1">
      <alignment vertical="center"/>
    </xf>
    <xf numFmtId="43" fontId="33" fillId="0" borderId="151" xfId="1" applyFont="1" applyFill="1" applyBorder="1" applyAlignment="1">
      <alignment vertical="center"/>
    </xf>
    <xf numFmtId="43" fontId="33" fillId="0" borderId="134" xfId="1" applyFont="1" applyFill="1" applyBorder="1" applyAlignment="1">
      <alignment vertical="center"/>
    </xf>
    <xf numFmtId="3" fontId="33" fillId="0" borderId="134" xfId="4" applyNumberFormat="1" applyFont="1" applyFill="1" applyBorder="1" applyAlignment="1">
      <alignment vertical="center"/>
    </xf>
    <xf numFmtId="3" fontId="33" fillId="0" borderId="152" xfId="4" applyNumberFormat="1" applyFont="1" applyFill="1" applyBorder="1" applyAlignment="1">
      <alignment vertical="center"/>
    </xf>
    <xf numFmtId="3" fontId="53" fillId="34" borderId="134" xfId="4" applyNumberFormat="1" applyFont="1" applyFill="1" applyBorder="1" applyAlignment="1">
      <alignment horizontal="center" vertical="center"/>
    </xf>
    <xf numFmtId="3" fontId="56" fillId="0" borderId="176" xfId="4" applyNumberFormat="1" applyFont="1" applyFill="1" applyBorder="1" applyAlignment="1">
      <alignment horizontal="right" vertical="center"/>
    </xf>
    <xf numFmtId="0" fontId="33" fillId="0" borderId="138" xfId="4" applyFont="1" applyFill="1" applyBorder="1" applyAlignment="1"/>
    <xf numFmtId="43" fontId="33" fillId="0" borderId="177" xfId="1" applyFont="1" applyFill="1" applyBorder="1" applyAlignment="1"/>
    <xf numFmtId="43" fontId="33" fillId="0" borderId="176" xfId="1" applyFont="1" applyFill="1" applyBorder="1" applyAlignment="1"/>
    <xf numFmtId="3" fontId="33" fillId="0" borderId="176" xfId="4" applyNumberFormat="1" applyFont="1" applyFill="1" applyBorder="1" applyAlignment="1"/>
    <xf numFmtId="3" fontId="33" fillId="0" borderId="180" xfId="4" applyNumberFormat="1" applyFont="1" applyFill="1" applyBorder="1" applyAlignment="1"/>
    <xf numFmtId="3" fontId="60" fillId="0" borderId="176" xfId="4" applyNumberFormat="1" applyFont="1" applyFill="1" applyBorder="1" applyAlignment="1"/>
    <xf numFmtId="0" fontId="60" fillId="0" borderId="0" xfId="0" applyFont="1" applyBorder="1" applyAlignment="1"/>
    <xf numFmtId="3" fontId="56" fillId="0" borderId="177" xfId="4" applyNumberFormat="1" applyFont="1" applyFill="1" applyBorder="1" applyAlignment="1">
      <alignment horizontal="right" vertical="center"/>
    </xf>
    <xf numFmtId="3" fontId="60" fillId="0" borderId="180" xfId="4" applyNumberFormat="1" applyFont="1" applyFill="1" applyBorder="1" applyAlignment="1">
      <alignment horizontal="right" vertical="center"/>
    </xf>
    <xf numFmtId="0" fontId="33" fillId="0" borderId="0" xfId="0" applyFont="1" applyBorder="1" applyAlignment="1">
      <alignment vertical="top"/>
    </xf>
    <xf numFmtId="43" fontId="33" fillId="0" borderId="151" xfId="1" applyFont="1" applyFill="1" applyBorder="1" applyAlignment="1">
      <alignment vertical="top"/>
    </xf>
    <xf numFmtId="43" fontId="33" fillId="0" borderId="134" xfId="1" applyFont="1" applyFill="1" applyBorder="1" applyAlignment="1">
      <alignment vertical="top"/>
    </xf>
    <xf numFmtId="3" fontId="60" fillId="0" borderId="134" xfId="4" applyNumberFormat="1" applyFont="1" applyFill="1" applyBorder="1" applyAlignment="1">
      <alignment vertical="top"/>
    </xf>
    <xf numFmtId="3" fontId="33" fillId="0" borderId="152" xfId="4" applyNumberFormat="1" applyFont="1" applyFill="1" applyBorder="1" applyAlignment="1">
      <alignment vertical="top"/>
    </xf>
    <xf numFmtId="3" fontId="54" fillId="8" borderId="9" xfId="4" applyNumberFormat="1" applyFont="1" applyFill="1" applyBorder="1" applyAlignment="1">
      <alignment horizontal="center" vertical="center"/>
    </xf>
    <xf numFmtId="3" fontId="60" fillId="8" borderId="9" xfId="4" applyNumberFormat="1" applyFont="1" applyFill="1" applyBorder="1" applyAlignment="1">
      <alignment horizontal="right" vertical="center"/>
    </xf>
    <xf numFmtId="3" fontId="60" fillId="8" borderId="35" xfId="4" applyNumberFormat="1" applyFont="1" applyFill="1" applyBorder="1" applyAlignment="1">
      <alignment horizontal="right" vertical="center"/>
    </xf>
    <xf numFmtId="3" fontId="60" fillId="0" borderId="177" xfId="4" applyNumberFormat="1" applyFont="1" applyFill="1" applyBorder="1" applyAlignment="1">
      <alignment vertical="top"/>
    </xf>
    <xf numFmtId="3" fontId="60" fillId="0" borderId="176" xfId="4" applyNumberFormat="1" applyFont="1" applyFill="1" applyBorder="1" applyAlignment="1">
      <alignment vertical="top"/>
    </xf>
    <xf numFmtId="43" fontId="60" fillId="0" borderId="147" xfId="1" applyFont="1" applyFill="1" applyBorder="1" applyAlignment="1">
      <alignment vertical="top"/>
    </xf>
    <xf numFmtId="0" fontId="33" fillId="0" borderId="0" xfId="4" applyFont="1" applyFill="1" applyBorder="1" applyAlignment="1">
      <alignment horizontal="center" vertical="center" wrapText="1"/>
    </xf>
    <xf numFmtId="3" fontId="54" fillId="6" borderId="181" xfId="4" applyNumberFormat="1" applyFont="1" applyFill="1" applyBorder="1" applyAlignment="1">
      <alignment vertical="center"/>
    </xf>
    <xf numFmtId="3" fontId="53" fillId="6" borderId="180" xfId="4" applyNumberFormat="1" applyFont="1" applyFill="1" applyBorder="1" applyAlignment="1">
      <alignment vertical="center"/>
    </xf>
    <xf numFmtId="0" fontId="54" fillId="2" borderId="181" xfId="4" applyFont="1" applyFill="1" applyBorder="1" applyAlignment="1">
      <alignment horizontal="center" vertical="center" wrapText="1"/>
    </xf>
    <xf numFmtId="0" fontId="61" fillId="0" borderId="181" xfId="0" applyFont="1" applyBorder="1" applyAlignment="1">
      <alignment horizontal="center" wrapText="1"/>
    </xf>
    <xf numFmtId="0" fontId="53" fillId="0" borderId="10" xfId="4" applyFont="1" applyFill="1" applyBorder="1" applyAlignment="1">
      <alignment horizontal="center" vertical="center"/>
    </xf>
    <xf numFmtId="0" fontId="61" fillId="0" borderId="177" xfId="0" applyFont="1" applyBorder="1" applyAlignment="1">
      <alignment horizontal="center" wrapText="1"/>
    </xf>
    <xf numFmtId="0" fontId="54" fillId="2" borderId="177" xfId="4" applyFont="1" applyFill="1" applyBorder="1" applyAlignment="1">
      <alignment horizontal="center" vertical="center" wrapText="1"/>
    </xf>
    <xf numFmtId="3" fontId="33" fillId="2" borderId="177" xfId="4" applyNumberFormat="1" applyFont="1" applyFill="1" applyBorder="1" applyAlignment="1">
      <alignment vertical="top"/>
    </xf>
    <xf numFmtId="3" fontId="33" fillId="0" borderId="176" xfId="4" applyNumberFormat="1" applyFont="1" applyFill="1" applyBorder="1" applyAlignment="1">
      <alignment vertical="top" wrapText="1"/>
    </xf>
    <xf numFmtId="0" fontId="53" fillId="0" borderId="74" xfId="4" applyFont="1" applyFill="1" applyBorder="1" applyAlignment="1">
      <alignment horizontal="center" vertical="center"/>
    </xf>
    <xf numFmtId="0" fontId="54" fillId="2" borderId="151" xfId="4" applyFont="1" applyFill="1" applyBorder="1" applyAlignment="1">
      <alignment horizontal="center" vertical="center" wrapText="1"/>
    </xf>
    <xf numFmtId="3" fontId="33" fillId="0" borderId="151" xfId="4" applyNumberFormat="1" applyFont="1" applyFill="1" applyBorder="1" applyAlignment="1">
      <alignment vertical="top"/>
    </xf>
    <xf numFmtId="0" fontId="33" fillId="0" borderId="134" xfId="4" applyFont="1" applyFill="1" applyBorder="1" applyAlignment="1">
      <alignment vertical="top" wrapText="1"/>
    </xf>
    <xf numFmtId="3" fontId="33" fillId="8" borderId="7" xfId="4" applyNumberFormat="1" applyFont="1" applyFill="1" applyBorder="1" applyAlignment="1">
      <alignment horizontal="right" vertical="center"/>
    </xf>
    <xf numFmtId="43" fontId="54" fillId="22" borderId="176" xfId="1" applyFont="1" applyFill="1" applyBorder="1" applyAlignment="1">
      <alignment vertical="center"/>
    </xf>
    <xf numFmtId="43" fontId="56" fillId="0" borderId="176" xfId="1" applyFont="1" applyFill="1" applyBorder="1" applyAlignment="1">
      <alignment horizontal="right" vertical="center"/>
    </xf>
    <xf numFmtId="43" fontId="56" fillId="25" borderId="176" xfId="1" applyFont="1" applyFill="1" applyBorder="1" applyAlignment="1">
      <alignment horizontal="right" vertical="center"/>
    </xf>
    <xf numFmtId="43" fontId="58" fillId="0" borderId="147" xfId="1" applyFont="1" applyFill="1" applyBorder="1" applyAlignment="1">
      <alignment horizontal="right" vertical="center"/>
    </xf>
    <xf numFmtId="3" fontId="54" fillId="22" borderId="176" xfId="4" applyNumberFormat="1" applyFont="1" applyFill="1" applyBorder="1" applyAlignment="1">
      <alignment horizontal="center" vertical="center"/>
    </xf>
    <xf numFmtId="0" fontId="53" fillId="8" borderId="11" xfId="0" applyFont="1" applyFill="1" applyBorder="1" applyAlignment="1">
      <alignment vertical="center" wrapText="1"/>
    </xf>
    <xf numFmtId="3" fontId="54" fillId="8" borderId="27" xfId="4" applyNumberFormat="1" applyFont="1" applyFill="1" applyBorder="1" applyAlignment="1">
      <alignment horizontal="center" vertical="center"/>
    </xf>
    <xf numFmtId="0" fontId="33" fillId="8" borderId="10" xfId="0" applyFont="1" applyFill="1" applyBorder="1" applyAlignment="1">
      <alignment vertical="top"/>
    </xf>
    <xf numFmtId="3" fontId="33" fillId="8" borderId="10" xfId="0" applyNumberFormat="1" applyFont="1" applyFill="1" applyBorder="1" applyAlignment="1">
      <alignment vertical="top"/>
    </xf>
    <xf numFmtId="3" fontId="33" fillId="23" borderId="13" xfId="0" applyNumberFormat="1" applyFont="1" applyFill="1" applyBorder="1" applyAlignment="1">
      <alignment vertical="top"/>
    </xf>
    <xf numFmtId="0" fontId="47" fillId="0" borderId="27" xfId="0" applyFont="1" applyFill="1" applyBorder="1" applyAlignment="1">
      <alignment horizontal="center" vertical="center" wrapText="1"/>
    </xf>
    <xf numFmtId="0" fontId="61" fillId="0" borderId="43" xfId="0" applyFont="1" applyBorder="1" applyAlignment="1">
      <alignment vertical="center" wrapText="1"/>
    </xf>
    <xf numFmtId="0" fontId="53" fillId="6" borderId="67" xfId="4" applyFont="1" applyFill="1" applyBorder="1" applyAlignment="1">
      <alignment horizontal="left" vertical="center"/>
    </xf>
    <xf numFmtId="0" fontId="54" fillId="6" borderId="6" xfId="4" applyFont="1" applyFill="1" applyBorder="1" applyAlignment="1">
      <alignment horizontal="left" vertical="center"/>
    </xf>
    <xf numFmtId="3" fontId="53" fillId="6" borderId="13" xfId="4" applyNumberFormat="1" applyFont="1" applyFill="1" applyBorder="1" applyAlignment="1"/>
    <xf numFmtId="3" fontId="54" fillId="22" borderId="13" xfId="4" applyNumberFormat="1" applyFont="1" applyFill="1" applyBorder="1" applyAlignment="1">
      <alignment horizontal="right" vertical="center"/>
    </xf>
    <xf numFmtId="0" fontId="58" fillId="2" borderId="67" xfId="4" applyFont="1" applyFill="1" applyBorder="1" applyAlignment="1">
      <alignment vertical="top"/>
    </xf>
    <xf numFmtId="3" fontId="62" fillId="0" borderId="27" xfId="6" applyNumberFormat="1" applyFont="1" applyFill="1" applyBorder="1" applyAlignment="1">
      <alignment vertical="center"/>
    </xf>
    <xf numFmtId="3" fontId="56" fillId="25" borderId="13" xfId="4" applyNumberFormat="1" applyFont="1" applyFill="1" applyBorder="1" applyAlignment="1">
      <alignment horizontal="right" vertical="center"/>
    </xf>
    <xf numFmtId="0" fontId="33" fillId="0" borderId="11" xfId="4" applyFont="1" applyFill="1" applyBorder="1" applyAlignment="1">
      <alignment horizontal="left" vertical="center"/>
    </xf>
    <xf numFmtId="3" fontId="33" fillId="0" borderId="13" xfId="0" applyNumberFormat="1" applyFont="1" applyFill="1" applyBorder="1" applyAlignment="1">
      <alignment vertical="top"/>
    </xf>
    <xf numFmtId="3" fontId="61" fillId="0" borderId="27" xfId="6" applyNumberFormat="1" applyFont="1" applyFill="1" applyBorder="1" applyAlignment="1">
      <alignment vertical="center"/>
    </xf>
    <xf numFmtId="3" fontId="33" fillId="0" borderId="13" xfId="4" applyNumberFormat="1" applyFont="1" applyFill="1" applyBorder="1" applyAlignment="1">
      <alignment vertical="top"/>
    </xf>
    <xf numFmtId="3" fontId="33" fillId="0" borderId="27" xfId="4" applyNumberFormat="1" applyFont="1" applyFill="1" applyBorder="1" applyAlignment="1">
      <alignment horizontal="right" vertical="center"/>
    </xf>
    <xf numFmtId="3" fontId="33" fillId="25" borderId="13" xfId="4" applyNumberFormat="1" applyFont="1" applyFill="1" applyBorder="1" applyAlignment="1">
      <alignment vertical="top"/>
    </xf>
    <xf numFmtId="0" fontId="53" fillId="6" borderId="11" xfId="4" applyFont="1" applyFill="1" applyBorder="1" applyAlignment="1">
      <alignment horizontal="left" vertical="center"/>
    </xf>
    <xf numFmtId="3" fontId="61" fillId="0" borderId="13" xfId="6" applyNumberFormat="1" applyFont="1" applyFill="1" applyBorder="1" applyAlignment="1">
      <alignment vertical="center"/>
    </xf>
    <xf numFmtId="3" fontId="33" fillId="2" borderId="13" xfId="4" applyNumberFormat="1" applyFont="1" applyFill="1" applyBorder="1" applyAlignment="1">
      <alignment horizontal="right" vertical="center"/>
    </xf>
    <xf numFmtId="3" fontId="53" fillId="8" borderId="177" xfId="4" applyNumberFormat="1" applyFont="1" applyFill="1" applyBorder="1" applyAlignment="1">
      <alignment horizontal="center" vertical="center"/>
    </xf>
    <xf numFmtId="3" fontId="33" fillId="23" borderId="180" xfId="4" applyNumberFormat="1" applyFont="1" applyFill="1" applyBorder="1" applyAlignment="1">
      <alignment horizontal="right" vertical="center"/>
    </xf>
    <xf numFmtId="0" fontId="47" fillId="0" borderId="176" xfId="4" applyFont="1" applyFill="1" applyBorder="1" applyAlignment="1">
      <alignment horizontal="center" vertical="center" wrapText="1"/>
    </xf>
    <xf numFmtId="3" fontId="46" fillId="6" borderId="181" xfId="4" applyNumberFormat="1" applyFont="1" applyFill="1" applyBorder="1" applyAlignment="1">
      <alignment vertical="center"/>
    </xf>
    <xf numFmtId="3" fontId="33" fillId="0" borderId="177" xfId="0" applyNumberFormat="1" applyFont="1" applyFill="1" applyBorder="1" applyAlignment="1">
      <alignment vertical="top"/>
    </xf>
    <xf numFmtId="0" fontId="33" fillId="32" borderId="138" xfId="4" applyFont="1" applyFill="1" applyBorder="1" applyAlignment="1">
      <alignment vertical="top"/>
    </xf>
    <xf numFmtId="3" fontId="58" fillId="25" borderId="177" xfId="4" applyNumberFormat="1" applyFont="1" applyFill="1" applyBorder="1" applyAlignment="1">
      <alignment horizontal="right" vertical="center"/>
    </xf>
    <xf numFmtId="0" fontId="53" fillId="2" borderId="181" xfId="4" applyFont="1" applyFill="1" applyBorder="1" applyAlignment="1">
      <alignment horizontal="center" vertical="center" wrapText="1" shrinkToFit="1"/>
    </xf>
    <xf numFmtId="4" fontId="33" fillId="0" borderId="176" xfId="4" applyNumberFormat="1" applyFont="1" applyFill="1" applyBorder="1" applyAlignment="1">
      <alignment vertical="top"/>
    </xf>
    <xf numFmtId="0" fontId="33" fillId="32" borderId="77" xfId="4" applyFont="1" applyFill="1" applyBorder="1" applyAlignment="1">
      <alignment vertical="top"/>
    </xf>
    <xf numFmtId="0" fontId="53" fillId="2" borderId="37" xfId="4" applyFont="1" applyFill="1" applyBorder="1" applyAlignment="1">
      <alignment horizontal="center" vertical="center" wrapText="1" shrinkToFit="1"/>
    </xf>
    <xf numFmtId="0" fontId="47" fillId="0" borderId="134" xfId="4" applyFont="1" applyFill="1" applyBorder="1" applyAlignment="1">
      <alignment horizontal="center" vertical="center" wrapText="1"/>
    </xf>
    <xf numFmtId="0" fontId="53" fillId="0" borderId="43" xfId="4" applyFont="1" applyFill="1" applyBorder="1" applyAlignment="1">
      <alignment vertical="center"/>
    </xf>
    <xf numFmtId="0" fontId="33" fillId="0" borderId="11" xfId="4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43" fontId="50" fillId="0" borderId="13" xfId="1" applyFont="1" applyFill="1" applyBorder="1" applyAlignment="1">
      <alignment vertical="top"/>
    </xf>
    <xf numFmtId="43" fontId="50" fillId="0" borderId="13" xfId="1" applyFont="1" applyFill="1" applyBorder="1" applyAlignment="1">
      <alignment vertical="top" wrapText="1"/>
    </xf>
    <xf numFmtId="3" fontId="47" fillId="0" borderId="13" xfId="4" applyNumberFormat="1" applyFont="1" applyFill="1" applyBorder="1" applyAlignment="1">
      <alignment horizontal="right" vertical="center"/>
    </xf>
    <xf numFmtId="3" fontId="47" fillId="2" borderId="13" xfId="4" applyNumberFormat="1" applyFont="1" applyFill="1" applyBorder="1" applyAlignment="1">
      <alignment horizontal="right" vertical="center"/>
    </xf>
    <xf numFmtId="3" fontId="47" fillId="25" borderId="10" xfId="4" applyNumberFormat="1" applyFont="1" applyFill="1" applyBorder="1" applyAlignment="1">
      <alignment vertical="top"/>
    </xf>
    <xf numFmtId="0" fontId="47" fillId="0" borderId="13" xfId="4" applyFont="1" applyFill="1" applyBorder="1" applyAlignment="1">
      <alignment vertical="center" wrapText="1"/>
    </xf>
    <xf numFmtId="3" fontId="53" fillId="8" borderId="27" xfId="4" applyNumberFormat="1" applyFont="1" applyFill="1" applyBorder="1" applyAlignment="1">
      <alignment horizontal="center" vertical="center"/>
    </xf>
    <xf numFmtId="3" fontId="60" fillId="8" borderId="13" xfId="4" applyNumberFormat="1" applyFont="1" applyFill="1" applyBorder="1" applyAlignment="1">
      <alignment horizontal="right" vertical="center"/>
    </xf>
    <xf numFmtId="3" fontId="60" fillId="23" borderId="10" xfId="4" applyNumberFormat="1" applyFont="1" applyFill="1" applyBorder="1" applyAlignment="1">
      <alignment horizontal="right" vertical="center"/>
    </xf>
    <xf numFmtId="0" fontId="50" fillId="0" borderId="13" xfId="4" applyFont="1" applyFill="1" applyBorder="1" applyAlignment="1">
      <alignment horizontal="center" vertical="center" wrapText="1"/>
    </xf>
    <xf numFmtId="3" fontId="49" fillId="6" borderId="6" xfId="4" applyNumberFormat="1" applyFont="1" applyFill="1" applyBorder="1" applyAlignment="1">
      <alignment vertical="center"/>
    </xf>
    <xf numFmtId="3" fontId="54" fillId="6" borderId="27" xfId="4" applyNumberFormat="1" applyFont="1" applyFill="1" applyBorder="1" applyAlignment="1">
      <alignment vertical="center"/>
    </xf>
    <xf numFmtId="3" fontId="54" fillId="6" borderId="13" xfId="4" applyNumberFormat="1" applyFont="1" applyFill="1" applyBorder="1" applyAlignment="1">
      <alignment vertical="center"/>
    </xf>
    <xf numFmtId="3" fontId="54" fillId="22" borderId="13" xfId="4" applyNumberFormat="1" applyFont="1" applyFill="1" applyBorder="1" applyAlignment="1">
      <alignment vertical="center"/>
    </xf>
    <xf numFmtId="0" fontId="58" fillId="0" borderId="11" xfId="4" applyFont="1" applyFill="1" applyBorder="1" applyAlignment="1">
      <alignment vertical="top"/>
    </xf>
    <xf numFmtId="3" fontId="56" fillId="0" borderId="13" xfId="4" applyNumberFormat="1" applyFont="1" applyFill="1" applyBorder="1" applyAlignment="1">
      <alignment horizontal="right" vertical="center"/>
    </xf>
    <xf numFmtId="3" fontId="60" fillId="0" borderId="13" xfId="4" applyNumberFormat="1" applyFont="1" applyFill="1" applyBorder="1" applyAlignment="1">
      <alignment vertical="top"/>
    </xf>
    <xf numFmtId="0" fontId="33" fillId="32" borderId="11" xfId="4" applyFont="1" applyFill="1" applyBorder="1" applyAlignment="1">
      <alignment vertical="top"/>
    </xf>
    <xf numFmtId="0" fontId="58" fillId="0" borderId="11" xfId="4" applyFont="1" applyFill="1" applyBorder="1" applyAlignment="1">
      <alignment horizontal="left" vertical="center"/>
    </xf>
    <xf numFmtId="3" fontId="56" fillId="25" borderId="27" xfId="4" applyNumberFormat="1" applyFont="1" applyFill="1" applyBorder="1" applyAlignment="1">
      <alignment horizontal="right" vertical="center"/>
    </xf>
    <xf numFmtId="0" fontId="54" fillId="2" borderId="6" xfId="4" applyFont="1" applyFill="1" applyBorder="1" applyAlignment="1">
      <alignment horizontal="center" vertical="center" wrapText="1" shrinkToFit="1"/>
    </xf>
    <xf numFmtId="4" fontId="60" fillId="0" borderId="13" xfId="4" applyNumberFormat="1" applyFont="1" applyFill="1" applyBorder="1" applyAlignment="1">
      <alignment vertical="top"/>
    </xf>
    <xf numFmtId="3" fontId="60" fillId="0" borderId="13" xfId="0" applyNumberFormat="1" applyFont="1" applyFill="1" applyBorder="1" applyAlignment="1">
      <alignment vertical="center"/>
    </xf>
    <xf numFmtId="3" fontId="60" fillId="0" borderId="13" xfId="4" applyNumberFormat="1" applyFont="1" applyFill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6" fillId="8" borderId="11" xfId="4" applyFont="1" applyFill="1" applyBorder="1" applyAlignment="1">
      <alignment horizontal="left" vertical="center" wrapText="1"/>
    </xf>
    <xf numFmtId="3" fontId="49" fillId="8" borderId="27" xfId="4" applyNumberFormat="1" applyFont="1" applyFill="1" applyBorder="1" applyAlignment="1">
      <alignment horizontal="center" vertical="center"/>
    </xf>
    <xf numFmtId="3" fontId="47" fillId="8" borderId="27" xfId="4" applyNumberFormat="1" applyFont="1" applyFill="1" applyBorder="1" applyAlignment="1">
      <alignment horizontal="right" vertical="center"/>
    </xf>
    <xf numFmtId="3" fontId="47" fillId="8" borderId="13" xfId="4" applyNumberFormat="1" applyFont="1" applyFill="1" applyBorder="1" applyAlignment="1">
      <alignment horizontal="right" vertical="center"/>
    </xf>
    <xf numFmtId="3" fontId="47" fillId="23" borderId="10" xfId="4" applyNumberFormat="1" applyFont="1" applyFill="1" applyBorder="1" applyAlignment="1">
      <alignment horizontal="right" vertical="center"/>
    </xf>
    <xf numFmtId="0" fontId="46" fillId="6" borderId="11" xfId="4" applyFont="1" applyFill="1" applyBorder="1" applyAlignment="1">
      <alignment horizontal="left" vertical="center"/>
    </xf>
    <xf numFmtId="3" fontId="46" fillId="6" borderId="27" xfId="4" applyNumberFormat="1" applyFont="1" applyFill="1" applyBorder="1" applyAlignment="1">
      <alignment vertical="center"/>
    </xf>
    <xf numFmtId="43" fontId="46" fillId="6" borderId="13" xfId="1" applyFont="1" applyFill="1" applyBorder="1" applyAlignment="1">
      <alignment vertical="center"/>
    </xf>
    <xf numFmtId="3" fontId="46" fillId="6" borderId="13" xfId="4" applyNumberFormat="1" applyFont="1" applyFill="1" applyBorder="1" applyAlignment="1">
      <alignment vertical="center"/>
    </xf>
    <xf numFmtId="3" fontId="46" fillId="6" borderId="0" xfId="4" applyNumberFormat="1" applyFont="1" applyFill="1" applyBorder="1" applyAlignment="1">
      <alignment vertical="center"/>
    </xf>
    <xf numFmtId="4" fontId="46" fillId="6" borderId="0" xfId="4" applyNumberFormat="1" applyFont="1" applyFill="1" applyBorder="1" applyAlignment="1">
      <alignment vertical="center"/>
    </xf>
    <xf numFmtId="3" fontId="49" fillId="6" borderId="13" xfId="4" applyNumberFormat="1" applyFont="1" applyFill="1" applyBorder="1" applyAlignment="1">
      <alignment vertical="center"/>
    </xf>
    <xf numFmtId="3" fontId="49" fillId="22" borderId="10" xfId="4" applyNumberFormat="1" applyFont="1" applyFill="1" applyBorder="1" applyAlignment="1">
      <alignment vertical="center"/>
    </xf>
    <xf numFmtId="0" fontId="59" fillId="0" borderId="11" xfId="4" applyFont="1" applyFill="1" applyBorder="1" applyAlignment="1">
      <alignment vertical="top"/>
    </xf>
    <xf numFmtId="0" fontId="49" fillId="2" borderId="6" xfId="4" applyFont="1" applyFill="1" applyBorder="1" applyAlignment="1">
      <alignment horizontal="center" vertical="center" wrapText="1"/>
    </xf>
    <xf numFmtId="3" fontId="64" fillId="0" borderId="27" xfId="4" applyNumberFormat="1" applyFont="1" applyFill="1" applyBorder="1" applyAlignment="1">
      <alignment horizontal="right" vertical="center"/>
    </xf>
    <xf numFmtId="43" fontId="64" fillId="0" borderId="27" xfId="1" applyFont="1" applyFill="1" applyBorder="1" applyAlignment="1">
      <alignment horizontal="right" vertical="center"/>
    </xf>
    <xf numFmtId="3" fontId="59" fillId="0" borderId="13" xfId="4" applyNumberFormat="1" applyFont="1" applyFill="1" applyBorder="1" applyAlignment="1">
      <alignment horizontal="right" vertical="center"/>
    </xf>
    <xf numFmtId="4" fontId="59" fillId="0" borderId="13" xfId="4" applyNumberFormat="1" applyFont="1" applyFill="1" applyBorder="1" applyAlignment="1">
      <alignment horizontal="right" vertical="center"/>
    </xf>
    <xf numFmtId="3" fontId="64" fillId="0" borderId="13" xfId="4" applyNumberFormat="1" applyFont="1" applyFill="1" applyBorder="1" applyAlignment="1">
      <alignment horizontal="right" vertical="center"/>
    </xf>
    <xf numFmtId="3" fontId="64" fillId="25" borderId="10" xfId="4" applyNumberFormat="1" applyFont="1" applyFill="1" applyBorder="1" applyAlignment="1">
      <alignment horizontal="right" vertical="center"/>
    </xf>
    <xf numFmtId="0" fontId="47" fillId="0" borderId="11" xfId="4" applyFont="1" applyFill="1" applyBorder="1" applyAlignment="1">
      <alignment vertical="top"/>
    </xf>
    <xf numFmtId="3" fontId="50" fillId="0" borderId="27" xfId="0" applyNumberFormat="1" applyFont="1" applyFill="1" applyBorder="1" applyAlignment="1">
      <alignment vertical="top"/>
    </xf>
    <xf numFmtId="43" fontId="47" fillId="0" borderId="27" xfId="1" applyFont="1" applyFill="1" applyBorder="1" applyAlignment="1">
      <alignment vertical="top"/>
    </xf>
    <xf numFmtId="3" fontId="47" fillId="0" borderId="27" xfId="4" applyNumberFormat="1" applyFont="1" applyFill="1" applyBorder="1" applyAlignment="1">
      <alignment vertical="top"/>
    </xf>
    <xf numFmtId="3" fontId="47" fillId="0" borderId="13" xfId="4" applyNumberFormat="1" applyFont="1" applyFill="1" applyBorder="1" applyAlignment="1">
      <alignment vertical="top"/>
    </xf>
    <xf numFmtId="4" fontId="47" fillId="0" borderId="13" xfId="4" applyNumberFormat="1" applyFont="1" applyFill="1" applyBorder="1" applyAlignment="1">
      <alignment vertical="top"/>
    </xf>
    <xf numFmtId="0" fontId="47" fillId="0" borderId="11" xfId="4" applyFont="1" applyFill="1" applyBorder="1" applyAlignment="1">
      <alignment vertical="top" wrapText="1"/>
    </xf>
    <xf numFmtId="43" fontId="50" fillId="0" borderId="27" xfId="1" applyFont="1" applyFill="1" applyBorder="1" applyAlignment="1">
      <alignment vertical="top"/>
    </xf>
    <xf numFmtId="3" fontId="50" fillId="0" borderId="27" xfId="4" applyNumberFormat="1" applyFont="1" applyFill="1" applyBorder="1" applyAlignment="1">
      <alignment vertical="top"/>
    </xf>
    <xf numFmtId="3" fontId="50" fillId="0" borderId="13" xfId="4" applyNumberFormat="1" applyFont="1" applyFill="1" applyBorder="1" applyAlignment="1">
      <alignment vertical="top"/>
    </xf>
    <xf numFmtId="0" fontId="59" fillId="0" borderId="11" xfId="4" applyFont="1" applyFill="1" applyBorder="1" applyAlignment="1">
      <alignment horizontal="left" vertical="center"/>
    </xf>
    <xf numFmtId="3" fontId="59" fillId="0" borderId="27" xfId="4" applyNumberFormat="1" applyFont="1" applyFill="1" applyBorder="1" applyAlignment="1">
      <alignment horizontal="right" vertical="center"/>
    </xf>
    <xf numFmtId="4" fontId="59" fillId="0" borderId="27" xfId="4" applyNumberFormat="1" applyFont="1" applyFill="1" applyBorder="1" applyAlignment="1">
      <alignment horizontal="right" vertical="center"/>
    </xf>
    <xf numFmtId="3" fontId="64" fillId="25" borderId="0" xfId="4" applyNumberFormat="1" applyFont="1" applyFill="1" applyBorder="1" applyAlignment="1">
      <alignment horizontal="right" vertical="center"/>
    </xf>
    <xf numFmtId="43" fontId="49" fillId="6" borderId="13" xfId="1" applyFont="1" applyFill="1" applyBorder="1" applyAlignment="1">
      <alignment vertical="center"/>
    </xf>
    <xf numFmtId="3" fontId="49" fillId="22" borderId="10" xfId="4" applyNumberFormat="1" applyFont="1" applyFill="1" applyBorder="1" applyAlignment="1">
      <alignment horizontal="center" vertical="center"/>
    </xf>
    <xf numFmtId="0" fontId="49" fillId="2" borderId="6" xfId="4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wrapText="1" shrinkToFit="1"/>
    </xf>
    <xf numFmtId="3" fontId="47" fillId="36" borderId="13" xfId="4" applyNumberFormat="1" applyFont="1" applyFill="1" applyBorder="1" applyAlignment="1">
      <alignment vertical="top"/>
    </xf>
    <xf numFmtId="43" fontId="64" fillId="0" borderId="13" xfId="1" applyFont="1" applyFill="1" applyBorder="1" applyAlignment="1">
      <alignment horizontal="right" vertical="center"/>
    </xf>
    <xf numFmtId="3" fontId="50" fillId="0" borderId="13" xfId="4" applyNumberFormat="1" applyFont="1" applyFill="1" applyBorder="1" applyAlignment="1">
      <alignment vertical="center"/>
    </xf>
    <xf numFmtId="3" fontId="47" fillId="0" borderId="13" xfId="4" applyNumberFormat="1" applyFont="1" applyFill="1" applyBorder="1" applyAlignment="1">
      <alignment vertical="center"/>
    </xf>
    <xf numFmtId="0" fontId="72" fillId="2" borderId="10" xfId="0" applyFont="1" applyFill="1" applyBorder="1" applyAlignment="1">
      <alignment vertical="center"/>
    </xf>
    <xf numFmtId="0" fontId="91" fillId="2" borderId="0" xfId="0" applyFont="1" applyFill="1" applyBorder="1" applyAlignment="1">
      <alignment vertical="center"/>
    </xf>
    <xf numFmtId="3" fontId="91" fillId="2" borderId="0" xfId="0" applyNumberFormat="1" applyFont="1" applyFill="1" applyBorder="1" applyAlignment="1">
      <alignment horizontal="left" vertical="center"/>
    </xf>
    <xf numFmtId="0" fontId="91" fillId="37" borderId="0" xfId="0" applyFont="1" applyFill="1" applyBorder="1" applyAlignment="1">
      <alignment vertical="center"/>
    </xf>
    <xf numFmtId="0" fontId="91" fillId="2" borderId="27" xfId="0" applyFont="1" applyFill="1" applyBorder="1" applyAlignment="1">
      <alignment horizontal="center" vertical="center" wrapText="1"/>
    </xf>
    <xf numFmtId="0" fontId="56" fillId="56" borderId="138" xfId="4" applyFont="1" applyFill="1" applyBorder="1" applyAlignment="1">
      <alignment horizontal="left" vertical="center"/>
    </xf>
    <xf numFmtId="0" fontId="56" fillId="56" borderId="181" xfId="4" applyFont="1" applyFill="1" applyBorder="1" applyAlignment="1">
      <alignment horizontal="left" vertical="center"/>
    </xf>
    <xf numFmtId="3" fontId="56" fillId="21" borderId="176" xfId="4" applyNumberFormat="1" applyFont="1" applyFill="1" applyBorder="1" applyAlignment="1">
      <alignment horizontal="right" vertical="center"/>
    </xf>
    <xf numFmtId="3" fontId="47" fillId="8" borderId="141" xfId="4" applyNumberFormat="1" applyFont="1" applyFill="1" applyBorder="1" applyAlignment="1">
      <alignment vertical="top" wrapText="1"/>
    </xf>
    <xf numFmtId="0" fontId="56" fillId="56" borderId="138" xfId="0" applyFont="1" applyFill="1" applyBorder="1" applyAlignment="1">
      <alignment horizontal="left" vertical="top"/>
    </xf>
    <xf numFmtId="0" fontId="57" fillId="56" borderId="181" xfId="0" quotePrefix="1" applyFont="1" applyFill="1" applyBorder="1" applyAlignment="1">
      <alignment horizontal="center" vertical="top"/>
    </xf>
    <xf numFmtId="3" fontId="56" fillId="56" borderId="177" xfId="0" quotePrefix="1" applyNumberFormat="1" applyFont="1" applyFill="1" applyBorder="1" applyAlignment="1">
      <alignment horizontal="right" vertical="top"/>
    </xf>
    <xf numFmtId="0" fontId="54" fillId="6" borderId="177" xfId="0" applyFont="1" applyFill="1" applyBorder="1" applyAlignment="1">
      <alignment vertical="center"/>
    </xf>
    <xf numFmtId="3" fontId="54" fillId="6" borderId="147" xfId="0" applyNumberFormat="1" applyFont="1" applyFill="1" applyBorder="1" applyAlignment="1">
      <alignment vertical="center"/>
    </xf>
    <xf numFmtId="3" fontId="54" fillId="6" borderId="180" xfId="0" applyNumberFormat="1" applyFont="1" applyFill="1" applyBorder="1" applyAlignment="1">
      <alignment vertical="center"/>
    </xf>
    <xf numFmtId="0" fontId="53" fillId="8" borderId="43" xfId="4" applyFont="1" applyFill="1" applyBorder="1" applyAlignment="1">
      <alignment horizontal="right" vertical="top"/>
    </xf>
    <xf numFmtId="3" fontId="60" fillId="8" borderId="176" xfId="4" applyNumberFormat="1" applyFont="1" applyFill="1" applyBorder="1" applyAlignment="1">
      <alignment vertical="top"/>
    </xf>
    <xf numFmtId="0" fontId="33" fillId="8" borderId="138" xfId="4" applyFont="1" applyFill="1" applyBorder="1" applyAlignment="1">
      <alignment vertical="center" wrapText="1"/>
    </xf>
    <xf numFmtId="0" fontId="33" fillId="8" borderId="177" xfId="4" applyFont="1" applyFill="1" applyBorder="1" applyAlignment="1">
      <alignment vertical="center"/>
    </xf>
    <xf numFmtId="3" fontId="33" fillId="8" borderId="176" xfId="4" applyNumberFormat="1" applyFont="1" applyFill="1" applyBorder="1" applyAlignment="1">
      <alignment vertical="center"/>
    </xf>
    <xf numFmtId="3" fontId="60" fillId="8" borderId="176" xfId="4" applyNumberFormat="1" applyFont="1" applyFill="1" applyBorder="1" applyAlignment="1">
      <alignment vertical="center"/>
    </xf>
    <xf numFmtId="0" fontId="33" fillId="8" borderId="10" xfId="4" applyFont="1" applyFill="1" applyBorder="1" applyAlignment="1">
      <alignment vertical="center"/>
    </xf>
    <xf numFmtId="0" fontId="33" fillId="8" borderId="138" xfId="4" applyFont="1" applyFill="1" applyBorder="1" applyAlignment="1">
      <alignment vertical="center"/>
    </xf>
    <xf numFmtId="3" fontId="47" fillId="8" borderId="13" xfId="4" applyNumberFormat="1" applyFont="1" applyFill="1" applyBorder="1" applyAlignment="1">
      <alignment vertical="center" wrapText="1"/>
    </xf>
    <xf numFmtId="0" fontId="54" fillId="6" borderId="181" xfId="4" applyFont="1" applyFill="1" applyBorder="1" applyAlignment="1">
      <alignment horizontal="left" vertical="center"/>
    </xf>
    <xf numFmtId="3" fontId="54" fillId="22" borderId="176" xfId="4" applyNumberFormat="1" applyFont="1" applyFill="1" applyBorder="1" applyAlignment="1">
      <alignment horizontal="center" vertical="center"/>
    </xf>
    <xf numFmtId="3" fontId="47" fillId="8" borderId="35" xfId="4" applyNumberFormat="1" applyFont="1" applyFill="1" applyBorder="1" applyAlignment="1">
      <alignment vertical="top" wrapText="1"/>
    </xf>
    <xf numFmtId="43" fontId="53" fillId="6" borderId="177" xfId="1" applyFont="1" applyFill="1" applyBorder="1" applyAlignment="1">
      <alignment vertical="center"/>
    </xf>
    <xf numFmtId="0" fontId="61" fillId="0" borderId="181" xfId="0" applyFont="1" applyBorder="1" applyAlignment="1">
      <alignment horizontal="center" vertical="center" wrapText="1"/>
    </xf>
    <xf numFmtId="3" fontId="33" fillId="35" borderId="176" xfId="4" applyNumberFormat="1" applyFont="1" applyFill="1" applyBorder="1" applyAlignment="1">
      <alignment vertical="top"/>
    </xf>
    <xf numFmtId="3" fontId="56" fillId="35" borderId="176" xfId="4" applyNumberFormat="1" applyFont="1" applyFill="1" applyBorder="1" applyAlignment="1">
      <alignment horizontal="right" vertical="center"/>
    </xf>
    <xf numFmtId="3" fontId="53" fillId="34" borderId="176" xfId="4" applyNumberFormat="1" applyFont="1" applyFill="1" applyBorder="1" applyAlignment="1">
      <alignment horizontal="center" vertical="center"/>
    </xf>
    <xf numFmtId="3" fontId="33" fillId="0" borderId="147" xfId="4" applyNumberFormat="1" applyFont="1" applyFill="1" applyBorder="1" applyAlignment="1">
      <alignment vertical="top"/>
    </xf>
    <xf numFmtId="0" fontId="0" fillId="0" borderId="177" xfId="0" applyFont="1" applyBorder="1"/>
    <xf numFmtId="3" fontId="54" fillId="8" borderId="176" xfId="4" applyNumberFormat="1" applyFont="1" applyFill="1" applyBorder="1" applyAlignment="1">
      <alignment horizontal="center" vertical="center"/>
    </xf>
    <xf numFmtId="43" fontId="54" fillId="6" borderId="180" xfId="1" applyFont="1" applyFill="1" applyBorder="1" applyAlignment="1">
      <alignment vertical="center"/>
    </xf>
    <xf numFmtId="43" fontId="54" fillId="6" borderId="147" xfId="1" applyFont="1" applyFill="1" applyBorder="1" applyAlignment="1">
      <alignment vertical="center"/>
    </xf>
    <xf numFmtId="0" fontId="0" fillId="0" borderId="147" xfId="0" applyFont="1" applyBorder="1"/>
    <xf numFmtId="0" fontId="0" fillId="0" borderId="147" xfId="0" applyFont="1" applyBorder="1"/>
    <xf numFmtId="43" fontId="0" fillId="0" borderId="147" xfId="1" applyFont="1" applyBorder="1"/>
    <xf numFmtId="0" fontId="53" fillId="0" borderId="46" xfId="4" applyFont="1" applyFill="1" applyBorder="1" applyAlignment="1">
      <alignment horizontal="center" vertical="center"/>
    </xf>
  </cellXfs>
  <cellStyles count="482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3" xfId="303"/>
    <cellStyle name="SAPBEXaggData 2 4" xfId="371"/>
    <cellStyle name="SAPBEXaggData 2 5" xfId="340"/>
    <cellStyle name="SAPBEXaggData 2 6" xfId="411"/>
    <cellStyle name="SAPBEXaggData 2 7" xfId="186"/>
    <cellStyle name="SAPBEXaggData 3" xfId="192"/>
    <cellStyle name="SAPBEXaggData 4" xfId="157"/>
    <cellStyle name="SAPBEXaggData 5" xfId="161"/>
    <cellStyle name="SAPBEXaggDataEmph" xfId="74"/>
    <cellStyle name="SAPBEXaggDataEmph 2" xfId="117"/>
    <cellStyle name="SAPBEXaggDataEmph 2 2" xfId="231"/>
    <cellStyle name="SAPBEXaggDataEmph 2 3" xfId="304"/>
    <cellStyle name="SAPBEXaggDataEmph 2 4" xfId="372"/>
    <cellStyle name="SAPBEXaggDataEmph 2 5" xfId="341"/>
    <cellStyle name="SAPBEXaggDataEmph 2 6" xfId="412"/>
    <cellStyle name="SAPBEXaggDataEmph 2 7" xfId="447"/>
    <cellStyle name="SAPBEXaggDataEmph 3" xfId="193"/>
    <cellStyle name="SAPBEXaggDataEmph 4" xfId="156"/>
    <cellStyle name="SAPBEXaggDataEmph 5" xfId="162"/>
    <cellStyle name="SAPBEXaggItem" xfId="75"/>
    <cellStyle name="SAPBEXaggItem 2" xfId="118"/>
    <cellStyle name="SAPBEXaggItem 2 2" xfId="232"/>
    <cellStyle name="SAPBEXaggItem 2 3" xfId="305"/>
    <cellStyle name="SAPBEXaggItem 2 4" xfId="373"/>
    <cellStyle name="SAPBEXaggItem 2 5" xfId="342"/>
    <cellStyle name="SAPBEXaggItem 2 6" xfId="413"/>
    <cellStyle name="SAPBEXaggItem 2 7" xfId="448"/>
    <cellStyle name="SAPBEXaggItem 3" xfId="194"/>
    <cellStyle name="SAPBEXaggItem 4" xfId="155"/>
    <cellStyle name="SAPBEXaggItem 5" xfId="163"/>
    <cellStyle name="SAPBEXaggItemX" xfId="76"/>
    <cellStyle name="SAPBEXaggItemX 2" xfId="119"/>
    <cellStyle name="SAPBEXaggItemX 2 2" xfId="233"/>
    <cellStyle name="SAPBEXaggItemX 2 3" xfId="306"/>
    <cellStyle name="SAPBEXaggItemX 2 4" xfId="374"/>
    <cellStyle name="SAPBEXaggItemX 2 5" xfId="343"/>
    <cellStyle name="SAPBEXaggItemX 2 6" xfId="414"/>
    <cellStyle name="SAPBEXaggItemX 2 7" xfId="449"/>
    <cellStyle name="SAPBEXaggItemX 3" xfId="195"/>
    <cellStyle name="SAPBEXaggItemX 4" xfId="153"/>
    <cellStyle name="SAPBEXaggItemX 5" xfId="164"/>
    <cellStyle name="SAPBEXchaText" xfId="77"/>
    <cellStyle name="SAPBEXchaText 2" xfId="120"/>
    <cellStyle name="SAPBEXchaText 2 2" xfId="234"/>
    <cellStyle name="SAPBEXchaText 2 3" xfId="307"/>
    <cellStyle name="SAPBEXchaText 2 4" xfId="375"/>
    <cellStyle name="SAPBEXchaText 2 5" xfId="344"/>
    <cellStyle name="SAPBEXchaText 2 6" xfId="415"/>
    <cellStyle name="SAPBEXchaText 2 7" xfId="450"/>
    <cellStyle name="SAPBEXchaText 3" xfId="196"/>
    <cellStyle name="SAPBEXchaText 4" xfId="266"/>
    <cellStyle name="SAPBEXchaText 5" xfId="165"/>
    <cellStyle name="SAPBEXexcBad7" xfId="78"/>
    <cellStyle name="SAPBEXexcBad7 2" xfId="121"/>
    <cellStyle name="SAPBEXexcBad7 2 2" xfId="235"/>
    <cellStyle name="SAPBEXexcBad7 2 3" xfId="308"/>
    <cellStyle name="SAPBEXexcBad7 2 4" xfId="376"/>
    <cellStyle name="SAPBEXexcBad7 2 5" xfId="345"/>
    <cellStyle name="SAPBEXexcBad7 2 6" xfId="416"/>
    <cellStyle name="SAPBEXexcBad7 2 7" xfId="451"/>
    <cellStyle name="SAPBEXexcBad7 3" xfId="197"/>
    <cellStyle name="SAPBEXexcBad7 4" xfId="267"/>
    <cellStyle name="SAPBEXexcBad7 5" xfId="166"/>
    <cellStyle name="SAPBEXexcBad8" xfId="79"/>
    <cellStyle name="SAPBEXexcBad8 2" xfId="122"/>
    <cellStyle name="SAPBEXexcBad8 2 2" xfId="236"/>
    <cellStyle name="SAPBEXexcBad8 2 3" xfId="309"/>
    <cellStyle name="SAPBEXexcBad8 2 4" xfId="377"/>
    <cellStyle name="SAPBEXexcBad8 2 5" xfId="346"/>
    <cellStyle name="SAPBEXexcBad8 2 6" xfId="417"/>
    <cellStyle name="SAPBEXexcBad8 2 7" xfId="452"/>
    <cellStyle name="SAPBEXexcBad8 3" xfId="198"/>
    <cellStyle name="SAPBEXexcBad8 4" xfId="268"/>
    <cellStyle name="SAPBEXexcBad8 5" xfId="167"/>
    <cellStyle name="SAPBEXexcBad9" xfId="80"/>
    <cellStyle name="SAPBEXexcBad9 2" xfId="123"/>
    <cellStyle name="SAPBEXexcBad9 2 2" xfId="237"/>
    <cellStyle name="SAPBEXexcBad9 2 3" xfId="310"/>
    <cellStyle name="SAPBEXexcBad9 2 4" xfId="378"/>
    <cellStyle name="SAPBEXexcBad9 2 5" xfId="368"/>
    <cellStyle name="SAPBEXexcBad9 2 6" xfId="418"/>
    <cellStyle name="SAPBEXexcBad9 2 7" xfId="453"/>
    <cellStyle name="SAPBEXexcBad9 3" xfId="199"/>
    <cellStyle name="SAPBEXexcBad9 4" xfId="269"/>
    <cellStyle name="SAPBEXexcBad9 5" xfId="168"/>
    <cellStyle name="SAPBEXexcCritical4" xfId="81"/>
    <cellStyle name="SAPBEXexcCritical4 2" xfId="124"/>
    <cellStyle name="SAPBEXexcCritical4 2 2" xfId="238"/>
    <cellStyle name="SAPBEXexcCritical4 2 3" xfId="311"/>
    <cellStyle name="SAPBEXexcCritical4 2 4" xfId="379"/>
    <cellStyle name="SAPBEXexcCritical4 2 5" xfId="154"/>
    <cellStyle name="SAPBEXexcCritical4 2 6" xfId="419"/>
    <cellStyle name="SAPBEXexcCritical4 2 7" xfId="454"/>
    <cellStyle name="SAPBEXexcCritical4 3" xfId="200"/>
    <cellStyle name="SAPBEXexcCritical4 4" xfId="270"/>
    <cellStyle name="SAPBEXexcCritical4 5" xfId="169"/>
    <cellStyle name="SAPBEXexcCritical5" xfId="82"/>
    <cellStyle name="SAPBEXexcCritical5 2" xfId="125"/>
    <cellStyle name="SAPBEXexcCritical5 2 2" xfId="239"/>
    <cellStyle name="SAPBEXexcCritical5 2 3" xfId="312"/>
    <cellStyle name="SAPBEXexcCritical5 2 4" xfId="380"/>
    <cellStyle name="SAPBEXexcCritical5 2 5" xfId="364"/>
    <cellStyle name="SAPBEXexcCritical5 2 6" xfId="420"/>
    <cellStyle name="SAPBEXexcCritical5 2 7" xfId="455"/>
    <cellStyle name="SAPBEXexcCritical5 3" xfId="201"/>
    <cellStyle name="SAPBEXexcCritical5 4" xfId="271"/>
    <cellStyle name="SAPBEXexcCritical5 5" xfId="170"/>
    <cellStyle name="SAPBEXexcCritical6" xfId="83"/>
    <cellStyle name="SAPBEXexcCritical6 2" xfId="126"/>
    <cellStyle name="SAPBEXexcCritical6 2 2" xfId="240"/>
    <cellStyle name="SAPBEXexcCritical6 2 3" xfId="313"/>
    <cellStyle name="SAPBEXexcCritical6 2 4" xfId="381"/>
    <cellStyle name="SAPBEXexcCritical6 2 5" xfId="366"/>
    <cellStyle name="SAPBEXexcCritical6 2 6" xfId="421"/>
    <cellStyle name="SAPBEXexcCritical6 2 7" xfId="456"/>
    <cellStyle name="SAPBEXexcCritical6 3" xfId="202"/>
    <cellStyle name="SAPBEXexcCritical6 4" xfId="272"/>
    <cellStyle name="SAPBEXexcCritical6 5" xfId="171"/>
    <cellStyle name="SAPBEXexcGood1" xfId="84"/>
    <cellStyle name="SAPBEXexcGood1 2" xfId="127"/>
    <cellStyle name="SAPBEXexcGood1 2 2" xfId="241"/>
    <cellStyle name="SAPBEXexcGood1 2 3" xfId="314"/>
    <cellStyle name="SAPBEXexcGood1 2 4" xfId="382"/>
    <cellStyle name="SAPBEXexcGood1 2 5" xfId="158"/>
    <cellStyle name="SAPBEXexcGood1 2 6" xfId="422"/>
    <cellStyle name="SAPBEXexcGood1 2 7" xfId="457"/>
    <cellStyle name="SAPBEXexcGood1 3" xfId="203"/>
    <cellStyle name="SAPBEXexcGood1 4" xfId="273"/>
    <cellStyle name="SAPBEXexcGood1 5" xfId="172"/>
    <cellStyle name="SAPBEXexcGood2" xfId="85"/>
    <cellStyle name="SAPBEXexcGood2 2" xfId="128"/>
    <cellStyle name="SAPBEXexcGood2 2 2" xfId="242"/>
    <cellStyle name="SAPBEXexcGood2 2 3" xfId="315"/>
    <cellStyle name="SAPBEXexcGood2 2 4" xfId="383"/>
    <cellStyle name="SAPBEXexcGood2 2 5" xfId="367"/>
    <cellStyle name="SAPBEXexcGood2 2 6" xfId="423"/>
    <cellStyle name="SAPBEXexcGood2 2 7" xfId="458"/>
    <cellStyle name="SAPBEXexcGood2 3" xfId="204"/>
    <cellStyle name="SAPBEXexcGood2 4" xfId="274"/>
    <cellStyle name="SAPBEXexcGood2 5" xfId="173"/>
    <cellStyle name="SAPBEXexcGood3" xfId="86"/>
    <cellStyle name="SAPBEXexcGood3 2" xfId="129"/>
    <cellStyle name="SAPBEXexcGood3 2 2" xfId="243"/>
    <cellStyle name="SAPBEXexcGood3 2 3" xfId="316"/>
    <cellStyle name="SAPBEXexcGood3 2 4" xfId="384"/>
    <cellStyle name="SAPBEXexcGood3 2 5" xfId="409"/>
    <cellStyle name="SAPBEXexcGood3 2 6" xfId="424"/>
    <cellStyle name="SAPBEXexcGood3 2 7" xfId="459"/>
    <cellStyle name="SAPBEXexcGood3 3" xfId="205"/>
    <cellStyle name="SAPBEXexcGood3 4" xfId="275"/>
    <cellStyle name="SAPBEXexcGood3 5" xfId="174"/>
    <cellStyle name="SAPBEXfilterDrill" xfId="87"/>
    <cellStyle name="SAPBEXfilterDrill 2" xfId="130"/>
    <cellStyle name="SAPBEXfilterDrill 2 2" xfId="244"/>
    <cellStyle name="SAPBEXfilterDrill 2 3" xfId="317"/>
    <cellStyle name="SAPBEXfilterDrill 2 4" xfId="385"/>
    <cellStyle name="SAPBEXfilterDrill 2 5" xfId="159"/>
    <cellStyle name="SAPBEXfilterDrill 2 6" xfId="425"/>
    <cellStyle name="SAPBEXfilterDrill 2 7" xfId="460"/>
    <cellStyle name="SAPBEXfilterDrill 3" xfId="206"/>
    <cellStyle name="SAPBEXfilterDrill 4" xfId="276"/>
    <cellStyle name="SAPBEXfilterDrill 5" xfId="175"/>
    <cellStyle name="SAPBEXfilterItem" xfId="88"/>
    <cellStyle name="SAPBEXfilterItem 2" xfId="131"/>
    <cellStyle name="SAPBEXfilterItem 2 2" xfId="245"/>
    <cellStyle name="SAPBEXfilterItem 2 3" xfId="318"/>
    <cellStyle name="SAPBEXfilterItem 2 4" xfId="386"/>
    <cellStyle name="SAPBEXfilterItem 2 5" xfId="408"/>
    <cellStyle name="SAPBEXfilterItem 2 6" xfId="348"/>
    <cellStyle name="SAPBEXfilterItem 2 7" xfId="426"/>
    <cellStyle name="SAPBEXfilterItem 2 8" xfId="461"/>
    <cellStyle name="SAPBEXfilterItem 3" xfId="207"/>
    <cellStyle name="SAPBEXfilterItem 4" xfId="277"/>
    <cellStyle name="SAPBEXfilterItem 5" xfId="347"/>
    <cellStyle name="SAPBEXfilterItem 6" xfId="278"/>
    <cellStyle name="SAPBEXfilterItem 7" xfId="407"/>
    <cellStyle name="SAPBEXfilterText" xfId="89"/>
    <cellStyle name="SAPBEXformats" xfId="90"/>
    <cellStyle name="SAPBEXformats 2" xfId="132"/>
    <cellStyle name="SAPBEXformats 2 2" xfId="246"/>
    <cellStyle name="SAPBEXformats 2 3" xfId="319"/>
    <cellStyle name="SAPBEXformats 2 4" xfId="387"/>
    <cellStyle name="SAPBEXformats 2 5" xfId="349"/>
    <cellStyle name="SAPBEXformats 2 6" xfId="427"/>
    <cellStyle name="SAPBEXformats 2 7" xfId="462"/>
    <cellStyle name="SAPBEXformats 3" xfId="208"/>
    <cellStyle name="SAPBEXformats 4" xfId="279"/>
    <cellStyle name="SAPBEXformats 5" xfId="188"/>
    <cellStyle name="SAPBEXheaderItem" xfId="91"/>
    <cellStyle name="SAPBEXheaderItem 2" xfId="133"/>
    <cellStyle name="SAPBEXheaderItem 2 2" xfId="247"/>
    <cellStyle name="SAPBEXheaderItem 2 3" xfId="320"/>
    <cellStyle name="SAPBEXheaderItem 2 4" xfId="388"/>
    <cellStyle name="SAPBEXheaderItem 2 5" xfId="350"/>
    <cellStyle name="SAPBEXheaderItem 2 6" xfId="428"/>
    <cellStyle name="SAPBEXheaderItem 2 7" xfId="463"/>
    <cellStyle name="SAPBEXheaderItem 3" xfId="209"/>
    <cellStyle name="SAPBEXheaderItem 4" xfId="280"/>
    <cellStyle name="SAPBEXheaderItem 5" xfId="190"/>
    <cellStyle name="SAPBEXheaderText" xfId="92"/>
    <cellStyle name="SAPBEXheaderText 2" xfId="134"/>
    <cellStyle name="SAPBEXheaderText 2 2" xfId="248"/>
    <cellStyle name="SAPBEXheaderText 2 3" xfId="321"/>
    <cellStyle name="SAPBEXheaderText 2 4" xfId="389"/>
    <cellStyle name="SAPBEXheaderText 2 5" xfId="298"/>
    <cellStyle name="SAPBEXheaderText 2 6" xfId="429"/>
    <cellStyle name="SAPBEXheaderText 2 7" xfId="464"/>
    <cellStyle name="SAPBEXheaderText 3" xfId="210"/>
    <cellStyle name="SAPBEXheaderText 4" xfId="281"/>
    <cellStyle name="SAPBEXheaderText 5" xfId="301"/>
    <cellStyle name="SAPBEXHLevel0" xfId="93"/>
    <cellStyle name="SAPBEXHLevel0 2" xfId="135"/>
    <cellStyle name="SAPBEXHLevel0 2 2" xfId="249"/>
    <cellStyle name="SAPBEXHLevel0 2 3" xfId="322"/>
    <cellStyle name="SAPBEXHLevel0 2 4" xfId="390"/>
    <cellStyle name="SAPBEXHLevel0 2 5" xfId="351"/>
    <cellStyle name="SAPBEXHLevel0 2 6" xfId="430"/>
    <cellStyle name="SAPBEXHLevel0 2 7" xfId="465"/>
    <cellStyle name="SAPBEXHLevel0 3" xfId="211"/>
    <cellStyle name="SAPBEXHLevel0 4" xfId="282"/>
    <cellStyle name="SAPBEXHLevel0 5" xfId="191"/>
    <cellStyle name="SAPBEXHLevel0X" xfId="94"/>
    <cellStyle name="SAPBEXHLevel0X 2" xfId="136"/>
    <cellStyle name="SAPBEXHLevel0X 2 2" xfId="250"/>
    <cellStyle name="SAPBEXHLevel0X 2 3" xfId="323"/>
    <cellStyle name="SAPBEXHLevel0X 2 4" xfId="391"/>
    <cellStyle name="SAPBEXHLevel0X 2 5" xfId="352"/>
    <cellStyle name="SAPBEXHLevel0X 2 6" xfId="431"/>
    <cellStyle name="SAPBEXHLevel0X 2 7" xfId="466"/>
    <cellStyle name="SAPBEXHLevel0X 3" xfId="212"/>
    <cellStyle name="SAPBEXHLevel0X 4" xfId="283"/>
    <cellStyle name="SAPBEXHLevel0X 5" xfId="339"/>
    <cellStyle name="SAPBEXHLevel1" xfId="95"/>
    <cellStyle name="SAPBEXHLevel1 2" xfId="137"/>
    <cellStyle name="SAPBEXHLevel1 2 2" xfId="251"/>
    <cellStyle name="SAPBEXHLevel1 2 3" xfId="324"/>
    <cellStyle name="SAPBEXHLevel1 2 4" xfId="392"/>
    <cellStyle name="SAPBEXHLevel1 2 5" xfId="353"/>
    <cellStyle name="SAPBEXHLevel1 2 6" xfId="432"/>
    <cellStyle name="SAPBEXHLevel1 2 7" xfId="467"/>
    <cellStyle name="SAPBEXHLevel1 3" xfId="213"/>
    <cellStyle name="SAPBEXHLevel1 4" xfId="284"/>
    <cellStyle name="SAPBEXHLevel1 5" xfId="300"/>
    <cellStyle name="SAPBEXHLevel1X" xfId="96"/>
    <cellStyle name="SAPBEXHLevel1X 2" xfId="138"/>
    <cellStyle name="SAPBEXHLevel1X 2 2" xfId="252"/>
    <cellStyle name="SAPBEXHLevel1X 2 3" xfId="325"/>
    <cellStyle name="SAPBEXHLevel1X 2 4" xfId="393"/>
    <cellStyle name="SAPBEXHLevel1X 2 5" xfId="354"/>
    <cellStyle name="SAPBEXHLevel1X 2 6" xfId="433"/>
    <cellStyle name="SAPBEXHLevel1X 2 7" xfId="468"/>
    <cellStyle name="SAPBEXHLevel1X 3" xfId="214"/>
    <cellStyle name="SAPBEXHLevel1X 4" xfId="285"/>
    <cellStyle name="SAPBEXHLevel1X 5" xfId="176"/>
    <cellStyle name="SAPBEXHLevel2" xfId="97"/>
    <cellStyle name="SAPBEXHLevel2 2" xfId="139"/>
    <cellStyle name="SAPBEXHLevel2 2 2" xfId="253"/>
    <cellStyle name="SAPBEXHLevel2 2 3" xfId="326"/>
    <cellStyle name="SAPBEXHLevel2 2 4" xfId="394"/>
    <cellStyle name="SAPBEXHLevel2 2 5" xfId="355"/>
    <cellStyle name="SAPBEXHLevel2 2 6" xfId="434"/>
    <cellStyle name="SAPBEXHLevel2 2 7" xfId="469"/>
    <cellStyle name="SAPBEXHLevel2 3" xfId="215"/>
    <cellStyle name="SAPBEXHLevel2 4" xfId="286"/>
    <cellStyle name="SAPBEXHLevel2 5" xfId="177"/>
    <cellStyle name="SAPBEXHLevel2X" xfId="98"/>
    <cellStyle name="SAPBEXHLevel2X 2" xfId="140"/>
    <cellStyle name="SAPBEXHLevel2X 2 2" xfId="254"/>
    <cellStyle name="SAPBEXHLevel2X 2 3" xfId="327"/>
    <cellStyle name="SAPBEXHLevel2X 2 4" xfId="395"/>
    <cellStyle name="SAPBEXHLevel2X 2 5" xfId="356"/>
    <cellStyle name="SAPBEXHLevel2X 2 6" xfId="435"/>
    <cellStyle name="SAPBEXHLevel2X 2 7" xfId="470"/>
    <cellStyle name="SAPBEXHLevel2X 3" xfId="216"/>
    <cellStyle name="SAPBEXHLevel2X 4" xfId="287"/>
    <cellStyle name="SAPBEXHLevel2X 5" xfId="178"/>
    <cellStyle name="SAPBEXHLevel3" xfId="99"/>
    <cellStyle name="SAPBEXHLevel3 2" xfId="141"/>
    <cellStyle name="SAPBEXHLevel3 2 2" xfId="255"/>
    <cellStyle name="SAPBEXHLevel3 2 3" xfId="328"/>
    <cellStyle name="SAPBEXHLevel3 2 4" xfId="396"/>
    <cellStyle name="SAPBEXHLevel3 2 5" xfId="357"/>
    <cellStyle name="SAPBEXHLevel3 2 6" xfId="436"/>
    <cellStyle name="SAPBEXHLevel3 2 7" xfId="471"/>
    <cellStyle name="SAPBEXHLevel3 3" xfId="217"/>
    <cellStyle name="SAPBEXHLevel3 4" xfId="288"/>
    <cellStyle name="SAPBEXHLevel3 5" xfId="302"/>
    <cellStyle name="SAPBEXHLevel3X" xfId="100"/>
    <cellStyle name="SAPBEXHLevel3X 2" xfId="142"/>
    <cellStyle name="SAPBEXHLevel3X 2 2" xfId="256"/>
    <cellStyle name="SAPBEXHLevel3X 2 3" xfId="329"/>
    <cellStyle name="SAPBEXHLevel3X 2 4" xfId="397"/>
    <cellStyle name="SAPBEXHLevel3X 2 5" xfId="365"/>
    <cellStyle name="SAPBEXHLevel3X 2 6" xfId="437"/>
    <cellStyle name="SAPBEXHLevel3X 2 7" xfId="472"/>
    <cellStyle name="SAPBEXHLevel3X 3" xfId="218"/>
    <cellStyle name="SAPBEXHLevel3X 4" xfId="289"/>
    <cellStyle name="SAPBEXHLevel3X 5" xfId="179"/>
    <cellStyle name="SAPBEXresData" xfId="101"/>
    <cellStyle name="SAPBEXresData 2" xfId="143"/>
    <cellStyle name="SAPBEXresData 2 2" xfId="257"/>
    <cellStyle name="SAPBEXresData 2 3" xfId="330"/>
    <cellStyle name="SAPBEXresData 2 4" xfId="398"/>
    <cellStyle name="SAPBEXresData 2 5" xfId="370"/>
    <cellStyle name="SAPBEXresData 2 6" xfId="438"/>
    <cellStyle name="SAPBEXresData 2 7" xfId="473"/>
    <cellStyle name="SAPBEXresData 3" xfId="219"/>
    <cellStyle name="SAPBEXresData 4" xfId="290"/>
    <cellStyle name="SAPBEXresData 5" xfId="180"/>
    <cellStyle name="SAPBEXresDataEmph" xfId="102"/>
    <cellStyle name="SAPBEXresDataEmph 2" xfId="144"/>
    <cellStyle name="SAPBEXresDataEmph 2 2" xfId="258"/>
    <cellStyle name="SAPBEXresDataEmph 2 3" xfId="331"/>
    <cellStyle name="SAPBEXresDataEmph 2 4" xfId="399"/>
    <cellStyle name="SAPBEXresDataEmph 2 5" xfId="358"/>
    <cellStyle name="SAPBEXresDataEmph 2 6" xfId="439"/>
    <cellStyle name="SAPBEXresDataEmph 2 7" xfId="474"/>
    <cellStyle name="SAPBEXresDataEmph 3" xfId="220"/>
    <cellStyle name="SAPBEXresDataEmph 4" xfId="291"/>
    <cellStyle name="SAPBEXresDataEmph 5" xfId="181"/>
    <cellStyle name="SAPBEXresItem" xfId="103"/>
    <cellStyle name="SAPBEXresItem 2" xfId="145"/>
    <cellStyle name="SAPBEXresItem 2 2" xfId="259"/>
    <cellStyle name="SAPBEXresItem 2 3" xfId="332"/>
    <cellStyle name="SAPBEXresItem 2 4" xfId="400"/>
    <cellStyle name="SAPBEXresItem 2 5" xfId="359"/>
    <cellStyle name="SAPBEXresItem 2 6" xfId="440"/>
    <cellStyle name="SAPBEXresItem 2 7" xfId="475"/>
    <cellStyle name="SAPBEXresItem 3" xfId="221"/>
    <cellStyle name="SAPBEXresItem 4" xfId="292"/>
    <cellStyle name="SAPBEXresItem 5" xfId="182"/>
    <cellStyle name="SAPBEXresItemX" xfId="104"/>
    <cellStyle name="SAPBEXresItemX 2" xfId="146"/>
    <cellStyle name="SAPBEXresItemX 2 2" xfId="260"/>
    <cellStyle name="SAPBEXresItemX 2 3" xfId="333"/>
    <cellStyle name="SAPBEXresItemX 2 4" xfId="401"/>
    <cellStyle name="SAPBEXresItemX 2 5" xfId="360"/>
    <cellStyle name="SAPBEXresItemX 2 6" xfId="441"/>
    <cellStyle name="SAPBEXresItemX 2 7" xfId="476"/>
    <cellStyle name="SAPBEXresItemX 3" xfId="222"/>
    <cellStyle name="SAPBEXresItemX 4" xfId="293"/>
    <cellStyle name="SAPBEXresItemX 5" xfId="183"/>
    <cellStyle name="SAPBEXstdData" xfId="105"/>
    <cellStyle name="SAPBEXstdData 2" xfId="147"/>
    <cellStyle name="SAPBEXstdData 2 2" xfId="261"/>
    <cellStyle name="SAPBEXstdData 2 3" xfId="334"/>
    <cellStyle name="SAPBEXstdData 2 4" xfId="402"/>
    <cellStyle name="SAPBEXstdData 2 5" xfId="361"/>
    <cellStyle name="SAPBEXstdData 2 6" xfId="442"/>
    <cellStyle name="SAPBEXstdData 2 7" xfId="477"/>
    <cellStyle name="SAPBEXstdData 3" xfId="223"/>
    <cellStyle name="SAPBEXstdData 4" xfId="294"/>
    <cellStyle name="SAPBEXstdData 5" xfId="184"/>
    <cellStyle name="SAPBEXstdDataEmph" xfId="106"/>
    <cellStyle name="SAPBEXstdDataEmph 2" xfId="148"/>
    <cellStyle name="SAPBEXstdDataEmph 2 2" xfId="262"/>
    <cellStyle name="SAPBEXstdDataEmph 2 3" xfId="335"/>
    <cellStyle name="SAPBEXstdDataEmph 2 4" xfId="403"/>
    <cellStyle name="SAPBEXstdDataEmph 2 5" xfId="362"/>
    <cellStyle name="SAPBEXstdDataEmph 2 6" xfId="443"/>
    <cellStyle name="SAPBEXstdDataEmph 2 7" xfId="478"/>
    <cellStyle name="SAPBEXstdDataEmph 3" xfId="224"/>
    <cellStyle name="SAPBEXstdDataEmph 4" xfId="295"/>
    <cellStyle name="SAPBEXstdDataEmph 5" xfId="185"/>
    <cellStyle name="SAPBEXstdItem" xfId="107"/>
    <cellStyle name="SAPBEXstdItem 2" xfId="149"/>
    <cellStyle name="SAPBEXstdItem 2 2" xfId="263"/>
    <cellStyle name="SAPBEXstdItem 2 3" xfId="336"/>
    <cellStyle name="SAPBEXstdItem 2 4" xfId="404"/>
    <cellStyle name="SAPBEXstdItem 2 5" xfId="363"/>
    <cellStyle name="SAPBEXstdItem 2 6" xfId="444"/>
    <cellStyle name="SAPBEXstdItem 2 7" xfId="479"/>
    <cellStyle name="SAPBEXstdItem 3" xfId="225"/>
    <cellStyle name="SAPBEXstdItem 4" xfId="296"/>
    <cellStyle name="SAPBEXstdItem 5" xfId="189"/>
    <cellStyle name="SAPBEXstdItemX" xfId="108"/>
    <cellStyle name="SAPBEXstdItemX 2" xfId="150"/>
    <cellStyle name="SAPBEXstdItemX 2 2" xfId="264"/>
    <cellStyle name="SAPBEXstdItemX 2 3" xfId="337"/>
    <cellStyle name="SAPBEXstdItemX 2 4" xfId="405"/>
    <cellStyle name="SAPBEXstdItemX 2 5" xfId="369"/>
    <cellStyle name="SAPBEXstdItemX 2 6" xfId="445"/>
    <cellStyle name="SAPBEXstdItemX 2 7" xfId="480"/>
    <cellStyle name="SAPBEXstdItemX 3" xfId="226"/>
    <cellStyle name="SAPBEXstdItemX 4" xfId="297"/>
    <cellStyle name="SAPBEXstdItemX 5" xfId="228"/>
    <cellStyle name="SAPBEXtitle" xfId="109"/>
    <cellStyle name="SAPBEXundefined" xfId="110"/>
    <cellStyle name="SAPBEXundefined 2" xfId="151"/>
    <cellStyle name="SAPBEXundefined 2 2" xfId="265"/>
    <cellStyle name="SAPBEXundefined 2 3" xfId="338"/>
    <cellStyle name="SAPBEXundefined 2 4" xfId="406"/>
    <cellStyle name="SAPBEXundefined 2 5" xfId="410"/>
    <cellStyle name="SAPBEXundefined 2 6" xfId="446"/>
    <cellStyle name="SAPBEXundefined 2 7" xfId="481"/>
    <cellStyle name="SAPBEXundefined 3" xfId="227"/>
    <cellStyle name="SAPBEXundefined 4" xfId="299"/>
    <cellStyle name="SAPBEXundefined 5" xfId="187"/>
    <cellStyle name="Walutowy 2" xfId="111"/>
  </cellStyles>
  <dxfs count="0"/>
  <tableStyles count="0" defaultTableStyle="TableStyleMedium2" defaultPivotStyle="PivotStyleLight16"/>
  <colors>
    <mruColors>
      <color rgb="FFFFFF99"/>
      <color rgb="FFFF0000"/>
      <color rgb="FF0000CC"/>
      <color rgb="FF66FFFF"/>
      <color rgb="FF0000FF"/>
      <color rgb="FFCCFFFF"/>
      <color rgb="FF006600"/>
      <color rgb="FF00FF00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66</xdr:row>
      <xdr:rowOff>0</xdr:rowOff>
    </xdr:from>
    <xdr:to>
      <xdr:col>28</xdr:col>
      <xdr:colOff>0</xdr:colOff>
      <xdr:row>66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zet\Bud&#380;et%202013\uchwa&#322;y\sejmik\marzec\marzec_przedsiewziecia_pop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6/uchwa&#322;y/Sejmik%20WZ/kwiecien/kwiecien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6/uchwa&#322;y/Sejmik%20WZ/wrzesien/wrzesien_20_WPF_Tabele%206_przedsi&#281;wzie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6/uchwa&#322;y/Sejmik%20WZ/czerwiec/czerwiec_21_WPF_Tabele%206_przedsi&#281;wzie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5/uchwaly/sejmik/czerwiec/czerwiec_WPF_Tabele%206_przedsi&#281;wzieci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5/Projekt/Autopoprawka_II%20po%20komisjach%20SWZ/stycze&#324;_Tabele%206_projekt%20zmian%20WP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nr 2"/>
      <sheetName val="Zał. 2D - Oświata"/>
      <sheetName val="Zał. 2F - Kultura"/>
      <sheetName val="projekty UE"/>
      <sheetName val="Zał. 2A -Drogi"/>
      <sheetName val="Zał. 2B Polit społ i rozwój prz"/>
      <sheetName val="Zał. 2C - Ochrona zdrowia"/>
      <sheetName val="Zał. 2E - Administracja"/>
      <sheetName val="Zał. 2G - Roln i ochrona środ."/>
      <sheetName val="Zał. 2H - Kultura fiz. i turyst"/>
      <sheetName val="Zał.2I - Planow. przestrz."/>
      <sheetName val="wyłączenia"/>
      <sheetName val="Arkusz1"/>
    </sheetNames>
    <sheetDataSet>
      <sheetData sheetId="0">
        <row r="89">
          <cell r="D89">
            <v>2147936</v>
          </cell>
          <cell r="E89">
            <v>16292202.5</v>
          </cell>
          <cell r="F89">
            <v>53088473.030000001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łączenia WPF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</sheetNames>
    <sheetDataSet>
      <sheetData sheetId="0"/>
      <sheetData sheetId="1"/>
      <sheetData sheetId="2">
        <row r="90">
          <cell r="D90">
            <v>34928177</v>
          </cell>
        </row>
        <row r="105">
          <cell r="D105">
            <v>15615226</v>
          </cell>
        </row>
        <row r="350">
          <cell r="D350">
            <v>7650000</v>
          </cell>
        </row>
        <row r="395">
          <cell r="D395">
            <v>14575000</v>
          </cell>
        </row>
        <row r="441">
          <cell r="D441">
            <v>42093533</v>
          </cell>
        </row>
        <row r="442">
          <cell r="D442">
            <v>8111111</v>
          </cell>
        </row>
        <row r="443">
          <cell r="D443">
            <v>13695285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>
        <row r="88">
          <cell r="M88">
            <v>308137970.63999999</v>
          </cell>
        </row>
      </sheetData>
      <sheetData sheetId="1">
        <row r="9">
          <cell r="D9">
            <v>1061358434</v>
          </cell>
        </row>
        <row r="231">
          <cell r="P231">
            <v>10417020</v>
          </cell>
        </row>
        <row r="239">
          <cell r="P239">
            <v>8296757</v>
          </cell>
        </row>
        <row r="256">
          <cell r="P256">
            <v>28140496</v>
          </cell>
        </row>
        <row r="270">
          <cell r="P270">
            <v>4435987</v>
          </cell>
        </row>
      </sheetData>
      <sheetData sheetId="2">
        <row r="8">
          <cell r="D8">
            <v>83111550</v>
          </cell>
        </row>
      </sheetData>
      <sheetData sheetId="3">
        <row r="10">
          <cell r="D10">
            <v>127855783.64</v>
          </cell>
        </row>
      </sheetData>
      <sheetData sheetId="4">
        <row r="10">
          <cell r="D10">
            <v>1049415</v>
          </cell>
        </row>
      </sheetData>
      <sheetData sheetId="5">
        <row r="10">
          <cell r="D10">
            <v>339555317</v>
          </cell>
        </row>
      </sheetData>
      <sheetData sheetId="6">
        <row r="8">
          <cell r="D8">
            <v>49923526</v>
          </cell>
        </row>
      </sheetData>
      <sheetData sheetId="7">
        <row r="9">
          <cell r="D9">
            <v>60099700</v>
          </cell>
        </row>
      </sheetData>
      <sheetData sheetId="8">
        <row r="8">
          <cell r="D8">
            <v>79050116</v>
          </cell>
        </row>
      </sheetData>
      <sheetData sheetId="9">
        <row r="9">
          <cell r="D9">
            <v>2259649</v>
          </cell>
        </row>
      </sheetData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łączenia WPF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Arkusz1"/>
    </sheetNames>
    <sheetDataSet>
      <sheetData sheetId="0"/>
      <sheetData sheetId="1">
        <row r="88">
          <cell r="N88">
            <v>515915576</v>
          </cell>
        </row>
      </sheetData>
      <sheetData sheetId="2"/>
      <sheetData sheetId="3"/>
      <sheetData sheetId="4"/>
      <sheetData sheetId="5"/>
      <sheetData sheetId="6"/>
      <sheetData sheetId="7">
        <row r="40">
          <cell r="D40">
            <v>4811478</v>
          </cell>
        </row>
        <row r="52">
          <cell r="D52">
            <v>13525758</v>
          </cell>
        </row>
        <row r="76">
          <cell r="D76">
            <v>1488145</v>
          </cell>
        </row>
        <row r="88">
          <cell r="D88">
            <v>4922063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wyłączenia (2)"/>
      <sheetName val="wyłączenia - now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9">
          <cell r="D59">
            <v>2842867</v>
          </cell>
        </row>
        <row r="73">
          <cell r="D73">
            <v>6000000</v>
          </cell>
        </row>
        <row r="80">
          <cell r="D80">
            <v>683592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wyłączenia (2)"/>
      <sheetName val="wyłączenia - nowe"/>
    </sheetNames>
    <sheetDataSet>
      <sheetData sheetId="0"/>
      <sheetData sheetId="1"/>
      <sheetData sheetId="2"/>
      <sheetData sheetId="3">
        <row r="10">
          <cell r="D10">
            <v>110219621</v>
          </cell>
        </row>
      </sheetData>
      <sheetData sheetId="4"/>
      <sheetData sheetId="5"/>
      <sheetData sheetId="6"/>
      <sheetData sheetId="7"/>
      <sheetData sheetId="8">
        <row r="102">
          <cell r="D102">
            <v>8776000</v>
          </cell>
        </row>
      </sheetData>
      <sheetData sheetId="9">
        <row r="10">
          <cell r="E10">
            <v>0</v>
          </cell>
        </row>
        <row r="26">
          <cell r="F26">
            <v>0</v>
          </cell>
          <cell r="G26">
            <v>0</v>
          </cell>
          <cell r="H26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A1100"/>
  <sheetViews>
    <sheetView showGridLines="0" tabSelected="1" zoomScaleNormal="100" zoomScaleSheetLayoutView="100" workbookViewId="0">
      <selection activeCell="AC92" sqref="AC92"/>
    </sheetView>
  </sheetViews>
  <sheetFormatPr defaultColWidth="9.140625" defaultRowHeight="12.75" outlineLevelCol="1"/>
  <cols>
    <col min="1" max="1" width="43" style="1" customWidth="1"/>
    <col min="2" max="2" width="13" style="1" hidden="1" customWidth="1"/>
    <col min="3" max="3" width="11.85546875" style="306" hidden="1" customWidth="1"/>
    <col min="4" max="4" width="12.28515625" style="294" hidden="1" customWidth="1"/>
    <col min="5" max="5" width="11.85546875" style="294" hidden="1" customWidth="1"/>
    <col min="6" max="6" width="12.5703125" style="307" hidden="1" customWidth="1"/>
    <col min="7" max="8" width="12.85546875" style="2" hidden="1" customWidth="1"/>
    <col min="9" max="9" width="13" style="2" hidden="1" customWidth="1"/>
    <col min="10" max="10" width="16" style="2" customWidth="1"/>
    <col min="11" max="11" width="9.140625" style="2" hidden="1" customWidth="1"/>
    <col min="12" max="12" width="14.42578125" style="2" customWidth="1"/>
    <col min="13" max="13" width="13" style="2" bestFit="1" customWidth="1"/>
    <col min="14" max="14" width="12.5703125" style="2" customWidth="1"/>
    <col min="15" max="15" width="13.5703125" style="2" customWidth="1"/>
    <col min="16" max="16" width="13.42578125" style="2" customWidth="1"/>
    <col min="17" max="17" width="13.85546875" style="2" customWidth="1"/>
    <col min="18" max="18" width="14.5703125" style="2" customWidth="1"/>
    <col min="19" max="19" width="15.5703125" style="2" customWidth="1"/>
    <col min="20" max="20" width="17.5703125" style="2" customWidth="1"/>
    <col min="21" max="21" width="18.28515625" style="1" customWidth="1"/>
    <col min="22" max="22" width="14.5703125" style="5" customWidth="1" outlineLevel="1"/>
    <col min="23" max="23" width="14.85546875" style="5" hidden="1" customWidth="1" outlineLevel="1"/>
    <col min="24" max="24" width="14.7109375" style="1" hidden="1" customWidth="1"/>
    <col min="25" max="25" width="14.28515625" style="1" hidden="1" customWidth="1"/>
    <col min="26" max="26" width="9.140625" style="1"/>
    <col min="27" max="27" width="9.7109375" style="1" bestFit="1" customWidth="1"/>
    <col min="28" max="16384" width="9.140625" style="1"/>
  </cols>
  <sheetData>
    <row r="1" spans="1:25" ht="23.25" customHeight="1">
      <c r="A1" s="2519" t="s">
        <v>560</v>
      </c>
      <c r="C1" s="2"/>
      <c r="D1" s="2"/>
      <c r="E1" s="2"/>
      <c r="F1" s="2"/>
      <c r="M1" s="3"/>
      <c r="P1" s="4"/>
      <c r="R1" s="4"/>
      <c r="S1" s="4"/>
      <c r="T1" s="4"/>
    </row>
    <row r="2" spans="1:25" ht="15">
      <c r="C2" s="2"/>
      <c r="D2" s="2"/>
      <c r="E2" s="2"/>
      <c r="F2" s="2"/>
      <c r="M2" s="6"/>
      <c r="N2" s="7"/>
      <c r="O2" s="7"/>
      <c r="P2" s="7"/>
      <c r="Q2" s="4" t="s">
        <v>0</v>
      </c>
      <c r="R2" s="7"/>
      <c r="S2" s="7"/>
      <c r="T2" s="7"/>
      <c r="U2" s="6"/>
    </row>
    <row r="3" spans="1:25" ht="12.75" customHeight="1">
      <c r="C3" s="2"/>
      <c r="D3" s="2"/>
      <c r="E3" s="2"/>
      <c r="F3" s="2"/>
      <c r="M3" s="6"/>
      <c r="N3" s="7"/>
      <c r="O3" s="7"/>
      <c r="P3" s="7"/>
      <c r="Q3" s="7"/>
      <c r="R3" s="7"/>
      <c r="S3" s="7"/>
      <c r="T3" s="7"/>
      <c r="U3" s="6"/>
    </row>
    <row r="4" spans="1:25" ht="12.75" customHeight="1">
      <c r="C4" s="2"/>
      <c r="D4" s="2"/>
      <c r="E4" s="2"/>
      <c r="F4" s="2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5" ht="72" customHeight="1">
      <c r="A5" s="2545" t="s">
        <v>1</v>
      </c>
      <c r="B5" s="2545"/>
      <c r="C5" s="2545"/>
      <c r="D5" s="2545"/>
      <c r="E5" s="2545"/>
      <c r="F5" s="2545"/>
      <c r="G5" s="2545"/>
      <c r="H5" s="2545"/>
      <c r="I5" s="2545"/>
      <c r="J5" s="2545"/>
      <c r="K5" s="2545"/>
      <c r="L5" s="2545"/>
      <c r="M5" s="2545"/>
      <c r="N5" s="2545"/>
      <c r="O5" s="2545"/>
      <c r="P5" s="2545"/>
      <c r="Q5" s="2545"/>
      <c r="R5" s="2545"/>
      <c r="S5" s="2545"/>
      <c r="T5" s="2545"/>
      <c r="U5" s="2545"/>
      <c r="V5" s="971"/>
    </row>
    <row r="6" spans="1:25" ht="3.75" customHeight="1">
      <c r="A6" s="8"/>
      <c r="B6" s="8"/>
      <c r="C6" s="8"/>
      <c r="D6" s="9"/>
      <c r="E6" s="9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5" ht="39.75" customHeight="1" thickBot="1">
      <c r="A7" s="2546" t="s">
        <v>2</v>
      </c>
      <c r="B7" s="2546"/>
      <c r="C7" s="2546"/>
      <c r="D7" s="2546"/>
      <c r="E7" s="2546"/>
      <c r="F7" s="2546"/>
      <c r="G7" s="2546"/>
      <c r="H7" s="2546"/>
      <c r="I7" s="2546"/>
      <c r="J7" s="2546"/>
      <c r="K7" s="2546"/>
      <c r="L7" s="2546"/>
      <c r="M7" s="2546"/>
      <c r="N7" s="2546"/>
      <c r="O7" s="2546"/>
      <c r="P7" s="2546"/>
      <c r="Q7" s="2546"/>
      <c r="R7" s="2546"/>
      <c r="S7" s="2546"/>
      <c r="T7" s="2546"/>
      <c r="U7" s="2546"/>
      <c r="V7" s="972"/>
    </row>
    <row r="8" spans="1:25" s="2" customFormat="1" ht="24.75" customHeight="1">
      <c r="A8" s="830"/>
      <c r="B8" s="1083"/>
      <c r="C8" s="1084"/>
      <c r="D8" s="1084"/>
      <c r="E8" s="1084"/>
      <c r="F8" s="1084"/>
      <c r="G8" s="1084"/>
      <c r="H8" s="1084"/>
      <c r="I8" s="1084"/>
      <c r="J8" s="2550" t="s">
        <v>363</v>
      </c>
      <c r="K8" s="1084"/>
      <c r="L8" s="2552" t="s">
        <v>375</v>
      </c>
      <c r="M8" s="2554" t="s">
        <v>369</v>
      </c>
      <c r="N8" s="2552"/>
      <c r="O8" s="2552"/>
      <c r="P8" s="2552"/>
      <c r="Q8" s="2552"/>
      <c r="R8" s="2552"/>
      <c r="S8" s="2552"/>
      <c r="T8" s="2555"/>
      <c r="U8" s="2547" t="s">
        <v>4</v>
      </c>
      <c r="V8" s="2558" t="s">
        <v>355</v>
      </c>
      <c r="W8" s="298"/>
    </row>
    <row r="9" spans="1:25" ht="27" customHeight="1">
      <c r="A9" s="10" t="s">
        <v>5</v>
      </c>
      <c r="B9" s="1085"/>
      <c r="C9" s="1086"/>
      <c r="D9" s="1086"/>
      <c r="E9" s="1086"/>
      <c r="F9" s="1086"/>
      <c r="G9" s="1086"/>
      <c r="H9" s="1086"/>
      <c r="I9" s="1086"/>
      <c r="J9" s="2551"/>
      <c r="K9" s="1086"/>
      <c r="L9" s="2553"/>
      <c r="M9" s="2556"/>
      <c r="N9" s="2553"/>
      <c r="O9" s="2553"/>
      <c r="P9" s="2553"/>
      <c r="Q9" s="2553"/>
      <c r="R9" s="2553"/>
      <c r="S9" s="2553"/>
      <c r="T9" s="2557"/>
      <c r="U9" s="2548"/>
      <c r="V9" s="2559"/>
      <c r="W9" s="298" t="s">
        <v>3</v>
      </c>
    </row>
    <row r="10" spans="1:25" ht="19.5" customHeight="1" thickBot="1">
      <c r="A10" s="10"/>
      <c r="B10" s="794" t="s">
        <v>6</v>
      </c>
      <c r="C10" s="798" t="s">
        <v>7</v>
      </c>
      <c r="D10" s="798" t="s">
        <v>8</v>
      </c>
      <c r="E10" s="798" t="s">
        <v>9</v>
      </c>
      <c r="F10" s="795" t="s">
        <v>10</v>
      </c>
      <c r="G10" s="795" t="s">
        <v>11</v>
      </c>
      <c r="H10" s="795" t="s">
        <v>12</v>
      </c>
      <c r="I10" s="795" t="s">
        <v>13</v>
      </c>
      <c r="J10" s="792" t="s">
        <v>338</v>
      </c>
      <c r="K10" s="1024" t="s">
        <v>14</v>
      </c>
      <c r="L10" s="11" t="s">
        <v>15</v>
      </c>
      <c r="M10" s="11" t="s">
        <v>16</v>
      </c>
      <c r="N10" s="12" t="s">
        <v>17</v>
      </c>
      <c r="O10" s="12" t="s">
        <v>18</v>
      </c>
      <c r="P10" s="12" t="s">
        <v>271</v>
      </c>
      <c r="Q10" s="12" t="s">
        <v>276</v>
      </c>
      <c r="R10" s="12" t="s">
        <v>340</v>
      </c>
      <c r="S10" s="12" t="s">
        <v>341</v>
      </c>
      <c r="T10" s="1013" t="s">
        <v>339</v>
      </c>
      <c r="U10" s="2549"/>
      <c r="V10" s="2559"/>
      <c r="W10" s="315"/>
      <c r="X10" s="13"/>
    </row>
    <row r="11" spans="1:25" ht="13.5" customHeight="1" thickBot="1">
      <c r="A11" s="14">
        <v>1</v>
      </c>
      <c r="B11" s="15"/>
      <c r="C11" s="16"/>
      <c r="D11" s="17"/>
      <c r="E11" s="17"/>
      <c r="F11" s="18"/>
      <c r="G11" s="18"/>
      <c r="H11" s="18"/>
      <c r="I11" s="18"/>
      <c r="J11" s="18">
        <v>2</v>
      </c>
      <c r="K11" s="1025" t="s">
        <v>342</v>
      </c>
      <c r="L11" s="18">
        <v>3</v>
      </c>
      <c r="M11" s="18">
        <v>4</v>
      </c>
      <c r="N11" s="19">
        <v>5</v>
      </c>
      <c r="O11" s="18">
        <v>6</v>
      </c>
      <c r="P11" s="832">
        <v>7</v>
      </c>
      <c r="Q11" s="826">
        <v>8</v>
      </c>
      <c r="R11" s="1014">
        <v>9</v>
      </c>
      <c r="S11" s="18">
        <v>10</v>
      </c>
      <c r="T11" s="1014">
        <v>11</v>
      </c>
      <c r="U11" s="995">
        <v>12</v>
      </c>
      <c r="V11" s="20">
        <v>13</v>
      </c>
      <c r="X11" s="2574" t="s">
        <v>56</v>
      </c>
      <c r="Y11" s="2575"/>
    </row>
    <row r="12" spans="1:25" s="25" customFormat="1" ht="18.75" customHeight="1">
      <c r="A12" s="21" t="s">
        <v>19</v>
      </c>
      <c r="B12" s="22">
        <f>+B13+B14</f>
        <v>883781</v>
      </c>
      <c r="C12" s="22">
        <f t="shared" ref="C12:O12" si="0">+C13+C14</f>
        <v>49287</v>
      </c>
      <c r="D12" s="22">
        <f t="shared" si="0"/>
        <v>129117</v>
      </c>
      <c r="E12" s="22">
        <f t="shared" si="0"/>
        <v>8829</v>
      </c>
      <c r="F12" s="22">
        <f t="shared" si="0"/>
        <v>3000612.3</v>
      </c>
      <c r="G12" s="22">
        <f t="shared" si="0"/>
        <v>29822165.300000001</v>
      </c>
      <c r="H12" s="22">
        <f t="shared" si="0"/>
        <v>63257007</v>
      </c>
      <c r="I12" s="22">
        <f t="shared" si="0"/>
        <v>58017084</v>
      </c>
      <c r="J12" s="22">
        <f>+J13+J14</f>
        <v>225981806</v>
      </c>
      <c r="K12" s="1026">
        <f t="shared" si="0"/>
        <v>71547594</v>
      </c>
      <c r="L12" s="22">
        <f t="shared" si="0"/>
        <v>49074618</v>
      </c>
      <c r="M12" s="22">
        <f t="shared" si="0"/>
        <v>122663024</v>
      </c>
      <c r="N12" s="22">
        <f t="shared" si="0"/>
        <v>403158557</v>
      </c>
      <c r="O12" s="22">
        <f t="shared" si="0"/>
        <v>277955241</v>
      </c>
      <c r="P12" s="22">
        <f t="shared" ref="P12:V12" si="1">+P13+P14</f>
        <v>96941001</v>
      </c>
      <c r="Q12" s="22">
        <f t="shared" si="1"/>
        <v>72889136</v>
      </c>
      <c r="R12" s="22">
        <f t="shared" si="1"/>
        <v>39657514</v>
      </c>
      <c r="S12" s="22">
        <f t="shared" si="1"/>
        <v>37124088</v>
      </c>
      <c r="T12" s="22">
        <f t="shared" si="1"/>
        <v>35648428</v>
      </c>
      <c r="U12" s="996">
        <f t="shared" si="1"/>
        <v>1361093413</v>
      </c>
      <c r="V12" s="23">
        <f t="shared" si="1"/>
        <v>1086036989</v>
      </c>
      <c r="W12" s="1362"/>
      <c r="X12" s="1363">
        <f>T12+S12+R12+Q12+P12+O12+N12+M12+L12+J12</f>
        <v>1361093413</v>
      </c>
      <c r="Y12" s="1364">
        <f>U12-X12</f>
        <v>0</v>
      </c>
    </row>
    <row r="13" spans="1:25" s="25" customFormat="1" ht="17.25" customHeight="1">
      <c r="A13" s="26" t="s">
        <v>20</v>
      </c>
      <c r="B13" s="27">
        <f>+'Tab. 6B Polit społ i rozwój prz'!E9+'Tab. 6D - Oświata'!E11+'Tab. 6A -Drogi'!E10+'Tab. 6E - Administracja'!E11+'Tab. 6G - Roln i ochrona środ.'!E10+'Tab. 6H - Kultura fiz. i turyst'!E9+'Tab.6I - Planow. przestrz.'!E10</f>
        <v>441028</v>
      </c>
      <c r="C13" s="28">
        <f>+'Tab. 6B Polit społ i rozwój prz'!F9+'Tab. 6D - Oświata'!F11+'Tab. 6A -Drogi'!F10+'Tab. 6E - Administracja'!F11+'Tab. 6G - Roln i ochrona środ.'!F10+'Tab. 6H - Kultura fiz. i turyst'!F9+'Tab.6I - Planow. przestrz.'!F10</f>
        <v>0</v>
      </c>
      <c r="D13" s="28">
        <f>+'Tab. 6B Polit społ i rozwój prz'!G9+'Tab. 6D - Oświata'!G11+'Tab. 6A -Drogi'!G10+'Tab. 6E - Administracja'!G11+'Tab. 6G - Roln i ochrona środ.'!G10+'Tab. 6H - Kultura fiz. i turyst'!G9+'Tab.6I - Planow. przestrz.'!G10</f>
        <v>0</v>
      </c>
      <c r="E13" s="28">
        <f>+'Tab. 6B Polit społ i rozwój prz'!H9+'Tab. 6D - Oświata'!H11+'Tab. 6A -Drogi'!H10+'Tab. 6E - Administracja'!H11+'Tab. 6G - Roln i ochrona środ.'!H10+'Tab. 6H - Kultura fiz. i turyst'!H9+'Tab.6I - Planow. przestrz.'!H10</f>
        <v>0</v>
      </c>
      <c r="F13" s="27">
        <f>+'Tab. 6B Polit społ i rozwój prz'!I9+'Tab. 6D - Oświata'!I11+'Tab. 6A -Drogi'!I10+'Tab. 6E - Administracja'!I11+'Tab. 6G - Roln i ochrona środ.'!I10+'Tab. 6H - Kultura fiz. i turyst'!I9+'Tab.6I - Planow. przestrz.'!I10+0.3</f>
        <v>364771.3</v>
      </c>
      <c r="G13" s="27">
        <f>+'Tab. 6B Polit społ i rozwój prz'!J9+'Tab. 6D - Oświata'!J11+'Tab. 6A -Drogi'!J10+'Tab. 6E - Administracja'!J11+'Tab. 6G - Roln i ochrona środ.'!J10+'Tab. 6H - Kultura fiz. i turyst'!J9+'Tab.6I - Planow. przestrz.'!J10+0.3</f>
        <v>375013.3</v>
      </c>
      <c r="H13" s="27">
        <f>+'Tab. 6B Polit społ i rozwój prz'!K9+'Tab. 6D - Oświata'!K11+'Tab. 6A -Drogi'!K10+'Tab. 6E - Administracja'!K11+'Tab. 6G - Roln i ochrona środ.'!K10+'Tab. 6H - Kultura fiz. i turyst'!K9+'Tab.6I - Planow. przestrz.'!K10</f>
        <v>358357</v>
      </c>
      <c r="I13" s="27">
        <f>+'Tab. 6B Polit społ i rozwój prz'!L9+'Tab. 6D - Oświata'!L11+'Tab. 6A -Drogi'!L10+'Tab. 6E - Administracja'!L11+'Tab. 6G - Roln i ochrona środ.'!L10+'Tab. 6H - Kultura fiz. i turyst'!L9+'Tab.6I - Planow. przestrz.'!L10</f>
        <v>561717</v>
      </c>
      <c r="J13" s="27">
        <f>+'Tab. 6B Polit społ i rozwój prz'!M9+'Tab. 6D - Oświata'!M11+'Tab. 6A -Drogi'!M10+'Tab. 6E - Administracja'!M11+'Tab. 6G - Roln i ochrona środ.'!M10+'Tab. 6H - Kultura fiz. i turyst'!M9+'Tab.6I - Planow. przestrz.'!M10</f>
        <v>2546817</v>
      </c>
      <c r="K13" s="1027">
        <f>+'Tab. 6B Polit społ i rozwój prz'!N9+'Tab. 6D - Oświata'!N11+'Tab. 6A -Drogi'!N10+'Tab. 6E - Administracja'!N11+'Tab. 6G - Roln i ochrona środ.'!N10+'Tab. 6H - Kultura fiz. i turyst'!N9+'Tab.6I - Planow. przestrz.'!N10</f>
        <v>992368</v>
      </c>
      <c r="L13" s="27">
        <f>+'Tab. 6B Polit społ i rozwój prz'!O9+'Tab. 6D - Oświata'!O11+'Tab. 6A -Drogi'!O10+'Tab. 6E - Administracja'!O11+'Tab. 6G - Roln i ochrona środ.'!O10+'Tab. 6H - Kultura fiz. i turyst'!O9+'Tab.6I - Planow. przestrz.'!O10</f>
        <v>4751190</v>
      </c>
      <c r="M13" s="27">
        <f>+'Tab. 6B Polit społ i rozwój prz'!P9+'Tab. 6D - Oświata'!P11+'Tab. 6A -Drogi'!P10+'Tab. 6E - Administracja'!P11+'Tab. 6G - Roln i ochrona środ.'!P10+'Tab. 6H - Kultura fiz. i turyst'!P9+'Tab.6I - Planow. przestrz.'!P10</f>
        <v>43434635</v>
      </c>
      <c r="N13" s="27">
        <f>+'Tab. 6B Polit społ i rozwój prz'!Q9+'Tab. 6D - Oświata'!Q11+'Tab. 6A -Drogi'!Q10+'Tab. 6E - Administracja'!Q11+'Tab. 6G - Roln i ochrona środ.'!Q10+'Tab. 6H - Kultura fiz. i turyst'!Q9+'Tab.6I - Planow. przestrz.'!Q10</f>
        <v>52406339</v>
      </c>
      <c r="O13" s="27">
        <f>+'Tab. 6B Polit społ i rozwój prz'!R9+'Tab. 6D - Oświata'!R11+'Tab. 6A -Drogi'!R10+'Tab. 6E - Administracja'!R11+'Tab. 6G - Roln i ochrona środ.'!R10+'Tab. 6H - Kultura fiz. i turyst'!R9+'Tab.6I - Planow. przestrz.'!R10</f>
        <v>45857041</v>
      </c>
      <c r="P13" s="27">
        <f>+'Tab. 6B Polit społ i rozwój prz'!S9+'Tab. 6D - Oświata'!S11+'Tab. 6A -Drogi'!S10+'Tab. 6E - Administracja'!S11+'Tab. 6G - Roln i ochrona środ.'!S10+'Tab. 6H - Kultura fiz. i turyst'!S9+'Tab.6I - Planow. przestrz.'!S10</f>
        <v>44089003</v>
      </c>
      <c r="Q13" s="27">
        <f>+'Tab. 6B Polit społ i rozwój prz'!T9+'Tab. 6D - Oświata'!T11+'Tab. 6A -Drogi'!T10+'Tab. 6E - Administracja'!T11+'Tab. 6G - Roln i ochrona środ.'!T10+'Tab. 6H - Kultura fiz. i turyst'!T9+'Tab.6I - Planow. przestrz.'!T10</f>
        <v>44046280</v>
      </c>
      <c r="R13" s="27">
        <f>+'Tab. 6B Polit społ i rozwój prz'!U9+'Tab. 6D - Oświata'!U11+'Tab. 6A -Drogi'!U10+'Tab. 6E - Administracja'!U11+'Tab. 6G - Roln i ochrona środ.'!U10+'Tab. 6H - Kultura fiz. i turyst'!U9+'Tab.6I - Planow. przestrz.'!U10</f>
        <v>39490489</v>
      </c>
      <c r="S13" s="27">
        <f>+'Tab. 6B Polit społ i rozwój prz'!V9+'Tab. 6D - Oświata'!V11+'Tab. 6A -Drogi'!V10+'Tab. 6E - Administracja'!V11+'Tab. 6G - Roln i ochrona środ.'!V10+'Tab. 6H - Kultura fiz. i turyst'!V9+'Tab.6I - Planow. przestrz.'!V10</f>
        <v>36957063</v>
      </c>
      <c r="T13" s="27">
        <f>+'Tab. 6B Polit społ i rozwój prz'!W9+'Tab. 6D - Oświata'!W11+'Tab. 6A -Drogi'!W10+'Tab. 6E - Administracja'!W11+'Tab. 6G - Roln i ochrona środ.'!W10+'Tab. 6H - Kultura fiz. i turyst'!W9+'Tab.6I - Planow. przestrz.'!W10</f>
        <v>35481403</v>
      </c>
      <c r="U13" s="997">
        <f>'Tab. 6A -Drogi'!D10+'Tab. 6B Polit społ i rozwój prz'!D9+'Tab. 6D - Oświata'!D11+'Tab. 6E - Administracja'!D11+'Tab. 6G - Roln i ochrona środ.'!D10+'Tab. 6H - Kultura fiz. i turyst'!D9+'Tab.6I - Planow. przestrz.'!D10</f>
        <v>349060260</v>
      </c>
      <c r="V13" s="29">
        <f>SUM(M13:T13)</f>
        <v>341762253</v>
      </c>
      <c r="W13" s="890">
        <f>V13-M13-N13-O13-P13-Q13-R13-S13-T13</f>
        <v>0</v>
      </c>
      <c r="X13" s="1365">
        <f>T13+S13+R13+Q13+P13+O13+N13+M13+L13+J13</f>
        <v>349060260</v>
      </c>
      <c r="Y13" s="1366">
        <f>U13-X13</f>
        <v>0</v>
      </c>
    </row>
    <row r="14" spans="1:25" s="25" customFormat="1" ht="17.25" customHeight="1" thickBot="1">
      <c r="A14" s="31" t="s">
        <v>21</v>
      </c>
      <c r="B14" s="32">
        <f>+'Tab. 6D - Oświata'!E12+'Tab. 6A -Drogi'!E11+'Tab. 6E - Administracja'!E12+'Tab. 6G - Roln i ochrona środ.'!E11+'Tab. 6H - Kultura fiz. i turyst'!E10+'Tab. 6B Polit społ i rozwój prz'!E10+'Tab.6I - Planow. przestrz.'!E11</f>
        <v>442753</v>
      </c>
      <c r="C14" s="33">
        <f>+'Tab. 6D - Oświata'!F12+'Tab. 6A -Drogi'!F11+'Tab. 6E - Administracja'!F12+'Tab. 6G - Roln i ochrona środ.'!F11+'Tab. 6H - Kultura fiz. i turyst'!F10+'Tab.6I - Planow. przestrz.'!F11</f>
        <v>49287</v>
      </c>
      <c r="D14" s="33">
        <f>+'Tab. 6D - Oświata'!G12+'Tab. 6A -Drogi'!G11+'Tab. 6E - Administracja'!G12+'Tab. 6G - Roln i ochrona środ.'!G11+'Tab. 6H - Kultura fiz. i turyst'!G10+'Tab.6I - Planow. przestrz.'!G11</f>
        <v>129117</v>
      </c>
      <c r="E14" s="33">
        <f>+'Tab. 6D - Oświata'!H12+'Tab. 6A -Drogi'!H11+'Tab. 6E - Administracja'!H12+'Tab. 6G - Roln i ochrona środ.'!H11+'Tab. 6H - Kultura fiz. i turyst'!H10+'Tab.6I - Planow. przestrz.'!H11</f>
        <v>8829</v>
      </c>
      <c r="F14" s="32">
        <f>+'Tab. 6D - Oświata'!I12+'Tab. 6A -Drogi'!I11+'Tab. 6E - Administracja'!I12+'Tab. 6G - Roln i ochrona środ.'!I11+'Tab. 6H - Kultura fiz. i turyst'!I10+'Tab. 6B Polit społ i rozwój prz'!I10+'Tab.6I - Planow. przestrz.'!I11</f>
        <v>2635841</v>
      </c>
      <c r="G14" s="32">
        <f>+'Tab. 6D - Oświata'!J12+'Tab. 6A -Drogi'!J11+'Tab. 6E - Administracja'!J12+'Tab. 6G - Roln i ochrona środ.'!J11+'Tab. 6H - Kultura fiz. i turyst'!J10+'Tab.6I - Planow. przestrz.'!J11+'Tab. 6B Polit społ i rozwój prz'!J10</f>
        <v>29447152</v>
      </c>
      <c r="H14" s="32">
        <f>+'Tab. 6D - Oświata'!K12+'Tab. 6A -Drogi'!K11+'Tab. 6E - Administracja'!K12+'Tab. 6G - Roln i ochrona środ.'!K11+'Tab. 6H - Kultura fiz. i turyst'!K10+'Tab.6I - Planow. przestrz.'!K11+'Tab. 6B Polit społ i rozwój prz'!K10</f>
        <v>62898650</v>
      </c>
      <c r="I14" s="32">
        <f>+'Tab. 6D - Oświata'!L12+'Tab. 6A -Drogi'!L11+'Tab. 6E - Administracja'!L12+'Tab. 6G - Roln i ochrona środ.'!L11+'Tab. 6H - Kultura fiz. i turyst'!L10+'Tab.6I - Planow. przestrz.'!L11+'Tab. 6B Polit społ i rozwój prz'!L10</f>
        <v>57455367</v>
      </c>
      <c r="J14" s="32">
        <f>+'Tab. 6D - Oświata'!M12+'Tab. 6A -Drogi'!M11+'Tab. 6E - Administracja'!M12+'Tab. 6G - Roln i ochrona środ.'!M11+'Tab. 6H - Kultura fiz. i turyst'!M10+'Tab. 6B Polit społ i rozwój prz'!M10+'Tab.6I - Planow. przestrz.'!M11</f>
        <v>223434989</v>
      </c>
      <c r="K14" s="1028">
        <f>+'Tab. 6D - Oświata'!N12+'Tab. 6A -Drogi'!N11+'Tab. 6E - Administracja'!N12+'Tab. 6G - Roln i ochrona środ.'!N11+'Tab. 6H - Kultura fiz. i turyst'!N10+'Tab. 6B Polit społ i rozwój prz'!N10+'Tab.6I - Planow. przestrz.'!N11</f>
        <v>70555226</v>
      </c>
      <c r="L14" s="32">
        <f>+'Tab. 6D - Oświata'!O12+'Tab. 6A -Drogi'!O11+'Tab. 6E - Administracja'!O12+'Tab. 6G - Roln i ochrona środ.'!O11+'Tab. 6H - Kultura fiz. i turyst'!O10+'Tab. 6B Polit społ i rozwój prz'!O10+'Tab.6I - Planow. przestrz.'!O11</f>
        <v>44323428</v>
      </c>
      <c r="M14" s="32">
        <f>+'Tab. 6D - Oświata'!P12+'Tab. 6A -Drogi'!P11+'Tab. 6E - Administracja'!P12+'Tab. 6G - Roln i ochrona środ.'!P11+'Tab. 6H - Kultura fiz. i turyst'!P10+'Tab. 6B Polit społ i rozwój prz'!P10+'Tab.6I - Planow. przestrz.'!P11</f>
        <v>79228389</v>
      </c>
      <c r="N14" s="32">
        <f>+'Tab. 6D - Oświata'!Q12+'Tab. 6A -Drogi'!Q11+'Tab. 6E - Administracja'!Q12+'Tab. 6G - Roln i ochrona środ.'!Q11+'Tab. 6H - Kultura fiz. i turyst'!Q10+'Tab. 6B Polit społ i rozwój prz'!Q10+'Tab.6I - Planow. przestrz.'!Q11</f>
        <v>350752218</v>
      </c>
      <c r="O14" s="32">
        <f>+'Tab. 6D - Oświata'!R12+'Tab. 6A -Drogi'!R11+'Tab. 6E - Administracja'!R12+'Tab. 6G - Roln i ochrona środ.'!R11+'Tab. 6H - Kultura fiz. i turyst'!R10+'Tab. 6B Polit społ i rozwój prz'!R10+'Tab.6I - Planow. przestrz.'!R11</f>
        <v>232098200</v>
      </c>
      <c r="P14" s="32">
        <f>+'Tab. 6D - Oświata'!S12+'Tab. 6A -Drogi'!S11+'Tab. 6E - Administracja'!S12+'Tab. 6G - Roln i ochrona środ.'!S11+'Tab. 6H - Kultura fiz. i turyst'!S10+'Tab. 6B Polit społ i rozwój prz'!S10+'Tab.6I - Planow. przestrz.'!S11</f>
        <v>52851998</v>
      </c>
      <c r="Q14" s="32">
        <f>+'Tab. 6D - Oświata'!T12+'Tab. 6A -Drogi'!T11+'Tab. 6E - Administracja'!T12+'Tab. 6G - Roln i ochrona środ.'!T11+'Tab. 6H - Kultura fiz. i turyst'!T10+'Tab. 6B Polit społ i rozwój prz'!T10+'Tab.6I - Planow. przestrz.'!T11</f>
        <v>28842856</v>
      </c>
      <c r="R14" s="32">
        <f>+'Tab. 6D - Oświata'!U12+'Tab. 6A -Drogi'!U11+'Tab. 6E - Administracja'!U12+'Tab. 6G - Roln i ochrona środ.'!U11+'Tab. 6H - Kultura fiz. i turyst'!U10+'Tab. 6B Polit społ i rozwój prz'!U10+'Tab.6I - Planow. przestrz.'!U11</f>
        <v>167025</v>
      </c>
      <c r="S14" s="32">
        <f>+'Tab. 6D - Oświata'!V12+'Tab. 6A -Drogi'!V11+'Tab. 6E - Administracja'!V12+'Tab. 6G - Roln i ochrona środ.'!V11+'Tab. 6H - Kultura fiz. i turyst'!V10+'Tab. 6B Polit społ i rozwój prz'!V10+'Tab.6I - Planow. przestrz.'!V11</f>
        <v>167025</v>
      </c>
      <c r="T14" s="32">
        <f>+'Tab. 6D - Oświata'!W12+'Tab. 6A -Drogi'!W11+'Tab. 6E - Administracja'!W12+'Tab. 6G - Roln i ochrona środ.'!W11+'Tab. 6H - Kultura fiz. i turyst'!W10+'Tab. 6B Polit społ i rozwój prz'!W10+'Tab.6I - Planow. przestrz.'!W11</f>
        <v>167025</v>
      </c>
      <c r="U14" s="998">
        <f>'Tab. 6A -Drogi'!D11+'Tab. 6B Polit społ i rozwój prz'!D10+'Tab. 6D - Oświata'!D12+'Tab. 6E - Administracja'!D12+'Tab. 6G - Roln i ochrona środ.'!D11+'Tab. 6H - Kultura fiz. i turyst'!D10+'Tab.6I - Planow. przestrz.'!D11</f>
        <v>1012033153</v>
      </c>
      <c r="V14" s="34">
        <f>SUM(M14:T14)</f>
        <v>744274736</v>
      </c>
      <c r="W14" s="890">
        <f>V14-M14-N14-O14-P14-Q14-R14-S14-T14</f>
        <v>0</v>
      </c>
      <c r="X14" s="1365">
        <f>T14+S14+R14+Q14+P14+O14+N14+M14+L14+J14</f>
        <v>1012033153</v>
      </c>
      <c r="Y14" s="1366">
        <f>U14-X14</f>
        <v>0</v>
      </c>
    </row>
    <row r="15" spans="1:25" s="38" customFormat="1">
      <c r="A15" s="35"/>
      <c r="B15" s="36"/>
      <c r="C15" s="36"/>
      <c r="D15" s="36"/>
      <c r="E15" s="36"/>
      <c r="F15" s="36"/>
      <c r="G15" s="36"/>
      <c r="H15" s="36"/>
      <c r="I15" s="36"/>
      <c r="J15" s="1367"/>
      <c r="K15" s="1367"/>
      <c r="L15" s="1367"/>
      <c r="M15" s="1367"/>
      <c r="N15" s="1367"/>
      <c r="O15" s="1367"/>
      <c r="P15" s="1367"/>
      <c r="Q15" s="1367"/>
      <c r="R15" s="1367"/>
      <c r="S15" s="1367"/>
      <c r="T15" s="1367"/>
      <c r="U15" s="1367"/>
      <c r="V15" s="1367"/>
      <c r="W15" s="30"/>
      <c r="X15" s="1365">
        <f t="shared" ref="X15:X31" si="2">T15+S15+R15+Q15+P15+O15+N15+M15+L15+J15</f>
        <v>0</v>
      </c>
      <c r="Y15" s="1366">
        <f t="shared" ref="Y15:Y31" si="3">U15-X15</f>
        <v>0</v>
      </c>
    </row>
    <row r="16" spans="1:25" s="45" customFormat="1" ht="18" customHeight="1">
      <c r="A16" s="39" t="s">
        <v>22</v>
      </c>
      <c r="B16" s="40" t="e">
        <f t="shared" ref="B16:V16" si="4">+B17+B26</f>
        <v>#REF!</v>
      </c>
      <c r="C16" s="40" t="e">
        <f t="shared" si="4"/>
        <v>#REF!</v>
      </c>
      <c r="D16" s="41" t="e">
        <f t="shared" si="4"/>
        <v>#REF!</v>
      </c>
      <c r="E16" s="41" t="e">
        <f t="shared" si="4"/>
        <v>#REF!</v>
      </c>
      <c r="F16" s="41" t="e">
        <f t="shared" si="4"/>
        <v>#REF!</v>
      </c>
      <c r="G16" s="41" t="e">
        <f t="shared" si="4"/>
        <v>#REF!</v>
      </c>
      <c r="H16" s="41" t="e">
        <f t="shared" si="4"/>
        <v>#REF!</v>
      </c>
      <c r="I16" s="41" t="e">
        <f t="shared" si="4"/>
        <v>#REF!</v>
      </c>
      <c r="J16" s="41">
        <f t="shared" si="4"/>
        <v>225981806.30000001</v>
      </c>
      <c r="K16" s="1030" t="e">
        <f t="shared" si="4"/>
        <v>#REF!</v>
      </c>
      <c r="L16" s="41">
        <f t="shared" si="4"/>
        <v>49074618</v>
      </c>
      <c r="M16" s="41">
        <f>+M17+M26</f>
        <v>123068729</v>
      </c>
      <c r="N16" s="41">
        <f t="shared" si="4"/>
        <v>404161248</v>
      </c>
      <c r="O16" s="41">
        <f t="shared" si="4"/>
        <v>278634800</v>
      </c>
      <c r="P16" s="41">
        <f t="shared" si="4"/>
        <v>97412474</v>
      </c>
      <c r="Q16" s="41">
        <f t="shared" si="4"/>
        <v>73360608</v>
      </c>
      <c r="R16" s="41">
        <f t="shared" si="4"/>
        <v>40128986</v>
      </c>
      <c r="S16" s="41">
        <f t="shared" si="4"/>
        <v>37595560</v>
      </c>
      <c r="T16" s="41">
        <f t="shared" si="4"/>
        <v>36119900</v>
      </c>
      <c r="U16" s="89">
        <f>+U17+U26</f>
        <v>1365538729.3</v>
      </c>
      <c r="V16" s="42">
        <f t="shared" si="4"/>
        <v>228515300</v>
      </c>
      <c r="W16" s="890"/>
      <c r="X16" s="1365">
        <f>T16+S16+R16+Q16+P16+O16+N16+M16+L16+J16</f>
        <v>1365538729.3</v>
      </c>
      <c r="Y16" s="1366">
        <f>U16-X16</f>
        <v>0</v>
      </c>
    </row>
    <row r="17" spans="1:25" s="49" customFormat="1" ht="17.25" customHeight="1">
      <c r="A17" s="46" t="s">
        <v>23</v>
      </c>
      <c r="B17" s="47" t="e">
        <f>SUM(B18:B24)</f>
        <v>#REF!</v>
      </c>
      <c r="C17" s="47" t="e">
        <f t="shared" ref="C17:I17" si="5">SUM(C18:C24)</f>
        <v>#REF!</v>
      </c>
      <c r="D17" s="47" t="e">
        <f t="shared" si="5"/>
        <v>#REF!</v>
      </c>
      <c r="E17" s="47" t="e">
        <f t="shared" si="5"/>
        <v>#REF!</v>
      </c>
      <c r="F17" s="47" t="e">
        <f t="shared" si="5"/>
        <v>#REF!</v>
      </c>
      <c r="G17" s="47" t="e">
        <f t="shared" si="5"/>
        <v>#REF!</v>
      </c>
      <c r="H17" s="47" t="e">
        <f t="shared" si="5"/>
        <v>#REF!</v>
      </c>
      <c r="I17" s="47" t="e">
        <f t="shared" si="5"/>
        <v>#REF!</v>
      </c>
      <c r="J17" s="47">
        <f t="shared" ref="J17:V17" si="6">SUM(J18:J25)</f>
        <v>53509598.299999997</v>
      </c>
      <c r="K17" s="1031" t="e">
        <f t="shared" si="6"/>
        <v>#REF!</v>
      </c>
      <c r="L17" s="47">
        <f t="shared" si="6"/>
        <v>4152249</v>
      </c>
      <c r="M17" s="47">
        <f>SUM(M18:M25)</f>
        <v>13584640</v>
      </c>
      <c r="N17" s="47">
        <f t="shared" si="6"/>
        <v>73310578</v>
      </c>
      <c r="O17" s="47">
        <f t="shared" si="6"/>
        <v>55047777</v>
      </c>
      <c r="P17" s="47">
        <f>SUM(P18:P25)</f>
        <v>18271794</v>
      </c>
      <c r="Q17" s="47">
        <f t="shared" si="6"/>
        <v>12389600</v>
      </c>
      <c r="R17" s="47">
        <f t="shared" si="6"/>
        <v>7542700</v>
      </c>
      <c r="S17" s="47">
        <f t="shared" si="6"/>
        <v>5343874</v>
      </c>
      <c r="T17" s="47">
        <f t="shared" si="6"/>
        <v>4911655</v>
      </c>
      <c r="U17" s="1000">
        <f>SUM(U18:U25)</f>
        <v>248064465.30000001</v>
      </c>
      <c r="V17" s="48">
        <f t="shared" si="6"/>
        <v>185957302</v>
      </c>
      <c r="W17" s="890"/>
      <c r="X17" s="1365">
        <f>T17+S17+R17+Q17+P17+O17+N17+M17+L17+J17</f>
        <v>248064465.30000001</v>
      </c>
      <c r="Y17" s="1366">
        <f t="shared" si="3"/>
        <v>0</v>
      </c>
    </row>
    <row r="18" spans="1:25" s="38" customFormat="1" ht="14.25" customHeight="1">
      <c r="A18" s="50" t="s">
        <v>24</v>
      </c>
      <c r="B18" s="51">
        <f>+'Tab. 6B Polit społ i rozwój prz'!E13+'Tab. 6D - Oświata'!E15+'Tab. 6A -Drogi'!E14+'Tab. 6E - Administracja'!E15+'Tab. 6G - Roln i ochrona środ.'!E14+'Tab. 6H - Kultura fiz. i turyst'!E13+'Tab.6I - Planow. przestrz.'!E14</f>
        <v>217891</v>
      </c>
      <c r="C18" s="51">
        <f>+'Tab. 6B Polit społ i rozwój prz'!F13+'Tab. 6D - Oświata'!F15+'Tab. 6A -Drogi'!F14+'Tab. 6E - Administracja'!F15+'Tab. 6G - Roln i ochrona środ.'!F14+'Tab. 6H - Kultura fiz. i turyst'!F13+'Tab.6I - Planow. przestrz.'!F14</f>
        <v>49287</v>
      </c>
      <c r="D18" s="51">
        <f>+'Tab. 6B Polit społ i rozwój prz'!G13+'Tab. 6D - Oświata'!G15+'Tab. 6A -Drogi'!G14+'Tab. 6E - Administracja'!G15+'Tab. 6G - Roln i ochrona środ.'!G14+'Tab. 6H - Kultura fiz. i turyst'!G13+'Tab.6I - Planow. przestrz.'!G14</f>
        <v>128606</v>
      </c>
      <c r="E18" s="51">
        <f>+'Tab. 6B Polit społ i rozwój prz'!H13+'Tab. 6D - Oświata'!H15+'Tab. 6A -Drogi'!H14+'Tab. 6E - Administracja'!H15+'Tab. 6G - Roln i ochrona środ.'!H14+'Tab. 6H - Kultura fiz. i turyst'!H13+'Tab.6I - Planow. przestrz.'!H14</f>
        <v>0</v>
      </c>
      <c r="F18" s="51">
        <f>+'Tab. 6B Polit społ i rozwój prz'!I13+'Tab. 6D - Oświata'!I15+'Tab. 6A -Drogi'!I14+'Tab. 6E - Administracja'!I15+'Tab. 6G - Roln i ochrona środ.'!I14+'Tab. 6H - Kultura fiz. i turyst'!I13+'Tab.6I - Planow. przestrz.'!I14</f>
        <v>1115098</v>
      </c>
      <c r="G18" s="51">
        <f>+'Tab. 6B Polit społ i rozwój prz'!J13+'Tab. 6D - Oświata'!J15+'Tab. 6A -Drogi'!J14+'Tab. 6E - Administracja'!J15+'Tab. 6G - Roln i ochrona środ.'!J14+'Tab. 6H - Kultura fiz. i turyst'!J13+'Tab.6I - Planow. przestrz.'!J14</f>
        <v>1543634</v>
      </c>
      <c r="H18" s="51">
        <f>+'Tab. 6B Polit społ i rozwój prz'!K13+'Tab. 6D - Oświata'!K15+'Tab. 6A -Drogi'!K14+'Tab. 6E - Administracja'!K15+'Tab. 6G - Roln i ochrona środ.'!K14+'Tab. 6H - Kultura fiz. i turyst'!K13+'Tab.6I - Planow. przestrz.'!K14</f>
        <v>4831041</v>
      </c>
      <c r="I18" s="51">
        <f>+'Tab. 6B Polit społ i rozwój prz'!L13+'Tab. 6D - Oświata'!L15+'Tab. 6A -Drogi'!L14+'Tab. 6E - Administracja'!L15+'Tab. 6G - Roln i ochrona środ.'!L14+'Tab. 6H - Kultura fiz. i turyst'!L13+'Tab.6I - Planow. przestrz.'!L14+0.3</f>
        <v>3496033.3</v>
      </c>
      <c r="J18" s="51">
        <f>+'Tab. 6B Polit społ i rozwój prz'!M13+'Tab. 6D - Oświata'!M15+'Tab. 6A -Drogi'!M14+'Tab. 6E - Administracja'!M15+'Tab. 6G - Roln i ochrona środ.'!M14+'Tab. 6H - Kultura fiz. i turyst'!M13+'Tab.6I - Planow. przestrz.'!M14+0.3</f>
        <v>19499814.300000001</v>
      </c>
      <c r="K18" s="1032">
        <f>+'Tab. 6B Polit społ i rozwój prz'!N13+'Tab. 6D - Oświata'!N15+'Tab. 6A -Drogi'!N14+'Tab. 6E - Administracja'!N15+'Tab. 6G - Roln i ochrona środ.'!N14+'Tab. 6H - Kultura fiz. i turyst'!N13+'Tab.6I - Planow. przestrz.'!N14</f>
        <v>8296117</v>
      </c>
      <c r="L18" s="51">
        <f>+'Tab. 6B Polit społ i rozwój prz'!O13+'Tab. 6D - Oświata'!O15+'Tab. 6A -Drogi'!O14+'Tab. 6E - Administracja'!O15+'Tab. 6G - Roln i ochrona środ.'!O14+'Tab. 6H - Kultura fiz. i turyst'!O13+'Tab.6I - Planow. przestrz.'!O14</f>
        <v>2865669</v>
      </c>
      <c r="M18" s="51">
        <f>+'Tab. 6B Polit społ i rozwój prz'!P13+'Tab. 6D - Oświata'!P15+'Tab. 6A -Drogi'!P14+'Tab. 6E - Administracja'!P15+'Tab. 6G - Roln i ochrona środ.'!P14+'Tab. 6H - Kultura fiz. i turyst'!P13+'Tab.6I - Planow. przestrz.'!P14</f>
        <v>7815618</v>
      </c>
      <c r="N18" s="51">
        <f>+'Tab. 6B Polit społ i rozwój prz'!Q13+'Tab. 6D - Oświata'!Q15+'Tab. 6A -Drogi'!Q14+'Tab. 6E - Administracja'!Q15+'Tab. 6G - Roln i ochrona środ.'!Q14+'Tab. 6H - Kultura fiz. i turyst'!Q13+'Tab.6I - Planow. przestrz.'!Q14</f>
        <v>45651373</v>
      </c>
      <c r="O18" s="51">
        <f>+'Tab. 6B Polit społ i rozwój prz'!R13+'Tab. 6D - Oświata'!R15+'Tab. 6A -Drogi'!R14+'Tab. 6E - Administracja'!R15+'Tab. 6G - Roln i ochrona środ.'!R14+'Tab. 6H - Kultura fiz. i turyst'!R13+'Tab.6I - Planow. przestrz.'!R14</f>
        <v>36436898</v>
      </c>
      <c r="P18" s="51">
        <f>+'Tab. 6B Polit społ i rozwój prz'!S13+'Tab. 6D - Oświata'!S15+'Tab. 6A -Drogi'!S14+'Tab. 6E - Administracja'!S15+'Tab. 6G - Roln i ochrona środ.'!S14+'Tab. 6H - Kultura fiz. i turyst'!S13+'Tab.6I - Planow. przestrz.'!S14</f>
        <v>12639513</v>
      </c>
      <c r="Q18" s="51">
        <f>+'Tab. 6B Polit społ i rozwój prz'!T13+'Tab. 6D - Oświata'!T15+'Tab. 6A -Drogi'!T14+'Tab. 6E - Administracja'!T15+'Tab. 6G - Roln i ochrona środ.'!T14+'Tab. 6H - Kultura fiz. i turyst'!T13+'Tab.6I - Planow. przestrz.'!T14</f>
        <v>7230894</v>
      </c>
      <c r="R18" s="51">
        <f>+'Tab. 6B Polit społ i rozwój prz'!U13+'Tab. 6D - Oświata'!U15+'Tab. 6A -Drogi'!U14+'Tab. 6E - Administracja'!U15+'Tab. 6G - Roln i ochrona środ.'!U14+'Tab. 6H - Kultura fiz. i turyst'!U13+'Tab.6I - Planow. przestrz.'!U14</f>
        <v>6081814</v>
      </c>
      <c r="S18" s="51">
        <f>+'Tab. 6B Polit społ i rozwój prz'!V13+'Tab. 6D - Oświata'!V15+'Tab. 6A -Drogi'!V14+'Tab. 6E - Administracja'!V15+'Tab. 6G - Roln i ochrona środ.'!V14+'Tab. 6H - Kultura fiz. i turyst'!V13+'Tab.6I - Planow. przestrz.'!V14</f>
        <v>3882988</v>
      </c>
      <c r="T18" s="51">
        <f>+'Tab. 6B Polit społ i rozwój prz'!W13+'Tab. 6D - Oświata'!W15+'Tab. 6A -Drogi'!W14+'Tab. 6E - Administracja'!W15+'Tab. 6G - Roln i ochrona środ.'!W14+'Tab. 6H - Kultura fiz. i turyst'!W13+'Tab.6I - Planow. przestrz.'!W14</f>
        <v>3945476</v>
      </c>
      <c r="U18" s="1001">
        <f>J18+L18+M18+N18+O18+P18+Q18+R18+S18+T18</f>
        <v>146050057.30000001</v>
      </c>
      <c r="V18" s="29">
        <f>SUM(M18:T18)</f>
        <v>123684574</v>
      </c>
      <c r="W18" s="890"/>
      <c r="X18" s="1365">
        <f t="shared" si="2"/>
        <v>146050057.30000001</v>
      </c>
      <c r="Y18" s="1366">
        <f t="shared" si="3"/>
        <v>0</v>
      </c>
    </row>
    <row r="19" spans="1:25" s="38" customFormat="1" ht="15.75" customHeight="1">
      <c r="A19" s="53" t="s">
        <v>25</v>
      </c>
      <c r="B19" s="51" t="e">
        <f>+'Tab. 6B Polit społ i rozwój prz'!E14+'Tab. 6A -Drogi'!E15+'Tab. 6E - Administracja'!E16+'Tab. 6G - Roln i ochrona środ.'!E15</f>
        <v>#REF!</v>
      </c>
      <c r="C19" s="51" t="e">
        <f>+'Tab. 6B Polit społ i rozwój prz'!F14+'Tab. 6A -Drogi'!F15+'Tab. 6E - Administracja'!F16+'Tab. 6G - Roln i ochrona środ.'!F15</f>
        <v>#REF!</v>
      </c>
      <c r="D19" s="51" t="e">
        <f>+'Tab. 6B Polit społ i rozwój prz'!G14+'Tab. 6A -Drogi'!G15+'Tab. 6E - Administracja'!G16+'Tab. 6G - Roln i ochrona środ.'!G15</f>
        <v>#REF!</v>
      </c>
      <c r="E19" s="51" t="e">
        <f>+'Tab. 6B Polit społ i rozwój prz'!H14+'Tab. 6A -Drogi'!H15+'Tab. 6E - Administracja'!H16+'Tab. 6G - Roln i ochrona środ.'!H15</f>
        <v>#REF!</v>
      </c>
      <c r="F19" s="51" t="e">
        <f>+'Tab. 6B Polit społ i rozwój prz'!I14+'Tab. 6A -Drogi'!I15+'Tab. 6E - Administracja'!I16+'Tab. 6G - Roln i ochrona środ.'!I15</f>
        <v>#REF!</v>
      </c>
      <c r="G19" s="51" t="e">
        <f>+'Tab. 6B Polit społ i rozwój prz'!J14+'Tab. 6A -Drogi'!J15+'Tab. 6E - Administracja'!J16+'Tab. 6G - Roln i ochrona środ.'!J15</f>
        <v>#REF!</v>
      </c>
      <c r="H19" s="51" t="e">
        <f>+'Tab. 6B Polit społ i rozwój prz'!K14+'Tab. 6A -Drogi'!K15+'Tab. 6E - Administracja'!K16+'Tab. 6G - Roln i ochrona środ.'!K15</f>
        <v>#REF!</v>
      </c>
      <c r="I19" s="51" t="e">
        <f>+'Tab. 6B Polit społ i rozwój prz'!L14+'Tab. 6A -Drogi'!L15+'Tab. 6E - Administracja'!L16+'Tab. 6G - Roln i ochrona środ.'!L15</f>
        <v>#REF!</v>
      </c>
      <c r="J19" s="51">
        <f>+'Tab. 6B Polit społ i rozwój prz'!M14+'Tab. 6A -Drogi'!M15+'Tab. 6E - Administracja'!M16+'Tab. 6G - Roln i ochrona środ.'!M15</f>
        <v>318988</v>
      </c>
      <c r="K19" s="1032" t="e">
        <f>+'Tab. 6B Polit społ i rozwój prz'!N14+'Tab. 6A -Drogi'!N15+'Tab. 6E - Administracja'!N16+'Tab. 6G - Roln i ochrona środ.'!N15</f>
        <v>#REF!</v>
      </c>
      <c r="L19" s="51">
        <f>+'Tab. 6B Polit społ i rozwój prz'!O14+'Tab. 6A -Drogi'!O15+'Tab. 6E - Administracja'!O16+'Tab. 6G - Roln i ochrona środ.'!O15+'Tab.6I - Planow. przestrz.'!O57</f>
        <v>980299</v>
      </c>
      <c r="M19" s="51">
        <f>+'Tab. 6B Polit społ i rozwój prz'!P14+'Tab. 6A -Drogi'!P15+'Tab. 6E - Administracja'!P16+'Tab. 6G - Roln i ochrona środ.'!P15+'Tab.6I - Planow. przestrz.'!P57</f>
        <v>2307775</v>
      </c>
      <c r="N19" s="51">
        <f>+'Tab. 6B Polit społ i rozwój prz'!Q14+'Tab. 6A -Drogi'!Q15+'Tab. 6E - Administracja'!Q16+'Tab. 6G - Roln i ochrona środ.'!Q15+'Tab.6I - Planow. przestrz.'!Q57</f>
        <v>2259599</v>
      </c>
      <c r="O19" s="51">
        <f>+'Tab. 6B Polit społ i rozwój prz'!R14+'Tab. 6A -Drogi'!R15+'Tab. 6E - Administracja'!R16+'Tab. 6G - Roln i ochrona środ.'!R15+'Tab.6I - Planow. przestrz.'!R57</f>
        <v>1176432</v>
      </c>
      <c r="P19" s="51">
        <f>+'Tab. 6B Polit społ i rozwój prz'!S14+'Tab. 6A -Drogi'!S15+'Tab. 6E - Administracja'!S16+'Tab. 6G - Roln i ochrona środ.'!S15+'Tab.6I - Planow. przestrz.'!S57</f>
        <v>1151570</v>
      </c>
      <c r="Q19" s="51">
        <f>+'Tab. 6B Polit społ i rozwój prz'!T14+'Tab. 6A -Drogi'!T15+'Tab. 6E - Administracja'!T16+'Tab. 6G - Roln i ochrona środ.'!T15+'Tab.6I - Planow. przestrz.'!T57</f>
        <v>1216734</v>
      </c>
      <c r="R19" s="51">
        <f>+'Tab. 6B Polit społ i rozwój prz'!U14+'Tab. 6A -Drogi'!U15+'Tab. 6E - Administracja'!U16+'Tab. 6G - Roln i ochrona środ.'!U15+'Tab.6I - Planow. przestrz.'!U57</f>
        <v>989414</v>
      </c>
      <c r="S19" s="51">
        <f>+'Tab. 6B Polit społ i rozwój prz'!V14+'Tab. 6A -Drogi'!V15+'Tab. 6E - Administracja'!V16+'Tab. 6G - Roln i ochrona środ.'!V15+'Tab.6I - Planow. przestrz.'!V57</f>
        <v>989414</v>
      </c>
      <c r="T19" s="51">
        <f>+'Tab. 6B Polit społ i rozwój prz'!W14+'Tab. 6A -Drogi'!W15+'Tab. 6E - Administracja'!W16+'Tab. 6G - Roln i ochrona środ.'!W15+'Tab.6I - Planow. przestrz.'!W57</f>
        <v>494707</v>
      </c>
      <c r="U19" s="1001">
        <f t="shared" ref="U19:U25" si="7">J19+L19+M19+N19+O19+P19+Q19+R19+S19+T19</f>
        <v>11884932</v>
      </c>
      <c r="V19" s="29">
        <f t="shared" ref="V19:V24" si="8">SUM(M19:T19)</f>
        <v>10585645</v>
      </c>
      <c r="W19" s="890"/>
      <c r="X19" s="1365">
        <f t="shared" si="2"/>
        <v>11884932</v>
      </c>
      <c r="Y19" s="1366">
        <f t="shared" si="3"/>
        <v>0</v>
      </c>
    </row>
    <row r="20" spans="1:25" s="38" customFormat="1" ht="13.5" hidden="1" customHeight="1">
      <c r="A20" s="53" t="s">
        <v>26</v>
      </c>
      <c r="B20" s="51">
        <f>+'Tab. 6G - Roln i ochrona środ.'!E16</f>
        <v>0</v>
      </c>
      <c r="C20" s="51">
        <f>+'Tab. 6G - Roln i ochrona środ.'!F16</f>
        <v>0</v>
      </c>
      <c r="D20" s="51">
        <f>+'Tab. 6G - Roln i ochrona środ.'!G16</f>
        <v>0</v>
      </c>
      <c r="E20" s="51">
        <f>+'Tab. 6G - Roln i ochrona środ.'!H16</f>
        <v>0</v>
      </c>
      <c r="F20" s="51">
        <f>+'Tab. 6G - Roln i ochrona środ.'!I16</f>
        <v>0</v>
      </c>
      <c r="G20" s="51">
        <f>+'Tab. 6G - Roln i ochrona środ.'!J16</f>
        <v>0</v>
      </c>
      <c r="H20" s="51">
        <f>+'Tab. 6G - Roln i ochrona środ.'!K16</f>
        <v>0</v>
      </c>
      <c r="I20" s="51">
        <f>+'Tab. 6G - Roln i ochrona środ.'!L16</f>
        <v>0</v>
      </c>
      <c r="J20" s="51">
        <f>+'Tab. 6G - Roln i ochrona środ.'!M16</f>
        <v>0</v>
      </c>
      <c r="K20" s="1032">
        <f>+'Tab. 6G - Roln i ochrona środ.'!N16</f>
        <v>0</v>
      </c>
      <c r="L20" s="51">
        <f>+'Tab. 6G - Roln i ochrona środ.'!O16</f>
        <v>0</v>
      </c>
      <c r="M20" s="54">
        <f>+'Tab. 6G - Roln i ochrona środ.'!P16</f>
        <v>0</v>
      </c>
      <c r="N20" s="54">
        <f>+'Tab. 6G - Roln i ochrona środ.'!Q16</f>
        <v>0</v>
      </c>
      <c r="O20" s="54">
        <f>+'Tab. 6G - Roln i ochrona środ.'!R16</f>
        <v>0</v>
      </c>
      <c r="P20" s="54">
        <f>+'Tab. 6G - Roln i ochrona środ.'!S16</f>
        <v>0</v>
      </c>
      <c r="Q20" s="54">
        <f>+'Tab. 6G - Roln i ochrona środ.'!T16</f>
        <v>0</v>
      </c>
      <c r="R20" s="54">
        <f>+'Tab. 6G - Roln i ochrona środ.'!U16</f>
        <v>0</v>
      </c>
      <c r="S20" s="54">
        <f>+'Tab. 6G - Roln i ochrona środ.'!V16</f>
        <v>0</v>
      </c>
      <c r="T20" s="54">
        <f>+'Tab. 6G - Roln i ochrona środ.'!W16</f>
        <v>0</v>
      </c>
      <c r="U20" s="1001">
        <f t="shared" si="7"/>
        <v>0</v>
      </c>
      <c r="V20" s="29">
        <f t="shared" si="8"/>
        <v>0</v>
      </c>
      <c r="W20" s="890"/>
      <c r="X20" s="1365">
        <f t="shared" si="2"/>
        <v>0</v>
      </c>
      <c r="Y20" s="1366">
        <f t="shared" si="3"/>
        <v>0</v>
      </c>
    </row>
    <row r="21" spans="1:25" s="38" customFormat="1" ht="15.75" customHeight="1">
      <c r="A21" s="53" t="s">
        <v>27</v>
      </c>
      <c r="B21" s="55">
        <f>+'Tab. 6A -Drogi'!E16</f>
        <v>0</v>
      </c>
      <c r="C21" s="55">
        <f>+'Tab. 6A -Drogi'!F16</f>
        <v>0</v>
      </c>
      <c r="D21" s="55">
        <f>+'Tab. 6A -Drogi'!G16</f>
        <v>0</v>
      </c>
      <c r="E21" s="55">
        <f>+'Tab. 6A -Drogi'!H16</f>
        <v>0</v>
      </c>
      <c r="F21" s="55">
        <f>+'Tab. 6A -Drogi'!I16</f>
        <v>0</v>
      </c>
      <c r="G21" s="55">
        <f>+'Tab. 6A -Drogi'!J16</f>
        <v>2000000</v>
      </c>
      <c r="H21" s="55">
        <f>+'Tab. 6A -Drogi'!K16</f>
        <v>5537342</v>
      </c>
      <c r="I21" s="55">
        <f>+'Tab. 6A -Drogi'!L16</f>
        <v>34125</v>
      </c>
      <c r="J21" s="55">
        <f>+'Tab. 6A -Drogi'!M16</f>
        <v>8571467</v>
      </c>
      <c r="K21" s="1033">
        <f>+'Tab. 6A -Drogi'!N16</f>
        <v>1000000</v>
      </c>
      <c r="L21" s="56">
        <f>+'Tab. 6A -Drogi'!O16</f>
        <v>0</v>
      </c>
      <c r="M21" s="51">
        <f>+'Tab. 6A -Drogi'!P16</f>
        <v>1016205</v>
      </c>
      <c r="N21" s="51">
        <f>+'Tab. 6A -Drogi'!Q16</f>
        <v>500000</v>
      </c>
      <c r="O21" s="56">
        <f>+'Tab. 6A -Drogi'!R16</f>
        <v>0</v>
      </c>
      <c r="P21" s="56">
        <f>+'Tab. 6A -Drogi'!S16</f>
        <v>0</v>
      </c>
      <c r="Q21" s="56">
        <f>+'Tab. 6A -Drogi'!T16</f>
        <v>0</v>
      </c>
      <c r="R21" s="56">
        <f>+'Tab. 6A -Drogi'!U16</f>
        <v>0</v>
      </c>
      <c r="S21" s="56">
        <f>+'Tab. 6A -Drogi'!V16</f>
        <v>0</v>
      </c>
      <c r="T21" s="56">
        <f>+'Tab. 6A -Drogi'!W16</f>
        <v>0</v>
      </c>
      <c r="U21" s="1001">
        <f t="shared" si="7"/>
        <v>10087672</v>
      </c>
      <c r="V21" s="29">
        <f t="shared" si="8"/>
        <v>1516205</v>
      </c>
      <c r="W21" s="890"/>
      <c r="X21" s="1365">
        <f t="shared" si="2"/>
        <v>10087672</v>
      </c>
      <c r="Y21" s="1366">
        <f t="shared" si="3"/>
        <v>0</v>
      </c>
    </row>
    <row r="22" spans="1:25" s="38" customFormat="1" ht="15.75" customHeight="1">
      <c r="A22" s="53" t="s">
        <v>28</v>
      </c>
      <c r="B22" s="57">
        <f>+'Tab. 6A -Drogi'!E17+'Tab. 6G - Roln i ochrona środ.'!E17</f>
        <v>0</v>
      </c>
      <c r="C22" s="57">
        <f>+'Tab. 6A -Drogi'!F17+'Tab. 6G - Roln i ochrona środ.'!F17</f>
        <v>0</v>
      </c>
      <c r="D22" s="57">
        <f>+'Tab. 6A -Drogi'!G17+'Tab. 6G - Roln i ochrona środ.'!G17</f>
        <v>0</v>
      </c>
      <c r="E22" s="57">
        <f>+'Tab. 6A -Drogi'!H17+'Tab. 6G - Roln i ochrona środ.'!H17</f>
        <v>0</v>
      </c>
      <c r="F22" s="57">
        <f>+'Tab. 6A -Drogi'!I17+'Tab. 6G - Roln i ochrona środ.'!I17</f>
        <v>0</v>
      </c>
      <c r="G22" s="57">
        <f>+'Tab. 6A -Drogi'!J17+'Tab. 6G - Roln i ochrona środ.'!J17</f>
        <v>0</v>
      </c>
      <c r="H22" s="58">
        <f>+'Tab. 6A -Drogi'!K17+'Tab. 6G - Roln i ochrona środ.'!K17</f>
        <v>3801777</v>
      </c>
      <c r="I22" s="58">
        <f>+'Tab. 6A -Drogi'!L17+'Tab. 6G - Roln i ochrona środ.'!L17</f>
        <v>3261339</v>
      </c>
      <c r="J22" s="58">
        <f>+'Tab. 6A -Drogi'!M17+'Tab. 6G - Roln i ochrona środ.'!M17+'Tab. 6E - Administracja'!M17</f>
        <v>7063116</v>
      </c>
      <c r="K22" s="58">
        <f>+'Tab. 6A -Drogi'!N17+'Tab. 6G - Roln i ochrona środ.'!N17+'Tab. 6E - Administracja'!N17</f>
        <v>0</v>
      </c>
      <c r="L22" s="58">
        <f>+'Tab. 6A -Drogi'!O17+'Tab. 6G - Roln i ochrona środ.'!O17+'Tab. 6E - Administracja'!O17</f>
        <v>303250</v>
      </c>
      <c r="M22" s="58">
        <f>+'Tab. 6A -Drogi'!P17+'Tab. 6G - Roln i ochrona środ.'!P17+'Tab. 6E - Administracja'!P17</f>
        <v>2039337</v>
      </c>
      <c r="N22" s="58">
        <f>+'Tab. 6A -Drogi'!Q17+'Tab. 6G - Roln i ochrona środ.'!Q17+'Tab. 6E - Administracja'!Q17</f>
        <v>23896915</v>
      </c>
      <c r="O22" s="58">
        <f>+'Tab. 6A -Drogi'!R17+'Tab. 6G - Roln i ochrona środ.'!R17+'Tab. 6E - Administracja'!R17</f>
        <v>16754888</v>
      </c>
      <c r="P22" s="58">
        <f>+'Tab. 6A -Drogi'!S17+'Tab. 6G - Roln i ochrona środ.'!S17+'Tab. 6E - Administracja'!S17</f>
        <v>4009238</v>
      </c>
      <c r="Q22" s="58">
        <f>+'Tab. 6A -Drogi'!T17+'Tab. 6G - Roln i ochrona środ.'!T17+'Tab. 6E - Administracja'!T17</f>
        <v>3470500</v>
      </c>
      <c r="R22" s="57">
        <f>+'Tab. 6A -Drogi'!U17+'Tab. 6G - Roln i ochrona środ.'!U17+'Tab. 6E - Administracja'!U17</f>
        <v>0</v>
      </c>
      <c r="S22" s="57">
        <f>+'Tab. 6A -Drogi'!V17+'Tab. 6G - Roln i ochrona środ.'!V17+'Tab. 6E - Administracja'!V17</f>
        <v>0</v>
      </c>
      <c r="T22" s="57">
        <f>+'Tab. 6A -Drogi'!W17+'Tab. 6G - Roln i ochrona środ.'!W17+'Tab. 6E - Administracja'!W17</f>
        <v>0</v>
      </c>
      <c r="U22" s="1001">
        <f>J22+L22+M22+N22+O22+P22+Q22+R22+S22+T22</f>
        <v>57537244</v>
      </c>
      <c r="V22" s="29">
        <f>SUM(M22:T22)</f>
        <v>50170878</v>
      </c>
      <c r="W22" s="890"/>
      <c r="X22" s="1365">
        <f t="shared" si="2"/>
        <v>57537244</v>
      </c>
      <c r="Y22" s="1366">
        <f t="shared" si="3"/>
        <v>0</v>
      </c>
    </row>
    <row r="23" spans="1:25" s="38" customFormat="1" ht="15.75" hidden="1" customHeight="1">
      <c r="A23" s="53" t="s">
        <v>37</v>
      </c>
      <c r="B23" s="60"/>
      <c r="C23" s="60"/>
      <c r="D23" s="60"/>
      <c r="E23" s="60"/>
      <c r="F23" s="60"/>
      <c r="G23" s="60"/>
      <c r="H23" s="59"/>
      <c r="I23" s="59"/>
      <c r="J23" s="1603">
        <f>+'Tab.6I - Planow. przestrz.'!M15</f>
        <v>0</v>
      </c>
      <c r="K23" s="1604"/>
      <c r="L23" s="1603">
        <v>0</v>
      </c>
      <c r="M23" s="1604">
        <v>0</v>
      </c>
      <c r="N23" s="1604">
        <v>0</v>
      </c>
      <c r="O23" s="1604">
        <v>0</v>
      </c>
      <c r="P23" s="1604">
        <v>0</v>
      </c>
      <c r="Q23" s="1604">
        <v>0</v>
      </c>
      <c r="R23" s="1604">
        <f>+'Tab.6I - Planow. przestrz.'!U15</f>
        <v>0</v>
      </c>
      <c r="S23" s="1604"/>
      <c r="T23" s="1604"/>
      <c r="U23" s="1001">
        <f>+T23+S23+R23+Q23+P23+O23+N23+M23+L23+J23</f>
        <v>0</v>
      </c>
      <c r="V23" s="29">
        <f>SUM(M23:T23)</f>
        <v>0</v>
      </c>
      <c r="W23" s="890"/>
      <c r="X23" s="1365"/>
      <c r="Y23" s="1366"/>
    </row>
    <row r="24" spans="1:25" s="38" customFormat="1" ht="15.75" customHeight="1">
      <c r="A24" s="53" t="s">
        <v>29</v>
      </c>
      <c r="B24" s="59">
        <f>+'Tab. 6A -Drogi'!E18</f>
        <v>16194</v>
      </c>
      <c r="C24" s="59">
        <f>+'Tab. 6A -Drogi'!F18</f>
        <v>0</v>
      </c>
      <c r="D24" s="59">
        <f>+'Tab. 6A -Drogi'!G18</f>
        <v>0</v>
      </c>
      <c r="E24" s="59">
        <f>+'Tab. 6A -Drogi'!H18</f>
        <v>83</v>
      </c>
      <c r="F24" s="59">
        <f>+'Tab. 6A -Drogi'!I18</f>
        <v>198958</v>
      </c>
      <c r="G24" s="59">
        <f>+'Tab. 6A -Drogi'!J18</f>
        <v>11663211</v>
      </c>
      <c r="H24" s="59">
        <f>+'Tab. 6A -Drogi'!K18</f>
        <v>2624337</v>
      </c>
      <c r="I24" s="59">
        <f>+'Tab. 6A -Drogi'!L18</f>
        <v>1960926</v>
      </c>
      <c r="J24" s="58">
        <f>+'Tab. 6A -Drogi'!M18</f>
        <v>18056213</v>
      </c>
      <c r="K24" s="1033">
        <f>+'Tab. 6A -Drogi'!N18</f>
        <v>1592587</v>
      </c>
      <c r="L24" s="58">
        <f>+'Tab. 6A -Drogi'!O18</f>
        <v>3031</v>
      </c>
      <c r="M24" s="56">
        <f>+'Tab. 6A -Drogi'!P18</f>
        <v>0</v>
      </c>
      <c r="N24" s="56">
        <f>+'Tab. 6A -Drogi'!Q18</f>
        <v>0</v>
      </c>
      <c r="O24" s="56">
        <f>+'Tab. 6A -Drogi'!R18</f>
        <v>0</v>
      </c>
      <c r="P24" s="56">
        <f>+'Tab. 6A -Drogi'!S18</f>
        <v>0</v>
      </c>
      <c r="Q24" s="56">
        <f>+'Tab. 6A -Drogi'!T18</f>
        <v>0</v>
      </c>
      <c r="R24" s="56">
        <f>+'Tab. 6A -Drogi'!U18</f>
        <v>0</v>
      </c>
      <c r="S24" s="56">
        <f>+'Tab. 6A -Drogi'!V18</f>
        <v>0</v>
      </c>
      <c r="T24" s="56">
        <f>+'Tab. 6A -Drogi'!W18</f>
        <v>0</v>
      </c>
      <c r="U24" s="1001">
        <f t="shared" si="7"/>
        <v>18059244</v>
      </c>
      <c r="V24" s="29">
        <f t="shared" si="8"/>
        <v>0</v>
      </c>
      <c r="W24" s="890"/>
      <c r="X24" s="1365">
        <f t="shared" si="2"/>
        <v>18059244</v>
      </c>
      <c r="Y24" s="1366">
        <f t="shared" si="3"/>
        <v>0</v>
      </c>
    </row>
    <row r="25" spans="1:25" s="38" customFormat="1" ht="15.75" customHeight="1">
      <c r="A25" s="53" t="s">
        <v>45</v>
      </c>
      <c r="B25" s="59"/>
      <c r="C25" s="59"/>
      <c r="D25" s="59"/>
      <c r="E25" s="59"/>
      <c r="F25" s="59"/>
      <c r="G25" s="59"/>
      <c r="H25" s="59"/>
      <c r="I25" s="59"/>
      <c r="J25" s="59">
        <f>'Tab. 6E - Administracja'!M18</f>
        <v>0</v>
      </c>
      <c r="K25" s="1035">
        <f>'Tab. 6E - Administracja'!N18</f>
        <v>0</v>
      </c>
      <c r="L25" s="59">
        <f>'Tab. 6E - Administracja'!O18</f>
        <v>0</v>
      </c>
      <c r="M25" s="59">
        <f>'Tab. 6E - Administracja'!P18</f>
        <v>405705</v>
      </c>
      <c r="N25" s="59">
        <f>'Tab. 6E - Administracja'!Q18</f>
        <v>1002691</v>
      </c>
      <c r="O25" s="59">
        <f>'Tab. 6E - Administracja'!R18</f>
        <v>679559</v>
      </c>
      <c r="P25" s="59">
        <f>'Tab. 6E - Administracja'!S18</f>
        <v>471473</v>
      </c>
      <c r="Q25" s="59">
        <f>'Tab. 6E - Administracja'!T18</f>
        <v>471472</v>
      </c>
      <c r="R25" s="59">
        <f>'Tab. 6E - Administracja'!U18</f>
        <v>471472</v>
      </c>
      <c r="S25" s="59">
        <f>'Tab. 6E - Administracja'!V18</f>
        <v>471472</v>
      </c>
      <c r="T25" s="59">
        <f>'Tab. 6E - Administracja'!W18</f>
        <v>471472</v>
      </c>
      <c r="U25" s="1001">
        <f t="shared" si="7"/>
        <v>4445316</v>
      </c>
      <c r="V25" s="827">
        <v>0</v>
      </c>
      <c r="W25" s="890"/>
      <c r="X25" s="1365">
        <f t="shared" si="2"/>
        <v>4445316</v>
      </c>
      <c r="Y25" s="1366">
        <f t="shared" si="3"/>
        <v>0</v>
      </c>
    </row>
    <row r="26" spans="1:25" s="38" customFormat="1" ht="17.25" customHeight="1">
      <c r="A26" s="61" t="s">
        <v>30</v>
      </c>
      <c r="B26" s="62">
        <f>SUM(B27:B31)</f>
        <v>583542</v>
      </c>
      <c r="C26" s="62">
        <f t="shared" ref="C26:N26" si="9">SUM(C27:C31)</f>
        <v>0</v>
      </c>
      <c r="D26" s="62">
        <f t="shared" si="9"/>
        <v>511</v>
      </c>
      <c r="E26" s="62">
        <f t="shared" si="9"/>
        <v>8746</v>
      </c>
      <c r="F26" s="62">
        <f t="shared" si="9"/>
        <v>1631840</v>
      </c>
      <c r="G26" s="62">
        <f t="shared" si="9"/>
        <v>14559068</v>
      </c>
      <c r="H26" s="62">
        <f t="shared" si="9"/>
        <v>46410191</v>
      </c>
      <c r="I26" s="62">
        <f t="shared" si="9"/>
        <v>49208044</v>
      </c>
      <c r="J26" s="62">
        <f t="shared" si="9"/>
        <v>172472208</v>
      </c>
      <c r="K26" s="1036">
        <f t="shared" si="9"/>
        <v>60362905</v>
      </c>
      <c r="L26" s="62">
        <f t="shared" si="9"/>
        <v>44922369</v>
      </c>
      <c r="M26" s="62">
        <f t="shared" si="9"/>
        <v>109484089</v>
      </c>
      <c r="N26" s="62">
        <f t="shared" si="9"/>
        <v>330850670</v>
      </c>
      <c r="O26" s="62">
        <f t="shared" ref="O26:U26" si="10">SUM(O27:O31)</f>
        <v>223587023</v>
      </c>
      <c r="P26" s="62">
        <f t="shared" si="10"/>
        <v>79140680</v>
      </c>
      <c r="Q26" s="62">
        <f t="shared" si="10"/>
        <v>60971008</v>
      </c>
      <c r="R26" s="62">
        <f t="shared" si="10"/>
        <v>32586286</v>
      </c>
      <c r="S26" s="62">
        <f t="shared" si="10"/>
        <v>32251686</v>
      </c>
      <c r="T26" s="62">
        <f t="shared" si="10"/>
        <v>31208245</v>
      </c>
      <c r="U26" s="1002">
        <f t="shared" si="10"/>
        <v>1117474264</v>
      </c>
      <c r="V26" s="63">
        <f>SUM(V29:V31)</f>
        <v>42557998</v>
      </c>
      <c r="W26" s="890"/>
      <c r="X26" s="1365">
        <f t="shared" si="2"/>
        <v>1117474264</v>
      </c>
      <c r="Y26" s="1366">
        <f t="shared" si="3"/>
        <v>0</v>
      </c>
    </row>
    <row r="27" spans="1:25" s="38" customFormat="1" ht="15.75" hidden="1" customHeight="1">
      <c r="A27" s="50" t="s">
        <v>24</v>
      </c>
      <c r="B27" s="51">
        <f>+'Tab. 6G - Roln i ochrona środ.'!E19</f>
        <v>0</v>
      </c>
      <c r="C27" s="51">
        <f>+'Tab. 6G - Roln i ochrona środ.'!F19</f>
        <v>0</v>
      </c>
      <c r="D27" s="51">
        <f>+'Tab. 6G - Roln i ochrona środ.'!G19</f>
        <v>0</v>
      </c>
      <c r="E27" s="51">
        <f>+'Tab. 6G - Roln i ochrona środ.'!H19</f>
        <v>0</v>
      </c>
      <c r="F27" s="51">
        <f>+'Tab. 6G - Roln i ochrona środ.'!I19</f>
        <v>0</v>
      </c>
      <c r="G27" s="51">
        <f>+'Tab. 6G - Roln i ochrona środ.'!J19</f>
        <v>0</v>
      </c>
      <c r="H27" s="51">
        <f>+'Tab. 6G - Roln i ochrona środ.'!K19</f>
        <v>0</v>
      </c>
      <c r="I27" s="51">
        <f>+'Tab. 6G - Roln i ochrona środ.'!L19</f>
        <v>0</v>
      </c>
      <c r="J27" s="51">
        <f>+'Tab. 6G - Roln i ochrona środ.'!M19</f>
        <v>0</v>
      </c>
      <c r="K27" s="1032">
        <f>+'Tab. 6G - Roln i ochrona środ.'!N19</f>
        <v>0</v>
      </c>
      <c r="L27" s="51">
        <f>+'Tab. 6G - Roln i ochrona środ.'!O19</f>
        <v>0</v>
      </c>
      <c r="M27" s="51">
        <f>+'Tab. 6G - Roln i ochrona środ.'!P19</f>
        <v>0</v>
      </c>
      <c r="N27" s="51">
        <f>+'Tab. 6G - Roln i ochrona środ.'!Q19</f>
        <v>0</v>
      </c>
      <c r="O27" s="51">
        <f>+'Tab. 6G - Roln i ochrona środ.'!R19</f>
        <v>0</v>
      </c>
      <c r="P27" s="51">
        <f>+'Tab. 6G - Roln i ochrona środ.'!S19</f>
        <v>0</v>
      </c>
      <c r="Q27" s="51">
        <f>+'Tab. 6G - Roln i ochrona środ.'!T19</f>
        <v>0</v>
      </c>
      <c r="R27" s="51">
        <f>+'Tab. 6G - Roln i ochrona środ.'!U19</f>
        <v>0</v>
      </c>
      <c r="S27" s="51">
        <f>+'Tab. 6G - Roln i ochrona środ.'!V19</f>
        <v>0</v>
      </c>
      <c r="T27" s="51">
        <f>+'Tab. 6G - Roln i ochrona środ.'!W19</f>
        <v>0</v>
      </c>
      <c r="U27" s="1001">
        <f>J27+L27+M27+N27+O27+P27+Q27+R27+S27+T27</f>
        <v>0</v>
      </c>
      <c r="V27" s="29">
        <f>SUM(M27:T27)</f>
        <v>0</v>
      </c>
      <c r="W27" s="890"/>
      <c r="X27" s="1365">
        <f t="shared" si="2"/>
        <v>0</v>
      </c>
      <c r="Y27" s="1366">
        <f t="shared" si="3"/>
        <v>0</v>
      </c>
    </row>
    <row r="28" spans="1:25" s="38" customFormat="1" ht="13.5" hidden="1" customHeight="1">
      <c r="A28" s="50" t="s">
        <v>31</v>
      </c>
      <c r="B28" s="54">
        <f>+'Tab. 6A -Drogi'!E22</f>
        <v>0</v>
      </c>
      <c r="C28" s="54">
        <f>+'Tab. 6A -Drogi'!F22</f>
        <v>0</v>
      </c>
      <c r="D28" s="54">
        <f>+'Tab. 6A -Drogi'!G22</f>
        <v>0</v>
      </c>
      <c r="E28" s="54">
        <f>+'Tab. 6A -Drogi'!H22</f>
        <v>0</v>
      </c>
      <c r="F28" s="54">
        <f>+'Tab. 6A -Drogi'!I22</f>
        <v>0</v>
      </c>
      <c r="G28" s="54">
        <f>+'Tab. 6A -Drogi'!J22</f>
        <v>0</v>
      </c>
      <c r="H28" s="54">
        <f>+'Tab. 6A -Drogi'!K22</f>
        <v>0</v>
      </c>
      <c r="I28" s="51">
        <f>+'Tab. 6A -Drogi'!L22</f>
        <v>0</v>
      </c>
      <c r="J28" s="51">
        <f>+'Tab. 6A -Drogi'!M22</f>
        <v>0</v>
      </c>
      <c r="K28" s="1032">
        <f>+'Tab. 6A -Drogi'!N22</f>
        <v>0</v>
      </c>
      <c r="L28" s="51">
        <f>+'Tab. 6A -Drogi'!O22</f>
        <v>0</v>
      </c>
      <c r="M28" s="51">
        <f>+'Tab. 6A -Drogi'!P22</f>
        <v>0</v>
      </c>
      <c r="N28" s="51">
        <f>+'Tab. 6A -Drogi'!Q22</f>
        <v>0</v>
      </c>
      <c r="O28" s="51">
        <f>+'Tab. 6A -Drogi'!R22</f>
        <v>0</v>
      </c>
      <c r="P28" s="51">
        <f>+'Tab. 6A -Drogi'!S22</f>
        <v>0</v>
      </c>
      <c r="Q28" s="51">
        <f>+'Tab. 6A -Drogi'!T22</f>
        <v>0</v>
      </c>
      <c r="R28" s="51">
        <f>+'Tab. 6A -Drogi'!U22</f>
        <v>0</v>
      </c>
      <c r="S28" s="51">
        <f>+'Tab. 6A -Drogi'!V22</f>
        <v>0</v>
      </c>
      <c r="T28" s="51">
        <f>+'Tab. 6A -Drogi'!W22</f>
        <v>0</v>
      </c>
      <c r="U28" s="1001">
        <f>J28+L28+M28+N28+O28+P28+Q28+R28+S28+T28</f>
        <v>0</v>
      </c>
      <c r="V28" s="29">
        <f>SUM(M28:T28)</f>
        <v>0</v>
      </c>
      <c r="W28" s="890"/>
      <c r="X28" s="1365">
        <f t="shared" si="2"/>
        <v>0</v>
      </c>
      <c r="Y28" s="1366">
        <f t="shared" si="3"/>
        <v>0</v>
      </c>
    </row>
    <row r="29" spans="1:25" s="38" customFormat="1" ht="14.25" customHeight="1">
      <c r="A29" s="53" t="s">
        <v>32</v>
      </c>
      <c r="B29" s="54">
        <f>+'Tab. 6D - Oświata'!E17+'Tab. 6A -Drogi'!E20+'Tab. 6G - Roln i ochrona środ.'!E22</f>
        <v>0</v>
      </c>
      <c r="C29" s="51">
        <f>+'Tab. 6D - Oświata'!F17+'Tab. 6A -Drogi'!F20+'Tab. 6G - Roln i ochrona środ.'!F22</f>
        <v>0</v>
      </c>
      <c r="D29" s="51">
        <f>+'Tab. 6D - Oświata'!G17+'Tab. 6A -Drogi'!G20+'Tab. 6G - Roln i ochrona środ.'!G22</f>
        <v>0</v>
      </c>
      <c r="E29" s="51">
        <f>+'Tab. 6D - Oświata'!H17+'Tab. 6A -Drogi'!H20+'Tab. 6G - Roln i ochrona środ.'!H22</f>
        <v>0</v>
      </c>
      <c r="F29" s="51">
        <f>+'Tab. 6D - Oświata'!I17+'Tab. 6A -Drogi'!I20+'Tab. 6G - Roln i ochrona środ.'!I22</f>
        <v>0</v>
      </c>
      <c r="G29" s="51">
        <f>+'Tab. 6D - Oświata'!J17+'Tab. 6A -Drogi'!J20+'Tab. 6G - Roln i ochrona środ.'!J22</f>
        <v>629249</v>
      </c>
      <c r="H29" s="51">
        <f>+'Tab. 6D - Oświata'!K17+'Tab. 6A -Drogi'!K20+'Tab. 6G - Roln i ochrona środ.'!K22</f>
        <v>2188317</v>
      </c>
      <c r="I29" s="51">
        <f>+'Tab. 6D - Oświata'!L17+'Tab. 6A -Drogi'!L20+'Tab. 6G - Roln i ochrona środ.'!L22</f>
        <v>1116737</v>
      </c>
      <c r="J29" s="51">
        <f>+'Tab. 6D - Oświata'!M17+'Tab. 6A -Drogi'!M20+'Tab. 6G - Roln i ochrona środ.'!M22+'Tab.6I - Planow. przestrz.'!M18+'Tab. 6B Polit społ i rozwój prz'!M16</f>
        <v>7123728</v>
      </c>
      <c r="K29" s="1032">
        <f>+'Tab. 6D - Oświata'!N17+'Tab. 6A -Drogi'!N20+'Tab. 6G - Roln i ochrona środ.'!N22</f>
        <v>3209752</v>
      </c>
      <c r="L29" s="51">
        <f>+'Tab. 6D - Oświata'!O17+'Tab. 6A -Drogi'!O20+'Tab. 6G - Roln i ochrona środ.'!O22+'Tab.6I - Planow. przestrz.'!O18+'Tab. 6B Polit społ i rozwój prz'!O16</f>
        <v>4991601</v>
      </c>
      <c r="M29" s="51">
        <f>+'Tab. 6D - Oświata'!P17+'Tab. 6A -Drogi'!P20+'Tab. 6G - Roln i ochrona środ.'!P22+'Tab.6I - Planow. przestrz.'!P18+'Tab. 6B Polit społ i rozwój prz'!P16</f>
        <v>4279880</v>
      </c>
      <c r="N29" s="51">
        <f>+'Tab. 6D - Oświata'!Q17+'Tab. 6A -Drogi'!Q20+'Tab. 6G - Roln i ochrona środ.'!Q22+'Tab.6I - Planow. przestrz.'!Q18+'Tab. 6B Polit społ i rozwój prz'!Q16</f>
        <v>25146222</v>
      </c>
      <c r="O29" s="51">
        <f>+'Tab. 6D - Oświata'!R17+'Tab. 6A -Drogi'!R20+'Tab. 6G - Roln i ochrona środ.'!R22+'Tab.6I - Planow. przestrz.'!R18+'Tab. 6B Polit społ i rozwój prz'!R16</f>
        <v>6028854</v>
      </c>
      <c r="P29" s="51">
        <f>+'Tab. 6D - Oświata'!S17+'Tab. 6A -Drogi'!S20+'Tab. 6G - Roln i ochrona środ.'!S22+'Tab.6I - Planow. przestrz.'!S18+'Tab. 6B Polit społ i rozwój prz'!S16</f>
        <v>6609205</v>
      </c>
      <c r="Q29" s="51">
        <f>+'Tab. 6D - Oświata'!T17+'Tab. 6A -Drogi'!T20+'Tab. 6G - Roln i ochrona środ.'!T22+'Tab.6I - Planow. przestrz.'!T18+'Tab. 6B Polit społ i rozwój prz'!T16</f>
        <v>113837</v>
      </c>
      <c r="R29" s="51">
        <f>+'Tab. 6D - Oświata'!U17+'Tab. 6A -Drogi'!U20+'Tab. 6G - Roln i ochrona środ.'!U22+'Tab.6I - Planow. przestrz.'!U18+'Tab. 6B Polit społ i rozwój prz'!U16</f>
        <v>0</v>
      </c>
      <c r="S29" s="51">
        <f>+'Tab. 6D - Oświata'!V17+'Tab. 6A -Drogi'!V20+'Tab. 6G - Roln i ochrona środ.'!V22+'Tab.6I - Planow. przestrz.'!V18+'Tab. 6B Polit społ i rozwój prz'!V16</f>
        <v>0</v>
      </c>
      <c r="T29" s="51">
        <f>+'Tab. 6D - Oświata'!W17+'Tab. 6A -Drogi'!W20+'Tab. 6G - Roln i ochrona środ.'!W22+'Tab.6I - Planow. przestrz.'!W18+'Tab. 6B Polit społ i rozwój prz'!W16</f>
        <v>0</v>
      </c>
      <c r="U29" s="1001">
        <f>J29+L29+M29+N29+O29+P29+Q29+R29+S29+T29</f>
        <v>54293327</v>
      </c>
      <c r="V29" s="29">
        <f>SUM(M29:T29)</f>
        <v>42177998</v>
      </c>
      <c r="W29" s="890"/>
      <c r="X29" s="1365">
        <f t="shared" si="2"/>
        <v>54293327</v>
      </c>
      <c r="Y29" s="1366">
        <f t="shared" si="3"/>
        <v>0</v>
      </c>
    </row>
    <row r="30" spans="1:25" s="38" customFormat="1" ht="14.25" hidden="1" customHeight="1">
      <c r="A30" s="53" t="s">
        <v>26</v>
      </c>
      <c r="B30" s="55">
        <f>+'Tab. 6G - Roln i ochrona środ.'!E21</f>
        <v>0</v>
      </c>
      <c r="C30" s="55">
        <f>+'Tab. 6G - Roln i ochrona środ.'!F21</f>
        <v>0</v>
      </c>
      <c r="D30" s="55">
        <f>+'Tab. 6G - Roln i ochrona środ.'!G21</f>
        <v>0</v>
      </c>
      <c r="E30" s="55">
        <f>+'Tab. 6G - Roln i ochrona środ.'!H21</f>
        <v>0</v>
      </c>
      <c r="F30" s="55">
        <f>+'Tab. 6G - Roln i ochrona środ.'!I21</f>
        <v>0</v>
      </c>
      <c r="G30" s="55">
        <f>+'Tab. 6G - Roln i ochrona środ.'!J21</f>
        <v>0</v>
      </c>
      <c r="H30" s="55">
        <f>+'Tab. 6G - Roln i ochrona środ.'!K21</f>
        <v>0</v>
      </c>
      <c r="I30" s="55">
        <f>+'Tab. 6G - Roln i ochrona środ.'!L21</f>
        <v>0</v>
      </c>
      <c r="J30" s="55">
        <f>+'Tab. 6G - Roln i ochrona środ.'!M21</f>
        <v>0</v>
      </c>
      <c r="K30" s="1033">
        <f>+'Tab. 6G - Roln i ochrona środ.'!N21</f>
        <v>0</v>
      </c>
      <c r="L30" s="55">
        <f>+'Tab. 6G - Roln i ochrona środ.'!O21</f>
        <v>0</v>
      </c>
      <c r="M30" s="55">
        <f>+'Tab. 6G - Roln i ochrona środ.'!P21</f>
        <v>0</v>
      </c>
      <c r="N30" s="55">
        <f>+'Tab. 6G - Roln i ochrona środ.'!Q21</f>
        <v>0</v>
      </c>
      <c r="O30" s="55">
        <f>+'Tab. 6G - Roln i ochrona środ.'!R21</f>
        <v>0</v>
      </c>
      <c r="P30" s="55">
        <f>+'Tab. 6G - Roln i ochrona środ.'!S21</f>
        <v>0</v>
      </c>
      <c r="Q30" s="55">
        <f>+'Tab. 6G - Roln i ochrona środ.'!T21</f>
        <v>0</v>
      </c>
      <c r="R30" s="55">
        <f>+'Tab. 6G - Roln i ochrona środ.'!U21</f>
        <v>0</v>
      </c>
      <c r="S30" s="55">
        <f>+'Tab. 6G - Roln i ochrona środ.'!V21</f>
        <v>0</v>
      </c>
      <c r="T30" s="55">
        <f>+'Tab. 6G - Roln i ochrona środ.'!W21</f>
        <v>0</v>
      </c>
      <c r="U30" s="1001">
        <f>J30+L30+M30+N30+O30+P30+Q30+R30+S30+T30</f>
        <v>0</v>
      </c>
      <c r="V30" s="29">
        <f>SUM(M30:T30)</f>
        <v>0</v>
      </c>
      <c r="W30" s="890"/>
      <c r="X30" s="1365">
        <f t="shared" si="2"/>
        <v>0</v>
      </c>
      <c r="Y30" s="1366">
        <f t="shared" si="3"/>
        <v>0</v>
      </c>
    </row>
    <row r="31" spans="1:25" s="38" customFormat="1" ht="14.25" customHeight="1">
      <c r="A31" s="53" t="s">
        <v>33</v>
      </c>
      <c r="B31" s="55">
        <f>+'Tab. 6B Polit społ i rozwój prz'!E17+'Tab. 6A -Drogi'!E21+'Tab. 6E - Administracja'!E20+'Tab. 6G - Roln i ochrona środ.'!E20+'Tab. 6H - Kultura fiz. i turyst'!E15+'Tab.6I - Planow. przestrz.'!E17</f>
        <v>583542</v>
      </c>
      <c r="C31" s="828">
        <f>+'Tab. 6B Polit społ i rozwój prz'!F17+'Tab. 6A -Drogi'!F21+'Tab. 6E - Administracja'!F20+'Tab. 6G - Roln i ochrona środ.'!F20+'Tab. 6H - Kultura fiz. i turyst'!F15+'Tab.6I - Planow. przestrz.'!F17</f>
        <v>0</v>
      </c>
      <c r="D31" s="828">
        <f>+'Tab. 6B Polit społ i rozwój prz'!G17+'Tab. 6A -Drogi'!G21+'Tab. 6E - Administracja'!G20+'Tab. 6G - Roln i ochrona środ.'!G20+'Tab. 6H - Kultura fiz. i turyst'!G15+'Tab.6I - Planow. przestrz.'!G17</f>
        <v>511</v>
      </c>
      <c r="E31" s="828">
        <f>+'Tab. 6B Polit społ i rozwój prz'!H17+'Tab. 6A -Drogi'!H21+'Tab. 6E - Administracja'!H20+'Tab. 6G - Roln i ochrona środ.'!H20+'Tab. 6H - Kultura fiz. i turyst'!H15+'Tab.6I - Planow. przestrz.'!H17</f>
        <v>8746</v>
      </c>
      <c r="F31" s="55">
        <f>+'Tab. 6B Polit społ i rozwój prz'!I17+'Tab. 6A -Drogi'!I21+'Tab. 6E - Administracja'!I20+'Tab. 6G - Roln i ochrona środ.'!I20+'Tab. 6H - Kultura fiz. i turyst'!I15+'Tab.6I - Planow. przestrz.'!I17</f>
        <v>1631840</v>
      </c>
      <c r="G31" s="55">
        <f>+'Tab. 6B Polit społ i rozwój prz'!J17+'Tab. 6A -Drogi'!J21+'Tab. 6E - Administracja'!J20+'Tab. 6G - Roln i ochrona środ.'!J20+'Tab. 6H - Kultura fiz. i turyst'!J15+'Tab.6I - Planow. przestrz.'!J17</f>
        <v>13929819</v>
      </c>
      <c r="H31" s="55">
        <f>+'Tab. 6B Polit społ i rozwój prz'!K17+'Tab. 6A -Drogi'!K21+'Tab. 6E - Administracja'!K20+'Tab. 6G - Roln i ochrona środ.'!K20+'Tab. 6H - Kultura fiz. i turyst'!K15+'Tab.6I - Planow. przestrz.'!K17</f>
        <v>44221874</v>
      </c>
      <c r="I31" s="55">
        <f>+'Tab. 6B Polit społ i rozwój prz'!L17+'Tab. 6A -Drogi'!L21+'Tab. 6E - Administracja'!L20+'Tab. 6G - Roln i ochrona środ.'!L20+'Tab. 6H - Kultura fiz. i turyst'!L15+'Tab.6I - Planow. przestrz.'!L17</f>
        <v>48091307</v>
      </c>
      <c r="J31" s="55">
        <f>+'Tab. 6B Polit społ i rozwój prz'!M17+'Tab. 6A -Drogi'!M21+'Tab. 6E - Administracja'!M20+'Tab. 6G - Roln i ochrona środ.'!M20+'Tab. 6H - Kultura fiz. i turyst'!M15+'Tab.6I - Planow. przestrz.'!M17</f>
        <v>165348480</v>
      </c>
      <c r="K31" s="1033">
        <f>+'Tab. 6B Polit społ i rozwój prz'!N17+'Tab. 6A -Drogi'!N21+'Tab. 6E - Administracja'!N20+'Tab. 6G - Roln i ochrona środ.'!N20+'Tab. 6H - Kultura fiz. i turyst'!N15+'Tab.6I - Planow. przestrz.'!N17</f>
        <v>57153153</v>
      </c>
      <c r="L31" s="55">
        <f>+'Tab. 6B Polit społ i rozwój prz'!O17+'Tab. 6A -Drogi'!O21+'Tab. 6E - Administracja'!O20+'Tab. 6G - Roln i ochrona środ.'!O20+'Tab. 6H - Kultura fiz. i turyst'!O15+'Tab.6I - Planow. przestrz.'!O17</f>
        <v>39930768</v>
      </c>
      <c r="M31" s="55">
        <f>+'Tab. 6B Polit społ i rozwój prz'!P17+'Tab. 6A -Drogi'!P21+'Tab. 6E - Administracja'!P20+'Tab. 6G - Roln i ochrona środ.'!P20+'Tab. 6H - Kultura fiz. i turyst'!P15+'Tab.6I - Planow. przestrz.'!P17</f>
        <v>105204209</v>
      </c>
      <c r="N31" s="55">
        <f>+'Tab. 6B Polit społ i rozwój prz'!Q17+'Tab. 6A -Drogi'!Q21+'Tab. 6E - Administracja'!Q20+'Tab. 6G - Roln i ochrona środ.'!Q20+'Tab. 6H - Kultura fiz. i turyst'!Q15+'Tab.6I - Planow. przestrz.'!Q17</f>
        <v>305704448</v>
      </c>
      <c r="O31" s="55">
        <f>+'Tab. 6B Polit społ i rozwój prz'!R17+'Tab. 6A -Drogi'!R21+'Tab. 6E - Administracja'!R20+'Tab. 6G - Roln i ochrona środ.'!R20+'Tab. 6H - Kultura fiz. i turyst'!R15+'Tab.6I - Planow. przestrz.'!R17</f>
        <v>217558169</v>
      </c>
      <c r="P31" s="55">
        <f>+'Tab. 6B Polit społ i rozwój prz'!S17+'Tab. 6A -Drogi'!S21+'Tab. 6E - Administracja'!S20+'Tab. 6G - Roln i ochrona środ.'!S20+'Tab. 6H - Kultura fiz. i turyst'!S15+'Tab.6I - Planow. przestrz.'!S17</f>
        <v>72531475</v>
      </c>
      <c r="Q31" s="55">
        <f>+'Tab. 6B Polit społ i rozwój prz'!T17+'Tab. 6A -Drogi'!T21+'Tab. 6E - Administracja'!T20+'Tab. 6G - Roln i ochrona środ.'!T20+'Tab. 6H - Kultura fiz. i turyst'!T15+'Tab.6I - Planow. przestrz.'!T17</f>
        <v>60857171</v>
      </c>
      <c r="R31" s="55">
        <f>+'Tab. 6B Polit społ i rozwój prz'!U17+'Tab. 6A -Drogi'!U21+'Tab. 6E - Administracja'!U20+'Tab. 6G - Roln i ochrona środ.'!U20+'Tab. 6H - Kultura fiz. i turyst'!U15+'Tab.6I - Planow. przestrz.'!U17</f>
        <v>32586286</v>
      </c>
      <c r="S31" s="55">
        <f>+'Tab. 6B Polit społ i rozwój prz'!V17+'Tab. 6A -Drogi'!V21+'Tab. 6E - Administracja'!V20+'Tab. 6G - Roln i ochrona środ.'!V20+'Tab. 6H - Kultura fiz. i turyst'!V15+'Tab.6I - Planow. przestrz.'!V17</f>
        <v>32251686</v>
      </c>
      <c r="T31" s="55">
        <f>+'Tab. 6B Polit społ i rozwój prz'!W17+'Tab. 6A -Drogi'!W21+'Tab. 6E - Administracja'!W20+'Tab. 6G - Roln i ochrona środ.'!W20+'Tab. 6H - Kultura fiz. i turyst'!W15+'Tab.6I - Planow. przestrz.'!W17</f>
        <v>31208245</v>
      </c>
      <c r="U31" s="1001">
        <f>J31+L31+M31+N31+O31+P31+Q31+R31+S31+T31</f>
        <v>1063180937</v>
      </c>
      <c r="V31" s="29">
        <f>+'Tab. 6B Polit społ i rozwój prz'!Y17+'Tab. 6A -Drogi'!Y21+'Tab. 6E - Administracja'!Y20+'Tab. 6G - Roln i ochrona środ.'!Y20+'Tab. 6H - Kultura fiz. i turyst'!Y15+'Tab.6I - Planow. przestrz.'!Y17+'Tab. 6E - Administracja'!P137</f>
        <v>380000</v>
      </c>
      <c r="W31" s="890"/>
      <c r="X31" s="1363">
        <f t="shared" si="2"/>
        <v>1063180937</v>
      </c>
      <c r="Y31" s="1364">
        <f t="shared" si="3"/>
        <v>0</v>
      </c>
    </row>
    <row r="32" spans="1:25" s="68" customFormat="1" ht="15.75" customHeight="1">
      <c r="A32" s="64" t="s">
        <v>34</v>
      </c>
      <c r="B32" s="65" t="e">
        <f t="shared" ref="B32:O32" si="11">+B33+B41</f>
        <v>#REF!</v>
      </c>
      <c r="C32" s="66" t="e">
        <f>+C33+C41</f>
        <v>#REF!</v>
      </c>
      <c r="D32" s="66" t="e">
        <f t="shared" si="11"/>
        <v>#REF!</v>
      </c>
      <c r="E32" s="66" t="e">
        <f t="shared" si="11"/>
        <v>#REF!</v>
      </c>
      <c r="F32" s="67" t="e">
        <f t="shared" si="11"/>
        <v>#REF!</v>
      </c>
      <c r="G32" s="67" t="e">
        <f t="shared" si="11"/>
        <v>#REF!</v>
      </c>
      <c r="H32" s="67" t="e">
        <f t="shared" si="11"/>
        <v>#REF!</v>
      </c>
      <c r="I32" s="67" t="e">
        <f>+I33+I41</f>
        <v>#REF!</v>
      </c>
      <c r="J32" s="67">
        <f>+J33+J41</f>
        <v>194327905</v>
      </c>
      <c r="K32" s="1037" t="e">
        <f t="shared" si="11"/>
        <v>#REF!</v>
      </c>
      <c r="L32" s="67">
        <f>+L33+L41</f>
        <v>58325430</v>
      </c>
      <c r="M32" s="67">
        <f t="shared" si="11"/>
        <v>120632583</v>
      </c>
      <c r="N32" s="67">
        <f t="shared" si="11"/>
        <v>340281851</v>
      </c>
      <c r="O32" s="67">
        <f t="shared" si="11"/>
        <v>245999277</v>
      </c>
      <c r="P32" s="67">
        <f t="shared" ref="P32:U32" si="12">+P33+P41</f>
        <v>90759049</v>
      </c>
      <c r="Q32" s="67">
        <f t="shared" si="12"/>
        <v>66627065</v>
      </c>
      <c r="R32" s="67">
        <f t="shared" si="12"/>
        <v>33706857</v>
      </c>
      <c r="S32" s="67">
        <f t="shared" si="12"/>
        <v>33241730</v>
      </c>
      <c r="T32" s="67">
        <f t="shared" si="12"/>
        <v>31983092</v>
      </c>
      <c r="U32" s="1003">
        <f t="shared" si="12"/>
        <v>1215884839</v>
      </c>
      <c r="V32" s="2560" t="s">
        <v>35</v>
      </c>
      <c r="W32" s="890"/>
    </row>
    <row r="33" spans="1:25" s="38" customFormat="1" ht="17.25" customHeight="1">
      <c r="A33" s="61" t="s">
        <v>36</v>
      </c>
      <c r="B33" s="69" t="e">
        <f>SUM(B34:B40)</f>
        <v>#REF!</v>
      </c>
      <c r="C33" s="69" t="e">
        <f t="shared" ref="C33:O33" si="13">SUM(C34:C40)</f>
        <v>#REF!</v>
      </c>
      <c r="D33" s="69" t="e">
        <f t="shared" si="13"/>
        <v>#REF!</v>
      </c>
      <c r="E33" s="69" t="e">
        <f t="shared" si="13"/>
        <v>#REF!</v>
      </c>
      <c r="F33" s="69" t="e">
        <f t="shared" si="13"/>
        <v>#REF!</v>
      </c>
      <c r="G33" s="69" t="e">
        <f t="shared" si="13"/>
        <v>#REF!</v>
      </c>
      <c r="H33" s="69" t="e">
        <f t="shared" si="13"/>
        <v>#REF!</v>
      </c>
      <c r="I33" s="69" t="e">
        <f t="shared" si="13"/>
        <v>#REF!</v>
      </c>
      <c r="J33" s="69">
        <f>SUM(J34:J40)</f>
        <v>38618564</v>
      </c>
      <c r="K33" s="1036" t="e">
        <f t="shared" si="13"/>
        <v>#REF!</v>
      </c>
      <c r="L33" s="69">
        <f t="shared" si="13"/>
        <v>8219691</v>
      </c>
      <c r="M33" s="69">
        <f t="shared" si="13"/>
        <v>13779218</v>
      </c>
      <c r="N33" s="69">
        <f t="shared" si="13"/>
        <v>14634225</v>
      </c>
      <c r="O33" s="69">
        <f t="shared" si="13"/>
        <v>9873017</v>
      </c>
      <c r="P33" s="69">
        <f t="shared" ref="P33:U33" si="14">SUM(P34:P40)</f>
        <v>8183769</v>
      </c>
      <c r="Q33" s="69">
        <f t="shared" si="14"/>
        <v>2611234</v>
      </c>
      <c r="R33" s="69">
        <f t="shared" si="14"/>
        <v>1006734</v>
      </c>
      <c r="S33" s="69">
        <f t="shared" si="14"/>
        <v>989414</v>
      </c>
      <c r="T33" s="69">
        <f t="shared" si="14"/>
        <v>494707</v>
      </c>
      <c r="U33" s="99">
        <f t="shared" si="14"/>
        <v>98410573</v>
      </c>
      <c r="V33" s="2561"/>
      <c r="W33" s="1008" t="s">
        <v>316</v>
      </c>
    </row>
    <row r="34" spans="1:25" s="38" customFormat="1" ht="14.25" customHeight="1">
      <c r="A34" s="53" t="s">
        <v>25</v>
      </c>
      <c r="B34" s="70" t="e">
        <f>+'Tab. 6B Polit społ i rozwój prz'!E20+'Tab. 6A -Drogi'!E25+'Tab. 6E - Administracja'!E23+'Tab. 6G - Roln i ochrona środ.'!E25</f>
        <v>#REF!</v>
      </c>
      <c r="C34" s="829" t="e">
        <f>+'Tab. 6B Polit społ i rozwój prz'!F20+'Tab. 6A -Drogi'!F25+'Tab. 6E - Administracja'!F23+'Tab. 6G - Roln i ochrona środ.'!F25</f>
        <v>#REF!</v>
      </c>
      <c r="D34" s="829" t="e">
        <f>+'Tab. 6B Polit społ i rozwój prz'!G20+'Tab. 6A -Drogi'!G25+'Tab. 6E - Administracja'!G23+'Tab. 6G - Roln i ochrona środ.'!G25</f>
        <v>#REF!</v>
      </c>
      <c r="E34" s="829" t="e">
        <f>+'Tab. 6B Polit społ i rozwój prz'!H20+'Tab. 6A -Drogi'!H25+'Tab. 6E - Administracja'!H23+'Tab. 6G - Roln i ochrona środ.'!H25</f>
        <v>#REF!</v>
      </c>
      <c r="F34" s="70" t="e">
        <f>+'Tab. 6B Polit społ i rozwój prz'!I20+'Tab. 6A -Drogi'!I25+'Tab. 6E - Administracja'!I23+'Tab. 6G - Roln i ochrona środ.'!I25</f>
        <v>#REF!</v>
      </c>
      <c r="G34" s="70" t="e">
        <f>+'Tab. 6B Polit społ i rozwój prz'!J20+'Tab. 6A -Drogi'!J25+'Tab. 6E - Administracja'!J23+'Tab. 6G - Roln i ochrona środ.'!J25</f>
        <v>#REF!</v>
      </c>
      <c r="H34" s="70" t="e">
        <f>+'Tab. 6B Polit społ i rozwój prz'!K20+'Tab. 6A -Drogi'!K25+'Tab. 6E - Administracja'!K23+'Tab. 6G - Roln i ochrona środ.'!K25</f>
        <v>#REF!</v>
      </c>
      <c r="I34" s="70" t="e">
        <f>+'Tab. 6B Polit społ i rozwój prz'!L20+'Tab. 6A -Drogi'!L25+'Tab. 6E - Administracja'!L23+'Tab. 6G - Roln i ochrona środ.'!L25</f>
        <v>#REF!</v>
      </c>
      <c r="J34" s="70">
        <f>+'Tab. 6B Polit społ i rozwój prz'!M20+'Tab. 6A -Drogi'!M25+'Tab. 6E - Administracja'!M23+'Tab. 6G - Roln i ochrona środ.'!M25</f>
        <v>303135</v>
      </c>
      <c r="K34" s="1032" t="e">
        <f>+'Tab. 6B Polit społ i rozwój prz'!N20+'Tab. 6A -Drogi'!N25+'Tab. 6E - Administracja'!N23+'Tab. 6G - Roln i ochrona środ.'!N25</f>
        <v>#REF!</v>
      </c>
      <c r="L34" s="70">
        <f>+'Tab. 6B Polit społ i rozwój prz'!O20+'Tab. 6A -Drogi'!O25+'Tab. 6E - Administracja'!O23+'Tab. 6G - Roln i ochrona środ.'!O25+'Tab.6I - Planow. przestrz.'!O69</f>
        <v>969417</v>
      </c>
      <c r="M34" s="70">
        <f>+'Tab. 6B Polit społ i rozwój prz'!P20+'Tab. 6A -Drogi'!P25+'Tab. 6E - Administracja'!P23+'Tab. 6G - Roln i ochrona środ.'!P25+'Tab.6I - Planow. przestrz.'!P69</f>
        <v>2304391</v>
      </c>
      <c r="N34" s="70">
        <f>+'Tab. 6B Polit społ i rozwój prz'!Q20+'Tab. 6A -Drogi'!Q25+'Tab. 6E - Administracja'!Q23+'Tab. 6G - Roln i ochrona środ.'!Q25+'Tab.6I - Planow. przestrz.'!Q69</f>
        <v>2272399</v>
      </c>
      <c r="O34" s="70">
        <f>+'Tab. 6B Polit społ i rozwój prz'!R20+'Tab. 6A -Drogi'!R25+'Tab. 6E - Administracja'!R23+'Tab. 6G - Roln i ochrona środ.'!R25+'Tab.6I - Planow. przestrz.'!R69</f>
        <v>1176432</v>
      </c>
      <c r="P34" s="70">
        <f>+'Tab. 6B Polit społ i rozwój prz'!S20+'Tab. 6A -Drogi'!S25+'Tab. 6E - Administracja'!S23+'Tab. 6G - Roln i ochrona środ.'!S25+'Tab.6I - Planow. przestrz.'!S69</f>
        <v>1151569</v>
      </c>
      <c r="Q34" s="70">
        <f>+'Tab. 6B Polit społ i rozwój prz'!T20+'Tab. 6A -Drogi'!T25+'Tab. 6E - Administracja'!T23+'Tab. 6G - Roln i ochrona środ.'!T25+'Tab.6I - Planow. przestrz.'!T69</f>
        <v>1216734</v>
      </c>
      <c r="R34" s="70">
        <f>+'Tab. 6B Polit społ i rozwój prz'!U20+'Tab. 6A -Drogi'!U25+'Tab. 6E - Administracja'!U23+'Tab. 6G - Roln i ochrona środ.'!U25+'Tab.6I - Planow. przestrz.'!U69</f>
        <v>1006734</v>
      </c>
      <c r="S34" s="70">
        <f>+'Tab. 6B Polit społ i rozwój prz'!V20+'Tab. 6A -Drogi'!V25+'Tab. 6E - Administracja'!V23+'Tab. 6G - Roln i ochrona środ.'!V25+'Tab.6I - Planow. przestrz.'!V69</f>
        <v>989414</v>
      </c>
      <c r="T34" s="70">
        <f>+'Tab. 6B Polit społ i rozwój prz'!W20+'Tab. 6A -Drogi'!W25+'Tab. 6E - Administracja'!W23+'Tab. 6G - Roln i ochrona środ.'!W25+'Tab.6I - Planow. przestrz.'!W69</f>
        <v>494707</v>
      </c>
      <c r="U34" s="1001">
        <f t="shared" ref="U34:U40" si="15">J34+L34+M34+N34+O34+P34+Q34+R34+S34+T34</f>
        <v>11884932</v>
      </c>
      <c r="V34" s="2561"/>
      <c r="W34" s="30">
        <f>U34-U19</f>
        <v>0</v>
      </c>
    </row>
    <row r="35" spans="1:25" s="38" customFormat="1" hidden="1">
      <c r="A35" s="53" t="s">
        <v>37</v>
      </c>
      <c r="B35" s="72">
        <f>+'Tab. 6G - Roln i ochrona środ.'!E28</f>
        <v>0</v>
      </c>
      <c r="C35" s="71">
        <f>+'Tab. 6G - Roln i ochrona środ.'!F28</f>
        <v>0</v>
      </c>
      <c r="D35" s="71">
        <f>+'Tab. 6G - Roln i ochrona środ.'!G28</f>
        <v>0</v>
      </c>
      <c r="E35" s="71">
        <f>+'Tab. 6G - Roln i ochrona środ.'!H28</f>
        <v>0</v>
      </c>
      <c r="F35" s="70">
        <f>+'Tab. 6G - Roln i ochrona środ.'!I28</f>
        <v>0</v>
      </c>
      <c r="G35" s="70">
        <f>+'Tab. 6G - Roln i ochrona środ.'!J28</f>
        <v>0</v>
      </c>
      <c r="H35" s="70">
        <f>+'Tab. 6G - Roln i ochrona środ.'!K28</f>
        <v>0</v>
      </c>
      <c r="I35" s="70">
        <f>+'Tab. 6G - Roln i ochrona środ.'!L28</f>
        <v>0</v>
      </c>
      <c r="J35" s="70">
        <f>+'Tab. 6G - Roln i ochrona środ.'!M28+'Tab.6I - Planow. przestrz.'!M57</f>
        <v>0</v>
      </c>
      <c r="K35" s="1032">
        <f>+'Tab. 6G - Roln i ochrona środ.'!N28</f>
        <v>0</v>
      </c>
      <c r="L35" s="70">
        <f>+'Tab. 6G - Roln i ochrona środ.'!O28+'Tab.6I - Planow. przestrz.'!F21</f>
        <v>0</v>
      </c>
      <c r="M35" s="72">
        <f>+'Tab. 6G - Roln i ochrona środ.'!P28+'Tab.6I - Planow. przestrz.'!G21</f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2">
        <f>+'Tab. 6G - Roln i ochrona środ.'!V28</f>
        <v>0</v>
      </c>
      <c r="T35" s="72">
        <f>+'Tab. 6G - Roln i ochrona środ.'!W28</f>
        <v>0</v>
      </c>
      <c r="U35" s="1001">
        <f t="shared" si="15"/>
        <v>0</v>
      </c>
      <c r="V35" s="2561"/>
      <c r="W35" s="30"/>
    </row>
    <row r="36" spans="1:25" s="38" customFormat="1" ht="14.25" hidden="1" customHeight="1">
      <c r="A36" s="53" t="s">
        <v>26</v>
      </c>
      <c r="B36" s="70">
        <f>+'Tab. 6G - Roln i ochrona środ.'!E26</f>
        <v>0</v>
      </c>
      <c r="C36" s="71">
        <f>+'Tab. 6G - Roln i ochrona środ.'!F26</f>
        <v>0</v>
      </c>
      <c r="D36" s="71">
        <f>+'Tab. 6G - Roln i ochrona środ.'!G26</f>
        <v>0</v>
      </c>
      <c r="E36" s="71">
        <f>+'Tab. 6G - Roln i ochrona środ.'!H26</f>
        <v>0</v>
      </c>
      <c r="F36" s="70">
        <f>+'Tab. 6G - Roln i ochrona środ.'!I26</f>
        <v>0</v>
      </c>
      <c r="G36" s="70">
        <f>+'Tab. 6G - Roln i ochrona środ.'!J26</f>
        <v>0</v>
      </c>
      <c r="H36" s="70">
        <f>+'Tab. 6G - Roln i ochrona środ.'!K26</f>
        <v>0</v>
      </c>
      <c r="I36" s="70">
        <f>+'Tab. 6G - Roln i ochrona środ.'!L26</f>
        <v>0</v>
      </c>
      <c r="J36" s="70">
        <f>+'Tab. 6G - Roln i ochrona środ.'!M26</f>
        <v>0</v>
      </c>
      <c r="K36" s="1032">
        <f>+'Tab. 6G - Roln i ochrona środ.'!N26</f>
        <v>0</v>
      </c>
      <c r="L36" s="70">
        <f>+'Tab. 6G - Roln i ochrona środ.'!O26</f>
        <v>0</v>
      </c>
      <c r="M36" s="70">
        <f>+'Tab. 6G - Roln i ochrona środ.'!P26</f>
        <v>0</v>
      </c>
      <c r="N36" s="70">
        <f>+'Tab. 6G - Roln i ochrona środ.'!Q26</f>
        <v>0</v>
      </c>
      <c r="O36" s="70">
        <f>+'Tab. 6G - Roln i ochrona środ.'!R26</f>
        <v>0</v>
      </c>
      <c r="P36" s="70">
        <f>+'Tab. 6G - Roln i ochrona środ.'!S26</f>
        <v>0</v>
      </c>
      <c r="Q36" s="70">
        <f>+'Tab. 6G - Roln i ochrona środ.'!T26</f>
        <v>0</v>
      </c>
      <c r="R36" s="70">
        <f>+'Tab. 6G - Roln i ochrona środ.'!U26</f>
        <v>0</v>
      </c>
      <c r="S36" s="70">
        <f>+'Tab. 6G - Roln i ochrona środ.'!V26</f>
        <v>0</v>
      </c>
      <c r="T36" s="70">
        <f>+'Tab. 6G - Roln i ochrona środ.'!W26</f>
        <v>0</v>
      </c>
      <c r="U36" s="1001">
        <f t="shared" si="15"/>
        <v>0</v>
      </c>
      <c r="V36" s="2561"/>
      <c r="W36" s="30">
        <f>U36-U20</f>
        <v>0</v>
      </c>
    </row>
    <row r="37" spans="1:25" s="38" customFormat="1" ht="14.25" customHeight="1">
      <c r="A37" s="53" t="s">
        <v>27</v>
      </c>
      <c r="B37" s="54">
        <f>+'Tab. 6A -Drogi'!E26</f>
        <v>0</v>
      </c>
      <c r="C37" s="51">
        <f>+'Tab. 6A -Drogi'!F26</f>
        <v>0</v>
      </c>
      <c r="D37" s="51">
        <f>+'Tab. 6A -Drogi'!G26</f>
        <v>0</v>
      </c>
      <c r="E37" s="51">
        <f>+'Tab. 6A -Drogi'!H26</f>
        <v>0</v>
      </c>
      <c r="F37" s="51">
        <f>+'Tab. 6A -Drogi'!I26</f>
        <v>0</v>
      </c>
      <c r="G37" s="51">
        <f>+'Tab. 6A -Drogi'!J26</f>
        <v>2000000</v>
      </c>
      <c r="H37" s="51">
        <f>+'Tab. 6A -Drogi'!K26</f>
        <v>3547478</v>
      </c>
      <c r="I37" s="51">
        <f>+'Tab. 6A -Drogi'!L26</f>
        <v>2023989</v>
      </c>
      <c r="J37" s="51">
        <f>+'Tab. 6A -Drogi'!M26</f>
        <v>8571467</v>
      </c>
      <c r="K37" s="1032">
        <f>+'Tab. 6A -Drogi'!N26</f>
        <v>1000000</v>
      </c>
      <c r="L37" s="54">
        <f>+'Tab. 6A -Drogi'!O26</f>
        <v>0</v>
      </c>
      <c r="M37" s="51">
        <f>+'Tab. 6A -Drogi'!P26</f>
        <v>1016205</v>
      </c>
      <c r="N37" s="51">
        <f>+'Tab. 6A -Drogi'!Q26</f>
        <v>500000</v>
      </c>
      <c r="O37" s="54">
        <f>+'Tab. 6A -Drogi'!R26</f>
        <v>0</v>
      </c>
      <c r="P37" s="54">
        <f>+'Tab. 6A -Drogi'!S26</f>
        <v>0</v>
      </c>
      <c r="Q37" s="54">
        <f>+'Tab. 6A -Drogi'!T26</f>
        <v>0</v>
      </c>
      <c r="R37" s="54">
        <f>+'Tab. 6A -Drogi'!U26</f>
        <v>0</v>
      </c>
      <c r="S37" s="54">
        <f>+'Tab. 6A -Drogi'!V26</f>
        <v>0</v>
      </c>
      <c r="T37" s="54">
        <f>+'Tab. 6A -Drogi'!W26</f>
        <v>0</v>
      </c>
      <c r="U37" s="1001">
        <f t="shared" si="15"/>
        <v>10087672</v>
      </c>
      <c r="V37" s="2561"/>
      <c r="W37" s="30">
        <f>U37-U21</f>
        <v>0</v>
      </c>
      <c r="X37" s="52"/>
    </row>
    <row r="38" spans="1:25" s="38" customFormat="1">
      <c r="A38" s="53" t="s">
        <v>28</v>
      </c>
      <c r="B38" s="57">
        <f>+'Tab. 6A -Drogi'!E27+'Tab. 6G - Roln i ochrona środ.'!E27</f>
        <v>0</v>
      </c>
      <c r="C38" s="58">
        <f>+'Tab. 6A -Drogi'!F27+'Tab. 6G - Roln i ochrona środ.'!F27</f>
        <v>0</v>
      </c>
      <c r="D38" s="58">
        <f>+'Tab. 6A -Drogi'!G27+'Tab. 6G - Roln i ochrona środ.'!G27</f>
        <v>0</v>
      </c>
      <c r="E38" s="58">
        <f>+'Tab. 6A -Drogi'!H27+'Tab. 6G - Roln i ochrona środ.'!H27</f>
        <v>0</v>
      </c>
      <c r="F38" s="58">
        <f>+'Tab. 6A -Drogi'!I27+'Tab. 6G - Roln i ochrona środ.'!I27</f>
        <v>0</v>
      </c>
      <c r="G38" s="58">
        <f>+'Tab. 6A -Drogi'!J27+'Tab. 6G - Roln i ochrona środ.'!J27</f>
        <v>0</v>
      </c>
      <c r="H38" s="58">
        <f>+'Tab. 6A -Drogi'!K27+'Tab. 6G - Roln i ochrona środ.'!K27</f>
        <v>3801777</v>
      </c>
      <c r="I38" s="58">
        <f>+'Tab. 6A -Drogi'!L27+'Tab. 6G - Roln i ochrona środ.'!L27</f>
        <v>3261339</v>
      </c>
      <c r="J38" s="58">
        <f>+'Tab. 6A -Drogi'!M27+'Tab. 6G - Roln i ochrona środ.'!M27+'Tab. 6E - Administracja'!M24</f>
        <v>11540261</v>
      </c>
      <c r="K38" s="1034">
        <f>+'Tab. 6A -Drogi'!N27+'Tab. 6G - Roln i ochrona środ.'!N27</f>
        <v>4477145</v>
      </c>
      <c r="L38" s="58">
        <f>+'Tab. 6A -Drogi'!O27+'Tab. 6G - Roln i ochrona środ.'!O27+'Tab. 6E - Administracja'!O24</f>
        <v>6553250</v>
      </c>
      <c r="M38" s="58">
        <f>+'Tab. 6A -Drogi'!P27+'Tab. 6G - Roln i ochrona środ.'!P27+'Tab. 6E - Administracja'!P24</f>
        <v>10458622</v>
      </c>
      <c r="N38" s="58">
        <f>+'Tab. 6A -Drogi'!Q27+'Tab. 6G - Roln i ochrona środ.'!Q27+'Tab. 6E - Administracja'!Q24</f>
        <v>11861826</v>
      </c>
      <c r="O38" s="58">
        <f>+'Tab. 6A -Drogi'!R27+'Tab. 6G - Roln i ochrona środ.'!R27+'Tab. 6E - Administracja'!R24</f>
        <v>8696585</v>
      </c>
      <c r="P38" s="58">
        <f>+'Tab. 6A -Drogi'!S27+'Tab. 6G - Roln i ochrona środ.'!S27+'Tab. 6E - Administracja'!S24</f>
        <v>7032200</v>
      </c>
      <c r="Q38" s="58">
        <f>+'Tab. 6A -Drogi'!T27+'Tab. 6G - Roln i ochrona środ.'!T27+'Tab. 6E - Administracja'!T24</f>
        <v>1394500</v>
      </c>
      <c r="R38" s="57">
        <f>+'Tab. 6A -Drogi'!U27+'Tab. 6G - Roln i ochrona środ.'!U27+'Tab. 6E - Administracja'!U24</f>
        <v>0</v>
      </c>
      <c r="S38" s="57">
        <f>+'Tab. 6A -Drogi'!V27+'Tab. 6G - Roln i ochrona środ.'!V27+'Tab. 6E - Administracja'!V24</f>
        <v>0</v>
      </c>
      <c r="T38" s="57">
        <f>+'Tab. 6A -Drogi'!W27+'Tab. 6G - Roln i ochrona środ.'!W27+'Tab. 6E - Administracja'!W24</f>
        <v>0</v>
      </c>
      <c r="U38" s="1001">
        <f t="shared" si="15"/>
        <v>57537244</v>
      </c>
      <c r="V38" s="2561"/>
      <c r="W38" s="30">
        <f>U38-U22</f>
        <v>0</v>
      </c>
    </row>
    <row r="39" spans="1:25" s="38" customFormat="1" ht="15" customHeight="1">
      <c r="A39" s="53" t="s">
        <v>29</v>
      </c>
      <c r="B39" s="73">
        <f>+'Tab. 6A -Drogi'!E28</f>
        <v>0</v>
      </c>
      <c r="C39" s="51">
        <f>+'Tab. 6A -Drogi'!F28</f>
        <v>0</v>
      </c>
      <c r="D39" s="51">
        <f>+'Tab. 6A -Drogi'!G28</f>
        <v>0</v>
      </c>
      <c r="E39" s="51">
        <f>+'Tab. 6A -Drogi'!H28</f>
        <v>0</v>
      </c>
      <c r="F39" s="54">
        <f>+'Tab. 6A -Drogi'!I28</f>
        <v>0</v>
      </c>
      <c r="G39" s="51">
        <f>+'Tab. 6A -Drogi'!J28</f>
        <v>7240187</v>
      </c>
      <c r="H39" s="51">
        <f>+'Tab. 6A -Drogi'!K28</f>
        <v>6502132</v>
      </c>
      <c r="I39" s="51">
        <f>+'Tab. 6A -Drogi'!L28</f>
        <v>744857</v>
      </c>
      <c r="J39" s="51">
        <f>+'Tab. 6A -Drogi'!M28</f>
        <v>17362220</v>
      </c>
      <c r="K39" s="1032">
        <f>+'Tab. 6A -Drogi'!N28</f>
        <v>2875044</v>
      </c>
      <c r="L39" s="51">
        <f>+'Tab. 6A -Drogi'!O28</f>
        <v>697024</v>
      </c>
      <c r="M39" s="57">
        <f>+'Tab. 6A -Drogi'!P28</f>
        <v>0</v>
      </c>
      <c r="N39" s="54">
        <f>+'Tab. 6A -Drogi'!Q28</f>
        <v>0</v>
      </c>
      <c r="O39" s="54">
        <f>+'Tab. 6A -Drogi'!R28</f>
        <v>0</v>
      </c>
      <c r="P39" s="54">
        <f>+'Tab. 6A -Drogi'!S28</f>
        <v>0</v>
      </c>
      <c r="Q39" s="54">
        <f>+'Tab. 6A -Drogi'!T28</f>
        <v>0</v>
      </c>
      <c r="R39" s="54">
        <f>+'Tab. 6A -Drogi'!U28</f>
        <v>0</v>
      </c>
      <c r="S39" s="54">
        <f>+'Tab. 6A -Drogi'!V28</f>
        <v>0</v>
      </c>
      <c r="T39" s="54">
        <f>+'Tab. 6A -Drogi'!W28</f>
        <v>0</v>
      </c>
      <c r="U39" s="1001">
        <f t="shared" si="15"/>
        <v>18059244</v>
      </c>
      <c r="V39" s="2561"/>
      <c r="W39" s="30">
        <f>U39-U24</f>
        <v>0</v>
      </c>
    </row>
    <row r="40" spans="1:25" s="38" customFormat="1" ht="25.5" customHeight="1">
      <c r="A40" s="50" t="s">
        <v>38</v>
      </c>
      <c r="B40" s="60">
        <f>+'Tab. 6A -Drogi'!E29</f>
        <v>0</v>
      </c>
      <c r="C40" s="59">
        <f>+'Tab. 6A -Drogi'!F29</f>
        <v>0</v>
      </c>
      <c r="D40" s="59">
        <f>+'Tab. 6A -Drogi'!G29</f>
        <v>0</v>
      </c>
      <c r="E40" s="59">
        <f>+'Tab. 6A -Drogi'!H29</f>
        <v>0</v>
      </c>
      <c r="F40" s="60">
        <f>+'Tab. 6A -Drogi'!I29</f>
        <v>0</v>
      </c>
      <c r="G40" s="60">
        <f>+'Tab. 6A -Drogi'!J29</f>
        <v>0</v>
      </c>
      <c r="H40" s="60">
        <f>+'Tab. 6A -Drogi'!K29</f>
        <v>0</v>
      </c>
      <c r="I40" s="59">
        <f>+'Tab. 6A -Drogi'!L29</f>
        <v>841481</v>
      </c>
      <c r="J40" s="59">
        <f>+'Tab. 6A -Drogi'!M29</f>
        <v>841481</v>
      </c>
      <c r="K40" s="1038">
        <f>+'Tab. 6A -Drogi'!N29</f>
        <v>0</v>
      </c>
      <c r="L40" s="60">
        <f>+'Tab. 6A -Drogi'!O29</f>
        <v>0</v>
      </c>
      <c r="M40" s="60">
        <f>+'Tab. 6A -Drogi'!P29</f>
        <v>0</v>
      </c>
      <c r="N40" s="60">
        <f>+'Tab. 6A -Drogi'!Q29</f>
        <v>0</v>
      </c>
      <c r="O40" s="60">
        <f>+'Tab. 6A -Drogi'!R29</f>
        <v>0</v>
      </c>
      <c r="P40" s="60">
        <f>+'Tab. 6A -Drogi'!S29</f>
        <v>0</v>
      </c>
      <c r="Q40" s="60">
        <f>+'Tab. 6A -Drogi'!T29</f>
        <v>0</v>
      </c>
      <c r="R40" s="60">
        <f>+'Tab. 6A -Drogi'!U29</f>
        <v>0</v>
      </c>
      <c r="S40" s="60">
        <f>+'Tab. 6A -Drogi'!V29</f>
        <v>0</v>
      </c>
      <c r="T40" s="60">
        <f>+'Tab. 6A -Drogi'!W29</f>
        <v>0</v>
      </c>
      <c r="U40" s="1001">
        <f t="shared" si="15"/>
        <v>841481</v>
      </c>
      <c r="V40" s="2561"/>
      <c r="W40" s="30"/>
    </row>
    <row r="41" spans="1:25" s="38" customFormat="1" ht="16.5" customHeight="1">
      <c r="A41" s="61" t="s">
        <v>30</v>
      </c>
      <c r="B41" s="69">
        <f>SUM(B42:B46)</f>
        <v>0</v>
      </c>
      <c r="C41" s="74">
        <f t="shared" ref="C41:N41" si="16">SUM(C42:C46)</f>
        <v>0</v>
      </c>
      <c r="D41" s="74">
        <f t="shared" si="16"/>
        <v>2563346</v>
      </c>
      <c r="E41" s="74">
        <f t="shared" si="16"/>
        <v>8310034</v>
      </c>
      <c r="F41" s="74">
        <f t="shared" si="16"/>
        <v>408227</v>
      </c>
      <c r="G41" s="74">
        <f t="shared" si="16"/>
        <v>10352362</v>
      </c>
      <c r="H41" s="74">
        <f t="shared" si="16"/>
        <v>43798621</v>
      </c>
      <c r="I41" s="74">
        <f t="shared" si="16"/>
        <v>32667581</v>
      </c>
      <c r="J41" s="74">
        <f t="shared" si="16"/>
        <v>155709341</v>
      </c>
      <c r="K41" s="1039">
        <f t="shared" si="16"/>
        <v>68745605</v>
      </c>
      <c r="L41" s="74">
        <f t="shared" si="16"/>
        <v>50105739</v>
      </c>
      <c r="M41" s="74">
        <f t="shared" si="16"/>
        <v>106853365</v>
      </c>
      <c r="N41" s="74">
        <f t="shared" si="16"/>
        <v>325647626</v>
      </c>
      <c r="O41" s="74">
        <f t="shared" ref="O41:U41" si="17">SUM(O42:O46)</f>
        <v>236126260</v>
      </c>
      <c r="P41" s="74">
        <f t="shared" si="17"/>
        <v>82575280</v>
      </c>
      <c r="Q41" s="74">
        <f t="shared" si="17"/>
        <v>64015831</v>
      </c>
      <c r="R41" s="74">
        <f t="shared" si="17"/>
        <v>32700123</v>
      </c>
      <c r="S41" s="74">
        <f t="shared" si="17"/>
        <v>32252316</v>
      </c>
      <c r="T41" s="74">
        <f t="shared" si="17"/>
        <v>31488385</v>
      </c>
      <c r="U41" s="99">
        <f t="shared" si="17"/>
        <v>1117474266</v>
      </c>
      <c r="V41" s="2561"/>
      <c r="W41" s="30"/>
    </row>
    <row r="42" spans="1:25" s="38" customFormat="1" ht="15.75" hidden="1" customHeight="1">
      <c r="A42" s="75" t="s">
        <v>29</v>
      </c>
      <c r="B42" s="76">
        <f>+'Tab. 6A -Drogi'!E31</f>
        <v>0</v>
      </c>
      <c r="C42" s="76">
        <f>+'Tab. 6A -Drogi'!F31</f>
        <v>0</v>
      </c>
      <c r="D42" s="76">
        <f>+'Tab. 6A -Drogi'!G31</f>
        <v>0</v>
      </c>
      <c r="E42" s="76">
        <f>+'Tab. 6A -Drogi'!H31</f>
        <v>0</v>
      </c>
      <c r="F42" s="76">
        <f>+'Tab. 6A -Drogi'!I31</f>
        <v>0</v>
      </c>
      <c r="G42" s="76">
        <f>+'Tab. 6A -Drogi'!J31</f>
        <v>0</v>
      </c>
      <c r="H42" s="76">
        <f>+'Tab. 6A -Drogi'!K31</f>
        <v>0</v>
      </c>
      <c r="I42" s="76">
        <f>+'Tab. 6A -Drogi'!L31</f>
        <v>0</v>
      </c>
      <c r="J42" s="76"/>
      <c r="K42" s="1040">
        <f>+'Tab. 6A -Drogi'!N31</f>
        <v>0</v>
      </c>
      <c r="L42" s="76">
        <f>+'Tab. 6A -Drogi'!O31</f>
        <v>0</v>
      </c>
      <c r="M42" s="76">
        <f>+'Tab. 6A -Drogi'!P31</f>
        <v>0</v>
      </c>
      <c r="N42" s="77"/>
      <c r="O42" s="77"/>
      <c r="P42" s="77"/>
      <c r="Q42" s="77"/>
      <c r="R42" s="76"/>
      <c r="S42" s="1015"/>
      <c r="T42" s="76"/>
      <c r="U42" s="999">
        <f>+B42+F42+G42+H42+I42+K42+L42+M42</f>
        <v>0</v>
      </c>
      <c r="V42" s="2561"/>
      <c r="W42" s="30"/>
    </row>
    <row r="43" spans="1:25" s="38" customFormat="1" ht="14.25" hidden="1" customHeight="1">
      <c r="A43" s="53" t="s">
        <v>31</v>
      </c>
      <c r="B43" s="54">
        <f>+'Tab. 6A -Drogi'!E34</f>
        <v>0</v>
      </c>
      <c r="C43" s="54">
        <f>+'Tab. 6A -Drogi'!F34</f>
        <v>0</v>
      </c>
      <c r="D43" s="54">
        <f>+'Tab. 6A -Drogi'!G34</f>
        <v>0</v>
      </c>
      <c r="E43" s="54">
        <f>+'Tab. 6A -Drogi'!H34</f>
        <v>0</v>
      </c>
      <c r="F43" s="54">
        <f>+'Tab. 6A -Drogi'!I34</f>
        <v>0</v>
      </c>
      <c r="G43" s="54">
        <f>+'Tab. 6A -Drogi'!J34</f>
        <v>0</v>
      </c>
      <c r="H43" s="54">
        <f>+'Tab. 6A -Drogi'!K34</f>
        <v>0</v>
      </c>
      <c r="I43" s="51">
        <f>+'Tab. 6A -Drogi'!L34</f>
        <v>0</v>
      </c>
      <c r="J43" s="51">
        <f>+'Tab. 6A -Drogi'!M34</f>
        <v>0</v>
      </c>
      <c r="K43" s="1032">
        <f>+'Tab. 6A -Drogi'!N34</f>
        <v>0</v>
      </c>
      <c r="L43" s="51">
        <f>+'Tab. 6A -Drogi'!O34</f>
        <v>0</v>
      </c>
      <c r="M43" s="51">
        <f>+'Tab. 6A -Drogi'!P34</f>
        <v>0</v>
      </c>
      <c r="N43" s="51">
        <f>+'Tab. 6A -Drogi'!Q34</f>
        <v>0</v>
      </c>
      <c r="O43" s="51">
        <f>+'Tab. 6A -Drogi'!R34</f>
        <v>0</v>
      </c>
      <c r="P43" s="51">
        <f>+'Tab. 6A -Drogi'!S34</f>
        <v>0</v>
      </c>
      <c r="Q43" s="51">
        <f>+'Tab. 6A -Drogi'!T34</f>
        <v>0</v>
      </c>
      <c r="R43" s="51">
        <f>+'Tab. 6A -Drogi'!U34</f>
        <v>0</v>
      </c>
      <c r="S43" s="51">
        <f>+'Tab. 6A -Drogi'!V34</f>
        <v>0</v>
      </c>
      <c r="T43" s="51">
        <f>+'Tab. 6A -Drogi'!W34</f>
        <v>0</v>
      </c>
      <c r="U43" s="1001">
        <f>J43+L43+M43+N43+O43+P43+Q43+R43+S43+T43</f>
        <v>0</v>
      </c>
      <c r="V43" s="2561"/>
      <c r="W43" s="30">
        <f>U43-U28</f>
        <v>0</v>
      </c>
    </row>
    <row r="44" spans="1:25" s="38" customFormat="1" ht="15.75" customHeight="1">
      <c r="A44" s="53" t="s">
        <v>26</v>
      </c>
      <c r="B44" s="51">
        <f>+'Tab. 6G - Roln i ochrona środ.'!E32</f>
        <v>0</v>
      </c>
      <c r="C44" s="51">
        <f>+'Tab. 6G - Roln i ochrona środ.'!F32</f>
        <v>0</v>
      </c>
      <c r="D44" s="51">
        <f>+'Tab. 6G - Roln i ochrona środ.'!G32</f>
        <v>0</v>
      </c>
      <c r="E44" s="51">
        <f>+'Tab. 6G - Roln i ochrona środ.'!H32</f>
        <v>0</v>
      </c>
      <c r="F44" s="51">
        <f>+'Tab. 6G - Roln i ochrona środ.'!I32</f>
        <v>0</v>
      </c>
      <c r="G44" s="51">
        <f>+'Tab. 6G - Roln i ochrona środ.'!J32</f>
        <v>0</v>
      </c>
      <c r="H44" s="51">
        <f>+'Tab. 6G - Roln i ochrona środ.'!K32</f>
        <v>0</v>
      </c>
      <c r="I44" s="51">
        <f>+'Tab. 6G - Roln i ochrona środ.'!L32</f>
        <v>0</v>
      </c>
      <c r="J44" s="51">
        <f>+'Tab. 6G - Roln i ochrona środ.'!M32</f>
        <v>0</v>
      </c>
      <c r="K44" s="1032">
        <f>+'Tab. 6G - Roln i ochrona środ.'!N32</f>
        <v>0</v>
      </c>
      <c r="L44" s="51">
        <f>+'Tab. 6G - Roln i ochrona środ.'!O32</f>
        <v>0</v>
      </c>
      <c r="M44" s="51">
        <f>+'Tab. 6G - Roln i ochrona środ.'!P32</f>
        <v>0</v>
      </c>
      <c r="N44" s="51">
        <f>+'Tab. 6G - Roln i ochrona środ.'!Q32</f>
        <v>0</v>
      </c>
      <c r="O44" s="51">
        <f>+'Tab. 6G - Roln i ochrona środ.'!R32</f>
        <v>0</v>
      </c>
      <c r="P44" s="51">
        <f>+'Tab. 6G - Roln i ochrona środ.'!S32</f>
        <v>0</v>
      </c>
      <c r="Q44" s="51">
        <f>+'Tab. 6G - Roln i ochrona środ.'!T32</f>
        <v>0</v>
      </c>
      <c r="R44" s="51">
        <f>+'Tab. 6G - Roln i ochrona środ.'!U32</f>
        <v>0</v>
      </c>
      <c r="S44" s="51">
        <f>+'Tab. 6G - Roln i ochrona środ.'!V32</f>
        <v>0</v>
      </c>
      <c r="T44" s="51">
        <f>+'Tab. 6G - Roln i ochrona środ.'!W32</f>
        <v>0</v>
      </c>
      <c r="U44" s="1001">
        <f>J44+L44+M44+N44+O44+P44+Q44+R44+S44+T44</f>
        <v>0</v>
      </c>
      <c r="V44" s="2561"/>
      <c r="W44" s="30">
        <f>U44-U30</f>
        <v>0</v>
      </c>
    </row>
    <row r="45" spans="1:25" s="38" customFormat="1" ht="14.25" customHeight="1">
      <c r="A45" s="53" t="s">
        <v>32</v>
      </c>
      <c r="B45" s="55">
        <f>+'Tab. 6A -Drogi'!E32+'Tab. 6G - Roln i ochrona środ.'!E33+'Tab. 6D - Oświata'!E20</f>
        <v>0</v>
      </c>
      <c r="C45" s="55">
        <f>+'Tab. 6A -Drogi'!F32+'Tab. 6G - Roln i ochrona środ.'!F33+'Tab. 6D - Oświata'!F20</f>
        <v>0</v>
      </c>
      <c r="D45" s="55">
        <f>+'Tab. 6A -Drogi'!G32+'Tab. 6G - Roln i ochrona środ.'!G33+'Tab. 6D - Oświata'!G20</f>
        <v>0</v>
      </c>
      <c r="E45" s="55">
        <f>+'Tab. 6A -Drogi'!H32+'Tab. 6G - Roln i ochrona środ.'!H33+'Tab. 6D - Oświata'!H20</f>
        <v>0</v>
      </c>
      <c r="F45" s="55">
        <f>+'Tab. 6A -Drogi'!I32+'Tab. 6G - Roln i ochrona środ.'!I33+'Tab. 6D - Oświata'!I20</f>
        <v>0</v>
      </c>
      <c r="G45" s="55">
        <f>+'Tab. 6A -Drogi'!J32+'Tab. 6G - Roln i ochrona środ.'!J33+'Tab. 6D - Oświata'!J20</f>
        <v>3544011</v>
      </c>
      <c r="H45" s="55">
        <f>+'Tab. 6A -Drogi'!K32+'Tab. 6G - Roln i ochrona środ.'!K33+'Tab. 6D - Oświata'!K20</f>
        <v>4405356</v>
      </c>
      <c r="I45" s="55">
        <f>+'Tab. 6A -Drogi'!L32+'Tab. 6G - Roln i ochrona środ.'!L33+'Tab. 6D - Oświata'!L20</f>
        <v>3461860</v>
      </c>
      <c r="J45" s="55">
        <f>+'Tab. 6A -Drogi'!M32+'Tab. 6G - Roln i ochrona środ.'!M33+'Tab. 6D - Oświata'!M20+'Tab.6I - Planow. przestrz.'!M24+'Tab. 6B Polit społ i rozwój prz'!M22</f>
        <v>11647133</v>
      </c>
      <c r="K45" s="1033">
        <f>+'Tab. 6A -Drogi'!N32+'Tab. 6G - Roln i ochrona środ.'!N33+'Tab. 6D - Oświata'!N20</f>
        <v>235906</v>
      </c>
      <c r="L45" s="55">
        <f>+'Tab. 6A -Drogi'!O32+'Tab. 6G - Roln i ochrona środ.'!O33+'Tab. 6D - Oświata'!O20+'Tab.6I - Planow. przestrz.'!O24+'Tab. 6B Polit społ i rozwój prz'!O22</f>
        <v>137580</v>
      </c>
      <c r="M45" s="55">
        <f>+'Tab. 6A -Drogi'!P32+'Tab. 6G - Roln i ochrona środ.'!P33+'Tab. 6D - Oświata'!P20+'Tab.6I - Planow. przestrz.'!P24+'Tab. 6B Polit społ i rozwój prz'!P22</f>
        <v>4858633</v>
      </c>
      <c r="N45" s="55">
        <f>+'Tab. 6A -Drogi'!Q32+'Tab. 6G - Roln i ochrona środ.'!Q33+'Tab. 6D - Oświata'!Q20+'Tab.6I - Planow. przestrz.'!Q24+'Tab. 6B Polit społ i rozwój prz'!Q22</f>
        <v>15423597</v>
      </c>
      <c r="O45" s="55">
        <f>+'Tab. 6A -Drogi'!R32+'Tab. 6G - Roln i ochrona środ.'!R33+'Tab. 6D - Oświata'!R20+'Tab.6I - Planow. przestrz.'!R24+'Tab. 6B Polit społ i rozwój prz'!R22</f>
        <v>10410084</v>
      </c>
      <c r="P45" s="55">
        <f>+'Tab. 6A -Drogi'!S32+'Tab. 6G - Roln i ochrona środ.'!S33+'Tab. 6D - Oświata'!S20+'Tab.6I - Planow. przestrz.'!S24+'Tab. 6B Polit społ i rozwój prz'!S22</f>
        <v>8543805</v>
      </c>
      <c r="Q45" s="55">
        <f>+'Tab. 6A -Drogi'!T32+'Tab. 6G - Roln i ochrona środ.'!T33+'Tab. 6D - Oświata'!T20+'Tab.6I - Planow. przestrz.'!T24+'Tab. 6B Polit społ i rozwój prz'!T22</f>
        <v>3158660</v>
      </c>
      <c r="R45" s="55">
        <f>+'Tab. 6A -Drogi'!U32+'Tab. 6G - Roln i ochrona środ.'!U33+'Tab. 6D - Oświata'!U20+'Tab.6I - Planow. przestrz.'!U24+'Tab. 6B Polit społ i rozwój prz'!U22</f>
        <v>113837</v>
      </c>
      <c r="S45" s="55">
        <f>+'Tab. 6A -Drogi'!V32+'Tab. 6G - Roln i ochrona środ.'!V33+'Tab. 6D - Oświata'!V20+'Tab.6I - Planow. przestrz.'!V24+'Tab. 6B Polit społ i rozwój prz'!V22</f>
        <v>0</v>
      </c>
      <c r="T45" s="55">
        <f>+'Tab. 6A -Drogi'!W32+'Tab. 6G - Roln i ochrona środ.'!W33+'Tab. 6D - Oświata'!W20+'Tab.6I - Planow. przestrz.'!W24+'Tab. 6B Polit społ i rozwój prz'!W22</f>
        <v>0</v>
      </c>
      <c r="U45" s="1001">
        <f>+T45+S45+R45+Q45+P45+O45+N45+M45+L45+J45</f>
        <v>54293329</v>
      </c>
      <c r="V45" s="2561"/>
      <c r="W45" s="30">
        <f>U45-U29-U27</f>
        <v>2</v>
      </c>
      <c r="X45" s="52" t="s">
        <v>404</v>
      </c>
    </row>
    <row r="46" spans="1:25" s="38" customFormat="1" ht="15.75" customHeight="1">
      <c r="A46" s="53" t="s">
        <v>33</v>
      </c>
      <c r="B46" s="51">
        <f>+'Tab. 6B Polit społ i rozwój prz'!E23+'Tab. 6A -Drogi'!E33+'Tab. 6E - Administracja'!E26+'Tab. 6G - Roln i ochrona środ.'!E31+'Tab. 6H - Kultura fiz. i turyst'!E19+'Tab.6I - Planow. przestrz.'!E23</f>
        <v>0</v>
      </c>
      <c r="C46" s="51">
        <f>+'Tab. 6B Polit społ i rozwój prz'!F23+'Tab. 6A -Drogi'!F33+'Tab. 6E - Administracja'!F26+'Tab. 6G - Roln i ochrona środ.'!F31+'Tab. 6H - Kultura fiz. i turyst'!F19+'Tab.6I - Planow. przestrz.'!F23</f>
        <v>0</v>
      </c>
      <c r="D46" s="51">
        <f>+'Tab. 6B Polit społ i rozwój prz'!G23+'Tab. 6A -Drogi'!G33+'Tab. 6E - Administracja'!G26+'Tab. 6G - Roln i ochrona środ.'!G31+'Tab. 6H - Kultura fiz. i turyst'!G19+'Tab.6I - Planow. przestrz.'!G23</f>
        <v>2563346</v>
      </c>
      <c r="E46" s="51">
        <f>+'Tab. 6B Polit społ i rozwój prz'!H23+'Tab. 6A -Drogi'!H33+'Tab. 6E - Administracja'!H26+'Tab. 6G - Roln i ochrona środ.'!H31+'Tab. 6H - Kultura fiz. i turyst'!H19+'Tab.6I - Planow. przestrz.'!H23</f>
        <v>8310034</v>
      </c>
      <c r="F46" s="51">
        <f>+'Tab. 6B Polit społ i rozwój prz'!I23+'Tab. 6A -Drogi'!I33+'Tab. 6E - Administracja'!I26+'Tab. 6G - Roln i ochrona środ.'!I31+'Tab. 6H - Kultura fiz. i turyst'!I19+'Tab.6I - Planow. przestrz.'!I23</f>
        <v>408227</v>
      </c>
      <c r="G46" s="51">
        <f>+'Tab. 6B Polit społ i rozwój prz'!J23+'Tab. 6A -Drogi'!J33+'Tab. 6E - Administracja'!J26+'Tab. 6G - Roln i ochrona środ.'!J31+'Tab. 6H - Kultura fiz. i turyst'!J19+'Tab.6I - Planow. przestrz.'!J23</f>
        <v>6808351</v>
      </c>
      <c r="H46" s="51">
        <f>+'Tab. 6B Polit społ i rozwój prz'!K23+'Tab. 6A -Drogi'!K33+'Tab. 6E - Administracja'!K26+'Tab. 6G - Roln i ochrona środ.'!K31+'Tab. 6H - Kultura fiz. i turyst'!K19+'Tab.6I - Planow. przestrz.'!K23</f>
        <v>39393265</v>
      </c>
      <c r="I46" s="51">
        <f>+'Tab. 6B Polit społ i rozwój prz'!L23+'Tab. 6A -Drogi'!L33+'Tab. 6E - Administracja'!L26+'Tab. 6G - Roln i ochrona środ.'!L31+'Tab. 6H - Kultura fiz. i turyst'!L19+'Tab.6I - Planow. przestrz.'!L23</f>
        <v>29205721</v>
      </c>
      <c r="J46" s="51">
        <f>+'Tab. 6B Polit społ i rozwój prz'!M23+'Tab. 6A -Drogi'!M33+'Tab. 6E - Administracja'!M26+'Tab. 6G - Roln i ochrona środ.'!M31+'Tab. 6H - Kultura fiz. i turyst'!M19+'Tab.6I - Planow. przestrz.'!M23</f>
        <v>144062208</v>
      </c>
      <c r="K46" s="1032">
        <f>+'Tab. 6B Polit społ i rozwój prz'!N23+'Tab. 6A -Drogi'!N33+'Tab. 6E - Administracja'!N26+'Tab. 6G - Roln i ochrona środ.'!N31+'Tab. 6H - Kultura fiz. i turyst'!N19+'Tab.6I - Planow. przestrz.'!N23</f>
        <v>68509699</v>
      </c>
      <c r="L46" s="51">
        <f>+'Tab. 6B Polit społ i rozwój prz'!O23+'Tab. 6A -Drogi'!O33+'Tab. 6E - Administracja'!O26+'Tab. 6G - Roln i ochrona środ.'!O31+'Tab. 6H - Kultura fiz. i turyst'!O19+'Tab.6I - Planow. przestrz.'!O23</f>
        <v>49968159</v>
      </c>
      <c r="M46" s="51">
        <f>+'Tab. 6B Polit społ i rozwój prz'!P23+'Tab. 6A -Drogi'!P33+'Tab. 6E - Administracja'!P26+'Tab. 6G - Roln i ochrona środ.'!P31+'Tab. 6H - Kultura fiz. i turyst'!P19+'Tab.6I - Planow. przestrz.'!P23</f>
        <v>101994732</v>
      </c>
      <c r="N46" s="55">
        <f>+'Tab. 6B Polit społ i rozwój prz'!Q23+'Tab. 6A -Drogi'!Q33+'Tab. 6E - Administracja'!Q26+'Tab. 6G - Roln i ochrona środ.'!Q31+'Tab. 6H - Kultura fiz. i turyst'!Q19+'Tab.6I - Planow. przestrz.'!Q23</f>
        <v>310224029</v>
      </c>
      <c r="O46" s="55">
        <f>+'Tab. 6B Polit społ i rozwój prz'!R23+'Tab. 6A -Drogi'!R33+'Tab. 6E - Administracja'!R26+'Tab. 6G - Roln i ochrona środ.'!R31+'Tab. 6H - Kultura fiz. i turyst'!R19+'Tab.6I - Planow. przestrz.'!R23</f>
        <v>225716176</v>
      </c>
      <c r="P46" s="55">
        <f>+'Tab. 6B Polit społ i rozwój prz'!S23+'Tab. 6A -Drogi'!S33+'Tab. 6E - Administracja'!S26+'Tab. 6G - Roln i ochrona środ.'!S31+'Tab. 6H - Kultura fiz. i turyst'!S19+'Tab.6I - Planow. przestrz.'!S23</f>
        <v>74031475</v>
      </c>
      <c r="Q46" s="55">
        <f>+'Tab. 6B Polit społ i rozwój prz'!T23+'Tab. 6A -Drogi'!T33+'Tab. 6E - Administracja'!T26+'Tab. 6G - Roln i ochrona środ.'!T31+'Tab. 6H - Kultura fiz. i turyst'!T19+'Tab.6I - Planow. przestrz.'!T23</f>
        <v>60857171</v>
      </c>
      <c r="R46" s="55">
        <f>+'Tab. 6B Polit społ i rozwój prz'!U23+'Tab. 6A -Drogi'!U33+'Tab. 6E - Administracja'!U26+'Tab. 6G - Roln i ochrona środ.'!U31+'Tab. 6H - Kultura fiz. i turyst'!U19+'Tab.6I - Planow. przestrz.'!U23</f>
        <v>32586286</v>
      </c>
      <c r="S46" s="55">
        <f>+'Tab. 6B Polit społ i rozwój prz'!V23+'Tab. 6A -Drogi'!V33+'Tab. 6E - Administracja'!V26+'Tab. 6G - Roln i ochrona środ.'!V31+'Tab. 6H - Kultura fiz. i turyst'!V19+'Tab.6I - Planow. przestrz.'!V23</f>
        <v>32252316</v>
      </c>
      <c r="T46" s="55">
        <f>+'Tab. 6B Polit społ i rozwój prz'!W23+'Tab. 6A -Drogi'!W33+'Tab. 6E - Administracja'!W26+'Tab. 6G - Roln i ochrona środ.'!W31+'Tab. 6H - Kultura fiz. i turyst'!W19+'Tab.6I - Planow. przestrz.'!W23</f>
        <v>31488385</v>
      </c>
      <c r="U46" s="1001">
        <f>J46+L46+M46+N46+O46+P46+Q46+R46+S46+T46</f>
        <v>1063180937</v>
      </c>
      <c r="V46" s="2562"/>
      <c r="W46" s="1008">
        <f>U46-U31</f>
        <v>0</v>
      </c>
      <c r="X46" s="52" t="s">
        <v>397</v>
      </c>
    </row>
    <row r="47" spans="1:25" s="38" customFormat="1" ht="3.75" customHeight="1" thickBot="1">
      <c r="A47" s="35"/>
      <c r="B47" s="36"/>
      <c r="C47" s="36"/>
      <c r="D47" s="36"/>
      <c r="E47" s="36"/>
      <c r="F47" s="80"/>
      <c r="G47" s="36"/>
      <c r="H47" s="36"/>
      <c r="I47" s="36"/>
      <c r="J47" s="36"/>
      <c r="K47" s="1029"/>
      <c r="L47" s="36"/>
      <c r="M47" s="36"/>
      <c r="N47" s="36"/>
      <c r="O47" s="36"/>
      <c r="P47" s="36"/>
      <c r="Q47" s="36"/>
      <c r="R47" s="88"/>
      <c r="S47" s="80"/>
      <c r="T47" s="88"/>
      <c r="U47" s="1004"/>
      <c r="V47" s="37"/>
      <c r="W47" s="30"/>
    </row>
    <row r="48" spans="1:25" s="45" customFormat="1" ht="18.75" customHeight="1" thickBot="1">
      <c r="A48" s="988" t="s">
        <v>39</v>
      </c>
      <c r="B48" s="989" t="e">
        <f t="shared" ref="B48:I48" si="18">+B16</f>
        <v>#REF!</v>
      </c>
      <c r="C48" s="990" t="e">
        <f t="shared" si="18"/>
        <v>#REF!</v>
      </c>
      <c r="D48" s="990" t="e">
        <f t="shared" si="18"/>
        <v>#REF!</v>
      </c>
      <c r="E48" s="990" t="e">
        <f t="shared" si="18"/>
        <v>#REF!</v>
      </c>
      <c r="F48" s="989" t="e">
        <f t="shared" si="18"/>
        <v>#REF!</v>
      </c>
      <c r="G48" s="989" t="e">
        <f t="shared" si="18"/>
        <v>#REF!</v>
      </c>
      <c r="H48" s="989" t="e">
        <f t="shared" si="18"/>
        <v>#REF!</v>
      </c>
      <c r="I48" s="989" t="e">
        <f t="shared" si="18"/>
        <v>#REF!</v>
      </c>
      <c r="J48" s="989">
        <f>+J16-J25</f>
        <v>225981806.30000001</v>
      </c>
      <c r="K48" s="1041" t="e">
        <f t="shared" ref="K48:T48" si="19">+K16-K25</f>
        <v>#REF!</v>
      </c>
      <c r="L48" s="989">
        <f t="shared" si="19"/>
        <v>49074618</v>
      </c>
      <c r="M48" s="989">
        <f t="shared" si="19"/>
        <v>122663024</v>
      </c>
      <c r="N48" s="989">
        <f t="shared" si="19"/>
        <v>403158557</v>
      </c>
      <c r="O48" s="989">
        <f t="shared" si="19"/>
        <v>277955241</v>
      </c>
      <c r="P48" s="989">
        <f t="shared" si="19"/>
        <v>96941001</v>
      </c>
      <c r="Q48" s="989">
        <f t="shared" si="19"/>
        <v>72889136</v>
      </c>
      <c r="R48" s="989">
        <f t="shared" si="19"/>
        <v>39657514</v>
      </c>
      <c r="S48" s="989">
        <f t="shared" si="19"/>
        <v>37124088</v>
      </c>
      <c r="T48" s="989">
        <f t="shared" si="19"/>
        <v>35648428</v>
      </c>
      <c r="U48" s="1011">
        <f>+U16-U25</f>
        <v>1361093413.3</v>
      </c>
      <c r="V48" s="991">
        <f>M48+N48+O48+P48+Q48+R48+S48+T48</f>
        <v>1086036989</v>
      </c>
      <c r="W48" s="43">
        <f>J48+L48+M48+N48+O48+P48+Q48+R48+S48+T48</f>
        <v>1361093413.3</v>
      </c>
      <c r="X48" s="44">
        <f>W48-U48</f>
        <v>0</v>
      </c>
      <c r="Y48" s="44"/>
    </row>
    <row r="49" spans="1:25" s="45" customFormat="1" ht="16.5" customHeight="1" thickBot="1">
      <c r="A49" s="988" t="s">
        <v>40</v>
      </c>
      <c r="B49" s="992" t="e">
        <f>+B32</f>
        <v>#REF!</v>
      </c>
      <c r="C49" s="993" t="e">
        <f t="shared" ref="C49:N49" si="20">+C32</f>
        <v>#REF!</v>
      </c>
      <c r="D49" s="993" t="e">
        <f t="shared" si="20"/>
        <v>#REF!</v>
      </c>
      <c r="E49" s="993" t="e">
        <f t="shared" si="20"/>
        <v>#REF!</v>
      </c>
      <c r="F49" s="992" t="e">
        <f t="shared" si="20"/>
        <v>#REF!</v>
      </c>
      <c r="G49" s="992" t="e">
        <f t="shared" si="20"/>
        <v>#REF!</v>
      </c>
      <c r="H49" s="992" t="e">
        <f t="shared" si="20"/>
        <v>#REF!</v>
      </c>
      <c r="I49" s="992" t="e">
        <f>+I32</f>
        <v>#REF!</v>
      </c>
      <c r="J49" s="992">
        <f>+J32</f>
        <v>194327905</v>
      </c>
      <c r="K49" s="1042" t="e">
        <f t="shared" si="20"/>
        <v>#REF!</v>
      </c>
      <c r="L49" s="992">
        <f t="shared" si="20"/>
        <v>58325430</v>
      </c>
      <c r="M49" s="992">
        <f t="shared" si="20"/>
        <v>120632583</v>
      </c>
      <c r="N49" s="992">
        <f t="shared" si="20"/>
        <v>340281851</v>
      </c>
      <c r="O49" s="992">
        <f t="shared" ref="O49:U49" si="21">+O32</f>
        <v>245999277</v>
      </c>
      <c r="P49" s="992">
        <f t="shared" si="21"/>
        <v>90759049</v>
      </c>
      <c r="Q49" s="992">
        <f t="shared" si="21"/>
        <v>66627065</v>
      </c>
      <c r="R49" s="992">
        <f t="shared" si="21"/>
        <v>33706857</v>
      </c>
      <c r="S49" s="992">
        <f t="shared" si="21"/>
        <v>33241730</v>
      </c>
      <c r="T49" s="992">
        <f t="shared" si="21"/>
        <v>31983092</v>
      </c>
      <c r="U49" s="1012">
        <f t="shared" si="21"/>
        <v>1215884839</v>
      </c>
      <c r="V49" s="994" t="s">
        <v>35</v>
      </c>
      <c r="W49" s="43">
        <v>105067692</v>
      </c>
      <c r="X49" s="44" t="s">
        <v>336</v>
      </c>
    </row>
    <row r="50" spans="1:25" s="38" customFormat="1" ht="18.75" hidden="1" customHeight="1">
      <c r="A50" s="79"/>
      <c r="B50" s="36"/>
      <c r="C50" s="36"/>
      <c r="D50" s="36"/>
      <c r="E50" s="36"/>
      <c r="F50" s="36"/>
      <c r="G50" s="36"/>
      <c r="H50" s="36"/>
      <c r="I50" s="36"/>
      <c r="J50" s="36">
        <f>'Tab. 6A -Drogi'!M17+'Tab. 6E - Administracja'!M17+'Tab. 6G - Roln i ochrona środ.'!M17</f>
        <v>7063116</v>
      </c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7"/>
      <c r="V50" s="52"/>
      <c r="W50" s="52">
        <f>W49+W48</f>
        <v>1466161105.3</v>
      </c>
      <c r="X50" s="52">
        <f>U48-W50</f>
        <v>-105067692</v>
      </c>
    </row>
    <row r="51" spans="1:25" s="38" customFormat="1" hidden="1">
      <c r="A51" s="36"/>
      <c r="B51" s="36"/>
      <c r="C51" s="36"/>
      <c r="D51" s="36"/>
      <c r="E51" s="36"/>
      <c r="F51" s="36"/>
      <c r="G51" s="36"/>
      <c r="H51" s="36"/>
      <c r="I51" s="36"/>
      <c r="J51" s="36">
        <f>'Tab. 6A -Drogi'!M33+'Tab. 6B Polit społ i rozwój prz'!M23+'Tab. 6E - Administracja'!M26+'Tab. 6H - Kultura fiz. i turyst'!M19+'Tab.6I - Planow. przestrz.'!M23+'Tab. 6G - Roln i ochrona środ.'!M31</f>
        <v>144062208</v>
      </c>
      <c r="K51" s="36">
        <f>'Tab. 6A -Drogi'!N33+'Tab. 6B Polit społ i rozwój prz'!N23+'Tab. 6E - Administracja'!N26+'Tab. 6H - Kultura fiz. i turyst'!N19+'Tab.6I - Planow. przestrz.'!N23+'Tab. 6G - Roln i ochrona środ.'!N31</f>
        <v>68509699</v>
      </c>
      <c r="L51" s="36">
        <f>'Tab. 6A -Drogi'!O33+'Tab. 6B Polit społ i rozwój prz'!O23+'Tab. 6E - Administracja'!O26+'Tab. 6H - Kultura fiz. i turyst'!O19+'Tab.6I - Planow. przestrz.'!O23+'Tab. 6G - Roln i ochrona środ.'!O31</f>
        <v>49968159</v>
      </c>
      <c r="M51" s="36">
        <f>'Tab. 6A -Drogi'!P33+'Tab. 6B Polit społ i rozwój prz'!P23+'Tab. 6E - Administracja'!P26+'Tab. 6H - Kultura fiz. i turyst'!P19+'Tab.6I - Planow. przestrz.'!P23+'Tab. 6G - Roln i ochrona środ.'!P31</f>
        <v>101994732</v>
      </c>
      <c r="N51" s="36">
        <f>'Tab. 6A -Drogi'!Q33+'Tab. 6B Polit społ i rozwój prz'!Q23+'Tab. 6E - Administracja'!Q26+'Tab. 6H - Kultura fiz. i turyst'!Q19+'Tab.6I - Planow. przestrz.'!Q23+'Tab. 6G - Roln i ochrona środ.'!Q31</f>
        <v>310224029</v>
      </c>
      <c r="O51" s="36">
        <f>'Tab. 6A -Drogi'!R33+'Tab. 6B Polit społ i rozwój prz'!R23+'Tab. 6E - Administracja'!R26+'Tab. 6H - Kultura fiz. i turyst'!R19+'Tab.6I - Planow. przestrz.'!R23+'Tab. 6G - Roln i ochrona środ.'!R31</f>
        <v>225716176</v>
      </c>
      <c r="P51" s="36">
        <f>'Tab. 6A -Drogi'!S33+'Tab. 6B Polit społ i rozwój prz'!S23+'Tab. 6E - Administracja'!S26+'Tab. 6H - Kultura fiz. i turyst'!S19+'Tab.6I - Planow. przestrz.'!S23+'Tab. 6G - Roln i ochrona środ.'!S31</f>
        <v>74031475</v>
      </c>
      <c r="Q51" s="36">
        <f>'Tab. 6A -Drogi'!T33+'Tab. 6B Polit społ i rozwój prz'!T23+'Tab. 6E - Administracja'!T26+'Tab. 6H - Kultura fiz. i turyst'!T19+'Tab.6I - Planow. przestrz.'!T23+'Tab. 6G - Roln i ochrona środ.'!T31</f>
        <v>60857171</v>
      </c>
      <c r="R51" s="36">
        <f>'Tab. 6A -Drogi'!U33+'Tab. 6B Polit społ i rozwój prz'!U23+'Tab. 6E - Administracja'!U26+'Tab. 6H - Kultura fiz. i turyst'!U19+'Tab.6I - Planow. przestrz.'!U23+'Tab. 6G - Roln i ochrona środ.'!U31</f>
        <v>32586286</v>
      </c>
      <c r="S51" s="36">
        <f>'Tab. 6A -Drogi'!V33+'Tab. 6B Polit społ i rozwój prz'!V23+'Tab. 6E - Administracja'!V26+'Tab. 6H - Kultura fiz. i turyst'!V19+'Tab.6I - Planow. przestrz.'!V23+'Tab. 6G - Roln i ochrona środ.'!V31</f>
        <v>32252316</v>
      </c>
      <c r="T51" s="36">
        <f>'Tab. 6A -Drogi'!W33+'Tab. 6B Polit społ i rozwój prz'!W23+'Tab. 6E - Administracja'!W26+'Tab. 6H - Kultura fiz. i turyst'!W19+'Tab.6I - Planow. przestrz.'!W23+'Tab. 6G - Roln i ochrona środ.'!W31</f>
        <v>31488385</v>
      </c>
      <c r="U51" s="36">
        <f>J51+L51+M51+N51+O51+P51+Q51+R51+S51+T51</f>
        <v>1063180937</v>
      </c>
      <c r="V51" s="30"/>
      <c r="W51" s="30"/>
    </row>
    <row r="52" spans="1:25" s="38" customFormat="1" hidden="1">
      <c r="A52" s="81"/>
      <c r="B52" s="36"/>
      <c r="C52" s="36"/>
      <c r="D52" s="36"/>
      <c r="E52" s="36"/>
      <c r="F52" s="36"/>
      <c r="G52" s="36"/>
      <c r="H52" s="36"/>
      <c r="I52" s="36"/>
      <c r="J52" s="36">
        <f t="shared" ref="J52:T52" si="22">J46-J51</f>
        <v>0</v>
      </c>
      <c r="K52" s="36">
        <f t="shared" si="22"/>
        <v>0</v>
      </c>
      <c r="L52" s="36">
        <f t="shared" si="22"/>
        <v>0</v>
      </c>
      <c r="M52" s="36">
        <f t="shared" si="22"/>
        <v>0</v>
      </c>
      <c r="N52" s="36">
        <f t="shared" si="22"/>
        <v>0</v>
      </c>
      <c r="O52" s="36">
        <f t="shared" si="22"/>
        <v>0</v>
      </c>
      <c r="P52" s="36">
        <f t="shared" si="22"/>
        <v>0</v>
      </c>
      <c r="Q52" s="36">
        <f t="shared" si="22"/>
        <v>0</v>
      </c>
      <c r="R52" s="36">
        <f t="shared" si="22"/>
        <v>0</v>
      </c>
      <c r="S52" s="36">
        <f t="shared" si="22"/>
        <v>0</v>
      </c>
      <c r="T52" s="36">
        <f t="shared" si="22"/>
        <v>0</v>
      </c>
      <c r="U52" s="37"/>
      <c r="V52" s="30"/>
      <c r="W52" s="30"/>
    </row>
    <row r="53" spans="1:25" s="38" customFormat="1">
      <c r="A53" s="7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7"/>
      <c r="V53" s="30"/>
      <c r="W53" s="30"/>
    </row>
    <row r="54" spans="1:25" ht="31.5" customHeight="1" thickBot="1">
      <c r="A54" s="2565" t="s">
        <v>41</v>
      </c>
      <c r="B54" s="2565"/>
      <c r="C54" s="2565"/>
      <c r="D54" s="2565"/>
      <c r="E54" s="2565"/>
      <c r="F54" s="2565"/>
      <c r="G54" s="2565"/>
      <c r="H54" s="2565"/>
      <c r="I54" s="2565"/>
      <c r="J54" s="2565"/>
      <c r="K54" s="2565"/>
      <c r="L54" s="2565"/>
      <c r="M54" s="2565"/>
      <c r="N54" s="2565"/>
      <c r="O54" s="2565"/>
      <c r="P54" s="2565"/>
      <c r="Q54" s="2565"/>
      <c r="R54" s="2565"/>
      <c r="S54" s="2565"/>
      <c r="T54" s="2565"/>
      <c r="U54" s="2565"/>
      <c r="V54" s="970"/>
    </row>
    <row r="55" spans="1:25" s="2" customFormat="1" ht="34.5" customHeight="1">
      <c r="A55" s="830"/>
      <c r="B55" s="1083"/>
      <c r="C55" s="1084"/>
      <c r="D55" s="1084"/>
      <c r="E55" s="1084"/>
      <c r="F55" s="1084"/>
      <c r="G55" s="1084"/>
      <c r="H55" s="1084"/>
      <c r="I55" s="1084"/>
      <c r="J55" s="2550" t="s">
        <v>363</v>
      </c>
      <c r="K55" s="1084"/>
      <c r="L55" s="2552" t="s">
        <v>375</v>
      </c>
      <c r="M55" s="2554" t="s">
        <v>369</v>
      </c>
      <c r="N55" s="2552"/>
      <c r="O55" s="2552"/>
      <c r="P55" s="2552"/>
      <c r="Q55" s="2552"/>
      <c r="R55" s="2552"/>
      <c r="S55" s="2552"/>
      <c r="T55" s="2555"/>
      <c r="U55" s="2547" t="s">
        <v>4</v>
      </c>
      <c r="V55" s="2558" t="s">
        <v>355</v>
      </c>
    </row>
    <row r="56" spans="1:25" ht="19.5" customHeight="1">
      <c r="A56" s="10" t="s">
        <v>5</v>
      </c>
      <c r="B56" s="1085"/>
      <c r="C56" s="1086"/>
      <c r="D56" s="1086"/>
      <c r="E56" s="1086"/>
      <c r="F56" s="1086"/>
      <c r="G56" s="1086"/>
      <c r="H56" s="1086"/>
      <c r="I56" s="1086"/>
      <c r="J56" s="2551"/>
      <c r="K56" s="1086"/>
      <c r="L56" s="2553"/>
      <c r="M56" s="2556"/>
      <c r="N56" s="2553"/>
      <c r="O56" s="2553"/>
      <c r="P56" s="2553"/>
      <c r="Q56" s="2553"/>
      <c r="R56" s="2553"/>
      <c r="S56" s="2553"/>
      <c r="T56" s="2557"/>
      <c r="U56" s="2548"/>
      <c r="V56" s="2559"/>
    </row>
    <row r="57" spans="1:25" ht="24" customHeight="1" thickBot="1">
      <c r="A57" s="10"/>
      <c r="B57" s="794" t="s">
        <v>6</v>
      </c>
      <c r="C57" s="798" t="s">
        <v>7</v>
      </c>
      <c r="D57" s="798" t="s">
        <v>8</v>
      </c>
      <c r="E57" s="798" t="s">
        <v>9</v>
      </c>
      <c r="F57" s="795" t="s">
        <v>10</v>
      </c>
      <c r="G57" s="795" t="s">
        <v>11</v>
      </c>
      <c r="H57" s="795" t="s">
        <v>12</v>
      </c>
      <c r="I57" s="795" t="s">
        <v>13</v>
      </c>
      <c r="J57" s="792" t="s">
        <v>338</v>
      </c>
      <c r="K57" s="1024" t="s">
        <v>14</v>
      </c>
      <c r="L57" s="11" t="s">
        <v>15</v>
      </c>
      <c r="M57" s="11" t="s">
        <v>16</v>
      </c>
      <c r="N57" s="12" t="s">
        <v>17</v>
      </c>
      <c r="O57" s="12" t="s">
        <v>18</v>
      </c>
      <c r="P57" s="12" t="s">
        <v>271</v>
      </c>
      <c r="Q57" s="12" t="s">
        <v>276</v>
      </c>
      <c r="R57" s="12" t="s">
        <v>340</v>
      </c>
      <c r="S57" s="12" t="s">
        <v>341</v>
      </c>
      <c r="T57" s="1013" t="s">
        <v>339</v>
      </c>
      <c r="U57" s="2549"/>
      <c r="V57" s="2559"/>
    </row>
    <row r="58" spans="1:25" ht="13.5" customHeight="1" thickBot="1">
      <c r="A58" s="14">
        <v>1</v>
      </c>
      <c r="B58" s="15"/>
      <c r="C58" s="16"/>
      <c r="D58" s="17"/>
      <c r="E58" s="17"/>
      <c r="F58" s="18"/>
      <c r="G58" s="18"/>
      <c r="H58" s="18"/>
      <c r="I58" s="18"/>
      <c r="J58" s="18">
        <v>2</v>
      </c>
      <c r="K58" s="1025" t="s">
        <v>342</v>
      </c>
      <c r="L58" s="18">
        <v>3</v>
      </c>
      <c r="M58" s="18">
        <v>4</v>
      </c>
      <c r="N58" s="19">
        <v>5</v>
      </c>
      <c r="O58" s="18">
        <v>6</v>
      </c>
      <c r="P58" s="832">
        <v>7</v>
      </c>
      <c r="Q58" s="826">
        <v>8</v>
      </c>
      <c r="R58" s="1014">
        <v>9</v>
      </c>
      <c r="S58" s="18">
        <v>10</v>
      </c>
      <c r="T58" s="1014">
        <v>11</v>
      </c>
      <c r="U58" s="995">
        <v>12</v>
      </c>
      <c r="V58" s="20">
        <v>13</v>
      </c>
    </row>
    <row r="59" spans="1:25" ht="18.75" customHeight="1">
      <c r="A59" s="21" t="s">
        <v>19</v>
      </c>
      <c r="B59" s="22">
        <f>+B60+B61</f>
        <v>10951507</v>
      </c>
      <c r="C59" s="22">
        <f t="shared" ref="C59:V59" si="23">+C60+C61</f>
        <v>0</v>
      </c>
      <c r="D59" s="22">
        <f t="shared" si="23"/>
        <v>5327000</v>
      </c>
      <c r="E59" s="22">
        <f t="shared" si="23"/>
        <v>5568560.0600000005</v>
      </c>
      <c r="F59" s="22">
        <f t="shared" si="23"/>
        <v>10661739</v>
      </c>
      <c r="G59" s="22">
        <f t="shared" si="23"/>
        <v>39111852</v>
      </c>
      <c r="H59" s="22">
        <f t="shared" si="23"/>
        <v>37313862</v>
      </c>
      <c r="I59" s="22">
        <f t="shared" si="23"/>
        <v>114043509</v>
      </c>
      <c r="J59" s="22">
        <f>+J60+J61</f>
        <v>329528288</v>
      </c>
      <c r="K59" s="1026">
        <f t="shared" si="23"/>
        <v>125275071</v>
      </c>
      <c r="L59" s="22">
        <f>+L60+L61</f>
        <v>131669420</v>
      </c>
      <c r="M59" s="22">
        <f t="shared" si="23"/>
        <v>137155348.63999999</v>
      </c>
      <c r="N59" s="22">
        <f t="shared" si="23"/>
        <v>181245493</v>
      </c>
      <c r="O59" s="22">
        <f t="shared" si="23"/>
        <v>187178471</v>
      </c>
      <c r="P59" s="22">
        <f>+P60+P61</f>
        <v>165791598</v>
      </c>
      <c r="Q59" s="22">
        <f>+Q60+Q61</f>
        <v>150556645</v>
      </c>
      <c r="R59" s="22">
        <f>+R60+R61</f>
        <v>5565927</v>
      </c>
      <c r="S59" s="22">
        <f>+S60+S61</f>
        <v>3326626</v>
      </c>
      <c r="T59" s="22">
        <f>+T60+T61</f>
        <v>919047</v>
      </c>
      <c r="U59" s="82">
        <f t="shared" si="23"/>
        <v>1296501153.6399999</v>
      </c>
      <c r="V59" s="83">
        <f t="shared" si="23"/>
        <v>835303445.63999999</v>
      </c>
      <c r="W59" s="890"/>
      <c r="X59" s="1365">
        <f>T59+S59+R59+Q59+P59+O59+N59+M59+L59+J59+3564290</f>
        <v>1296501153.6399999</v>
      </c>
      <c r="Y59" s="1366">
        <f>U59-X59</f>
        <v>0</v>
      </c>
    </row>
    <row r="60" spans="1:25" s="25" customFormat="1" ht="15" customHeight="1">
      <c r="A60" s="26" t="s">
        <v>42</v>
      </c>
      <c r="B60" s="27">
        <f>+'Tab. 6D - Oświata'!E74+'Tab. 6F - Kultura'!E9+'Tab. 6A -Drogi'!E537+'Tab. 6C - Ochrona zdrowia'!E11+'Tab. 6E - Administracja'!E233+'Tab. 6G - Roln i ochrona środ.'!E180</f>
        <v>0</v>
      </c>
      <c r="C60" s="27">
        <f>+'Tab. 6D - Oświata'!F74+'Tab. 6F - Kultura'!F9+'Tab. 6A -Drogi'!F537+'Tab. 6C - Ochrona zdrowia'!F11+'Tab. 6E - Administracja'!F233+'Tab. 6G - Roln i ochrona środ.'!F180</f>
        <v>0</v>
      </c>
      <c r="D60" s="27">
        <f>+'Tab. 6D - Oświata'!G74+'Tab. 6F - Kultura'!G9+'Tab. 6A -Drogi'!G537+'Tab. 6C - Ochrona zdrowia'!G11+'Tab. 6E - Administracja'!G233+'Tab. 6G - Roln i ochrona środ.'!G180</f>
        <v>0</v>
      </c>
      <c r="E60" s="27">
        <f>+'Tab. 6D - Oświata'!H74+'Tab. 6F - Kultura'!H9+'Tab. 6A -Drogi'!H537+'Tab. 6C - Ochrona zdrowia'!H11+'Tab. 6E - Administracja'!H233+'Tab. 6G - Roln i ochrona środ.'!H180</f>
        <v>0</v>
      </c>
      <c r="F60" s="27">
        <f>+'Tab. 6D - Oświata'!I74+'Tab. 6F - Kultura'!I9+'Tab. 6A -Drogi'!I537+'Tab. 6C - Ochrona zdrowia'!I11+'Tab. 6E - Administracja'!I233+'Tab. 6G - Roln i ochrona środ.'!I180</f>
        <v>0</v>
      </c>
      <c r="G60" s="27">
        <f>+'Tab. 6D - Oświata'!J74+'Tab. 6F - Kultura'!J9+'Tab. 6A -Drogi'!J537+'Tab. 6C - Ochrona zdrowia'!J11+'Tab. 6E - Administracja'!J233+'Tab. 6G - Roln i ochrona środ.'!J180</f>
        <v>15514140</v>
      </c>
      <c r="H60" s="27">
        <f>'Tab. 6A -Drogi'!K537+'Tab. 6C - Ochrona zdrowia'!K11+'Tab. 6D - Oświata'!K74+'Tab. 6E - Administracja'!K233+'Tab. 6F - Kultura'!K9+'Tab. 6G - Roln i ochrona środ.'!K180+'Tab. 6H - Kultura fiz. i turyst'!K143</f>
        <v>17282641</v>
      </c>
      <c r="I60" s="27">
        <f>'Tab. 6A -Drogi'!L537+'Tab. 6C - Ochrona zdrowia'!L11+'Tab. 6D - Oświata'!L74+'Tab. 6E - Administracja'!L233+'Tab. 6F - Kultura'!L9+'Tab. 6G - Roln i ochrona środ.'!L180+'Tab. 6H - Kultura fiz. i turyst'!L143</f>
        <v>102747353</v>
      </c>
      <c r="J60" s="27">
        <f>'Tab. 6A -Drogi'!M537+'Tab. 6C - Ochrona zdrowia'!M11+'Tab. 6D - Oświata'!M74+'Tab. 6E - Administracja'!M233+'Tab. 6F - Kultura'!M9+'Tab. 6G - Roln i ochrona środ.'!M180+'Tab. 6H - Kultura fiz. i turyst'!M143+'Tab.6I - Planow. przestrz.'!M74</f>
        <v>232475887</v>
      </c>
      <c r="K60" s="1027">
        <f>'Tab. 6A -Drogi'!N537+'Tab. 6C - Ochrona zdrowia'!N11+'Tab. 6D - Oświata'!N74+'Tab. 6E - Administracja'!N233+'Tab. 6F - Kultura'!N9+'Tab. 6G - Roln i ochrona środ.'!N180+'Tab. 6H - Kultura fiz. i turyst'!N143</f>
        <v>97217227</v>
      </c>
      <c r="L60" s="27">
        <f>'Tab. 6A -Drogi'!O537+'Tab. 6C - Ochrona zdrowia'!O11+'Tab. 6D - Oświata'!O74+'Tab. 6E - Administracja'!O233+'Tab. 6F - Kultura'!O9+'Tab. 6G - Roln i ochrona środ.'!O180+'Tab. 6H - Kultura fiz. i turyst'!O143+'Tab.6I - Planow. przestrz.'!O74</f>
        <v>100147766</v>
      </c>
      <c r="M60" s="27">
        <f>'Tab. 6A -Drogi'!P537+'Tab. 6C - Ochrona zdrowia'!P11+'Tab. 6D - Oświata'!P74+'Tab. 6E - Administracja'!P233+'Tab. 6F - Kultura'!P9+'Tab. 6G - Roln i ochrona środ.'!P180+'Tab. 6H - Kultura fiz. i turyst'!P143+'Tab.6I - Planow. przestrz.'!P74</f>
        <v>112833841.64</v>
      </c>
      <c r="N60" s="27">
        <f>'Tab. 6A -Drogi'!Q537+'Tab. 6C - Ochrona zdrowia'!Q11+'Tab. 6D - Oświata'!Q74+'Tab. 6E - Administracja'!Q233+'Tab. 6F - Kultura'!Q9+'Tab. 6G - Roln i ochrona środ.'!Q180+'Tab. 6H - Kultura fiz. i turyst'!Q143+'Tab.6I - Planow. przestrz.'!Q74</f>
        <v>146407684</v>
      </c>
      <c r="O60" s="27">
        <f>'Tab. 6A -Drogi'!R537+'Tab. 6C - Ochrona zdrowia'!R11+'Tab. 6D - Oświata'!R74+'Tab. 6E - Administracja'!R233+'Tab. 6F - Kultura'!R9+'Tab. 6G - Roln i ochrona środ.'!R180+'Tab. 6H - Kultura fiz. i turyst'!R143+'Tab.6I - Planow. przestrz.'!R74</f>
        <v>147877271</v>
      </c>
      <c r="P60" s="27">
        <f>'Tab. 6A -Drogi'!S537+'Tab. 6C - Ochrona zdrowia'!S11+'Tab. 6D - Oświata'!S74+'Tab. 6E - Administracja'!S233+'Tab. 6F - Kultura'!S9+'Tab. 6G - Roln i ochrona środ.'!S180+'Tab. 6H - Kultura fiz. i turyst'!S143+'Tab.6I - Planow. przestrz.'!S74</f>
        <v>120921098</v>
      </c>
      <c r="Q60" s="27">
        <f>'Tab. 6A -Drogi'!T537+'Tab. 6C - Ochrona zdrowia'!T11+'Tab. 6D - Oświata'!T74+'Tab. 6E - Administracja'!T233+'Tab. 6F - Kultura'!T9+'Tab. 6G - Roln i ochrona środ.'!T180+'Tab. 6H - Kultura fiz. i turyst'!T143+'Tab.6I - Planow. przestrz.'!T74</f>
        <v>110049145</v>
      </c>
      <c r="R60" s="27">
        <f>'Tab. 6A -Drogi'!U537+'Tab. 6C - Ochrona zdrowia'!U11+'Tab. 6D - Oświata'!U74+'Tab. 6E - Administracja'!U233+'Tab. 6F - Kultura'!U9+'Tab. 6G - Roln i ochrona środ.'!U180+'Tab. 6H - Kultura fiz. i turyst'!U143+'Tab.6I - Planow. przestrz.'!U74</f>
        <v>1999047</v>
      </c>
      <c r="S60" s="27">
        <f>'Tab. 6A -Drogi'!V537+'Tab. 6C - Ochrona zdrowia'!V11+'Tab. 6D - Oświata'!V74+'Tab. 6E - Administracja'!V233+'Tab. 6F - Kultura'!V9+'Tab. 6G - Roln i ochrona środ.'!V180+'Tab. 6H - Kultura fiz. i turyst'!V143+'Tab.6I - Planow. przestrz.'!V74</f>
        <v>1859047</v>
      </c>
      <c r="T60" s="27">
        <f>'Tab. 6A -Drogi'!W537+'Tab. 6C - Ochrona zdrowia'!W11+'Tab. 6D - Oświata'!W74+'Tab. 6E - Administracja'!W233+'Tab. 6F - Kultura'!W9+'Tab. 6G - Roln i ochrona środ.'!W180+'Tab. 6H - Kultura fiz. i turyst'!W143+'Tab.6I - Planow. przestrz.'!W74</f>
        <v>919047</v>
      </c>
      <c r="U60" s="891">
        <f>'Tab. 6A -Drogi'!D537+'Tab. 6C - Ochrona zdrowia'!D11+'Tab. 6D - Oświata'!D74+'Tab. 6E - Administracja'!D233+'Tab. 6F - Kultura'!D9+'Tab. 6G - Roln i ochrona środ.'!D180+'Tab. 6H - Kultura fiz. i turyst'!D143+'Tab.6I - Planow. przestrz.'!D74</f>
        <v>979054123.63999999</v>
      </c>
      <c r="V60" s="29">
        <f>SUM(M60:T60)+2514288+1050002</f>
        <v>646430470.63999999</v>
      </c>
      <c r="W60" s="315"/>
      <c r="X60" s="1365">
        <f>T60+S60+R60+Q60+P60+O60+N60+M60+L60+J60+3564290</f>
        <v>979054123.63999999</v>
      </c>
      <c r="Y60" s="1366">
        <f t="shared" ref="Y60:Y74" si="24">U60-X60</f>
        <v>0</v>
      </c>
    </row>
    <row r="61" spans="1:25" ht="14.25" customHeight="1" thickBot="1">
      <c r="A61" s="84" t="s">
        <v>43</v>
      </c>
      <c r="B61" s="85">
        <f>+'Tab. 6D - Oświata'!E75+'Tab. 6F - Kultura'!E10+'Tab. 6A -Drogi'!E538+'Tab. 6C - Ochrona zdrowia'!E12+'Tab. 6E - Administracja'!E234+'Tab. 6G - Roln i ochrona środ.'!E181</f>
        <v>10951507</v>
      </c>
      <c r="C61" s="85">
        <f>+'Tab. 6D - Oświata'!F75+'Tab. 6F - Kultura'!F10+'Tab. 6A -Drogi'!F538+'Tab. 6C - Ochrona zdrowia'!F12+'Tab. 6E - Administracja'!F234+'Tab. 6G - Roln i ochrona środ.'!F181</f>
        <v>0</v>
      </c>
      <c r="D61" s="85">
        <f>+'Tab. 6D - Oświata'!G75+'Tab. 6F - Kultura'!G10+'Tab. 6A -Drogi'!G538+'Tab. 6C - Ochrona zdrowia'!G12+'Tab. 6E - Administracja'!G234+'Tab. 6G - Roln i ochrona środ.'!G181</f>
        <v>5327000</v>
      </c>
      <c r="E61" s="85">
        <f>+'Tab. 6D - Oświata'!H75+'Tab. 6F - Kultura'!H10+'Tab. 6A -Drogi'!H538+'Tab. 6C - Ochrona zdrowia'!H12+'Tab. 6E - Administracja'!H234+'Tab. 6G - Roln i ochrona środ.'!H181</f>
        <v>5568560.0600000005</v>
      </c>
      <c r="F61" s="85">
        <f>+'Tab. 6D - Oświata'!I75+'Tab. 6F - Kultura'!I10+'Tab. 6A -Drogi'!I538+'Tab. 6C - Ochrona zdrowia'!I12+'Tab. 6E - Administracja'!I234+'Tab. 6G - Roln i ochrona środ.'!I181</f>
        <v>10661739</v>
      </c>
      <c r="G61" s="85">
        <f>+'Tab. 6D - Oświata'!J75+'Tab. 6F - Kultura'!J10+'Tab. 6A -Drogi'!J538+'Tab. 6C - Ochrona zdrowia'!J12+'Tab. 6E - Administracja'!J234+'Tab. 6G - Roln i ochrona środ.'!J181</f>
        <v>23597712</v>
      </c>
      <c r="H61" s="85">
        <f>+'Tab. 6D - Oświata'!K75+'Tab. 6F - Kultura'!K10+'Tab. 6A -Drogi'!K538+'Tab. 6C - Ochrona zdrowia'!K12+'Tab. 6E - Administracja'!K234+'Tab. 6G - Roln i ochrona środ.'!K181</f>
        <v>20031221</v>
      </c>
      <c r="I61" s="86">
        <f>'Tab. 6A -Drogi'!L538+'Tab. 6C - Ochrona zdrowia'!L12+'Tab. 6D - Oświata'!L75+'Tab. 6E - Administracja'!L234+'Tab. 6F - Kultura'!L10+'Tab. 6G - Roln i ochrona środ.'!L181</f>
        <v>11296156</v>
      </c>
      <c r="J61" s="86">
        <f>'Tab. 6A -Drogi'!M538+'Tab. 6C - Ochrona zdrowia'!M12+'Tab. 6D - Oświata'!M75+'Tab. 6E - Administracja'!M234+'Tab. 6F - Kultura'!M10+'Tab. 6G - Roln i ochrona środ.'!M181</f>
        <v>97052401</v>
      </c>
      <c r="K61" s="1043">
        <f>'Tab. 6A -Drogi'!N538+'Tab. 6C - Ochrona zdrowia'!N12+'Tab. 6D - Oświata'!N75+'Tab. 6E - Administracja'!N234+'Tab. 6F - Kultura'!N10+'Tab. 6G - Roln i ochrona środ.'!N181</f>
        <v>28057844</v>
      </c>
      <c r="L61" s="86">
        <f>'Tab. 6A -Drogi'!O538+'Tab. 6C - Ochrona zdrowia'!O12+'Tab. 6D - Oświata'!O75+'Tab. 6E - Administracja'!O234+'Tab. 6F - Kultura'!O10+'Tab. 6G - Roln i ochrona środ.'!O181</f>
        <v>31521654</v>
      </c>
      <c r="M61" s="86">
        <f>'Tab. 6A -Drogi'!P538+'Tab. 6C - Ochrona zdrowia'!P12+'Tab. 6D - Oświata'!P75+'Tab. 6E - Administracja'!P234+'Tab. 6F - Kultura'!P10+'Tab. 6G - Roln i ochrona środ.'!P181</f>
        <v>24321507</v>
      </c>
      <c r="N61" s="86">
        <f>'Tab. 6A -Drogi'!Q538+'Tab. 6C - Ochrona zdrowia'!Q12+'Tab. 6D - Oświata'!Q75+'Tab. 6E - Administracja'!Q234+'Tab. 6F - Kultura'!Q10+'Tab. 6G - Roln i ochrona środ.'!Q181</f>
        <v>34837809</v>
      </c>
      <c r="O61" s="86">
        <f>'Tab. 6A -Drogi'!R538+'Tab. 6C - Ochrona zdrowia'!R12+'Tab. 6D - Oświata'!R75+'Tab. 6E - Administracja'!R234+'Tab. 6F - Kultura'!R10+'Tab. 6G - Roln i ochrona środ.'!R181</f>
        <v>39301200</v>
      </c>
      <c r="P61" s="86">
        <f>'Tab. 6A -Drogi'!S538+'Tab. 6C - Ochrona zdrowia'!S12+'Tab. 6D - Oświata'!S75+'Tab. 6E - Administracja'!S234+'Tab. 6F - Kultura'!S10+'Tab. 6G - Roln i ochrona środ.'!S181</f>
        <v>44870500</v>
      </c>
      <c r="Q61" s="86">
        <f>'Tab. 6A -Drogi'!T538+'Tab. 6C - Ochrona zdrowia'!T12+'Tab. 6D - Oświata'!T75+'Tab. 6E - Administracja'!T234+'Tab. 6F - Kultura'!T10+'Tab. 6G - Roln i ochrona środ.'!T181</f>
        <v>40507500</v>
      </c>
      <c r="R61" s="86">
        <f>'Tab. 6A -Drogi'!U538+'Tab. 6C - Ochrona zdrowia'!U12+'Tab. 6D - Oświata'!U75+'Tab. 6E - Administracja'!U234+'Tab. 6F - Kultura'!U10+'Tab. 6G - Roln i ochrona środ.'!U181</f>
        <v>3566880</v>
      </c>
      <c r="S61" s="86">
        <f>'Tab. 6A -Drogi'!V538+'Tab. 6C - Ochrona zdrowia'!V12+'Tab. 6D - Oświata'!V75+'Tab. 6E - Administracja'!V234+'Tab. 6F - Kultura'!V10+'Tab. 6G - Roln i ochrona środ.'!V181</f>
        <v>1467579</v>
      </c>
      <c r="T61" s="86">
        <f>'Tab. 6A -Drogi'!W538+'Tab. 6C - Ochrona zdrowia'!W12+'Tab. 6D - Oświata'!W75+'Tab. 6E - Administracja'!W234+'Tab. 6F - Kultura'!W10+'Tab. 6G - Roln i ochrona środ.'!W181</f>
        <v>0</v>
      </c>
      <c r="U61" s="87">
        <f>'Tab. 6A -Drogi'!D538+'Tab. 6C - Ochrona zdrowia'!D12+'Tab. 6D - Oświata'!D75+'Tab. 6E - Administracja'!D234+'Tab. 6F - Kultura'!D10+'Tab. 6G - Roln i ochrona środ.'!D181</f>
        <v>317447030</v>
      </c>
      <c r="V61" s="34">
        <f>SUM(M61:T61)</f>
        <v>188872975</v>
      </c>
      <c r="W61" s="315"/>
      <c r="X61" s="1365">
        <f t="shared" ref="X61:X74" si="25">T61+S61+R61+Q61+P61+O61+N61+M61+L61+J61</f>
        <v>317447030</v>
      </c>
      <c r="Y61" s="1366">
        <f t="shared" si="24"/>
        <v>0</v>
      </c>
    </row>
    <row r="62" spans="1:25" s="38" customFormat="1" ht="4.5" customHeight="1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1029"/>
      <c r="L62" s="36"/>
      <c r="M62" s="36"/>
      <c r="N62" s="36"/>
      <c r="O62" s="88"/>
      <c r="P62" s="36"/>
      <c r="Q62" s="36"/>
      <c r="R62" s="36"/>
      <c r="S62" s="36"/>
      <c r="T62" s="36"/>
      <c r="U62" s="37"/>
      <c r="V62" s="1004"/>
      <c r="W62" s="30"/>
      <c r="X62" s="1365"/>
      <c r="Y62" s="1366"/>
    </row>
    <row r="63" spans="1:25" s="68" customFormat="1" ht="18" customHeight="1">
      <c r="A63" s="39" t="s">
        <v>22</v>
      </c>
      <c r="B63" s="40">
        <f t="shared" ref="B63:U63" si="26">+B64+B73</f>
        <v>11993980</v>
      </c>
      <c r="C63" s="40">
        <f t="shared" si="26"/>
        <v>0</v>
      </c>
      <c r="D63" s="41">
        <f t="shared" si="26"/>
        <v>5402454</v>
      </c>
      <c r="E63" s="41">
        <f t="shared" si="26"/>
        <v>8279439.0600000005</v>
      </c>
      <c r="F63" s="41">
        <f t="shared" si="26"/>
        <v>27348508</v>
      </c>
      <c r="G63" s="41">
        <f>+G64+G73</f>
        <v>50847558</v>
      </c>
      <c r="H63" s="41">
        <f>+H64+H73</f>
        <v>44218403</v>
      </c>
      <c r="I63" s="41">
        <f t="shared" si="26"/>
        <v>142180353</v>
      </c>
      <c r="J63" s="41">
        <f>+J64+J73</f>
        <v>391202568</v>
      </c>
      <c r="K63" s="1030">
        <f t="shared" si="26"/>
        <v>149693657</v>
      </c>
      <c r="L63" s="41">
        <f t="shared" si="26"/>
        <v>171007248</v>
      </c>
      <c r="M63" s="41">
        <f t="shared" si="26"/>
        <v>176574675.63999999</v>
      </c>
      <c r="N63" s="41">
        <f t="shared" si="26"/>
        <v>181245493</v>
      </c>
      <c r="O63" s="41">
        <f t="shared" si="26"/>
        <v>196443471</v>
      </c>
      <c r="P63" s="41">
        <f>+P64+P73</f>
        <v>186191598</v>
      </c>
      <c r="Q63" s="41">
        <f>+Q64+Q73</f>
        <v>162499145</v>
      </c>
      <c r="R63" s="41">
        <f>+R64+R73</f>
        <v>14065927</v>
      </c>
      <c r="S63" s="41">
        <f>+S64+S73</f>
        <v>13419126</v>
      </c>
      <c r="T63" s="41">
        <f>+T64+T73</f>
        <v>919047</v>
      </c>
      <c r="U63" s="89">
        <f t="shared" si="26"/>
        <v>1497132588.6399999</v>
      </c>
      <c r="V63" s="90">
        <f>+V64+V73</f>
        <v>835303445.63999999</v>
      </c>
      <c r="W63" s="43"/>
      <c r="X63" s="1365">
        <f>T63+S63+R63+Q63+P63+O63+N63+M63+L63+J63+3564290</f>
        <v>1497132588.6399999</v>
      </c>
      <c r="Y63" s="1366">
        <f t="shared" si="24"/>
        <v>0</v>
      </c>
    </row>
    <row r="64" spans="1:25" s="49" customFormat="1" ht="18" customHeight="1">
      <c r="A64" s="46" t="s">
        <v>23</v>
      </c>
      <c r="B64" s="91">
        <f>SUM(B65:B72)</f>
        <v>11993980</v>
      </c>
      <c r="C64" s="47">
        <f t="shared" ref="C64:K64" si="27">SUM(C65:C72)</f>
        <v>0</v>
      </c>
      <c r="D64" s="92">
        <f t="shared" si="27"/>
        <v>5402454</v>
      </c>
      <c r="E64" s="92">
        <f t="shared" si="27"/>
        <v>8279439.0600000005</v>
      </c>
      <c r="F64" s="93">
        <f t="shared" si="27"/>
        <v>11769753</v>
      </c>
      <c r="G64" s="93">
        <f>SUM(G65:G72)</f>
        <v>42617111</v>
      </c>
      <c r="H64" s="93">
        <f>SUM(H65:H72)</f>
        <v>42412019</v>
      </c>
      <c r="I64" s="93">
        <f t="shared" si="27"/>
        <v>139550003</v>
      </c>
      <c r="J64" s="93">
        <f t="shared" si="27"/>
        <v>349963204</v>
      </c>
      <c r="K64" s="1044">
        <f t="shared" si="27"/>
        <v>129766190</v>
      </c>
      <c r="L64" s="93">
        <f t="shared" ref="L64:U64" si="28">SUM(L65:L72)</f>
        <v>143730693</v>
      </c>
      <c r="M64" s="93">
        <f t="shared" si="28"/>
        <v>155411119.63999999</v>
      </c>
      <c r="N64" s="93">
        <f t="shared" si="28"/>
        <v>181245493</v>
      </c>
      <c r="O64" s="93">
        <f t="shared" si="28"/>
        <v>187178471</v>
      </c>
      <c r="P64" s="93">
        <f>SUM(P65:P72)</f>
        <v>165791598</v>
      </c>
      <c r="Q64" s="93">
        <f t="shared" si="28"/>
        <v>150556645</v>
      </c>
      <c r="R64" s="93">
        <f>SUM(R65:R72)</f>
        <v>5565927</v>
      </c>
      <c r="S64" s="93">
        <f>SUM(S65:S72)</f>
        <v>3326626</v>
      </c>
      <c r="T64" s="93">
        <f>SUM(T65:T72)</f>
        <v>919047</v>
      </c>
      <c r="U64" s="94">
        <f t="shared" si="28"/>
        <v>1347253113.6399999</v>
      </c>
      <c r="V64" s="95">
        <f>SUM(V65:V72)</f>
        <v>835303445.63999999</v>
      </c>
      <c r="W64" s="30"/>
      <c r="X64" s="1365">
        <f>T64+S64+R64+Q64+P64+O64+N64+M64+L64+J64+3564290</f>
        <v>1347253113.6399999</v>
      </c>
      <c r="Y64" s="1366">
        <f t="shared" si="24"/>
        <v>0</v>
      </c>
    </row>
    <row r="65" spans="1:25" s="38" customFormat="1" ht="16.5" customHeight="1">
      <c r="A65" s="50" t="s">
        <v>44</v>
      </c>
      <c r="B65" s="96">
        <f>+'Tab. 6D - Oświata'!E80+'Tab. 6A -Drogi'!E541+'Tab. 6E - Administracja'!E237+'Tab. 6C - Ochrona zdrowia'!E15</f>
        <v>7239894</v>
      </c>
      <c r="C65" s="96">
        <f>+'Tab. 6D - Oświata'!F80+'Tab. 6A -Drogi'!F541+'Tab. 6E - Administracja'!F237+'Tab. 6C - Ochrona zdrowia'!F15</f>
        <v>0</v>
      </c>
      <c r="D65" s="96">
        <f>+'Tab. 6D - Oświata'!G80+'Tab. 6A -Drogi'!G541+'Tab. 6E - Administracja'!G237+'Tab. 6C - Ochrona zdrowia'!G15</f>
        <v>5300000</v>
      </c>
      <c r="E65" s="96">
        <f>+'Tab. 6D - Oświata'!H80+'Tab. 6A -Drogi'!H541+'Tab. 6E - Administracja'!H237+'Tab. 6C - Ochrona zdrowia'!H15</f>
        <v>1939894</v>
      </c>
      <c r="F65" s="96">
        <f>+'Tab. 6D - Oświata'!I80+'Tab. 6A -Drogi'!I541+'Tab. 6E - Administracja'!I237+'Tab. 6C - Ochrona zdrowia'!I15</f>
        <v>1403574</v>
      </c>
      <c r="G65" s="96">
        <f>+'Tab. 6D - Oświata'!J80+'Tab. 6A -Drogi'!J541+'Tab. 6E - Administracja'!J237+'Tab. 6C - Ochrona zdrowia'!J15</f>
        <v>18250428</v>
      </c>
      <c r="H65" s="96">
        <f>+'Tab. 6D - Oświata'!K80+'Tab. 6A -Drogi'!K541+'Tab. 6E - Administracja'!K237+'Tab. 6C - Ochrona zdrowia'!K15</f>
        <v>23280243</v>
      </c>
      <c r="I65" s="96">
        <f>+'Tab. 6D - Oświata'!L80+'Tab. 6A -Drogi'!L541+'Tab. 6E - Administracja'!L237+'Tab. 6C - Ochrona zdrowia'!L15</f>
        <v>107308633</v>
      </c>
      <c r="J65" s="96">
        <f>+'Tab. 6D - Oświata'!M80+'Tab. 6A -Drogi'!M541+'Tab. 6E - Administracja'!M237+'Tab. 6C - Ochrona zdrowia'!M15+'Tab.6I - Planow. przestrz.'!M78</f>
        <v>255852401</v>
      </c>
      <c r="K65" s="1045">
        <f>+'Tab. 6D - Oświata'!N80+'Tab. 6A -Drogi'!N541+'Tab. 6E - Administracja'!N237+'Tab. 6C - Ochrona zdrowia'!N15</f>
        <v>98455103</v>
      </c>
      <c r="L65" s="96">
        <f>+'Tab. 6D - Oświata'!O80+'Tab. 6A -Drogi'!O541+'Tab. 6E - Administracja'!O237+'Tab. 6C - Ochrona zdrowia'!O15+'Tab.6I - Planow. przestrz.'!O78</f>
        <v>94713426</v>
      </c>
      <c r="M65" s="96">
        <f>+'Tab. 6D - Oświata'!P80+'Tab. 6A -Drogi'!P541+'Tab. 6E - Administracja'!P237+'Tab. 6C - Ochrona zdrowia'!P15+'Tab.6I - Planow. przestrz.'!P78</f>
        <v>116258173.64</v>
      </c>
      <c r="N65" s="96">
        <f>+'Tab. 6D - Oświata'!Q80+'Tab. 6A -Drogi'!Q541+'Tab. 6E - Administracja'!Q237+'Tab. 6C - Ochrona zdrowia'!Q15+'Tab.6I - Planow. przestrz.'!Q78</f>
        <v>175290493</v>
      </c>
      <c r="O65" s="96">
        <f>+'Tab. 6D - Oświata'!R80+'Tab. 6A -Drogi'!R541+'Tab. 6E - Administracja'!R237+'Tab. 6C - Ochrona zdrowia'!R15+'Tab.6I - Planow. przestrz.'!R78</f>
        <v>180051471</v>
      </c>
      <c r="P65" s="96">
        <f>+'Tab. 6D - Oświata'!S80+'Tab. 6A -Drogi'!S541+'Tab. 6E - Administracja'!S237+'Tab. 6C - Ochrona zdrowia'!S15+'Tab.6I - Planow. przestrz.'!S78</f>
        <v>153486598</v>
      </c>
      <c r="Q65" s="96">
        <f>+'Tab. 6D - Oświata'!T80+'Tab. 6A -Drogi'!T541+'Tab. 6E - Administracja'!T237+'Tab. 6C - Ochrona zdrowia'!T15+'Tab.6I - Planow. przestrz.'!T78</f>
        <v>144899145</v>
      </c>
      <c r="R65" s="96">
        <f>+'Tab. 6D - Oświata'!U80+'Tab. 6A -Drogi'!U541+'Tab. 6E - Administracja'!U237+'Tab. 6C - Ochrona zdrowia'!U15+'Tab.6I - Planow. przestrz.'!U78</f>
        <v>1999047</v>
      </c>
      <c r="S65" s="96">
        <f>+'Tab. 6D - Oświata'!V80+'Tab. 6A -Drogi'!V541+'Tab. 6E - Administracja'!V237+'Tab. 6C - Ochrona zdrowia'!V15+'Tab.6I - Planow. przestrz.'!V78</f>
        <v>1859047</v>
      </c>
      <c r="T65" s="96">
        <f>+'Tab. 6D - Oświata'!W80+'Tab. 6A -Drogi'!W541+'Tab. 6E - Administracja'!W237+'Tab. 6C - Ochrona zdrowia'!W15+'Tab.6I - Planow. przestrz.'!W78</f>
        <v>919047</v>
      </c>
      <c r="U65" s="97">
        <f>J65+L65+M65+N65+O65+P65+Q65+R65+S65+T65+2514288+1050002</f>
        <v>1128893138.6399999</v>
      </c>
      <c r="V65" s="29">
        <f>SUM(M65:T65)+2514288+1050002</f>
        <v>778327311.63999999</v>
      </c>
      <c r="W65" s="315"/>
      <c r="X65" s="1365">
        <f>T65+S65+R65+Q65+P65+O65+N65+M65+L65+J65+3564290</f>
        <v>1128893138.6399999</v>
      </c>
      <c r="Y65" s="1366">
        <f t="shared" si="24"/>
        <v>0</v>
      </c>
    </row>
    <row r="66" spans="1:25" s="38" customFormat="1" ht="15.75" hidden="1" customHeight="1">
      <c r="A66" s="53" t="s">
        <v>28</v>
      </c>
      <c r="B66" s="73">
        <f>+'Tab. 6A -Drogi'!E544+'Tab. 6G - Roln i ochrona środ.'!E188</f>
        <v>0</v>
      </c>
      <c r="C66" s="73">
        <f>+'Tab. 6A -Drogi'!F544+'Tab. 6G - Roln i ochrona środ.'!F188</f>
        <v>0</v>
      </c>
      <c r="D66" s="73">
        <f>+'Tab. 6A -Drogi'!G544+'Tab. 6G - Roln i ochrona środ.'!G188</f>
        <v>0</v>
      </c>
      <c r="E66" s="73">
        <f>+'Tab. 6A -Drogi'!H544+'Tab. 6G - Roln i ochrona środ.'!H188</f>
        <v>0</v>
      </c>
      <c r="F66" s="73">
        <f>+'Tab. 6A -Drogi'!I544+'Tab. 6G - Roln i ochrona środ.'!I188</f>
        <v>0</v>
      </c>
      <c r="G66" s="73">
        <f>+'Tab. 6A -Drogi'!J544+'Tab. 6G - Roln i ochrona środ.'!J188</f>
        <v>0</v>
      </c>
      <c r="H66" s="96">
        <f>+'Tab. 6A -Drogi'!K544+'Tab. 6G - Roln i ochrona środ.'!K188</f>
        <v>0</v>
      </c>
      <c r="I66" s="96">
        <f>+'Tab. 6A -Drogi'!L544+'Tab. 6G - Roln i ochrona środ.'!L188</f>
        <v>0</v>
      </c>
      <c r="J66" s="96">
        <f>+'Tab. 6A -Drogi'!M544+'Tab. 6G - Roln i ochrona środ.'!M188</f>
        <v>0</v>
      </c>
      <c r="K66" s="1045">
        <f>+'Tab. 6A -Drogi'!N544+'Tab. 6G - Roln i ochrona środ.'!N188+'Tab. 6H - Kultura fiz. i turyst'!N147</f>
        <v>0</v>
      </c>
      <c r="L66" s="96">
        <f>+'Tab. 6A -Drogi'!O544+'Tab. 6G - Roln i ochrona środ.'!O188+'Tab. 6H - Kultura fiz. i turyst'!O147</f>
        <v>0</v>
      </c>
      <c r="M66" s="96">
        <f>+'Tab. 6A -Drogi'!P544+'Tab. 6G - Roln i ochrona środ.'!P188+'Tab. 6H - Kultura fiz. i turyst'!P147</f>
        <v>0</v>
      </c>
      <c r="N66" s="96">
        <f>+'Tab. 6A -Drogi'!Q544+'Tab. 6G - Roln i ochrona środ.'!Q188+'Tab. 6H - Kultura fiz. i turyst'!Q147</f>
        <v>0</v>
      </c>
      <c r="O66" s="96">
        <f>+'Tab. 6A -Drogi'!R544+'Tab. 6G - Roln i ochrona środ.'!R188+'Tab. 6H - Kultura fiz. i turyst'!R147</f>
        <v>0</v>
      </c>
      <c r="P66" s="96">
        <f>+'Tab. 6A -Drogi'!S544+'Tab. 6G - Roln i ochrona środ.'!S188+'Tab. 6H - Kultura fiz. i turyst'!S147</f>
        <v>0</v>
      </c>
      <c r="Q66" s="96">
        <f>+'Tab. 6A -Drogi'!T544+'Tab. 6G - Roln i ochrona środ.'!T188+'Tab. 6H - Kultura fiz. i turyst'!T147</f>
        <v>0</v>
      </c>
      <c r="R66" s="96">
        <f>+'Tab. 6A -Drogi'!U544+'Tab. 6G - Roln i ochrona środ.'!U188+'Tab. 6H - Kultura fiz. i turyst'!U147</f>
        <v>0</v>
      </c>
      <c r="S66" s="96">
        <f>+'Tab. 6A -Drogi'!V544+'Tab. 6G - Roln i ochrona środ.'!V188+'Tab. 6H - Kultura fiz. i turyst'!V147</f>
        <v>0</v>
      </c>
      <c r="T66" s="96">
        <f>+'Tab. 6A -Drogi'!W544+'Tab. 6G - Roln i ochrona środ.'!W188+'Tab. 6H - Kultura fiz. i turyst'!W147</f>
        <v>0</v>
      </c>
      <c r="U66" s="97">
        <f t="shared" ref="U66:U72" si="29">J66+L66+M66+N66+O66+P66+Q66+R66+S66+T66</f>
        <v>0</v>
      </c>
      <c r="V66" s="29">
        <f>SUM(M66:T66)</f>
        <v>0</v>
      </c>
      <c r="W66" s="315"/>
      <c r="X66" s="1365">
        <f t="shared" si="25"/>
        <v>0</v>
      </c>
      <c r="Y66" s="1366">
        <f t="shared" si="24"/>
        <v>0</v>
      </c>
    </row>
    <row r="67" spans="1:25" s="38" customFormat="1" ht="15.75" customHeight="1">
      <c r="A67" s="53" t="s">
        <v>45</v>
      </c>
      <c r="B67" s="96">
        <f>+'Tab. 6F - Kultura'!E13+'Tab. 6C - Ochrona zdrowia'!E16</f>
        <v>1042473</v>
      </c>
      <c r="C67" s="96">
        <f>+'Tab. 6F - Kultura'!F13+'Tab. 6C - Ochrona zdrowia'!F16</f>
        <v>0</v>
      </c>
      <c r="D67" s="96">
        <f>+'Tab. 6F - Kultura'!G13+'Tab. 6C - Ochrona zdrowia'!G16</f>
        <v>75454</v>
      </c>
      <c r="E67" s="96">
        <f>+'Tab. 6F - Kultura'!H13+'Tab. 6C - Ochrona zdrowia'!H16</f>
        <v>2710879</v>
      </c>
      <c r="F67" s="96">
        <f>+'Tab. 6F - Kultura'!I13+'Tab. 6C - Ochrona zdrowia'!I16</f>
        <v>1108014</v>
      </c>
      <c r="G67" s="96">
        <f>+'Tab. 6F - Kultura'!J13+'Tab. 6C - Ochrona zdrowia'!J16</f>
        <v>3505259</v>
      </c>
      <c r="H67" s="96">
        <f>+'Tab. 6F - Kultura'!K13+'Tab. 6C - Ochrona zdrowia'!K16</f>
        <v>5098157</v>
      </c>
      <c r="I67" s="96">
        <f>+'Tab. 6F - Kultura'!L13+'Tab. 6C - Ochrona zdrowia'!L16</f>
        <v>25506494</v>
      </c>
      <c r="J67" s="96">
        <f>+'Tab. 6F - Kultura'!M13+'Tab. 6C - Ochrona zdrowia'!M16</f>
        <v>20434916</v>
      </c>
      <c r="K67" s="1045">
        <f>+'Tab. 6F - Kultura'!N13+'Tab. 6C - Ochrona zdrowia'!N16</f>
        <v>4491119</v>
      </c>
      <c r="L67" s="96">
        <f>+'Tab. 6F - Kultura'!O13+'Tab. 6C - Ochrona zdrowia'!O16</f>
        <v>12061273</v>
      </c>
      <c r="M67" s="96">
        <f>+'Tab. 6F - Kultura'!P13+'Tab. 6C - Ochrona zdrowia'!P16</f>
        <v>18255771</v>
      </c>
      <c r="N67" s="73">
        <f>+'Tab. 6F - Kultura'!Q13+'Tab. 6C - Ochrona zdrowia'!Q16</f>
        <v>0</v>
      </c>
      <c r="O67" s="73">
        <f>+'Tab. 6F - Kultura'!R13+'Tab. 6C - Ochrona zdrowia'!R16</f>
        <v>0</v>
      </c>
      <c r="P67" s="73">
        <f>+'Tab. 6F - Kultura'!S13+'Tab. 6C - Ochrona zdrowia'!S16</f>
        <v>0</v>
      </c>
      <c r="Q67" s="73">
        <f>+'Tab. 6F - Kultura'!T13+'Tab. 6C - Ochrona zdrowia'!T16</f>
        <v>0</v>
      </c>
      <c r="R67" s="73">
        <f>+'Tab. 6F - Kultura'!U13+'Tab. 6C - Ochrona zdrowia'!U16</f>
        <v>0</v>
      </c>
      <c r="S67" s="73">
        <f>+'Tab. 6F - Kultura'!V13+'Tab. 6C - Ochrona zdrowia'!V16</f>
        <v>0</v>
      </c>
      <c r="T67" s="73">
        <f>+'Tab. 6F - Kultura'!W13+'Tab. 6C - Ochrona zdrowia'!W16</f>
        <v>0</v>
      </c>
      <c r="U67" s="97">
        <f t="shared" si="29"/>
        <v>50751960</v>
      </c>
      <c r="V67" s="827">
        <v>0</v>
      </c>
      <c r="W67" s="30"/>
      <c r="X67" s="1365">
        <f t="shared" si="25"/>
        <v>50751960</v>
      </c>
      <c r="Y67" s="1366">
        <f t="shared" si="24"/>
        <v>0</v>
      </c>
    </row>
    <row r="68" spans="1:25" s="38" customFormat="1" ht="15.75" customHeight="1">
      <c r="A68" s="50" t="s">
        <v>46</v>
      </c>
      <c r="B68" s="96">
        <f>+'Tab. 6F - Kultura'!E14+'Tab. 6C - Ochrona zdrowia'!E17+'Tab. 6D - Oświata'!E79</f>
        <v>3431827</v>
      </c>
      <c r="C68" s="96">
        <f>+'Tab. 6F - Kultura'!F14+'Tab. 6C - Ochrona zdrowia'!F17+'Tab. 6D - Oświata'!F79</f>
        <v>0</v>
      </c>
      <c r="D68" s="96">
        <f>+'Tab. 6F - Kultura'!G14+'Tab. 6C - Ochrona zdrowia'!G17+'Tab. 6D - Oświata'!G79</f>
        <v>27000</v>
      </c>
      <c r="E68" s="96">
        <f>+'Tab. 6F - Kultura'!H14+'Tab. 6C - Ochrona zdrowia'!H17+'Tab. 6D - Oświata'!H79</f>
        <v>3348880.0600000005</v>
      </c>
      <c r="F68" s="96">
        <f>+'Tab. 6F - Kultura'!I14+'Tab. 6C - Ochrona zdrowia'!I17+'Tab. 6D - Oświata'!I79</f>
        <v>6763671</v>
      </c>
      <c r="G68" s="96">
        <f>+'Tab. 6F - Kultura'!J14+'Tab. 6C - Ochrona zdrowia'!J17+'Tab. 6D - Oświata'!J79</f>
        <v>10651424</v>
      </c>
      <c r="H68" s="96">
        <f>+'Tab. 6F - Kultura'!K14+'Tab. 6C - Ochrona zdrowia'!K17+'Tab. 6D - Oświata'!K79</f>
        <v>10053717</v>
      </c>
      <c r="I68" s="96">
        <f>+'Tab. 6F - Kultura'!L14+'Tab. 6C - Ochrona zdrowia'!L17+'Tab. 6D - Oświata'!L79+'Tab. 6H - Kultura fiz. i turyst'!L155</f>
        <v>2123912</v>
      </c>
      <c r="J68" s="96">
        <f>+'Tab. 6F - Kultura'!M14+'Tab. 6C - Ochrona zdrowia'!M17+'Tab. 6D - Oświata'!M79+'Tab. 6H - Kultura fiz. i turyst'!M155</f>
        <v>39316351</v>
      </c>
      <c r="K68" s="1045">
        <f>+'Tab. 6F - Kultura'!N14+'Tab. 6C - Ochrona zdrowia'!N17+'Tab. 6D - Oświata'!N79+'Tab. 6H - Kultura fiz. i turyst'!N155</f>
        <v>13835578</v>
      </c>
      <c r="L68" s="96">
        <f>+'Tab. 6F - Kultura'!O14+'Tab. 6C - Ochrona zdrowia'!O17+'Tab. 6D - Oświata'!O79+'Tab. 6H - Kultura fiz. i turyst'!O155</f>
        <v>12474194</v>
      </c>
      <c r="M68" s="96">
        <f>+'Tab. 6F - Kultura'!P14+'Tab. 6C - Ochrona zdrowia'!P17+'Tab. 6D - Oświata'!P79+'Tab. 6H - Kultura fiz. i turyst'!P155</f>
        <v>4528401</v>
      </c>
      <c r="N68" s="96">
        <f>+'Tab. 6F - Kultura'!Q14+'Tab. 6C - Ochrona zdrowia'!Q17+'Tab. 6D - Oświata'!Q79+'Tab. 6H - Kultura fiz. i turyst'!Q155</f>
        <v>5955000</v>
      </c>
      <c r="O68" s="96">
        <f>+'Tab. 6F - Kultura'!R14+'Tab. 6C - Ochrona zdrowia'!R17+'Tab. 6D - Oświata'!R79+'Tab. 6H - Kultura fiz. i turyst'!R155</f>
        <v>7127000</v>
      </c>
      <c r="P68" s="96">
        <f>+'Tab. 6F - Kultura'!S14+'Tab. 6C - Ochrona zdrowia'!S17+'Tab. 6D - Oświata'!S79+'Tab. 6H - Kultura fiz. i turyst'!S155</f>
        <v>12305000</v>
      </c>
      <c r="Q68" s="96">
        <f>+'Tab. 6F - Kultura'!T14+'Tab. 6C - Ochrona zdrowia'!T17+'Tab. 6D - Oświata'!T79+'Tab. 6H - Kultura fiz. i turyst'!T155</f>
        <v>5657500</v>
      </c>
      <c r="R68" s="96">
        <f>+'Tab. 6F - Kultura'!U14+'Tab. 6C - Ochrona zdrowia'!U17+'Tab. 6D - Oświata'!U79+'Tab. 6H - Kultura fiz. i turyst'!U155</f>
        <v>3566880</v>
      </c>
      <c r="S68" s="96">
        <f>+'Tab. 6F - Kultura'!V14+'Tab. 6C - Ochrona zdrowia'!V17+'Tab. 6D - Oświata'!V79+'Tab. 6H - Kultura fiz. i turyst'!V155</f>
        <v>1467579</v>
      </c>
      <c r="T68" s="73">
        <f>+'Tab. 6F - Kultura'!W14+'Tab. 6C - Ochrona zdrowia'!W17+'Tab. 6D - Oświata'!W79+'Tab. 6H - Kultura fiz. i turyst'!W155</f>
        <v>0</v>
      </c>
      <c r="U68" s="97">
        <f t="shared" si="29"/>
        <v>92397905</v>
      </c>
      <c r="V68" s="29">
        <f>SUM(M68:T68)</f>
        <v>40607360</v>
      </c>
      <c r="W68" s="315"/>
      <c r="X68" s="1365">
        <f t="shared" si="25"/>
        <v>92397905</v>
      </c>
      <c r="Y68" s="1366">
        <f t="shared" si="24"/>
        <v>0</v>
      </c>
    </row>
    <row r="69" spans="1:25" s="38" customFormat="1" ht="15.75" customHeight="1">
      <c r="A69" s="53" t="s">
        <v>27</v>
      </c>
      <c r="B69" s="96">
        <f>+'Tab. 6A -Drogi'!E543+'Tab. 6C - Ochrona zdrowia'!E20</f>
        <v>279786</v>
      </c>
      <c r="C69" s="96">
        <f>+'Tab. 6A -Drogi'!F543+'Tab. 6C - Ochrona zdrowia'!F20</f>
        <v>0</v>
      </c>
      <c r="D69" s="96">
        <f>+'Tab. 6A -Drogi'!G543+'Tab. 6C - Ochrona zdrowia'!G20</f>
        <v>0</v>
      </c>
      <c r="E69" s="96">
        <f>+'Tab. 6A -Drogi'!H543+'Tab. 6C - Ochrona zdrowia'!H20</f>
        <v>279786</v>
      </c>
      <c r="F69" s="96">
        <f>+'Tab. 6A -Drogi'!I543+'Tab. 6C - Ochrona zdrowia'!I20</f>
        <v>2494494</v>
      </c>
      <c r="G69" s="96">
        <f>+'Tab. 6A -Drogi'!J543+'Tab. 6C - Ochrona zdrowia'!J20</f>
        <v>2145000</v>
      </c>
      <c r="H69" s="96">
        <f>+'Tab. 6A -Drogi'!K543+'Tab. 6C - Ochrona zdrowia'!K20</f>
        <v>2124947</v>
      </c>
      <c r="I69" s="96">
        <f>+'Tab. 6A -Drogi'!L543+'Tab. 6C - Ochrona zdrowia'!L20</f>
        <v>728771</v>
      </c>
      <c r="J69" s="96">
        <f>+'Tab. 6A -Drogi'!M543+'Tab. 6C - Ochrona zdrowia'!M20</f>
        <v>10459478</v>
      </c>
      <c r="K69" s="1045">
        <f>+'Tab. 6A -Drogi'!N543+'Tab. 6C - Ochrona zdrowia'!N20</f>
        <v>2686480</v>
      </c>
      <c r="L69" s="96">
        <f>+'Tab. 6A -Drogi'!O543+'Tab. 6C - Ochrona zdrowia'!O20</f>
        <v>1651313</v>
      </c>
      <c r="M69" s="96">
        <f>+'Tab. 6A -Drogi'!P543+'Tab. 6C - Ochrona zdrowia'!P20</f>
        <v>1628414</v>
      </c>
      <c r="N69" s="73">
        <f>+'Tab. 6A -Drogi'!Q543+'Tab. 6C - Ochrona zdrowia'!Q20</f>
        <v>0</v>
      </c>
      <c r="O69" s="73">
        <f>+'Tab. 6A -Drogi'!R543+'Tab. 6C - Ochrona zdrowia'!R20</f>
        <v>0</v>
      </c>
      <c r="P69" s="73">
        <f>+'Tab. 6A -Drogi'!S543+'Tab. 6C - Ochrona zdrowia'!S20</f>
        <v>0</v>
      </c>
      <c r="Q69" s="73">
        <f>+'Tab. 6A -Drogi'!T543+'Tab. 6C - Ochrona zdrowia'!T20</f>
        <v>0</v>
      </c>
      <c r="R69" s="73">
        <f>+'Tab. 6A -Drogi'!U543+'Tab. 6C - Ochrona zdrowia'!U20</f>
        <v>0</v>
      </c>
      <c r="S69" s="73">
        <f>+'Tab. 6A -Drogi'!V543+'Tab. 6C - Ochrona zdrowia'!V20</f>
        <v>0</v>
      </c>
      <c r="T69" s="73">
        <f>+'Tab. 6A -Drogi'!W543+'Tab. 6C - Ochrona zdrowia'!W20</f>
        <v>0</v>
      </c>
      <c r="U69" s="97">
        <f t="shared" si="29"/>
        <v>13739205</v>
      </c>
      <c r="V69" s="29">
        <f>SUM(M69:T69)</f>
        <v>1628414</v>
      </c>
      <c r="W69" s="315"/>
      <c r="X69" s="1365">
        <f t="shared" si="25"/>
        <v>13739205</v>
      </c>
      <c r="Y69" s="1366">
        <f t="shared" si="24"/>
        <v>0</v>
      </c>
    </row>
    <row r="70" spans="1:25" s="1793" customFormat="1" ht="15.75" customHeight="1">
      <c r="A70" s="1794" t="s">
        <v>25</v>
      </c>
      <c r="B70" s="1795">
        <f>+'Tab. 6A -Drogi'!E542+'Tab. 6C - Ochrona zdrowia'!E18</f>
        <v>0</v>
      </c>
      <c r="C70" s="1795">
        <f>+'Tab. 6A -Drogi'!F542+'Tab. 6C - Ochrona zdrowia'!F18</f>
        <v>0</v>
      </c>
      <c r="D70" s="1795">
        <f>+'Tab. 6A -Drogi'!G542+'Tab. 6C - Ochrona zdrowia'!G18</f>
        <v>0</v>
      </c>
      <c r="E70" s="1795">
        <f>+'Tab. 6A -Drogi'!H542+'Tab. 6C - Ochrona zdrowia'!H18</f>
        <v>0</v>
      </c>
      <c r="F70" s="1795">
        <f>+'Tab. 6A -Drogi'!I542+'Tab. 6C - Ochrona zdrowia'!I18</f>
        <v>0</v>
      </c>
      <c r="G70" s="1796">
        <f>+'Tab. 6A -Drogi'!J542+'Tab. 6C - Ochrona zdrowia'!J18</f>
        <v>8065000</v>
      </c>
      <c r="H70" s="1796">
        <f>+'Tab. 6A -Drogi'!K542+'Tab. 6C - Ochrona zdrowia'!K18</f>
        <v>1854955</v>
      </c>
      <c r="I70" s="1796">
        <f>+'Tab. 6A -Drogi'!L542+'Tab. 6C - Ochrona zdrowia'!L18</f>
        <v>3882193</v>
      </c>
      <c r="J70" s="1796">
        <f>+'Tab. 6A -Drogi'!M542+'Tab. 6C - Ochrona zdrowia'!M18</f>
        <v>23900058</v>
      </c>
      <c r="K70" s="1797">
        <f>+'Tab. 6A -Drogi'!N542+'Tab. 6C - Ochrona zdrowia'!N18</f>
        <v>10097910</v>
      </c>
      <c r="L70" s="1796">
        <f>+'Tab. 6A -Drogi'!O542+'Tab. 6C - Ochrona zdrowia'!O18</f>
        <v>22830487</v>
      </c>
      <c r="M70" s="1796">
        <f>+'Tab. 6A -Drogi'!P542+'Tab. 6C - Ochrona zdrowia'!P18</f>
        <v>14740360</v>
      </c>
      <c r="N70" s="1795">
        <f>+'Tab. 6A -Drogi'!Q542+'Tab. 6C - Ochrona zdrowia'!Q18</f>
        <v>0</v>
      </c>
      <c r="O70" s="1795">
        <f>+'Tab. 6A -Drogi'!R542+'Tab. 6C - Ochrona zdrowia'!R18</f>
        <v>0</v>
      </c>
      <c r="P70" s="1795">
        <f>+'Tab. 6A -Drogi'!S542+'Tab. 6C - Ochrona zdrowia'!S18</f>
        <v>0</v>
      </c>
      <c r="Q70" s="1795">
        <f>+'Tab. 6A -Drogi'!T542+'Tab. 6C - Ochrona zdrowia'!T18</f>
        <v>0</v>
      </c>
      <c r="R70" s="1795">
        <f>+'Tab. 6A -Drogi'!U542+'Tab. 6C - Ochrona zdrowia'!U18</f>
        <v>0</v>
      </c>
      <c r="S70" s="1795">
        <f>+'Tab. 6A -Drogi'!V542+'Tab. 6C - Ochrona zdrowia'!V18</f>
        <v>0</v>
      </c>
      <c r="T70" s="1795">
        <f>+'Tab. 6A -Drogi'!W542+'Tab. 6C - Ochrona zdrowia'!W18</f>
        <v>0</v>
      </c>
      <c r="U70" s="1798">
        <f t="shared" si="29"/>
        <v>61470905</v>
      </c>
      <c r="V70" s="1799">
        <f>SUM(M70:T70)</f>
        <v>14740360</v>
      </c>
      <c r="W70" s="778"/>
      <c r="X70" s="1791">
        <f t="shared" si="25"/>
        <v>61470905</v>
      </c>
      <c r="Y70" s="1792">
        <f t="shared" si="24"/>
        <v>0</v>
      </c>
    </row>
    <row r="71" spans="1:25" s="1809" customFormat="1" ht="14.25" hidden="1" customHeight="1">
      <c r="A71" s="1800" t="s">
        <v>47</v>
      </c>
      <c r="B71" s="1801">
        <f>+'Tab. 6D - Oświata'!E78</f>
        <v>0</v>
      </c>
      <c r="C71" s="1801">
        <f>+'Tab. 6D - Oświata'!F78</f>
        <v>0</v>
      </c>
      <c r="D71" s="1801">
        <f>+'Tab. 6D - Oświata'!G78</f>
        <v>0</v>
      </c>
      <c r="E71" s="1801">
        <f>+'Tab. 6D - Oświata'!H78</f>
        <v>0</v>
      </c>
      <c r="F71" s="1801">
        <f>+'Tab. 6D - Oświata'!I78</f>
        <v>0</v>
      </c>
      <c r="G71" s="1801">
        <f>+'Tab. 6D - Oświata'!J78</f>
        <v>0</v>
      </c>
      <c r="H71" s="1801">
        <f>+'Tab. 6D - Oświata'!K78</f>
        <v>0</v>
      </c>
      <c r="I71" s="1802">
        <f>+'Tab. 6D - Oświata'!L78</f>
        <v>0</v>
      </c>
      <c r="J71" s="1802">
        <v>0</v>
      </c>
      <c r="K71" s="1803">
        <f>+'Tab. 6D - Oświata'!N78</f>
        <v>0</v>
      </c>
      <c r="L71" s="1802">
        <f>+'Tab. 6D - Oświata'!O78</f>
        <v>0</v>
      </c>
      <c r="M71" s="1802">
        <f>+'Tab. 6C - Ochrona zdrowia'!P19</f>
        <v>0</v>
      </c>
      <c r="N71" s="1801">
        <f>+'Tab. 6C - Ochrona zdrowia'!Q19</f>
        <v>0</v>
      </c>
      <c r="O71" s="1801">
        <f>+'Tab. 6D - Oświata'!R78</f>
        <v>0</v>
      </c>
      <c r="P71" s="1801">
        <f>+'Tab. 6D - Oświata'!S78</f>
        <v>0</v>
      </c>
      <c r="Q71" s="1801">
        <f>+'Tab. 6D - Oświata'!T78</f>
        <v>0</v>
      </c>
      <c r="R71" s="1801">
        <f>+'Tab. 6D - Oświata'!U78</f>
        <v>0</v>
      </c>
      <c r="S71" s="1801">
        <f>+'Tab. 6D - Oświata'!V78</f>
        <v>0</v>
      </c>
      <c r="T71" s="1801">
        <f>+'Tab. 6D - Oświata'!W78</f>
        <v>0</v>
      </c>
      <c r="U71" s="1804">
        <f t="shared" si="29"/>
        <v>0</v>
      </c>
      <c r="V71" s="1805">
        <v>0</v>
      </c>
      <c r="W71" s="1806"/>
      <c r="X71" s="1807">
        <f t="shared" si="25"/>
        <v>0</v>
      </c>
      <c r="Y71" s="1808">
        <f t="shared" si="24"/>
        <v>0</v>
      </c>
    </row>
    <row r="72" spans="1:25" s="38" customFormat="1" ht="15.75" hidden="1" customHeight="1">
      <c r="A72" s="53" t="s">
        <v>26</v>
      </c>
      <c r="B72" s="73">
        <f>+'Tab. 6G - Roln i ochrona środ.'!E187</f>
        <v>0</v>
      </c>
      <c r="C72" s="73">
        <f>+'Tab. 6G - Roln i ochrona środ.'!F187</f>
        <v>0</v>
      </c>
      <c r="D72" s="73">
        <f>+'Tab. 6G - Roln i ochrona środ.'!G187</f>
        <v>0</v>
      </c>
      <c r="E72" s="73">
        <f>+'Tab. 6G - Roln i ochrona środ.'!H187</f>
        <v>0</v>
      </c>
      <c r="F72" s="73">
        <f>+'Tab. 6G - Roln i ochrona środ.'!I187</f>
        <v>0</v>
      </c>
      <c r="G72" s="73">
        <f>+'Tab. 6G - Roln i ochrona środ.'!J187</f>
        <v>0</v>
      </c>
      <c r="H72" s="96">
        <f>+'Tab. 6G - Roln i ochrona środ.'!K187</f>
        <v>0</v>
      </c>
      <c r="I72" s="73">
        <f>+'Tab. 6G - Roln i ochrona środ.'!L187</f>
        <v>0</v>
      </c>
      <c r="J72" s="96">
        <f>+'Tab. 6G - Roln i ochrona środ.'!M187+'Tab. 6E - Administracja'!M254</f>
        <v>0</v>
      </c>
      <c r="K72" s="96">
        <f>+'Tab. 6G - Roln i ochrona środ.'!N187+'Tab. 6E - Administracja'!N254</f>
        <v>200000</v>
      </c>
      <c r="L72" s="96">
        <f>+'Tab. 6G - Roln i ochrona środ.'!O187+'Tab. 6E - Administracja'!O254</f>
        <v>0</v>
      </c>
      <c r="M72" s="96">
        <f>+'Tab. 6E - Administracja'!P238</f>
        <v>0</v>
      </c>
      <c r="N72" s="73">
        <f>+'Tab. 6E - Administracja'!Q238</f>
        <v>0</v>
      </c>
      <c r="O72" s="73">
        <f>+'Tab. 6E - Administracja'!R238</f>
        <v>0</v>
      </c>
      <c r="P72" s="73">
        <f>+'Tab. 6E - Administracja'!S238</f>
        <v>0</v>
      </c>
      <c r="Q72" s="73">
        <f>+'Tab. 6E - Administracja'!T238</f>
        <v>0</v>
      </c>
      <c r="R72" s="73">
        <f>+'Tab. 6E - Administracja'!U238</f>
        <v>0</v>
      </c>
      <c r="S72" s="73">
        <f>+'Tab. 6E - Administracja'!V238</f>
        <v>0</v>
      </c>
      <c r="T72" s="73">
        <f>+'Tab. 6E - Administracja'!W238</f>
        <v>0</v>
      </c>
      <c r="U72" s="97">
        <f t="shared" si="29"/>
        <v>0</v>
      </c>
      <c r="V72" s="29">
        <f>SUM(M72:T72)</f>
        <v>0</v>
      </c>
      <c r="W72" s="315"/>
      <c r="X72" s="1365">
        <f t="shared" si="25"/>
        <v>0</v>
      </c>
      <c r="Y72" s="1366">
        <f t="shared" si="24"/>
        <v>0</v>
      </c>
    </row>
    <row r="73" spans="1:25" s="1793" customFormat="1" ht="18" customHeight="1">
      <c r="A73" s="1783" t="s">
        <v>30</v>
      </c>
      <c r="B73" s="1784">
        <f t="shared" ref="B73:T73" si="30">SUM(B74:B74)</f>
        <v>0</v>
      </c>
      <c r="C73" s="1784">
        <f t="shared" si="30"/>
        <v>0</v>
      </c>
      <c r="D73" s="1784">
        <f t="shared" si="30"/>
        <v>0</v>
      </c>
      <c r="E73" s="1784">
        <f t="shared" si="30"/>
        <v>0</v>
      </c>
      <c r="F73" s="1785">
        <f t="shared" si="30"/>
        <v>15578755</v>
      </c>
      <c r="G73" s="1785">
        <f t="shared" si="30"/>
        <v>8230447</v>
      </c>
      <c r="H73" s="1785">
        <f t="shared" si="30"/>
        <v>1806384</v>
      </c>
      <c r="I73" s="1785">
        <f t="shared" si="30"/>
        <v>2630350</v>
      </c>
      <c r="J73" s="1785">
        <f t="shared" si="30"/>
        <v>41239364</v>
      </c>
      <c r="K73" s="1786">
        <f>+K74</f>
        <v>19927467</v>
      </c>
      <c r="L73" s="1785">
        <f>+L74</f>
        <v>27276555</v>
      </c>
      <c r="M73" s="1785">
        <f t="shared" si="30"/>
        <v>21163556</v>
      </c>
      <c r="N73" s="1787">
        <f t="shared" si="30"/>
        <v>0</v>
      </c>
      <c r="O73" s="1785">
        <f t="shared" si="30"/>
        <v>9265000</v>
      </c>
      <c r="P73" s="1785">
        <f t="shared" si="30"/>
        <v>20400000</v>
      </c>
      <c r="Q73" s="1785">
        <f t="shared" si="30"/>
        <v>11942500</v>
      </c>
      <c r="R73" s="1785">
        <f t="shared" si="30"/>
        <v>8500000</v>
      </c>
      <c r="S73" s="1785">
        <f t="shared" si="30"/>
        <v>10092500</v>
      </c>
      <c r="T73" s="1787">
        <f t="shared" si="30"/>
        <v>0</v>
      </c>
      <c r="U73" s="1788">
        <f>+U74</f>
        <v>149879475</v>
      </c>
      <c r="V73" s="1789">
        <v>0</v>
      </c>
      <c r="W73" s="1790"/>
      <c r="X73" s="1791">
        <f t="shared" si="25"/>
        <v>149879475</v>
      </c>
      <c r="Y73" s="1792">
        <f t="shared" si="24"/>
        <v>0</v>
      </c>
    </row>
    <row r="74" spans="1:25" s="38" customFormat="1" ht="16.5" customHeight="1">
      <c r="A74" s="53" t="s">
        <v>48</v>
      </c>
      <c r="B74" s="96">
        <f>+'Tab. 6D - Oświata'!E82+'Tab. 6F - Kultura'!E16+'Tab. 6C - Ochrona zdrowia'!E22</f>
        <v>0</v>
      </c>
      <c r="C74" s="96">
        <f>+'Tab. 6D - Oświata'!F82+'Tab. 6F - Kultura'!F16+'Tab. 6C - Ochrona zdrowia'!F22</f>
        <v>0</v>
      </c>
      <c r="D74" s="96">
        <f>+'Tab. 6D - Oświata'!G82+'Tab. 6F - Kultura'!G16+'Tab. 6C - Ochrona zdrowia'!G22</f>
        <v>0</v>
      </c>
      <c r="E74" s="96">
        <f>+'Tab. 6D - Oświata'!H82+'Tab. 6F - Kultura'!H16+'Tab. 6C - Ochrona zdrowia'!H22</f>
        <v>0</v>
      </c>
      <c r="F74" s="96">
        <f>+'Tab. 6D - Oświata'!I82+'Tab. 6F - Kultura'!I16+'Tab. 6C - Ochrona zdrowia'!I22</f>
        <v>15578755</v>
      </c>
      <c r="G74" s="96">
        <f>+'Tab. 6D - Oświata'!J82+'Tab. 6F - Kultura'!J16+'Tab. 6C - Ochrona zdrowia'!J22</f>
        <v>8230447</v>
      </c>
      <c r="H74" s="96">
        <f>+'Tab. 6D - Oświata'!K82+'Tab. 6F - Kultura'!K16+'Tab. 6C - Ochrona zdrowia'!K22</f>
        <v>1806384</v>
      </c>
      <c r="I74" s="96">
        <f>+'Tab. 6D - Oświata'!L82+'Tab. 6F - Kultura'!L16+'Tab. 6C - Ochrona zdrowia'!L22</f>
        <v>2630350</v>
      </c>
      <c r="J74" s="96">
        <f>+'Tab. 6D - Oświata'!M82+'Tab. 6F - Kultura'!M16+'Tab. 6C - Ochrona zdrowia'!M22</f>
        <v>41239364</v>
      </c>
      <c r="K74" s="1045">
        <f>+'Tab. 6D - Oświata'!N82+'Tab. 6F - Kultura'!N16+'Tab. 6C - Ochrona zdrowia'!N22</f>
        <v>19927467</v>
      </c>
      <c r="L74" s="96">
        <f>+'Tab. 6D - Oświata'!O82+'Tab. 6F - Kultura'!O16+'Tab. 6C - Ochrona zdrowia'!O22</f>
        <v>27276555</v>
      </c>
      <c r="M74" s="96">
        <f>+'Tab. 6D - Oświata'!P82+'Tab. 6F - Kultura'!P16+'Tab. 6C - Ochrona zdrowia'!P22</f>
        <v>21163556</v>
      </c>
      <c r="N74" s="73">
        <f>+'Tab. 6D - Oświata'!Q82+'Tab. 6F - Kultura'!Q16+'Tab. 6C - Ochrona zdrowia'!Q22</f>
        <v>0</v>
      </c>
      <c r="O74" s="96">
        <f>+'Tab. 6D - Oświata'!R82+'Tab. 6F - Kultura'!R16+'Tab. 6C - Ochrona zdrowia'!R22</f>
        <v>9265000</v>
      </c>
      <c r="P74" s="96">
        <f>+'Tab. 6D - Oświata'!S82+'Tab. 6F - Kultura'!S16+'Tab. 6C - Ochrona zdrowia'!S22</f>
        <v>20400000</v>
      </c>
      <c r="Q74" s="96">
        <f>+'Tab. 6D - Oświata'!T82+'Tab. 6F - Kultura'!T16+'Tab. 6C - Ochrona zdrowia'!T22</f>
        <v>11942500</v>
      </c>
      <c r="R74" s="96">
        <f>+'Tab. 6D - Oświata'!U82+'Tab. 6F - Kultura'!U16+'Tab. 6C - Ochrona zdrowia'!U22</f>
        <v>8500000</v>
      </c>
      <c r="S74" s="96">
        <f>+'Tab. 6D - Oświata'!V82+'Tab. 6F - Kultura'!V16+'Tab. 6C - Ochrona zdrowia'!V22</f>
        <v>10092500</v>
      </c>
      <c r="T74" s="73">
        <f>+'Tab. 6D - Oświata'!W82+'Tab. 6F - Kultura'!W16+'Tab. 6C - Ochrona zdrowia'!W22</f>
        <v>0</v>
      </c>
      <c r="U74" s="97">
        <f>J74+L74+M74+N74+O74+P74+Q74+R74+S74+T74</f>
        <v>149879475</v>
      </c>
      <c r="V74" s="827">
        <v>0</v>
      </c>
      <c r="W74" s="30"/>
      <c r="X74" s="1365">
        <f t="shared" si="25"/>
        <v>149879475</v>
      </c>
      <c r="Y74" s="1366">
        <f t="shared" si="24"/>
        <v>0</v>
      </c>
    </row>
    <row r="75" spans="1:25" s="45" customFormat="1" ht="18" customHeight="1">
      <c r="A75" s="39" t="s">
        <v>34</v>
      </c>
      <c r="B75" s="100">
        <f t="shared" ref="B75:U75" si="31">+B76+B82</f>
        <v>279786</v>
      </c>
      <c r="C75" s="101">
        <f t="shared" si="31"/>
        <v>0</v>
      </c>
      <c r="D75" s="101">
        <f t="shared" si="31"/>
        <v>0</v>
      </c>
      <c r="E75" s="101">
        <f t="shared" si="31"/>
        <v>279786</v>
      </c>
      <c r="F75" s="102">
        <f t="shared" si="31"/>
        <v>18175186</v>
      </c>
      <c r="G75" s="102">
        <f t="shared" si="31"/>
        <v>18632875</v>
      </c>
      <c r="H75" s="102">
        <f t="shared" si="31"/>
        <v>6699238</v>
      </c>
      <c r="I75" s="102">
        <f>+I76+I82</f>
        <v>7280798</v>
      </c>
      <c r="J75" s="102">
        <f>+J76+J82</f>
        <v>75598900</v>
      </c>
      <c r="K75" s="1046">
        <f>+K76+K82</f>
        <v>32911857</v>
      </c>
      <c r="L75" s="102">
        <f t="shared" si="31"/>
        <v>62351888</v>
      </c>
      <c r="M75" s="102">
        <f t="shared" si="31"/>
        <v>51685700</v>
      </c>
      <c r="N75" s="102">
        <f t="shared" ref="N75:Q75" si="32">+N76+N82</f>
        <v>12350000</v>
      </c>
      <c r="O75" s="102">
        <f t="shared" si="32"/>
        <v>23120657</v>
      </c>
      <c r="P75" s="102">
        <f t="shared" si="32"/>
        <v>38400000</v>
      </c>
      <c r="Q75" s="102">
        <f t="shared" si="32"/>
        <v>27942500</v>
      </c>
      <c r="R75" s="102">
        <f t="shared" ref="R75:T75" si="33">+R76+R82</f>
        <v>10500000</v>
      </c>
      <c r="S75" s="102">
        <f t="shared" si="33"/>
        <v>11743229</v>
      </c>
      <c r="T75" s="102">
        <f t="shared" si="33"/>
        <v>0</v>
      </c>
      <c r="U75" s="103">
        <f t="shared" si="31"/>
        <v>313692874</v>
      </c>
      <c r="V75" s="2563" t="s">
        <v>35</v>
      </c>
      <c r="W75" s="43"/>
    </row>
    <row r="76" spans="1:25" s="38" customFormat="1" ht="15" customHeight="1">
      <c r="A76" s="61" t="s">
        <v>36</v>
      </c>
      <c r="B76" s="69">
        <f t="shared" ref="B76:M76" si="34">SUM(B77:B81)</f>
        <v>279786</v>
      </c>
      <c r="C76" s="69">
        <f t="shared" si="34"/>
        <v>0</v>
      </c>
      <c r="D76" s="69">
        <f t="shared" si="34"/>
        <v>0</v>
      </c>
      <c r="E76" s="69">
        <f t="shared" si="34"/>
        <v>279786</v>
      </c>
      <c r="F76" s="69">
        <f t="shared" si="34"/>
        <v>2596431</v>
      </c>
      <c r="G76" s="69">
        <f t="shared" si="34"/>
        <v>10430330</v>
      </c>
      <c r="H76" s="69">
        <f t="shared" si="34"/>
        <v>4892854</v>
      </c>
      <c r="I76" s="69">
        <f>SUM(I77:I81)</f>
        <v>4970864</v>
      </c>
      <c r="J76" s="69">
        <f>SUM(J77:J81)</f>
        <v>34359536</v>
      </c>
      <c r="K76" s="1036">
        <f>SUM(K77:K81)</f>
        <v>12984390</v>
      </c>
      <c r="L76" s="69">
        <f t="shared" si="34"/>
        <v>35075333</v>
      </c>
      <c r="M76" s="69">
        <f t="shared" si="34"/>
        <v>30522144</v>
      </c>
      <c r="N76" s="69">
        <f t="shared" ref="N76:U76" si="35">SUM(N77:N81)</f>
        <v>12350000</v>
      </c>
      <c r="O76" s="69">
        <f t="shared" si="35"/>
        <v>13855657</v>
      </c>
      <c r="P76" s="69">
        <f t="shared" si="35"/>
        <v>18000000</v>
      </c>
      <c r="Q76" s="69">
        <f t="shared" si="35"/>
        <v>16000000</v>
      </c>
      <c r="R76" s="69">
        <f t="shared" ref="R76:T76" si="36">SUM(R77:R81)</f>
        <v>2000000</v>
      </c>
      <c r="S76" s="69">
        <f t="shared" si="36"/>
        <v>1650729</v>
      </c>
      <c r="T76" s="69">
        <f t="shared" si="36"/>
        <v>0</v>
      </c>
      <c r="U76" s="99">
        <f t="shared" si="35"/>
        <v>163813399</v>
      </c>
      <c r="V76" s="2561"/>
      <c r="W76" s="30" t="s">
        <v>316</v>
      </c>
    </row>
    <row r="77" spans="1:25" s="38" customFormat="1" ht="15.75" customHeight="1">
      <c r="A77" s="53" t="s">
        <v>25</v>
      </c>
      <c r="B77" s="104">
        <f>+'Tab. 6A -Drogi'!E547+'Tab. 6C - Ochrona zdrowia'!E25</f>
        <v>0</v>
      </c>
      <c r="C77" s="104">
        <f>+'Tab. 6A -Drogi'!F547+'Tab. 6C - Ochrona zdrowia'!F25</f>
        <v>0</v>
      </c>
      <c r="D77" s="104">
        <f>+'Tab. 6A -Drogi'!G547+'Tab. 6C - Ochrona zdrowia'!G25</f>
        <v>0</v>
      </c>
      <c r="E77" s="104">
        <f>+'Tab. 6A -Drogi'!H547+'Tab. 6C - Ochrona zdrowia'!H25</f>
        <v>0</v>
      </c>
      <c r="F77" s="104">
        <f>+'Tab. 6A -Drogi'!I547+'Tab. 6C - Ochrona zdrowia'!I25</f>
        <v>0</v>
      </c>
      <c r="G77" s="71">
        <f>+'Tab. 6A -Drogi'!J547+'Tab. 6C - Ochrona zdrowia'!J25</f>
        <v>8065000</v>
      </c>
      <c r="H77" s="71">
        <f>+'Tab. 6A -Drogi'!K547+'Tab. 6C - Ochrona zdrowia'!K25</f>
        <v>1854955</v>
      </c>
      <c r="I77" s="71">
        <f>+'Tab. 6A -Drogi'!L547+'Tab. 6C - Ochrona zdrowia'!L25</f>
        <v>3882193</v>
      </c>
      <c r="J77" s="71">
        <f>+'Tab. 6C - Ochrona zdrowia'!M25</f>
        <v>23900058</v>
      </c>
      <c r="K77" s="1032">
        <f>+'Tab. 6C - Ochrona zdrowia'!N25</f>
        <v>10097910</v>
      </c>
      <c r="L77" s="71">
        <f>+'Tab. 6C - Ochrona zdrowia'!O25+'Tab. 6A -Drogi'!O548</f>
        <v>22830487</v>
      </c>
      <c r="M77" s="71">
        <f>+'Tab. 6C - Ochrona zdrowia'!P25+'Tab. 6A -Drogi'!P548</f>
        <v>14740360</v>
      </c>
      <c r="N77" s="104">
        <f>+'Tab. 6C - Ochrona zdrowia'!Q25+'Tab. 6A -Drogi'!Q548</f>
        <v>0</v>
      </c>
      <c r="O77" s="104">
        <f>+'Tab. 6C - Ochrona zdrowia'!R25+'Tab. 6A -Drogi'!R548</f>
        <v>0</v>
      </c>
      <c r="P77" s="104">
        <f>+'Tab. 6C - Ochrona zdrowia'!S25+'Tab. 6A -Drogi'!S548</f>
        <v>0</v>
      </c>
      <c r="Q77" s="104">
        <f>+'Tab. 6C - Ochrona zdrowia'!T25+'Tab. 6A -Drogi'!T548</f>
        <v>0</v>
      </c>
      <c r="R77" s="104">
        <f>+'Tab. 6C - Ochrona zdrowia'!U25+'Tab. 6A -Drogi'!U548</f>
        <v>0</v>
      </c>
      <c r="S77" s="104">
        <f>+'Tab. 6C - Ochrona zdrowia'!V25+'Tab. 6A -Drogi'!V548</f>
        <v>0</v>
      </c>
      <c r="T77" s="104">
        <f>+'Tab. 6C - Ochrona zdrowia'!W25+'Tab. 6A -Drogi'!W548</f>
        <v>0</v>
      </c>
      <c r="U77" s="1052">
        <f>J77+L77+M77+N77+O77+P77+Q77+R77+S77+T77</f>
        <v>61470905</v>
      </c>
      <c r="V77" s="2561"/>
      <c r="W77" s="30">
        <f>U77-U70</f>
        <v>0</v>
      </c>
    </row>
    <row r="78" spans="1:25" s="38" customFormat="1" ht="15" customHeight="1">
      <c r="A78" s="53" t="s">
        <v>27</v>
      </c>
      <c r="B78" s="71">
        <f>+'Tab. 6A -Drogi'!E549+'Tab. 6C - Ochrona zdrowia'!E26</f>
        <v>279786</v>
      </c>
      <c r="C78" s="71">
        <f>+'Tab. 6A -Drogi'!F549+'Tab. 6C - Ochrona zdrowia'!F26</f>
        <v>0</v>
      </c>
      <c r="D78" s="71">
        <f>+'Tab. 6A -Drogi'!G549+'Tab. 6C - Ochrona zdrowia'!G26</f>
        <v>0</v>
      </c>
      <c r="E78" s="71">
        <f>+'Tab. 6A -Drogi'!H549+'Tab. 6C - Ochrona zdrowia'!H26</f>
        <v>279786</v>
      </c>
      <c r="F78" s="71">
        <f>+'Tab. 6A -Drogi'!I549+'Tab. 6C - Ochrona zdrowia'!I26</f>
        <v>2494494</v>
      </c>
      <c r="G78" s="71">
        <f>+'Tab. 6A -Drogi'!J549+'Tab. 6C - Ochrona zdrowia'!J26</f>
        <v>2145000</v>
      </c>
      <c r="H78" s="71">
        <f>+'Tab. 6A -Drogi'!K549+'Tab. 6C - Ochrona zdrowia'!K26</f>
        <v>2124947</v>
      </c>
      <c r="I78" s="71">
        <f>+'Tab. 6A -Drogi'!L549+'Tab. 6C - Ochrona zdrowia'!L26</f>
        <v>728771</v>
      </c>
      <c r="J78" s="71">
        <f>+'Tab. 6A -Drogi'!M549+'Tab. 6C - Ochrona zdrowia'!M26</f>
        <v>10459478</v>
      </c>
      <c r="K78" s="1032">
        <f>+'Tab. 6A -Drogi'!N549+'Tab. 6C - Ochrona zdrowia'!N26</f>
        <v>2686480</v>
      </c>
      <c r="L78" s="71">
        <f>+'Tab. 6A -Drogi'!O549+'Tab. 6C - Ochrona zdrowia'!O26</f>
        <v>1651313</v>
      </c>
      <c r="M78" s="71">
        <f>+'Tab. 6A -Drogi'!P549+'Tab. 6C - Ochrona zdrowia'!P26</f>
        <v>1628414</v>
      </c>
      <c r="N78" s="104">
        <f>+'Tab. 6A -Drogi'!Q549+'Tab. 6C - Ochrona zdrowia'!Q26</f>
        <v>0</v>
      </c>
      <c r="O78" s="104">
        <f>+'Tab. 6A -Drogi'!R549+'Tab. 6C - Ochrona zdrowia'!R26</f>
        <v>0</v>
      </c>
      <c r="P78" s="104">
        <f>+'Tab. 6A -Drogi'!S549+'Tab. 6C - Ochrona zdrowia'!S26</f>
        <v>0</v>
      </c>
      <c r="Q78" s="104">
        <f>+'Tab. 6A -Drogi'!T549+'Tab. 6C - Ochrona zdrowia'!T26</f>
        <v>0</v>
      </c>
      <c r="R78" s="104">
        <f>+'Tab. 6A -Drogi'!U549+'Tab. 6C - Ochrona zdrowia'!U26</f>
        <v>0</v>
      </c>
      <c r="S78" s="104">
        <f>+'Tab. 6A -Drogi'!V549+'Tab. 6C - Ochrona zdrowia'!V26</f>
        <v>0</v>
      </c>
      <c r="T78" s="104">
        <f>+'Tab. 6A -Drogi'!W549+'Tab. 6C - Ochrona zdrowia'!W26</f>
        <v>0</v>
      </c>
      <c r="U78" s="1052">
        <f>J78+L78+M78+N78+O78+P78+Q78+R78+S78+T78</f>
        <v>13739205</v>
      </c>
      <c r="V78" s="2561"/>
      <c r="W78" s="30">
        <f>U78-U69</f>
        <v>0</v>
      </c>
    </row>
    <row r="79" spans="1:25" s="38" customFormat="1" ht="15" hidden="1" customHeight="1">
      <c r="A79" s="53" t="s">
        <v>28</v>
      </c>
      <c r="B79" s="104">
        <f>+'Tab. 6A -Drogi'!E550+'Tab. 6G - Roln i ochrona środ.'!E194</f>
        <v>0</v>
      </c>
      <c r="C79" s="71">
        <f>+'Tab. 6A -Drogi'!F550+'Tab. 6G - Roln i ochrona środ.'!F194</f>
        <v>0</v>
      </c>
      <c r="D79" s="71">
        <f>+'Tab. 6A -Drogi'!G550+'Tab. 6G - Roln i ochrona środ.'!G194</f>
        <v>0</v>
      </c>
      <c r="E79" s="71">
        <f>+'Tab. 6A -Drogi'!H550+'Tab. 6G - Roln i ochrona środ.'!H194</f>
        <v>0</v>
      </c>
      <c r="F79" s="104">
        <f>+'Tab. 6A -Drogi'!I550+'Tab. 6G - Roln i ochrona środ.'!I194</f>
        <v>0</v>
      </c>
      <c r="G79" s="104">
        <f>+'Tab. 6A -Drogi'!J550+'Tab. 6G - Roln i ochrona środ.'!J194</f>
        <v>0</v>
      </c>
      <c r="H79" s="71">
        <f>+'Tab. 6A -Drogi'!K550+'Tab. 6G - Roln i ochrona środ.'!K194</f>
        <v>0</v>
      </c>
      <c r="I79" s="71">
        <f>+'Tab. 6A -Drogi'!L550+'Tab. 6G - Roln i ochrona środ.'!L194</f>
        <v>0</v>
      </c>
      <c r="J79" s="71">
        <f>+'Tab. 6A -Drogi'!M550+'Tab. 6G - Roln i ochrona środ.'!M194</f>
        <v>0</v>
      </c>
      <c r="K79" s="1032">
        <f>+'Tab. 6A -Drogi'!N550+'Tab. 6G - Roln i ochrona środ.'!N194+'Tab. 6H - Kultura fiz. i turyst'!N151</f>
        <v>0</v>
      </c>
      <c r="L79" s="71">
        <f>+'Tab. 6A -Drogi'!O550+'Tab. 6G - Roln i ochrona środ.'!O194+'Tab. 6H - Kultura fiz. i turyst'!O151</f>
        <v>0</v>
      </c>
      <c r="M79" s="71">
        <f>+'Tab. 6A -Drogi'!P550+'Tab. 6G - Roln i ochrona środ.'!P194+'Tab. 6H - Kultura fiz. i turyst'!P151</f>
        <v>0</v>
      </c>
      <c r="N79" s="104">
        <f>+'Tab. 6A -Drogi'!Q550+'Tab. 6G - Roln i ochrona środ.'!Q194+'Tab. 6H - Kultura fiz. i turyst'!Q151</f>
        <v>0</v>
      </c>
      <c r="O79" s="104">
        <f>+'Tab. 6A -Drogi'!R550+'Tab. 6G - Roln i ochrona środ.'!R194+'Tab. 6H - Kultura fiz. i turyst'!R151</f>
        <v>0</v>
      </c>
      <c r="P79" s="104">
        <f>+'Tab. 6A -Drogi'!S550+'Tab. 6G - Roln i ochrona środ.'!S194+'Tab. 6H - Kultura fiz. i turyst'!S151</f>
        <v>0</v>
      </c>
      <c r="Q79" s="104">
        <f>+'Tab. 6A -Drogi'!T550+'Tab. 6G - Roln i ochrona środ.'!T194+'Tab. 6H - Kultura fiz. i turyst'!T151</f>
        <v>0</v>
      </c>
      <c r="R79" s="104">
        <f>+'Tab. 6A -Drogi'!U550+'Tab. 6G - Roln i ochrona środ.'!U194+'Tab. 6H - Kultura fiz. i turyst'!U151</f>
        <v>0</v>
      </c>
      <c r="S79" s="104">
        <f>+'Tab. 6A -Drogi'!V550+'Tab. 6G - Roln i ochrona środ.'!V194+'Tab. 6H - Kultura fiz. i turyst'!V151</f>
        <v>0</v>
      </c>
      <c r="T79" s="104">
        <f>+'Tab. 6A -Drogi'!W550+'Tab. 6G - Roln i ochrona środ.'!W194+'Tab. 6H - Kultura fiz. i turyst'!W151</f>
        <v>0</v>
      </c>
      <c r="U79" s="1052">
        <f>J79+L79+M79+N79+O79+P79+Q79+R79+S79+T79</f>
        <v>0</v>
      </c>
      <c r="V79" s="2561"/>
      <c r="W79" s="30">
        <f>U79-U66</f>
        <v>0</v>
      </c>
    </row>
    <row r="80" spans="1:25" s="38" customFormat="1" ht="27" customHeight="1">
      <c r="A80" s="50" t="s">
        <v>281</v>
      </c>
      <c r="B80" s="54">
        <f>+'Tab. 6F - Kultura'!E19+'Tab. 6D - Oświata'!E86</f>
        <v>0</v>
      </c>
      <c r="C80" s="51">
        <f>+'Tab. 6F - Kultura'!F19+'Tab. 6D - Oświata'!F86</f>
        <v>0</v>
      </c>
      <c r="D80" s="51">
        <f>+'Tab. 6F - Kultura'!G19+'Tab. 6D - Oświata'!G86</f>
        <v>0</v>
      </c>
      <c r="E80" s="51">
        <f>+'Tab. 6F - Kultura'!H19+'Tab. 6D - Oświata'!H86</f>
        <v>0</v>
      </c>
      <c r="F80" s="51">
        <f>+'Tab. 6F - Kultura'!I19+'Tab. 6D - Oświata'!I86</f>
        <v>101937</v>
      </c>
      <c r="G80" s="51">
        <f>+'Tab. 6F - Kultura'!J19+'Tab. 6D - Oświata'!J86</f>
        <v>220330</v>
      </c>
      <c r="H80" s="51">
        <f>+'Tab. 6F - Kultura'!K19+'Tab. 6D - Oświata'!K86</f>
        <v>912952</v>
      </c>
      <c r="I80" s="51">
        <f>+'Tab. 6F - Kultura'!L19+'Tab. 6D - Oświata'!L86</f>
        <v>359900</v>
      </c>
      <c r="J80" s="51">
        <f>+'Tab. 6F - Kultura'!M19+'Tab. 6D - Oświata'!M86</f>
        <v>0</v>
      </c>
      <c r="K80" s="1032">
        <f>+'Tab. 6F - Kultura'!N19+'Tab. 6D - Oświata'!N86</f>
        <v>0</v>
      </c>
      <c r="L80" s="51">
        <f>+'Tab. 6F - Kultura'!O19+'Tab. 6D - Oświata'!O86+'Tab. 6A -Drogi'!O547</f>
        <v>10593533</v>
      </c>
      <c r="M80" s="51">
        <f>+'Tab. 6F - Kultura'!P19+'Tab. 6D - Oświata'!P86+'Tab. 6A -Drogi'!P547</f>
        <v>14153370</v>
      </c>
      <c r="N80" s="51">
        <f>+'Tab. 6F - Kultura'!Q19+'Tab. 6D - Oświata'!Q86+'Tab. 6A -Drogi'!Q547</f>
        <v>12350000</v>
      </c>
      <c r="O80" s="51">
        <f>+'Tab. 6F - Kultura'!R19+'Tab. 6D - Oświata'!R86+'Tab. 6A -Drogi'!R547</f>
        <v>13855657</v>
      </c>
      <c r="P80" s="51">
        <f>+'Tab. 6F - Kultura'!S19+'Tab. 6D - Oświata'!S86+'Tab. 6A -Drogi'!S547</f>
        <v>18000000</v>
      </c>
      <c r="Q80" s="51">
        <f>+'Tab. 6F - Kultura'!T19+'Tab. 6D - Oświata'!T86+'Tab. 6A -Drogi'!T547</f>
        <v>16000000</v>
      </c>
      <c r="R80" s="51">
        <f>+'Tab. 6F - Kultura'!U19+'Tab. 6D - Oświata'!U86+'Tab. 6A -Drogi'!U547</f>
        <v>2000000</v>
      </c>
      <c r="S80" s="51">
        <f>+'Tab. 6F - Kultura'!V19+'Tab. 6D - Oświata'!V86+'Tab. 6A -Drogi'!V547</f>
        <v>1650729</v>
      </c>
      <c r="T80" s="51">
        <f>+'Tab. 6F - Kultura'!W19+'Tab. 6D - Oświata'!W86+'Tab. 6A -Drogi'!W547</f>
        <v>0</v>
      </c>
      <c r="U80" s="1052">
        <f>J80+L80+M80+N80+O80+P80+Q80+R80+S80+T80</f>
        <v>88603289</v>
      </c>
      <c r="V80" s="2561"/>
      <c r="W80" s="30"/>
    </row>
    <row r="81" spans="1:24" s="38" customFormat="1" ht="15" hidden="1" customHeight="1">
      <c r="A81" s="53" t="s">
        <v>26</v>
      </c>
      <c r="B81" s="104">
        <f>+'Tab. 6G - Roln i ochrona środ.'!E193</f>
        <v>0</v>
      </c>
      <c r="C81" s="71">
        <f>+'Tab. 6G - Roln i ochrona środ.'!F193</f>
        <v>0</v>
      </c>
      <c r="D81" s="71">
        <f>+'Tab. 6G - Roln i ochrona środ.'!G193</f>
        <v>0</v>
      </c>
      <c r="E81" s="71">
        <f>+'Tab. 6G - Roln i ochrona środ.'!H193</f>
        <v>0</v>
      </c>
      <c r="F81" s="104">
        <f>+'Tab. 6G - Roln i ochrona środ.'!I193</f>
        <v>0</v>
      </c>
      <c r="G81" s="104">
        <f>+'Tab. 6G - Roln i ochrona środ.'!J193</f>
        <v>0</v>
      </c>
      <c r="H81" s="71">
        <f>+'Tab. 6G - Roln i ochrona środ.'!K193</f>
        <v>0</v>
      </c>
      <c r="I81" s="104">
        <f>+'Tab. 6G - Roln i ochrona środ.'!L193</f>
        <v>0</v>
      </c>
      <c r="J81" s="71">
        <f>+'Tab. 6G - Roln i ochrona środ.'!M193+'Tab. 6E - Administracja'!M257</f>
        <v>0</v>
      </c>
      <c r="K81" s="71">
        <f>+'Tab. 6G - Roln i ochrona środ.'!N193+'Tab. 6E - Administracja'!N257</f>
        <v>200000</v>
      </c>
      <c r="L81" s="71">
        <f>+'Tab. 6G - Roln i ochrona środ.'!O193+'Tab. 6E - Administracja'!O257</f>
        <v>0</v>
      </c>
      <c r="M81" s="104">
        <f>+'Tab. 6G - Roln i ochrona środ.'!P193</f>
        <v>0</v>
      </c>
      <c r="N81" s="104">
        <f>+'Tab. 6G - Roln i ochrona środ.'!Q193</f>
        <v>0</v>
      </c>
      <c r="O81" s="104">
        <f>+'Tab. 6G - Roln i ochrona środ.'!R193</f>
        <v>0</v>
      </c>
      <c r="P81" s="104">
        <f>+'Tab. 6G - Roln i ochrona środ.'!S193</f>
        <v>0</v>
      </c>
      <c r="Q81" s="104">
        <f>+'Tab. 6G - Roln i ochrona środ.'!T193</f>
        <v>0</v>
      </c>
      <c r="R81" s="104">
        <f>+'Tab. 6G - Roln i ochrona środ.'!U193</f>
        <v>0</v>
      </c>
      <c r="S81" s="104">
        <f>+'Tab. 6G - Roln i ochrona środ.'!V193</f>
        <v>0</v>
      </c>
      <c r="T81" s="104">
        <f>+'Tab. 6G - Roln i ochrona środ.'!W193</f>
        <v>0</v>
      </c>
      <c r="U81" s="1052">
        <f>J81+L81+M81+N81+O81+P81+Q81+R81+S81+T81</f>
        <v>0</v>
      </c>
      <c r="V81" s="2561"/>
      <c r="W81" s="30">
        <f>U81-U72</f>
        <v>0</v>
      </c>
    </row>
    <row r="82" spans="1:24" s="38" customFormat="1" ht="14.25" customHeight="1">
      <c r="A82" s="61" t="s">
        <v>30</v>
      </c>
      <c r="B82" s="98">
        <f t="shared" ref="B82:T82" si="37">SUM(B83:B83)</f>
        <v>0</v>
      </c>
      <c r="C82" s="74">
        <f t="shared" si="37"/>
        <v>0</v>
      </c>
      <c r="D82" s="74">
        <f t="shared" si="37"/>
        <v>0</v>
      </c>
      <c r="E82" s="74">
        <f t="shared" si="37"/>
        <v>0</v>
      </c>
      <c r="F82" s="74">
        <f t="shared" si="37"/>
        <v>15578755</v>
      </c>
      <c r="G82" s="74">
        <f t="shared" si="37"/>
        <v>8202545</v>
      </c>
      <c r="H82" s="74">
        <f t="shared" si="37"/>
        <v>1806384</v>
      </c>
      <c r="I82" s="74">
        <f t="shared" si="37"/>
        <v>2309934</v>
      </c>
      <c r="J82" s="74">
        <f t="shared" si="37"/>
        <v>41239364</v>
      </c>
      <c r="K82" s="1039">
        <f>+K83</f>
        <v>19927467</v>
      </c>
      <c r="L82" s="74">
        <f>+L83</f>
        <v>27276555</v>
      </c>
      <c r="M82" s="74">
        <f t="shared" si="37"/>
        <v>21163556</v>
      </c>
      <c r="N82" s="105">
        <f t="shared" si="37"/>
        <v>0</v>
      </c>
      <c r="O82" s="74">
        <f t="shared" si="37"/>
        <v>9265000</v>
      </c>
      <c r="P82" s="74">
        <f t="shared" si="37"/>
        <v>20400000</v>
      </c>
      <c r="Q82" s="74">
        <f t="shared" si="37"/>
        <v>11942500</v>
      </c>
      <c r="R82" s="74">
        <f t="shared" si="37"/>
        <v>8500000</v>
      </c>
      <c r="S82" s="74">
        <f t="shared" si="37"/>
        <v>10092500</v>
      </c>
      <c r="T82" s="74">
        <f t="shared" si="37"/>
        <v>0</v>
      </c>
      <c r="U82" s="1053">
        <f>+U83</f>
        <v>149879475</v>
      </c>
      <c r="V82" s="2561"/>
      <c r="W82" s="30"/>
      <c r="X82" s="38" t="s">
        <v>49</v>
      </c>
    </row>
    <row r="83" spans="1:24" s="38" customFormat="1" ht="15.75" customHeight="1" thickBot="1">
      <c r="A83" s="78" t="s">
        <v>48</v>
      </c>
      <c r="B83" s="1005">
        <f>+'Tab. 6D - Oświata'!E88+'Tab. 6F - Kultura'!E21+'Tab. 6C - Ochrona zdrowia'!E28</f>
        <v>0</v>
      </c>
      <c r="C83" s="1006">
        <f>+'Tab. 6D - Oświata'!F88+'Tab. 6F - Kultura'!F21+'Tab. 6C - Ochrona zdrowia'!F28</f>
        <v>0</v>
      </c>
      <c r="D83" s="1006">
        <f>+'Tab. 6D - Oświata'!G88+'Tab. 6F - Kultura'!G21+'Tab. 6C - Ochrona zdrowia'!G28</f>
        <v>0</v>
      </c>
      <c r="E83" s="1006">
        <f>+'Tab. 6D - Oświata'!H88+'Tab. 6F - Kultura'!H21+'Tab. 6C - Ochrona zdrowia'!H28</f>
        <v>0</v>
      </c>
      <c r="F83" s="1006">
        <f>+'Tab. 6D - Oświata'!I88+'Tab. 6F - Kultura'!I21+'Tab. 6C - Ochrona zdrowia'!I28</f>
        <v>15578755</v>
      </c>
      <c r="G83" s="1006">
        <f>+'Tab. 6D - Oświata'!J88+'Tab. 6F - Kultura'!J21+'Tab. 6C - Ochrona zdrowia'!J28</f>
        <v>8202545</v>
      </c>
      <c r="H83" s="1006">
        <f>+'Tab. 6D - Oświata'!K88+'Tab. 6F - Kultura'!K21+'Tab. 6C - Ochrona zdrowia'!K28</f>
        <v>1806384</v>
      </c>
      <c r="I83" s="1006">
        <f>+'Tab. 6D - Oświata'!L88+'Tab. 6F - Kultura'!L21+'Tab. 6C - Ochrona zdrowia'!L28</f>
        <v>2309934</v>
      </c>
      <c r="J83" s="1006">
        <f>+'Tab. 6D - Oświata'!M88+'Tab. 6F - Kultura'!M21+'Tab. 6C - Ochrona zdrowia'!M28</f>
        <v>41239364</v>
      </c>
      <c r="K83" s="1047">
        <f>+'Tab. 6D - Oświata'!N88+'Tab. 6F - Kultura'!N21+'Tab. 6C - Ochrona zdrowia'!N28</f>
        <v>19927467</v>
      </c>
      <c r="L83" s="1006">
        <f>+'Tab. 6D - Oświata'!O88+'Tab. 6F - Kultura'!O21+'Tab. 6C - Ochrona zdrowia'!O28</f>
        <v>27276555</v>
      </c>
      <c r="M83" s="1006">
        <f>+'Tab. 6D - Oświata'!P88+'Tab. 6F - Kultura'!P21+'Tab. 6C - Ochrona zdrowia'!P28</f>
        <v>21163556</v>
      </c>
      <c r="N83" s="1005">
        <f>+'Tab. 6D - Oświata'!Q88+'Tab. 6F - Kultura'!Q21+'Tab. 6C - Ochrona zdrowia'!Q28</f>
        <v>0</v>
      </c>
      <c r="O83" s="1006">
        <f>+'Tab. 6D - Oświata'!R88+'Tab. 6F - Kultura'!R21+'Tab. 6C - Ochrona zdrowia'!R28</f>
        <v>9265000</v>
      </c>
      <c r="P83" s="1006">
        <f>+'Tab. 6D - Oświata'!S88+'Tab. 6F - Kultura'!S21+'Tab. 6C - Ochrona zdrowia'!S28</f>
        <v>20400000</v>
      </c>
      <c r="Q83" s="1006">
        <f>+'Tab. 6D - Oświata'!T88+'Tab. 6F - Kultura'!T21+'Tab. 6C - Ochrona zdrowia'!T28</f>
        <v>11942500</v>
      </c>
      <c r="R83" s="1006">
        <f>+'Tab. 6D - Oświata'!U88+'Tab. 6F - Kultura'!U21+'Tab. 6C - Ochrona zdrowia'!U28</f>
        <v>8500000</v>
      </c>
      <c r="S83" s="1006">
        <f>+'Tab. 6D - Oświata'!V88+'Tab. 6F - Kultura'!V21+'Tab. 6C - Ochrona zdrowia'!V28</f>
        <v>10092500</v>
      </c>
      <c r="T83" s="1006">
        <f>+'Tab. 6D - Oświata'!W88+'Tab. 6F - Kultura'!W21+'Tab. 6C - Ochrona zdrowia'!W28</f>
        <v>0</v>
      </c>
      <c r="U83" s="1007">
        <f>J83+L83+M83+N83+O83+P83+Q83+R83+S83+T83</f>
        <v>149879475</v>
      </c>
      <c r="V83" s="2564"/>
      <c r="W83" s="30"/>
      <c r="X83" s="52"/>
    </row>
    <row r="84" spans="1:24" s="38" customFormat="1" ht="9.75" customHeight="1" thickBot="1">
      <c r="A84" s="79"/>
      <c r="B84" s="36"/>
      <c r="C84" s="36"/>
      <c r="D84" s="36"/>
      <c r="E84" s="36"/>
      <c r="F84" s="80"/>
      <c r="G84" s="36"/>
      <c r="H84" s="36"/>
      <c r="I84" s="36"/>
      <c r="J84" s="36"/>
      <c r="K84" s="1029"/>
      <c r="L84" s="36"/>
      <c r="M84" s="36"/>
      <c r="N84" s="36"/>
      <c r="O84" s="36"/>
      <c r="P84" s="36"/>
      <c r="Q84" s="36"/>
      <c r="R84" s="88"/>
      <c r="S84" s="80"/>
      <c r="T84" s="80"/>
      <c r="U84" s="37"/>
      <c r="V84" s="37"/>
      <c r="W84" s="30"/>
    </row>
    <row r="85" spans="1:24" s="45" customFormat="1" ht="18" customHeight="1" thickBot="1">
      <c r="A85" s="106" t="s">
        <v>39</v>
      </c>
      <c r="B85" s="107">
        <f t="shared" ref="B85:O85" si="38">+B63-B71-B73-B67</f>
        <v>10951507</v>
      </c>
      <c r="C85" s="108">
        <f t="shared" si="38"/>
        <v>0</v>
      </c>
      <c r="D85" s="108">
        <f t="shared" si="38"/>
        <v>5327000</v>
      </c>
      <c r="E85" s="108">
        <f t="shared" si="38"/>
        <v>5568560.0600000005</v>
      </c>
      <c r="F85" s="107">
        <f t="shared" si="38"/>
        <v>10661739</v>
      </c>
      <c r="G85" s="107">
        <f t="shared" si="38"/>
        <v>39111852</v>
      </c>
      <c r="H85" s="107">
        <f t="shared" si="38"/>
        <v>37313862</v>
      </c>
      <c r="I85" s="107">
        <f t="shared" si="38"/>
        <v>114043509</v>
      </c>
      <c r="J85" s="107">
        <f>+J63-J71-J73-J67</f>
        <v>329528288</v>
      </c>
      <c r="K85" s="1041">
        <f>+K63-K71-K73-K67</f>
        <v>125275071</v>
      </c>
      <c r="L85" s="107">
        <f>+L63-L71-L73-L67</f>
        <v>131669420</v>
      </c>
      <c r="M85" s="107">
        <f>+M63-M71-M73-M67</f>
        <v>137155348.63999999</v>
      </c>
      <c r="N85" s="107">
        <f t="shared" si="38"/>
        <v>181245493</v>
      </c>
      <c r="O85" s="109">
        <f t="shared" si="38"/>
        <v>187178471</v>
      </c>
      <c r="P85" s="109">
        <f>+P63-P71-P73-P67</f>
        <v>165791598</v>
      </c>
      <c r="Q85" s="109">
        <f>+Q63-Q71-Q73-Q67</f>
        <v>150556645</v>
      </c>
      <c r="R85" s="109">
        <f>+R63-R71-R73-R67</f>
        <v>5565927</v>
      </c>
      <c r="S85" s="107">
        <f>+S63-S71-S73-S67</f>
        <v>3326626</v>
      </c>
      <c r="T85" s="107">
        <f>+T63-T71-T73-T67</f>
        <v>919047</v>
      </c>
      <c r="U85" s="110">
        <f>SUM(L85:T85)+J85+2514288+1050002</f>
        <v>1296501153.6399999</v>
      </c>
      <c r="V85" s="111">
        <f>M85+N85+O85+P85+Q85+R85+S85+T85+2514288+1050002</f>
        <v>835303445.63999999</v>
      </c>
      <c r="W85" s="43">
        <f>M85+N85+O85+P85+Q85+R85+S85+T85+W86-V85</f>
        <v>0</v>
      </c>
      <c r="X85" s="44">
        <f>U65+U66+U68+U69+U70+U72-U85</f>
        <v>0</v>
      </c>
    </row>
    <row r="86" spans="1:24" s="45" customFormat="1" ht="18" customHeight="1" thickBot="1">
      <c r="A86" s="106" t="s">
        <v>40</v>
      </c>
      <c r="B86" s="112">
        <f t="shared" ref="B86:I86" si="39">+B75-B82</f>
        <v>279786</v>
      </c>
      <c r="C86" s="113">
        <f t="shared" si="39"/>
        <v>0</v>
      </c>
      <c r="D86" s="113">
        <f t="shared" si="39"/>
        <v>0</v>
      </c>
      <c r="E86" s="113">
        <f t="shared" si="39"/>
        <v>279786</v>
      </c>
      <c r="F86" s="112">
        <f t="shared" si="39"/>
        <v>2596431</v>
      </c>
      <c r="G86" s="112">
        <f t="shared" si="39"/>
        <v>10430330</v>
      </c>
      <c r="H86" s="112">
        <f t="shared" si="39"/>
        <v>4892854</v>
      </c>
      <c r="I86" s="112">
        <f t="shared" si="39"/>
        <v>4970864</v>
      </c>
      <c r="J86" s="112">
        <f>+J75-J82</f>
        <v>34359536</v>
      </c>
      <c r="K86" s="1042">
        <f>+K75-K83</f>
        <v>12984390</v>
      </c>
      <c r="L86" s="112">
        <f>+L75-L83</f>
        <v>35075333</v>
      </c>
      <c r="M86" s="112">
        <f t="shared" ref="M86:T86" si="40">+M75-M82</f>
        <v>30522144</v>
      </c>
      <c r="N86" s="112">
        <f t="shared" si="40"/>
        <v>12350000</v>
      </c>
      <c r="O86" s="114">
        <f t="shared" si="40"/>
        <v>13855657</v>
      </c>
      <c r="P86" s="114">
        <f t="shared" si="40"/>
        <v>18000000</v>
      </c>
      <c r="Q86" s="114">
        <f t="shared" si="40"/>
        <v>16000000</v>
      </c>
      <c r="R86" s="114">
        <f t="shared" si="40"/>
        <v>2000000</v>
      </c>
      <c r="S86" s="112">
        <f t="shared" si="40"/>
        <v>1650729</v>
      </c>
      <c r="T86" s="112">
        <f t="shared" si="40"/>
        <v>0</v>
      </c>
      <c r="U86" s="110">
        <f>SUM(L86:T86)+J86</f>
        <v>163813399</v>
      </c>
      <c r="V86" s="115" t="s">
        <v>35</v>
      </c>
      <c r="W86" s="43">
        <f>'Tab. 6C - Ochrona zdrowia'!Z120+'Tab. 6C - Ochrona zdrowia'!Z130</f>
        <v>3564290</v>
      </c>
      <c r="X86" s="45" t="s">
        <v>321</v>
      </c>
    </row>
    <row r="87" spans="1:24" s="119" customFormat="1" ht="15" customHeight="1" thickBot="1">
      <c r="A87" s="116"/>
      <c r="B87" s="117">
        <f t="shared" ref="B87:I87" si="41">+B65+B66+B68+B69+B70+B72-B59</f>
        <v>0</v>
      </c>
      <c r="C87" s="117">
        <f t="shared" si="41"/>
        <v>0</v>
      </c>
      <c r="D87" s="117">
        <f t="shared" si="41"/>
        <v>0</v>
      </c>
      <c r="E87" s="117">
        <f t="shared" si="41"/>
        <v>0</v>
      </c>
      <c r="F87" s="117">
        <f t="shared" si="41"/>
        <v>0</v>
      </c>
      <c r="G87" s="117">
        <f t="shared" si="41"/>
        <v>0</v>
      </c>
      <c r="H87" s="117">
        <f t="shared" si="41"/>
        <v>0</v>
      </c>
      <c r="I87" s="117">
        <f t="shared" si="41"/>
        <v>0</v>
      </c>
      <c r="J87" s="117"/>
      <c r="K87" s="1048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8"/>
    </row>
    <row r="88" spans="1:24" s="119" customFormat="1" ht="18" customHeight="1" thickBot="1">
      <c r="A88" s="120" t="s">
        <v>50</v>
      </c>
      <c r="B88" s="121">
        <f>B89+B90</f>
        <v>11835288</v>
      </c>
      <c r="C88" s="121">
        <f t="shared" ref="C88:U88" si="42">C89+C90</f>
        <v>49287</v>
      </c>
      <c r="D88" s="121">
        <f t="shared" si="42"/>
        <v>5456117</v>
      </c>
      <c r="E88" s="121">
        <f t="shared" si="42"/>
        <v>5577389.0600000005</v>
      </c>
      <c r="F88" s="121">
        <f t="shared" si="42"/>
        <v>13662351.300000001</v>
      </c>
      <c r="G88" s="121">
        <f t="shared" si="42"/>
        <v>68934017.299999997</v>
      </c>
      <c r="H88" s="121">
        <f t="shared" si="42"/>
        <v>100570869</v>
      </c>
      <c r="I88" s="121">
        <f>I89+I90</f>
        <v>172060593</v>
      </c>
      <c r="J88" s="121">
        <f>J89+J90</f>
        <v>555510094</v>
      </c>
      <c r="K88" s="1049">
        <f t="shared" si="42"/>
        <v>196822665</v>
      </c>
      <c r="L88" s="121">
        <f>L89+L90</f>
        <v>180744038</v>
      </c>
      <c r="M88" s="121">
        <f t="shared" si="42"/>
        <v>259818372.63999999</v>
      </c>
      <c r="N88" s="121">
        <f t="shared" si="42"/>
        <v>584404050</v>
      </c>
      <c r="O88" s="121">
        <f t="shared" si="42"/>
        <v>465133712</v>
      </c>
      <c r="P88" s="121">
        <f>P89+P90</f>
        <v>262732599</v>
      </c>
      <c r="Q88" s="121">
        <f>Q89+Q90</f>
        <v>223445781</v>
      </c>
      <c r="R88" s="121">
        <f>R89+R90</f>
        <v>45223441</v>
      </c>
      <c r="S88" s="121">
        <f>S89+S90</f>
        <v>40450714</v>
      </c>
      <c r="T88" s="121">
        <f>T89+T90</f>
        <v>36567475</v>
      </c>
      <c r="U88" s="122">
        <f t="shared" si="42"/>
        <v>2657594566.6399999</v>
      </c>
      <c r="V88" s="123">
        <f>V89+V90</f>
        <v>1921340434.6399999</v>
      </c>
      <c r="W88" s="118"/>
    </row>
    <row r="89" spans="1:24" s="119" customFormat="1" ht="18" customHeight="1" thickTop="1">
      <c r="A89" s="124" t="s">
        <v>51</v>
      </c>
      <c r="B89" s="125">
        <f t="shared" ref="B89:V89" si="43">B13+B60</f>
        <v>441028</v>
      </c>
      <c r="C89" s="125">
        <f t="shared" si="43"/>
        <v>0</v>
      </c>
      <c r="D89" s="125">
        <f t="shared" si="43"/>
        <v>0</v>
      </c>
      <c r="E89" s="125">
        <f t="shared" si="43"/>
        <v>0</v>
      </c>
      <c r="F89" s="125">
        <f t="shared" si="43"/>
        <v>364771.3</v>
      </c>
      <c r="G89" s="125">
        <f t="shared" si="43"/>
        <v>15889153.300000001</v>
      </c>
      <c r="H89" s="125">
        <f t="shared" si="43"/>
        <v>17640998</v>
      </c>
      <c r="I89" s="125">
        <f t="shared" si="43"/>
        <v>103309070</v>
      </c>
      <c r="J89" s="125">
        <f t="shared" si="43"/>
        <v>235022704</v>
      </c>
      <c r="K89" s="1050">
        <f t="shared" si="43"/>
        <v>98209595</v>
      </c>
      <c r="L89" s="125">
        <f t="shared" si="43"/>
        <v>104898956</v>
      </c>
      <c r="M89" s="125">
        <f t="shared" si="43"/>
        <v>156268476.63999999</v>
      </c>
      <c r="N89" s="125">
        <f t="shared" si="43"/>
        <v>198814023</v>
      </c>
      <c r="O89" s="125">
        <f t="shared" si="43"/>
        <v>193734312</v>
      </c>
      <c r="P89" s="125">
        <f>P13+P60</f>
        <v>165010101</v>
      </c>
      <c r="Q89" s="125">
        <f t="shared" si="43"/>
        <v>154095425</v>
      </c>
      <c r="R89" s="125">
        <f t="shared" si="43"/>
        <v>41489536</v>
      </c>
      <c r="S89" s="125">
        <f t="shared" si="43"/>
        <v>38816110</v>
      </c>
      <c r="T89" s="125">
        <f t="shared" si="43"/>
        <v>36400450</v>
      </c>
      <c r="U89" s="126">
        <f t="shared" si="43"/>
        <v>1328114383.6399999</v>
      </c>
      <c r="V89" s="127">
        <f t="shared" si="43"/>
        <v>988192723.63999999</v>
      </c>
      <c r="W89" s="118"/>
    </row>
    <row r="90" spans="1:24" s="119" customFormat="1" ht="18" customHeight="1">
      <c r="A90" s="124" t="s">
        <v>52</v>
      </c>
      <c r="B90" s="125">
        <f t="shared" ref="B90:V90" si="44">B14+B61</f>
        <v>11394260</v>
      </c>
      <c r="C90" s="125">
        <f t="shared" si="44"/>
        <v>49287</v>
      </c>
      <c r="D90" s="125">
        <f t="shared" si="44"/>
        <v>5456117</v>
      </c>
      <c r="E90" s="125">
        <f t="shared" si="44"/>
        <v>5577389.0600000005</v>
      </c>
      <c r="F90" s="125">
        <f t="shared" si="44"/>
        <v>13297580</v>
      </c>
      <c r="G90" s="125">
        <f t="shared" si="44"/>
        <v>53044864</v>
      </c>
      <c r="H90" s="125">
        <f t="shared" si="44"/>
        <v>82929871</v>
      </c>
      <c r="I90" s="125">
        <f t="shared" si="44"/>
        <v>68751523</v>
      </c>
      <c r="J90" s="125">
        <f t="shared" si="44"/>
        <v>320487390</v>
      </c>
      <c r="K90" s="1050">
        <f t="shared" si="44"/>
        <v>98613070</v>
      </c>
      <c r="L90" s="125">
        <f t="shared" si="44"/>
        <v>75845082</v>
      </c>
      <c r="M90" s="125">
        <f t="shared" si="44"/>
        <v>103549896</v>
      </c>
      <c r="N90" s="125">
        <f t="shared" si="44"/>
        <v>385590027</v>
      </c>
      <c r="O90" s="125">
        <f t="shared" si="44"/>
        <v>271399400</v>
      </c>
      <c r="P90" s="125">
        <f t="shared" si="44"/>
        <v>97722498</v>
      </c>
      <c r="Q90" s="125">
        <f t="shared" si="44"/>
        <v>69350356</v>
      </c>
      <c r="R90" s="125">
        <f t="shared" si="44"/>
        <v>3733905</v>
      </c>
      <c r="S90" s="125">
        <f t="shared" si="44"/>
        <v>1634604</v>
      </c>
      <c r="T90" s="125">
        <f t="shared" si="44"/>
        <v>167025</v>
      </c>
      <c r="U90" s="126">
        <f t="shared" si="44"/>
        <v>1329480183</v>
      </c>
      <c r="V90" s="127">
        <f t="shared" si="44"/>
        <v>933147711</v>
      </c>
      <c r="W90" s="118"/>
    </row>
    <row r="91" spans="1:24" s="119" customFormat="1" ht="18" customHeight="1" thickBot="1">
      <c r="A91" s="128" t="s">
        <v>53</v>
      </c>
      <c r="B91" s="129" t="e">
        <f t="shared" ref="B91:O91" si="45">B49+B86</f>
        <v>#REF!</v>
      </c>
      <c r="C91" s="129" t="e">
        <f t="shared" si="45"/>
        <v>#REF!</v>
      </c>
      <c r="D91" s="129" t="e">
        <f t="shared" si="45"/>
        <v>#REF!</v>
      </c>
      <c r="E91" s="129" t="e">
        <f t="shared" si="45"/>
        <v>#REF!</v>
      </c>
      <c r="F91" s="129" t="e">
        <f t="shared" si="45"/>
        <v>#REF!</v>
      </c>
      <c r="G91" s="129" t="e">
        <f t="shared" si="45"/>
        <v>#REF!</v>
      </c>
      <c r="H91" s="129" t="e">
        <f t="shared" si="45"/>
        <v>#REF!</v>
      </c>
      <c r="I91" s="129" t="e">
        <f t="shared" si="45"/>
        <v>#REF!</v>
      </c>
      <c r="J91" s="129">
        <f>J49+J86</f>
        <v>228687441</v>
      </c>
      <c r="K91" s="1051" t="e">
        <f t="shared" si="45"/>
        <v>#REF!</v>
      </c>
      <c r="L91" s="129">
        <f t="shared" si="45"/>
        <v>93400763</v>
      </c>
      <c r="M91" s="129">
        <f>M49+M86</f>
        <v>151154727</v>
      </c>
      <c r="N91" s="129">
        <f t="shared" si="45"/>
        <v>352631851</v>
      </c>
      <c r="O91" s="129">
        <f t="shared" si="45"/>
        <v>259854934</v>
      </c>
      <c r="P91" s="129">
        <f t="shared" ref="P91:U91" si="46">P49+P86</f>
        <v>108759049</v>
      </c>
      <c r="Q91" s="129">
        <f t="shared" si="46"/>
        <v>82627065</v>
      </c>
      <c r="R91" s="129">
        <f t="shared" si="46"/>
        <v>35706857</v>
      </c>
      <c r="S91" s="129">
        <f t="shared" si="46"/>
        <v>34892459</v>
      </c>
      <c r="T91" s="129">
        <f t="shared" si="46"/>
        <v>31983092</v>
      </c>
      <c r="U91" s="129">
        <f t="shared" si="46"/>
        <v>1379698238</v>
      </c>
      <c r="V91" s="130" t="s">
        <v>35</v>
      </c>
      <c r="W91" s="118">
        <f>'Tab. 6A -Drogi'!D23+'Tab. 6A -Drogi'!D545+'Tab. 6B Polit społ i rozwój prz'!D18+'Tab. 6C - Ochrona zdrowia'!D24+'Tab. 6D - Oświata'!D18+'Tab. 6E - Administracja'!D21+'Tab. 6E - Administracja'!D239+'Tab. 6F - Kultura'!D19+'Tab. 6G - Roln i ochrona środ.'!D23+'Tab. 6G - Roln i ochrona środ.'!D189+'Tab. 6H - Kultura fiz. i turyst'!D17+'Tab.6I - Planow. przestrz.'!D19</f>
        <v>1379698238</v>
      </c>
      <c r="X91" s="119" t="s">
        <v>317</v>
      </c>
    </row>
    <row r="92" spans="1:24" s="119" customFormat="1" ht="18.75" customHeight="1" thickTop="1">
      <c r="A92" s="124" t="s">
        <v>54</v>
      </c>
      <c r="B92" s="125" t="e">
        <f>B98+B102</f>
        <v>#REF!</v>
      </c>
      <c r="C92" s="125" t="e">
        <f t="shared" ref="C92:O93" si="47">C98+C102</f>
        <v>#REF!</v>
      </c>
      <c r="D92" s="125" t="e">
        <f t="shared" si="47"/>
        <v>#REF!</v>
      </c>
      <c r="E92" s="125" t="e">
        <f t="shared" si="47"/>
        <v>#REF!</v>
      </c>
      <c r="F92" s="125" t="e">
        <f t="shared" si="47"/>
        <v>#REF!</v>
      </c>
      <c r="G92" s="125" t="e">
        <f t="shared" si="47"/>
        <v>#REF!</v>
      </c>
      <c r="H92" s="125" t="e">
        <f>H98+H102</f>
        <v>#REF!</v>
      </c>
      <c r="I92" s="125" t="e">
        <f t="shared" si="47"/>
        <v>#REF!</v>
      </c>
      <c r="J92" s="125">
        <f>J98+J102</f>
        <v>3596328</v>
      </c>
      <c r="K92" s="1050" t="e">
        <f>K98+K102</f>
        <v>#REF!</v>
      </c>
      <c r="L92" s="125">
        <f>L98+L102</f>
        <v>23745707</v>
      </c>
      <c r="M92" s="125">
        <f>M98+M102</f>
        <v>55882355</v>
      </c>
      <c r="N92" s="125">
        <f t="shared" si="47"/>
        <v>88443748</v>
      </c>
      <c r="O92" s="125">
        <f t="shared" si="47"/>
        <v>98610056</v>
      </c>
      <c r="P92" s="125">
        <f t="shared" ref="P92:U93" si="48">P98+P102</f>
        <v>52033595</v>
      </c>
      <c r="Q92" s="125">
        <f t="shared" si="48"/>
        <v>49583982</v>
      </c>
      <c r="R92" s="125">
        <f t="shared" si="48"/>
        <v>33539832</v>
      </c>
      <c r="S92" s="125">
        <f t="shared" si="48"/>
        <v>33074705</v>
      </c>
      <c r="T92" s="125">
        <f t="shared" si="48"/>
        <v>31816067</v>
      </c>
      <c r="U92" s="125">
        <f t="shared" si="48"/>
        <v>470326375</v>
      </c>
      <c r="V92" s="132" t="s">
        <v>35</v>
      </c>
      <c r="W92" s="918">
        <f>U91-W91</f>
        <v>0</v>
      </c>
      <c r="X92" s="1605"/>
    </row>
    <row r="93" spans="1:24" s="119" customFormat="1" ht="16.5" customHeight="1" thickBot="1">
      <c r="A93" s="1124" t="s">
        <v>55</v>
      </c>
      <c r="B93" s="1125" t="e">
        <f>B99+B103</f>
        <v>#REF!</v>
      </c>
      <c r="C93" s="1125" t="e">
        <f t="shared" si="47"/>
        <v>#REF!</v>
      </c>
      <c r="D93" s="1125" t="e">
        <f t="shared" si="47"/>
        <v>#REF!</v>
      </c>
      <c r="E93" s="1125" t="e">
        <f t="shared" si="47"/>
        <v>#REF!</v>
      </c>
      <c r="F93" s="1125" t="e">
        <f t="shared" si="47"/>
        <v>#REF!</v>
      </c>
      <c r="G93" s="1125" t="e">
        <f t="shared" si="47"/>
        <v>#REF!</v>
      </c>
      <c r="H93" s="1125" t="e">
        <f>H99+H103</f>
        <v>#REF!</v>
      </c>
      <c r="I93" s="1125" t="e">
        <f>I99+I103</f>
        <v>#REF!</v>
      </c>
      <c r="J93" s="1125">
        <f>J99+J103</f>
        <v>225091113</v>
      </c>
      <c r="K93" s="1126" t="e">
        <f t="shared" si="47"/>
        <v>#REF!</v>
      </c>
      <c r="L93" s="1125">
        <f t="shared" si="47"/>
        <v>69655056</v>
      </c>
      <c r="M93" s="1125">
        <f>M99+M103</f>
        <v>95272372</v>
      </c>
      <c r="N93" s="1125">
        <f t="shared" si="47"/>
        <v>264188103</v>
      </c>
      <c r="O93" s="1125">
        <f t="shared" si="47"/>
        <v>161244878</v>
      </c>
      <c r="P93" s="1125">
        <f t="shared" si="48"/>
        <v>56725454</v>
      </c>
      <c r="Q93" s="1125">
        <f t="shared" si="48"/>
        <v>33043083</v>
      </c>
      <c r="R93" s="1125">
        <f t="shared" si="48"/>
        <v>2167025</v>
      </c>
      <c r="S93" s="1125">
        <f t="shared" si="48"/>
        <v>1817754</v>
      </c>
      <c r="T93" s="1125">
        <f t="shared" si="48"/>
        <v>167025</v>
      </c>
      <c r="U93" s="1125">
        <f t="shared" si="48"/>
        <v>909371863</v>
      </c>
      <c r="V93" s="1127" t="s">
        <v>35</v>
      </c>
      <c r="W93" s="918">
        <f>W91-U97-U101</f>
        <v>0</v>
      </c>
    </row>
    <row r="94" spans="1:24" s="119" customFormat="1" ht="18" hidden="1" customHeight="1">
      <c r="A94" s="133" t="s">
        <v>56</v>
      </c>
      <c r="B94" s="134" t="e">
        <f>B92+B93-B91</f>
        <v>#REF!</v>
      </c>
      <c r="C94" s="134" t="e">
        <f t="shared" ref="C94:T94" si="49">C92+C93-C91</f>
        <v>#REF!</v>
      </c>
      <c r="D94" s="134" t="e">
        <f t="shared" si="49"/>
        <v>#REF!</v>
      </c>
      <c r="E94" s="134" t="e">
        <f t="shared" si="49"/>
        <v>#REF!</v>
      </c>
      <c r="F94" s="134" t="e">
        <f t="shared" si="49"/>
        <v>#REF!</v>
      </c>
      <c r="G94" s="134" t="e">
        <f t="shared" si="49"/>
        <v>#REF!</v>
      </c>
      <c r="H94" s="134" t="e">
        <f>H92+H93-H91</f>
        <v>#REF!</v>
      </c>
      <c r="I94" s="134" t="e">
        <f>I92+I93-I91</f>
        <v>#REF!</v>
      </c>
      <c r="J94" s="134">
        <f>J92+J93-J91</f>
        <v>0</v>
      </c>
      <c r="K94" s="134" t="e">
        <f t="shared" si="49"/>
        <v>#REF!</v>
      </c>
      <c r="L94" s="134">
        <f>L92+L93-L91</f>
        <v>0</v>
      </c>
      <c r="M94" s="134">
        <f>M92+M93-M91</f>
        <v>0</v>
      </c>
      <c r="N94" s="134">
        <f t="shared" si="49"/>
        <v>0</v>
      </c>
      <c r="O94" s="134">
        <f t="shared" si="49"/>
        <v>0</v>
      </c>
      <c r="P94" s="134">
        <f t="shared" si="49"/>
        <v>0</v>
      </c>
      <c r="Q94" s="134">
        <f t="shared" si="49"/>
        <v>0</v>
      </c>
      <c r="R94" s="134">
        <f t="shared" si="49"/>
        <v>0</v>
      </c>
      <c r="S94" s="134">
        <f t="shared" si="49"/>
        <v>0</v>
      </c>
      <c r="T94" s="134">
        <f t="shared" si="49"/>
        <v>0</v>
      </c>
      <c r="U94" s="134">
        <f>U92+U93-U91</f>
        <v>0</v>
      </c>
      <c r="V94" s="118"/>
      <c r="W94" s="118"/>
      <c r="X94" s="1605"/>
    </row>
    <row r="95" spans="1:24" s="119" customFormat="1" ht="11.25" hidden="1" customHeight="1">
      <c r="A95" s="135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18"/>
      <c r="W95" s="118"/>
    </row>
    <row r="96" spans="1:24" s="119" customFormat="1" ht="18" hidden="1" customHeight="1" thickBot="1">
      <c r="A96" s="136" t="s">
        <v>57</v>
      </c>
      <c r="B96" s="137" t="e">
        <f t="shared" ref="B96:O96" si="50">B32-B97</f>
        <v>#REF!</v>
      </c>
      <c r="C96" s="137" t="e">
        <f t="shared" si="50"/>
        <v>#REF!</v>
      </c>
      <c r="D96" s="137" t="e">
        <f t="shared" si="50"/>
        <v>#REF!</v>
      </c>
      <c r="E96" s="137" t="e">
        <f t="shared" si="50"/>
        <v>#REF!</v>
      </c>
      <c r="F96" s="137" t="e">
        <f t="shared" si="50"/>
        <v>#REF!</v>
      </c>
      <c r="G96" s="137" t="e">
        <f t="shared" si="50"/>
        <v>#REF!</v>
      </c>
      <c r="H96" s="137" t="e">
        <f t="shared" si="50"/>
        <v>#REF!</v>
      </c>
      <c r="I96" s="137" t="e">
        <f t="shared" si="50"/>
        <v>#REF!</v>
      </c>
      <c r="J96" s="137">
        <f>J32-J97</f>
        <v>0</v>
      </c>
      <c r="K96" s="137" t="e">
        <f t="shared" si="50"/>
        <v>#REF!</v>
      </c>
      <c r="L96" s="137">
        <f t="shared" si="50"/>
        <v>0</v>
      </c>
      <c r="M96" s="137">
        <f t="shared" si="50"/>
        <v>0</v>
      </c>
      <c r="N96" s="137">
        <f t="shared" si="50"/>
        <v>0</v>
      </c>
      <c r="O96" s="137">
        <f t="shared" si="50"/>
        <v>0</v>
      </c>
      <c r="P96" s="137">
        <f>P32-P97</f>
        <v>0</v>
      </c>
      <c r="Q96" s="137">
        <f>Q32-Q97</f>
        <v>0</v>
      </c>
      <c r="R96" s="137">
        <f>R32-R97</f>
        <v>0</v>
      </c>
      <c r="S96" s="137">
        <f>S32-S97</f>
        <v>0</v>
      </c>
      <c r="T96" s="137">
        <f>T32-T97</f>
        <v>0</v>
      </c>
      <c r="U96" s="137">
        <f>+U97+U101</f>
        <v>1379698238</v>
      </c>
      <c r="V96" s="118"/>
      <c r="W96" s="118"/>
    </row>
    <row r="97" spans="1:23" s="119" customFormat="1" ht="18" hidden="1" customHeight="1" thickBot="1">
      <c r="A97" s="138" t="s">
        <v>58</v>
      </c>
      <c r="B97" s="139" t="e">
        <f t="shared" ref="B97:U97" si="51">B98+B99</f>
        <v>#REF!</v>
      </c>
      <c r="C97" s="139" t="e">
        <f t="shared" si="51"/>
        <v>#REF!</v>
      </c>
      <c r="D97" s="139" t="e">
        <f t="shared" si="51"/>
        <v>#REF!</v>
      </c>
      <c r="E97" s="139" t="e">
        <f t="shared" si="51"/>
        <v>#REF!</v>
      </c>
      <c r="F97" s="139" t="e">
        <f t="shared" si="51"/>
        <v>#REF!</v>
      </c>
      <c r="G97" s="139" t="e">
        <f t="shared" si="51"/>
        <v>#REF!</v>
      </c>
      <c r="H97" s="139" t="e">
        <f t="shared" si="51"/>
        <v>#REF!</v>
      </c>
      <c r="I97" s="139" t="e">
        <f t="shared" si="51"/>
        <v>#REF!</v>
      </c>
      <c r="J97" s="139">
        <f t="shared" si="51"/>
        <v>194327905</v>
      </c>
      <c r="K97" s="139" t="e">
        <f t="shared" si="51"/>
        <v>#REF!</v>
      </c>
      <c r="L97" s="139">
        <f t="shared" si="51"/>
        <v>58325430</v>
      </c>
      <c r="M97" s="139">
        <f t="shared" si="51"/>
        <v>120632583</v>
      </c>
      <c r="N97" s="139">
        <f t="shared" si="51"/>
        <v>340281851</v>
      </c>
      <c r="O97" s="139">
        <f t="shared" si="51"/>
        <v>245999277</v>
      </c>
      <c r="P97" s="139">
        <f>P98+P99</f>
        <v>90759049</v>
      </c>
      <c r="Q97" s="139">
        <f>Q98+Q99</f>
        <v>66627065</v>
      </c>
      <c r="R97" s="139">
        <f>R98+R99</f>
        <v>33706857</v>
      </c>
      <c r="S97" s="139">
        <f>S98+S99</f>
        <v>33241730</v>
      </c>
      <c r="T97" s="139">
        <f>T98+T99</f>
        <v>31983092</v>
      </c>
      <c r="U97" s="140">
        <f t="shared" si="51"/>
        <v>1215884839</v>
      </c>
      <c r="V97" s="118"/>
      <c r="W97" s="118"/>
    </row>
    <row r="98" spans="1:23" s="119" customFormat="1" ht="20.25" hidden="1" customHeight="1" thickTop="1">
      <c r="A98" s="141" t="s">
        <v>59</v>
      </c>
      <c r="B98" s="142" t="e">
        <f>'Tab. 6B Polit społ i rozwój prz'!E18-'Tab. 6B Polit społ i rozwój prz'!E146+'Tab. 6D - Oświata'!E18+'Tab. 6E - Administracja'!E33+'Tab. 6E - Administracja'!#REF!+'Tab. 6E - Administracja'!E75+'Tab. 6G - Roln i ochrona środ.'!E44+'Tab. 6G - Roln i ochrona środ.'!E111+'Tab. 6H - Kultura fiz. i turyst'!E17-'Tab. 6H - Kultura fiz. i turyst'!E36-'Tab. 6H - Kultura fiz. i turyst'!E68+'Tab.6I - Planow. przestrz.'!E31+'Tab.6I - Planow. przestrz.'!E40+'Tab. 6E - Administracja'!E53</f>
        <v>#REF!</v>
      </c>
      <c r="C98" s="142" t="e">
        <f>'Tab. 6B Polit społ i rozwój prz'!F18-'Tab. 6B Polit społ i rozwój prz'!F146+'Tab. 6D - Oświata'!F18+'Tab. 6E - Administracja'!F33+'Tab. 6E - Administracja'!#REF!+'Tab. 6E - Administracja'!F75+'Tab. 6G - Roln i ochrona środ.'!F44+'Tab. 6G - Roln i ochrona środ.'!F111+'Tab. 6H - Kultura fiz. i turyst'!F17-'Tab. 6H - Kultura fiz. i turyst'!F36-'Tab. 6H - Kultura fiz. i turyst'!F68+'Tab.6I - Planow. przestrz.'!F31+'Tab.6I - Planow. przestrz.'!F40+'Tab. 6E - Administracja'!F53</f>
        <v>#REF!</v>
      </c>
      <c r="D98" s="142" t="e">
        <f>'Tab. 6B Polit społ i rozwój prz'!G18-'Tab. 6B Polit społ i rozwój prz'!G146+'Tab. 6D - Oświata'!G18+'Tab. 6E - Administracja'!G33+'Tab. 6E - Administracja'!#REF!+'Tab. 6E - Administracja'!G75+'Tab. 6G - Roln i ochrona środ.'!G44+'Tab. 6G - Roln i ochrona środ.'!G111+'Tab. 6H - Kultura fiz. i turyst'!G17-'Tab. 6H - Kultura fiz. i turyst'!G36-'Tab. 6H - Kultura fiz. i turyst'!G68+'Tab.6I - Planow. przestrz.'!G31+'Tab.6I - Planow. przestrz.'!G40+'Tab. 6E - Administracja'!G53</f>
        <v>#REF!</v>
      </c>
      <c r="E98" s="142" t="e">
        <f>'Tab. 6B Polit społ i rozwój prz'!H18-'Tab. 6B Polit społ i rozwój prz'!H146+'Tab. 6D - Oświata'!H18+'Tab. 6E - Administracja'!H33+'Tab. 6E - Administracja'!#REF!+'Tab. 6E - Administracja'!H75+'Tab. 6G - Roln i ochrona środ.'!H44+'Tab. 6G - Roln i ochrona środ.'!H111+'Tab. 6H - Kultura fiz. i turyst'!H17-'Tab. 6H - Kultura fiz. i turyst'!H36-'Tab. 6H - Kultura fiz. i turyst'!H68+'Tab.6I - Planow. przestrz.'!H31+'Tab.6I - Planow. przestrz.'!H40+'Tab. 6E - Administracja'!H53</f>
        <v>#REF!</v>
      </c>
      <c r="F98" s="142" t="e">
        <f>'Tab. 6B Polit społ i rozwój prz'!I18-'Tab. 6B Polit społ i rozwój prz'!I146+'Tab. 6D - Oświata'!I18+'Tab. 6E - Administracja'!I33+'Tab. 6E - Administracja'!#REF!+'Tab. 6E - Administracja'!I75+'Tab. 6G - Roln i ochrona środ.'!I44+'Tab. 6G - Roln i ochrona środ.'!I111+'Tab. 6H - Kultura fiz. i turyst'!I17-'Tab. 6H - Kultura fiz. i turyst'!I36-'Tab. 6H - Kultura fiz. i turyst'!I68+'Tab.6I - Planow. przestrz.'!I31+'Tab.6I - Planow. przestrz.'!I40+'Tab. 6E - Administracja'!I53</f>
        <v>#REF!</v>
      </c>
      <c r="G98" s="142" t="e">
        <f>'Tab. 6B Polit społ i rozwój prz'!J18-'Tab. 6B Polit społ i rozwój prz'!J146+'Tab. 6D - Oświata'!J18+'Tab. 6E - Administracja'!J33+'Tab. 6E - Administracja'!#REF!+'Tab. 6E - Administracja'!J75+'Tab. 6G - Roln i ochrona środ.'!J44+'Tab. 6G - Roln i ochrona środ.'!J111+'Tab. 6H - Kultura fiz. i turyst'!J17-'Tab. 6H - Kultura fiz. i turyst'!J36-'Tab. 6H - Kultura fiz. i turyst'!J68+'Tab.6I - Planow. przestrz.'!J31+'Tab.6I - Planow. przestrz.'!J40+'Tab. 6E - Administracja'!J53</f>
        <v>#REF!</v>
      </c>
      <c r="H98" s="142" t="e">
        <f>'Tab. 6B Polit społ i rozwój prz'!K18-'Tab. 6B Polit społ i rozwój prz'!K146+'Tab. 6D - Oświata'!K18+'Tab. 6E - Administracja'!K33+'Tab. 6E - Administracja'!#REF!+'Tab. 6E - Administracja'!K75+'Tab. 6G - Roln i ochrona środ.'!K44+'Tab. 6G - Roln i ochrona środ.'!K111+'Tab. 6H - Kultura fiz. i turyst'!K17-'Tab. 6H - Kultura fiz. i turyst'!K36-'Tab. 6H - Kultura fiz. i turyst'!K68+'Tab.6I - Planow. przestrz.'!K31+'Tab.6I - Planow. przestrz.'!K40+'Tab. 6E - Administracja'!K53</f>
        <v>#REF!</v>
      </c>
      <c r="I98" s="142" t="e">
        <f>'Tab. 6B Polit społ i rozwój prz'!L18-'Tab. 6B Polit społ i rozwój prz'!L146+'Tab. 6D - Oświata'!L18+'Tab. 6E - Administracja'!L33+'Tab. 6E - Administracja'!#REF!+'Tab. 6E - Administracja'!L75+'Tab. 6G - Roln i ochrona środ.'!L44+'Tab. 6G - Roln i ochrona środ.'!L111+'Tab. 6H - Kultura fiz. i turyst'!L17-'Tab. 6H - Kultura fiz. i turyst'!L36-'Tab. 6H - Kultura fiz. i turyst'!L68+'Tab.6I - Planow. przestrz.'!L31+'Tab.6I - Planow. przestrz.'!L40+'Tab. 6E - Administracja'!L53</f>
        <v>#REF!</v>
      </c>
      <c r="J98" s="142">
        <f>'Tab. 6B Polit społ i rozwój prz'!M18-'Tab. 6B Polit społ i rozwój prz'!M146+'Tab. 6D - Oświata'!M18+'Tab. 6E - Administracja'!M33+'Tab. 6E - Administracja'!M75+'Tab. 6G - Roln i ochrona środ.'!M44+'Tab. 6G - Roln i ochrona środ.'!M111+'Tab. 6H - Kultura fiz. i turyst'!M17-'Tab. 6H - Kultura fiz. i turyst'!M36-'Tab. 6H - Kultura fiz. i turyst'!M68+'Tab.6I - Planow. przestrz.'!M31+'Tab.6I - Planow. przestrz.'!M40+'Tab. 6E - Administracja'!M53-1</f>
        <v>2181077</v>
      </c>
      <c r="K98" s="142" t="e">
        <f>'Tab. 6B Polit społ i rozwój prz'!N18-'Tab. 6B Polit społ i rozwój prz'!N146+'Tab. 6D - Oświata'!N18+'Tab. 6E - Administracja'!N33+'Tab. 6E - Administracja'!#REF!+'Tab. 6E - Administracja'!N75+'Tab. 6G - Roln i ochrona środ.'!N44+'Tab. 6G - Roln i ochrona środ.'!N111+'Tab. 6G - Roln i ochrona środ.'!N144+'Tab. 6H - Kultura fiz. i turyst'!N17-'Tab. 6H - Kultura fiz. i turyst'!N36-'Tab. 6H - Kultura fiz. i turyst'!N68+'Tab.6I - Planow. przestrz.'!N31+'Tab.6I - Planow. przestrz.'!N40+'Tab. 6E - Administracja'!N53</f>
        <v>#REF!</v>
      </c>
      <c r="L98" s="142">
        <f>'Tab. 6B Polit społ i rozwój prz'!O18-'Tab. 6B Polit społ i rozwój prz'!O146-'Tab. 6B Polit społ i rozwój prz'!O170+'Tab. 6D - Oświata'!O18+'Tab. 6E - Administracja'!O33+'Tab. 6E - Administracja'!O75+'Tab. 6G - Roln i ochrona środ.'!O44+'Tab. 6G - Roln i ochrona środ.'!O111+'Tab. 6G - Roln i ochrona środ.'!O144+'Tab. 6H - Kultura fiz. i turyst'!O17-'Tab. 6H - Kultura fiz. i turyst'!O36-'Tab. 6H - Kultura fiz. i turyst'!O68+'Tab.6I - Planow. przestrz.'!O31+'Tab.6I - Planow. przestrz.'!O40+'Tab. 6E - Administracja'!O53+'Tab. 6E - Administracja'!O110</f>
        <v>4486632</v>
      </c>
      <c r="M98" s="142">
        <f>'Tab. 6B Polit społ i rozwój prz'!P18-'Tab. 6B Polit społ i rozwój prz'!P146-'Tab. 6B Polit społ i rozwój prz'!P170+'Tab. 6D - Oświata'!P18+'Tab. 6E - Administracja'!P33+'Tab. 6E - Administracja'!P75+'Tab. 6G - Roln i ochrona środ.'!P44+'Tab. 6G - Roln i ochrona środ.'!P111+'Tab. 6G - Roln i ochrona środ.'!P144+'Tab. 6H - Kultura fiz. i turyst'!P17-'Tab. 6H - Kultura fiz. i turyst'!P36-'Tab. 6H - Kultura fiz. i turyst'!P68+'Tab.6I - Planow. przestrz.'!P31+'Tab.6I - Planow. przestrz.'!P40+'Tab. 6E - Administracja'!P53+'Tab. 6E - Administracja'!P110+'Tab. 6A -Drogi'!P471+'Tab. 6E - Administracja'!P157+'Tab. 6E - Administracja'!P186+'Tab. 6E - Administracja'!P214</f>
        <v>34964869</v>
      </c>
      <c r="N98" s="142">
        <f>'Tab. 6B Polit społ i rozwój prz'!Q18-'Tab. 6B Polit społ i rozwój prz'!Q146-'Tab. 6B Polit społ i rozwój prz'!Q170+'Tab. 6D - Oświata'!Q18+'Tab. 6E - Administracja'!Q33+'Tab. 6E - Administracja'!Q75+'Tab. 6G - Roln i ochrona środ.'!Q44+'Tab. 6G - Roln i ochrona środ.'!Q111+'Tab. 6G - Roln i ochrona środ.'!Q144+'Tab. 6H - Kultura fiz. i turyst'!Q17-'Tab. 6H - Kultura fiz. i turyst'!Q36-'Tab. 6H - Kultura fiz. i turyst'!Q68+'Tab.6I - Planow. przestrz.'!Q31+'Tab.6I - Planow. przestrz.'!Q40+'Tab. 6E - Administracja'!Q53+'Tab. 6E - Administracja'!Q110+'Tab. 6A -Drogi'!Q471+'Tab. 6E - Administracja'!Q157+'Tab. 6E - Administracja'!Q186+'Tab. 6E - Administracja'!Q214+'Tab.6I - Planow. przestrz.'!Q67</f>
        <v>76443748</v>
      </c>
      <c r="O98" s="142">
        <f>'Tab. 6B Polit społ i rozwój prz'!R18-'Tab. 6B Polit społ i rozwój prz'!R146-'Tab. 6B Polit społ i rozwój prz'!R170+'Tab. 6D - Oświata'!R18+'Tab. 6E - Administracja'!R33+'Tab. 6E - Administracja'!R75+'Tab. 6G - Roln i ochrona środ.'!R44+'Tab. 6G - Roln i ochrona środ.'!R111+'Tab. 6G - Roln i ochrona środ.'!R144+'Tab. 6H - Kultura fiz. i turyst'!R17-'Tab. 6H - Kultura fiz. i turyst'!R36-'Tab. 6H - Kultura fiz. i turyst'!R68+'Tab.6I - Planow. przestrz.'!R31+'Tab.6I - Planow. przestrz.'!R40+'Tab. 6E - Administracja'!R53+'Tab. 6E - Administracja'!R110+'Tab. 6A -Drogi'!R471+'Tab. 6E - Administracja'!R157+'Tab. 6E - Administracja'!R186+'Tab. 6E - Administracja'!R214+'Tab.6I - Planow. przestrz.'!R67</f>
        <v>86610056</v>
      </c>
      <c r="P98" s="142">
        <f>'Tab. 6B Polit społ i rozwój prz'!S18-'Tab. 6B Polit społ i rozwój prz'!S146-'Tab. 6B Polit społ i rozwój prz'!S170+'Tab. 6D - Oświata'!S18+'Tab. 6E - Administracja'!S33+'Tab. 6E - Administracja'!S75+'Tab. 6G - Roln i ochrona środ.'!S44+'Tab. 6G - Roln i ochrona środ.'!S111+'Tab. 6G - Roln i ochrona środ.'!S144+'Tab. 6H - Kultura fiz. i turyst'!S17-'Tab. 6H - Kultura fiz. i turyst'!S36-'Tab. 6H - Kultura fiz. i turyst'!S68+'Tab.6I - Planow. przestrz.'!S31+'Tab.6I - Planow. przestrz.'!S40+'Tab. 6E - Administracja'!S53+'Tab. 6E - Administracja'!S110+'Tab. 6A -Drogi'!S471+'Tab. 6E - Administracja'!S157+'Tab. 6E - Administracja'!S186+'Tab. 6E - Administracja'!S214+'Tab.6I - Planow. przestrz.'!S67</f>
        <v>40033595</v>
      </c>
      <c r="Q98" s="142">
        <f>'Tab. 6B Polit społ i rozwój prz'!T18-'Tab. 6B Polit społ i rozwój prz'!T146-'Tab. 6B Polit społ i rozwój prz'!T170+'Tab. 6D - Oświata'!T18+'Tab. 6E - Administracja'!T33+'Tab. 6E - Administracja'!T75+'Tab. 6G - Roln i ochrona środ.'!T44+'Tab. 6G - Roln i ochrona środ.'!T111+'Tab. 6G - Roln i ochrona środ.'!T144+'Tab. 6H - Kultura fiz. i turyst'!T17-'Tab. 6H - Kultura fiz. i turyst'!T36-'Tab. 6H - Kultura fiz. i turyst'!T68+'Tab.6I - Planow. przestrz.'!T31+'Tab.6I - Planow. przestrz.'!T40+'Tab. 6E - Administracja'!T53+'Tab. 6E - Administracja'!T110+'Tab. 6A -Drogi'!T471+'Tab. 6E - Administracja'!T157+'Tab. 6E - Administracja'!T186+'Tab. 6E - Administracja'!T214+'Tab.6I - Planow. przestrz.'!T67</f>
        <v>37583982</v>
      </c>
      <c r="R98" s="142">
        <f>'Tab. 6B Polit społ i rozwój prz'!U18-'Tab. 6B Polit społ i rozwój prz'!U146-'Tab. 6B Polit społ i rozwój prz'!U170+'Tab. 6D - Oświata'!U18+'Tab. 6E - Administracja'!U33+'Tab. 6E - Administracja'!U75+'Tab. 6G - Roln i ochrona środ.'!U44+'Tab. 6G - Roln i ochrona środ.'!U111+'Tab. 6G - Roln i ochrona środ.'!U144+'Tab. 6H - Kultura fiz. i turyst'!U17-'Tab. 6H - Kultura fiz. i turyst'!U36-'Tab. 6H - Kultura fiz. i turyst'!U68+'Tab.6I - Planow. przestrz.'!U31+'Tab.6I - Planow. przestrz.'!U40+'Tab. 6E - Administracja'!U53+'Tab. 6E - Administracja'!U110+'Tab. 6A -Drogi'!U471+'Tab. 6E - Administracja'!U157+'Tab. 6E - Administracja'!U186+'Tab. 6E - Administracja'!U214+'Tab.6I - Planow. przestrz.'!U67</f>
        <v>33539832</v>
      </c>
      <c r="S98" s="142">
        <f>'Tab. 6B Polit społ i rozwój prz'!V18-'Tab. 6B Polit społ i rozwój prz'!V146-'Tab. 6B Polit społ i rozwój prz'!V170+'Tab. 6D - Oświata'!V18+'Tab. 6E - Administracja'!V33+'Tab. 6E - Administracja'!V75+'Tab. 6G - Roln i ochrona środ.'!V44+'Tab. 6G - Roln i ochrona środ.'!V111+'Tab. 6G - Roln i ochrona środ.'!V144+'Tab. 6H - Kultura fiz. i turyst'!V17-'Tab. 6H - Kultura fiz. i turyst'!V36-'Tab. 6H - Kultura fiz. i turyst'!V68+'Tab.6I - Planow. przestrz.'!V31+'Tab.6I - Planow. przestrz.'!V40+'Tab. 6E - Administracja'!V53+'Tab. 6E - Administracja'!V110+'Tab. 6A -Drogi'!V471+'Tab. 6E - Administracja'!V157+'Tab. 6E - Administracja'!V186+'Tab. 6E - Administracja'!V214+'Tab.6I - Planow. przestrz.'!V67</f>
        <v>33074705</v>
      </c>
      <c r="T98" s="142">
        <f>'Tab. 6B Polit społ i rozwój prz'!W18-'Tab. 6B Polit społ i rozwój prz'!W146-'Tab. 6B Polit społ i rozwój prz'!W170+'Tab. 6D - Oświata'!W18+'Tab. 6E - Administracja'!W33+'Tab. 6E - Administracja'!W75+'Tab. 6G - Roln i ochrona środ.'!W44+'Tab. 6G - Roln i ochrona środ.'!W111+'Tab. 6G - Roln i ochrona środ.'!W144+'Tab. 6H - Kultura fiz. i turyst'!W17-'Tab. 6H - Kultura fiz. i turyst'!W36-'Tab. 6H - Kultura fiz. i turyst'!W68+'Tab.6I - Planow. przestrz.'!W31+'Tab.6I - Planow. przestrz.'!W40+'Tab. 6E - Administracja'!W53+'Tab. 6E - Administracja'!W110+'Tab. 6A -Drogi'!W471+'Tab. 6E - Administracja'!W157+'Tab. 6E - Administracja'!W186+'Tab. 6E - Administracja'!W214+'Tab.6I - Planow. przestrz.'!W67</f>
        <v>31816067</v>
      </c>
      <c r="U98" s="143">
        <f>J98+L98+M98+N98+O98+P98+Q98+R98+S98+T98</f>
        <v>380734563</v>
      </c>
      <c r="V98" s="118"/>
      <c r="W98" s="118"/>
    </row>
    <row r="99" spans="1:23" s="119" customFormat="1" ht="18" hidden="1" customHeight="1">
      <c r="A99" s="141" t="s">
        <v>55</v>
      </c>
      <c r="B99" s="142" t="e">
        <f>'Tab. 6A -Drogi'!E23+'Tab. 6B Polit społ i rozwój prz'!E146+'Tab. 6E - Administracja'!E42+'Tab. 6E - Administracja'!#REF!+'Tab. 6E - Administracja'!E86+'Tab. 6G - Roln i ochrona środ.'!E23-'Tab. 6G - Roln i ochrona środ.'!E44-'Tab. 6G - Roln i ochrona środ.'!E111+'Tab. 6H - Kultura fiz. i turyst'!E36+'Tab. 6H - Kultura fiz. i turyst'!E68+'Tab.6I - Planow. przestrz.'!E49+'Tab. 6E - Administracja'!E64</f>
        <v>#REF!</v>
      </c>
      <c r="C99" s="142" t="e">
        <f>'Tab. 6A -Drogi'!F23+'Tab. 6B Polit społ i rozwój prz'!F146+'Tab. 6E - Administracja'!F42+'Tab. 6E - Administracja'!#REF!+'Tab. 6E - Administracja'!F86+'Tab. 6G - Roln i ochrona środ.'!F23-'Tab. 6G - Roln i ochrona środ.'!F44-'Tab. 6G - Roln i ochrona środ.'!F111+'Tab. 6H - Kultura fiz. i turyst'!F36+'Tab. 6H - Kultura fiz. i turyst'!F68+'Tab.6I - Planow. przestrz.'!F49+'Tab. 6E - Administracja'!F64</f>
        <v>#REF!</v>
      </c>
      <c r="D99" s="142" t="e">
        <f>'Tab. 6A -Drogi'!G23+'Tab. 6B Polit społ i rozwój prz'!G146+'Tab. 6E - Administracja'!G42+'Tab. 6E - Administracja'!#REF!+'Tab. 6E - Administracja'!G86+'Tab. 6G - Roln i ochrona środ.'!G23-'Tab. 6G - Roln i ochrona środ.'!G44-'Tab. 6G - Roln i ochrona środ.'!G111+'Tab. 6H - Kultura fiz. i turyst'!G36+'Tab. 6H - Kultura fiz. i turyst'!G68+'Tab.6I - Planow. przestrz.'!G49+'Tab. 6E - Administracja'!G64</f>
        <v>#REF!</v>
      </c>
      <c r="E99" s="142" t="e">
        <f>'Tab. 6A -Drogi'!H23+'Tab. 6B Polit społ i rozwój prz'!H146+'Tab. 6E - Administracja'!H42+'Tab. 6E - Administracja'!#REF!+'Tab. 6E - Administracja'!H86+'Tab. 6G - Roln i ochrona środ.'!H23-'Tab. 6G - Roln i ochrona środ.'!H44-'Tab. 6G - Roln i ochrona środ.'!H111+'Tab. 6H - Kultura fiz. i turyst'!H36+'Tab. 6H - Kultura fiz. i turyst'!H68+'Tab.6I - Planow. przestrz.'!H49+'Tab. 6E - Administracja'!H64</f>
        <v>#REF!</v>
      </c>
      <c r="F99" s="142" t="e">
        <f>'Tab. 6A -Drogi'!I23+'Tab. 6B Polit społ i rozwój prz'!I146+'Tab. 6E - Administracja'!I42+'Tab. 6E - Administracja'!#REF!+'Tab. 6E - Administracja'!I86+'Tab. 6G - Roln i ochrona środ.'!I23-'Tab. 6G - Roln i ochrona środ.'!I44-'Tab. 6G - Roln i ochrona środ.'!I111+'Tab. 6H - Kultura fiz. i turyst'!I36+'Tab. 6H - Kultura fiz. i turyst'!I68+'Tab.6I - Planow. przestrz.'!I49+'Tab. 6E - Administracja'!I64</f>
        <v>#REF!</v>
      </c>
      <c r="G99" s="142" t="e">
        <f>'Tab. 6A -Drogi'!J23+'Tab. 6B Polit społ i rozwój prz'!J146+'Tab. 6E - Administracja'!J42+'Tab. 6E - Administracja'!#REF!+'Tab. 6E - Administracja'!J86+'Tab. 6G - Roln i ochrona środ.'!J23-'Tab. 6G - Roln i ochrona środ.'!J44-'Tab. 6G - Roln i ochrona środ.'!J111+'Tab. 6H - Kultura fiz. i turyst'!J36+'Tab. 6H - Kultura fiz. i turyst'!J68+'Tab.6I - Planow. przestrz.'!J49+'Tab. 6E - Administracja'!J64</f>
        <v>#REF!</v>
      </c>
      <c r="H99" s="142" t="e">
        <f>'Tab. 6A -Drogi'!K23+'Tab. 6B Polit społ i rozwój prz'!K146+'Tab. 6E - Administracja'!K42+'Tab. 6E - Administracja'!#REF!+'Tab. 6E - Administracja'!K86+'Tab. 6G - Roln i ochrona środ.'!K23-'Tab. 6G - Roln i ochrona środ.'!K44-'Tab. 6G - Roln i ochrona środ.'!K111+'Tab. 6H - Kultura fiz. i turyst'!K36+'Tab. 6H - Kultura fiz. i turyst'!K68+'Tab.6I - Planow. przestrz.'!K49+'Tab. 6E - Administracja'!K64</f>
        <v>#REF!</v>
      </c>
      <c r="I99" s="142" t="e">
        <f>'Tab. 6A -Drogi'!L23+'Tab. 6B Polit społ i rozwój prz'!L146+'Tab. 6E - Administracja'!L42+'Tab. 6E - Administracja'!#REF!+'Tab. 6E - Administracja'!L86+'Tab. 6G - Roln i ochrona środ.'!L23-'Tab. 6G - Roln i ochrona środ.'!L44-'Tab. 6G - Roln i ochrona środ.'!L111+'Tab. 6H - Kultura fiz. i turyst'!L36+'Tab. 6H - Kultura fiz. i turyst'!L68+'Tab.6I - Planow. przestrz.'!L49+'Tab. 6E - Administracja'!L64</f>
        <v>#REF!</v>
      </c>
      <c r="J99" s="142">
        <f>'Tab. 6A -Drogi'!M23+'Tab. 6B Polit społ i rozwój prz'!M146+'Tab. 6E - Administracja'!M42+'Tab. 6E - Administracja'!M86+'Tab. 6G - Roln i ochrona środ.'!M23-'Tab. 6G - Roln i ochrona środ.'!M44-'Tab. 6G - Roln i ochrona środ.'!M111+'Tab. 6H - Kultura fiz. i turyst'!M36+'Tab. 6H - Kultura fiz. i turyst'!M68+'Tab.6I - Planow. przestrz.'!M49+'Tab. 6E - Administracja'!M64</f>
        <v>192146828</v>
      </c>
      <c r="K99" s="142" t="e">
        <f>'Tab. 6A -Drogi'!N23+'Tab. 6B Polit społ i rozwój prz'!N146+'Tab. 6E - Administracja'!N42+'Tab. 6E - Administracja'!#REF!+'Tab. 6E - Administracja'!N86+'Tab. 6G - Roln i ochrona środ.'!N23-'Tab. 6G - Roln i ochrona środ.'!N44-'Tab. 6G - Roln i ochrona środ.'!N111-'Tab. 6G - Roln i ochrona środ.'!N144+'Tab. 6H - Kultura fiz. i turyst'!N36+'Tab. 6H - Kultura fiz. i turyst'!N68+'Tab.6I - Planow. przestrz.'!N49+'Tab. 6E - Administracja'!N64</f>
        <v>#REF!</v>
      </c>
      <c r="L99" s="142">
        <f>'Tab. 6A -Drogi'!O23+'Tab. 6B Polit społ i rozwój prz'!O146+'Tab. 6B Polit społ i rozwój prz'!O170+'Tab. 6E - Administracja'!O42+'Tab. 6E - Administracja'!O86+'Tab. 6G - Roln i ochrona środ.'!O23-'Tab. 6G - Roln i ochrona środ.'!O44-'Tab. 6G - Roln i ochrona środ.'!O111-'Tab. 6G - Roln i ochrona środ.'!O144+'Tab. 6H - Kultura fiz. i turyst'!O36+'Tab. 6H - Kultura fiz. i turyst'!O68+'Tab.6I - Planow. przestrz.'!O49+'Tab. 6E - Administracja'!O64+'Tab. 6E - Administracja'!O128</f>
        <v>53838798</v>
      </c>
      <c r="M99" s="142">
        <f>'Tab. 6A -Drogi'!P23+'Tab. 6B Polit społ i rozwój prz'!P146+'Tab. 6B Polit społ i rozwój prz'!P170+'Tab. 6E - Administracja'!P42+'Tab. 6E - Administracja'!P86+'Tab. 6G - Roln i ochrona środ.'!P23-'Tab. 6G - Roln i ochrona środ.'!P44-'Tab. 6G - Roln i ochrona środ.'!P111-'Tab. 6G - Roln i ochrona środ.'!P144+'Tab. 6H - Kultura fiz. i turyst'!P36+'Tab. 6H - Kultura fiz. i turyst'!P68+'Tab.6I - Planow. przestrz.'!P49+'Tab. 6E - Administracja'!P64+'Tab. 6E - Administracja'!P128+'Tab. 6E - Administracja'!P172+'Tab. 6E - Administracja'!P199-'Tab. 6A -Drogi'!P471+'Tab. 6E - Administracja'!P225</f>
        <v>85667714</v>
      </c>
      <c r="N99" s="142">
        <f>'Tab. 6A -Drogi'!Q23+'Tab. 6B Polit społ i rozwój prz'!Q146+'Tab. 6B Polit społ i rozwój prz'!Q170+'Tab. 6E - Administracja'!Q42+'Tab. 6E - Administracja'!Q86+'Tab. 6G - Roln i ochrona środ.'!Q23-'Tab. 6G - Roln i ochrona środ.'!Q44-'Tab. 6G - Roln i ochrona środ.'!Q111-'Tab. 6G - Roln i ochrona środ.'!Q144+'Tab. 6H - Kultura fiz. i turyst'!Q36+'Tab. 6H - Kultura fiz. i turyst'!Q68+'Tab.6I - Planow. przestrz.'!Q49+'Tab. 6E - Administracja'!Q64+'Tab. 6E - Administracja'!Q128+'Tab. 6E - Administracja'!Q172+'Tab. 6E - Administracja'!Q199-'Tab. 6A -Drogi'!Q471+'Tab. 6E - Administracja'!Q225</f>
        <v>263838103</v>
      </c>
      <c r="O99" s="142">
        <f>'Tab. 6A -Drogi'!R23+'Tab. 6B Polit społ i rozwój prz'!R146+'Tab. 6B Polit społ i rozwój prz'!R170+'Tab. 6E - Administracja'!R42+'Tab. 6E - Administracja'!R86+'Tab. 6G - Roln i ochrona środ.'!R23-'Tab. 6G - Roln i ochrona środ.'!R44-'Tab. 6G - Roln i ochrona środ.'!R111-'Tab. 6G - Roln i ochrona środ.'!R144+'Tab. 6H - Kultura fiz. i turyst'!R36+'Tab. 6H - Kultura fiz. i turyst'!R68+'Tab.6I - Planow. przestrz.'!R49+'Tab. 6E - Administracja'!R64+'Tab. 6E - Administracja'!R128+'Tab. 6E - Administracja'!R172+'Tab. 6E - Administracja'!R199-'Tab. 6A -Drogi'!R471+'Tab. 6E - Administracja'!R225</f>
        <v>159389221</v>
      </c>
      <c r="P99" s="142">
        <f>'Tab. 6A -Drogi'!S23+'Tab. 6B Polit społ i rozwój prz'!S146+'Tab. 6B Polit społ i rozwój prz'!S170+'Tab. 6E - Administracja'!S42+'Tab. 6E - Administracja'!S86+'Tab. 6G - Roln i ochrona środ.'!S23-'Tab. 6G - Roln i ochrona środ.'!S44-'Tab. 6G - Roln i ochrona środ.'!S111-'Tab. 6G - Roln i ochrona środ.'!S144+'Tab. 6H - Kultura fiz. i turyst'!S36+'Tab. 6H - Kultura fiz. i turyst'!S68+'Tab.6I - Planow. przestrz.'!S49+'Tab. 6E - Administracja'!S64+'Tab. 6E - Administracja'!S128+'Tab. 6E - Administracja'!S172+'Tab. 6E - Administracja'!S199-'Tab. 6A -Drogi'!S471+'Tab. 6E - Administracja'!S225</f>
        <v>50725454</v>
      </c>
      <c r="Q99" s="142">
        <f>'Tab. 6A -Drogi'!T23+'Tab. 6B Polit społ i rozwój prz'!T146+'Tab. 6B Polit społ i rozwój prz'!T170+'Tab. 6E - Administracja'!T42+'Tab. 6E - Administracja'!T86+'Tab. 6G - Roln i ochrona środ.'!T23-'Tab. 6G - Roln i ochrona środ.'!T44-'Tab. 6G - Roln i ochrona środ.'!T111-'Tab. 6G - Roln i ochrona środ.'!T144+'Tab. 6H - Kultura fiz. i turyst'!T36+'Tab. 6H - Kultura fiz. i turyst'!T68+'Tab.6I - Planow. przestrz.'!T49+'Tab. 6E - Administracja'!T64+'Tab. 6E - Administracja'!T128+'Tab. 6E - Administracja'!T172+'Tab. 6E - Administracja'!T199-'Tab. 6A -Drogi'!T471+'Tab. 6E - Administracja'!T225</f>
        <v>29043083</v>
      </c>
      <c r="R99" s="142">
        <f>'Tab. 6A -Drogi'!U23+'Tab. 6B Polit społ i rozwój prz'!U146+'Tab. 6B Polit społ i rozwój prz'!U170+'Tab. 6E - Administracja'!U42+'Tab. 6E - Administracja'!U86+'Tab. 6G - Roln i ochrona środ.'!U23-'Tab. 6G - Roln i ochrona środ.'!U44-'Tab. 6G - Roln i ochrona środ.'!U111-'Tab. 6G - Roln i ochrona środ.'!U144+'Tab. 6H - Kultura fiz. i turyst'!U36+'Tab. 6H - Kultura fiz. i turyst'!U68+'Tab.6I - Planow. przestrz.'!U49+'Tab. 6E - Administracja'!U64+'Tab. 6E - Administracja'!U128+'Tab. 6E - Administracja'!U172+'Tab. 6E - Administracja'!U199-'Tab. 6A -Drogi'!U471+'Tab. 6E - Administracja'!U225</f>
        <v>167025</v>
      </c>
      <c r="S99" s="142">
        <f>'Tab. 6A -Drogi'!V23+'Tab. 6B Polit społ i rozwój prz'!V146+'Tab. 6B Polit społ i rozwój prz'!V170+'Tab. 6E - Administracja'!V42+'Tab. 6E - Administracja'!V86+'Tab. 6G - Roln i ochrona środ.'!V23-'Tab. 6G - Roln i ochrona środ.'!V44-'Tab. 6G - Roln i ochrona środ.'!V111-'Tab. 6G - Roln i ochrona środ.'!V144+'Tab. 6H - Kultura fiz. i turyst'!V36+'Tab. 6H - Kultura fiz. i turyst'!V68+'Tab.6I - Planow. przestrz.'!V49+'Tab. 6E - Administracja'!V64+'Tab. 6E - Administracja'!V128+'Tab. 6E - Administracja'!V172+'Tab. 6E - Administracja'!V199-'Tab. 6A -Drogi'!V471+'Tab. 6E - Administracja'!V225</f>
        <v>167025</v>
      </c>
      <c r="T99" s="142">
        <f>'Tab. 6A -Drogi'!W23+'Tab. 6B Polit społ i rozwój prz'!W146+'Tab. 6B Polit społ i rozwój prz'!W170+'Tab. 6E - Administracja'!W42+'Tab. 6E - Administracja'!W86+'Tab. 6G - Roln i ochrona środ.'!W23-'Tab. 6G - Roln i ochrona środ.'!W44-'Tab. 6G - Roln i ochrona środ.'!W111-'Tab. 6G - Roln i ochrona środ.'!W144+'Tab. 6H - Kultura fiz. i turyst'!W36+'Tab. 6H - Kultura fiz. i turyst'!W68+'Tab.6I - Planow. przestrz.'!W49+'Tab. 6E - Administracja'!W64+'Tab. 6E - Administracja'!W128+'Tab. 6E - Administracja'!W172+'Tab. 6E - Administracja'!W199-'Tab. 6A -Drogi'!W471+'Tab. 6E - Administracja'!W225</f>
        <v>167025</v>
      </c>
      <c r="U99" s="143">
        <f>J99+L99+M99+N99+O99+P99+Q99+R99+S99+T99</f>
        <v>835150276</v>
      </c>
      <c r="V99" s="118"/>
      <c r="W99" s="118"/>
    </row>
    <row r="100" spans="1:23" s="119" customFormat="1" ht="24" hidden="1" customHeight="1" thickBot="1">
      <c r="A100" s="136" t="s">
        <v>60</v>
      </c>
      <c r="B100" s="137">
        <f t="shared" ref="B100:G100" si="52">B86-B101</f>
        <v>0</v>
      </c>
      <c r="C100" s="137">
        <f t="shared" si="52"/>
        <v>0</v>
      </c>
      <c r="D100" s="137">
        <f t="shared" si="52"/>
        <v>0</v>
      </c>
      <c r="E100" s="137">
        <f t="shared" si="52"/>
        <v>0</v>
      </c>
      <c r="F100" s="137">
        <f t="shared" si="52"/>
        <v>0</v>
      </c>
      <c r="G100" s="137">
        <f t="shared" si="52"/>
        <v>0</v>
      </c>
      <c r="H100" s="137">
        <f>H86-H101</f>
        <v>0</v>
      </c>
      <c r="I100" s="137">
        <f t="shared" ref="I100:U100" si="53">I86-I101</f>
        <v>0</v>
      </c>
      <c r="J100" s="137">
        <f t="shared" si="53"/>
        <v>0</v>
      </c>
      <c r="K100" s="137">
        <f t="shared" si="53"/>
        <v>0</v>
      </c>
      <c r="L100" s="137">
        <f t="shared" si="53"/>
        <v>0</v>
      </c>
      <c r="M100" s="137">
        <f>M86-M101</f>
        <v>0</v>
      </c>
      <c r="N100" s="137">
        <f t="shared" si="53"/>
        <v>0</v>
      </c>
      <c r="O100" s="137">
        <f t="shared" si="53"/>
        <v>0</v>
      </c>
      <c r="P100" s="137">
        <f t="shared" si="53"/>
        <v>0</v>
      </c>
      <c r="Q100" s="137">
        <f t="shared" si="53"/>
        <v>0</v>
      </c>
      <c r="R100" s="137">
        <f t="shared" si="53"/>
        <v>0</v>
      </c>
      <c r="S100" s="137">
        <f t="shared" si="53"/>
        <v>0</v>
      </c>
      <c r="T100" s="137">
        <f t="shared" si="53"/>
        <v>0</v>
      </c>
      <c r="U100" s="137">
        <f t="shared" si="53"/>
        <v>0</v>
      </c>
      <c r="V100" s="118"/>
      <c r="W100" s="118"/>
    </row>
    <row r="101" spans="1:23" s="119" customFormat="1" ht="19.5" hidden="1" customHeight="1" thickBot="1">
      <c r="A101" s="138" t="s">
        <v>58</v>
      </c>
      <c r="B101" s="139">
        <f t="shared" ref="B101:G101" si="54">B102+B103</f>
        <v>279786</v>
      </c>
      <c r="C101" s="139">
        <f t="shared" si="54"/>
        <v>0</v>
      </c>
      <c r="D101" s="139">
        <f t="shared" si="54"/>
        <v>0</v>
      </c>
      <c r="E101" s="139">
        <f t="shared" si="54"/>
        <v>279786</v>
      </c>
      <c r="F101" s="139">
        <f t="shared" si="54"/>
        <v>2596431</v>
      </c>
      <c r="G101" s="139">
        <f t="shared" si="54"/>
        <v>10430330</v>
      </c>
      <c r="H101" s="139">
        <f>H102+H103</f>
        <v>4892854</v>
      </c>
      <c r="I101" s="139">
        <f t="shared" ref="I101:U101" si="55">I102+I103</f>
        <v>4970864</v>
      </c>
      <c r="J101" s="139">
        <f>J102+J103</f>
        <v>34359536</v>
      </c>
      <c r="K101" s="139">
        <f t="shared" si="55"/>
        <v>12984390</v>
      </c>
      <c r="L101" s="139">
        <f t="shared" si="55"/>
        <v>35075333</v>
      </c>
      <c r="M101" s="139">
        <f t="shared" si="55"/>
        <v>30522144</v>
      </c>
      <c r="N101" s="139">
        <f t="shared" si="55"/>
        <v>12350000</v>
      </c>
      <c r="O101" s="139">
        <f t="shared" si="55"/>
        <v>13855657</v>
      </c>
      <c r="P101" s="139">
        <f t="shared" si="55"/>
        <v>18000000</v>
      </c>
      <c r="Q101" s="139">
        <f t="shared" si="55"/>
        <v>16000000</v>
      </c>
      <c r="R101" s="139">
        <f t="shared" si="55"/>
        <v>2000000</v>
      </c>
      <c r="S101" s="139">
        <f>S102+S103</f>
        <v>1650729</v>
      </c>
      <c r="T101" s="139">
        <f>T102+T103</f>
        <v>0</v>
      </c>
      <c r="U101" s="140">
        <f t="shared" si="55"/>
        <v>163813399</v>
      </c>
      <c r="V101" s="118"/>
      <c r="W101" s="118"/>
    </row>
    <row r="102" spans="1:23" s="119" customFormat="1" ht="18" hidden="1" customHeight="1" thickTop="1">
      <c r="A102" s="141" t="s">
        <v>59</v>
      </c>
      <c r="B102" s="142">
        <f>'Tab. 6A -Drogi'!E615</f>
        <v>0</v>
      </c>
      <c r="C102" s="142">
        <f>'Tab. 6A -Drogi'!F615</f>
        <v>0</v>
      </c>
      <c r="D102" s="142">
        <f>'Tab. 6A -Drogi'!G615</f>
        <v>0</v>
      </c>
      <c r="E102" s="142">
        <f>'Tab. 6A -Drogi'!H615</f>
        <v>0</v>
      </c>
      <c r="F102" s="142">
        <f>'Tab. 6A -Drogi'!I615</f>
        <v>0</v>
      </c>
      <c r="G102" s="142">
        <f>'Tab. 6A -Drogi'!J615</f>
        <v>0</v>
      </c>
      <c r="H102" s="142">
        <f>'Tab. 6A -Drogi'!K615</f>
        <v>0</v>
      </c>
      <c r="I102" s="142">
        <f>'Tab. 6A -Drogi'!L615</f>
        <v>205627</v>
      </c>
      <c r="J102" s="142">
        <f>'Tab. 6A -Drogi'!M615+'Tab. 6E - Administracja'!M255</f>
        <v>1415251</v>
      </c>
      <c r="K102" s="142">
        <f>'Tab. 6A -Drogi'!N615+'Tab. 6E - Administracja'!N255</f>
        <v>1409624</v>
      </c>
      <c r="L102" s="142">
        <f>'Tab. 6A -Drogi'!O615+'Tab. 6E - Administracja'!O255+'Tab. 6A -Drogi'!O628+'Tab. 6A -Drogi'!O636</f>
        <v>19259075</v>
      </c>
      <c r="M102" s="142">
        <f>'Tab. 6A -Drogi'!P615+'Tab. 6E - Administracja'!P255+'Tab. 6A -Drogi'!P628+'Tab. 6A -Drogi'!P636</f>
        <v>20917486</v>
      </c>
      <c r="N102" s="142">
        <f>'Tab. 6A -Drogi'!Q615+'Tab. 6E - Administracja'!Q255+'Tab. 6A -Drogi'!Q628+'Tab. 6A -Drogi'!Q636</f>
        <v>12000000</v>
      </c>
      <c r="O102" s="142">
        <f>'Tab. 6A -Drogi'!R615+'Tab. 6E - Administracja'!R255+'Tab. 6A -Drogi'!R628+'Tab. 6A -Drogi'!R636</f>
        <v>12000000</v>
      </c>
      <c r="P102" s="142">
        <f>'Tab. 6A -Drogi'!S615+'Tab. 6E - Administracja'!S255+'Tab. 6A -Drogi'!S628+'Tab. 6A -Drogi'!S636</f>
        <v>12000000</v>
      </c>
      <c r="Q102" s="142">
        <f>'Tab. 6A -Drogi'!T615+'Tab. 6E - Administracja'!T255+'Tab. 6A -Drogi'!T628+'Tab. 6A -Drogi'!T636</f>
        <v>12000000</v>
      </c>
      <c r="R102" s="142">
        <f>'Tab. 6A -Drogi'!U615+'Tab. 6E - Administracja'!U255+'Tab. 6A -Drogi'!U628+'Tab. 6A -Drogi'!U636</f>
        <v>0</v>
      </c>
      <c r="S102" s="142">
        <f>'Tab. 6A -Drogi'!V615+'Tab. 6E - Administracja'!V255+'Tab. 6A -Drogi'!V628+'Tab. 6A -Drogi'!V636</f>
        <v>0</v>
      </c>
      <c r="T102" s="142">
        <f>'Tab. 6A -Drogi'!W615+'Tab. 6E - Administracja'!W255+'Tab. 6A -Drogi'!W628+'Tab. 6A -Drogi'!W636</f>
        <v>0</v>
      </c>
      <c r="U102" s="143">
        <f>J102+L102+M102+N102+O102+P102+Q102+R102+S102+T102</f>
        <v>89591812</v>
      </c>
      <c r="V102" s="118"/>
      <c r="W102" s="118"/>
    </row>
    <row r="103" spans="1:23" s="119" customFormat="1" ht="18" hidden="1" customHeight="1">
      <c r="A103" s="141" t="s">
        <v>55</v>
      </c>
      <c r="B103" s="142">
        <f>'Tab. 6A -Drogi'!E545-'Tab. 6A -Drogi'!E615+'Tab. 6C - Ochrona zdrowia'!E24+'Tab. 6D - Oświata'!E86+'Tab. 6F - Kultura'!E18+'Tab. 6G - Roln i ochrona środ.'!E196</f>
        <v>279786</v>
      </c>
      <c r="C103" s="142">
        <f>'Tab. 6A -Drogi'!F545-'Tab. 6A -Drogi'!F615+'Tab. 6C - Ochrona zdrowia'!F24+'Tab. 6D - Oświata'!F86+'Tab. 6F - Kultura'!F18+'Tab. 6G - Roln i ochrona środ.'!F196</f>
        <v>0</v>
      </c>
      <c r="D103" s="142">
        <f>'Tab. 6A -Drogi'!G545-'Tab. 6A -Drogi'!G615+'Tab. 6C - Ochrona zdrowia'!G24+'Tab. 6D - Oświata'!G86+'Tab. 6F - Kultura'!G18+'Tab. 6G - Roln i ochrona środ.'!G196</f>
        <v>0</v>
      </c>
      <c r="E103" s="142">
        <f>'Tab. 6A -Drogi'!H545-'Tab. 6A -Drogi'!H615+'Tab. 6C - Ochrona zdrowia'!H24+'Tab. 6D - Oświata'!H86+'Tab. 6F - Kultura'!H18+'Tab. 6G - Roln i ochrona środ.'!H196</f>
        <v>279786</v>
      </c>
      <c r="F103" s="142">
        <f>'Tab. 6A -Drogi'!I545-'Tab. 6A -Drogi'!I615+'Tab. 6C - Ochrona zdrowia'!I24+'Tab. 6D - Oświata'!I86+'Tab. 6F - Kultura'!I18+'Tab. 6G - Roln i ochrona środ.'!I196</f>
        <v>2596431</v>
      </c>
      <c r="G103" s="142">
        <f>'Tab. 6A -Drogi'!J545-'Tab. 6A -Drogi'!J615+'Tab. 6C - Ochrona zdrowia'!J24+'Tab. 6D - Oświata'!J86+'Tab. 6F - Kultura'!J18+'Tab. 6G - Roln i ochrona środ.'!J196</f>
        <v>10430330</v>
      </c>
      <c r="H103" s="142">
        <f>'Tab. 6A -Drogi'!K545-'Tab. 6A -Drogi'!K615+'Tab. 6C - Ochrona zdrowia'!K24+'Tab. 6D - Oświata'!K86+'Tab. 6F - Kultura'!K18+'Tab. 6G - Roln i ochrona środ.'!K189</f>
        <v>4892854</v>
      </c>
      <c r="I103" s="142">
        <f>'Tab. 6A -Drogi'!L545-'Tab. 6A -Drogi'!L615+'Tab. 6C - Ochrona zdrowia'!L24+'Tab. 6D - Oświata'!L86+'Tab. 6F - Kultura'!L18+'Tab. 6G - Roln i ochrona środ.'!L189</f>
        <v>4765237</v>
      </c>
      <c r="J103" s="142">
        <f>'Tab. 6A -Drogi'!M545-'Tab. 6A -Drogi'!M615+'Tab. 6C - Ochrona zdrowia'!M24+'Tab. 6D - Oświata'!M86+'Tab. 6F - Kultura'!M18+'Tab. 6G - Roln i ochrona środ.'!M189</f>
        <v>32944285</v>
      </c>
      <c r="K103" s="142">
        <f>'Tab. 6A -Drogi'!N584+'Tab. 6C - Ochrona zdrowia'!N24+'Tab. 6D - Oświata'!N86+'Tab. 6F - Kultura'!N18+'Tab. 6G - Roln i ochrona środ.'!N189</f>
        <v>11574766</v>
      </c>
      <c r="L103" s="142">
        <f>'Tab. 6A -Drogi'!O545-'Tab. 6A -Drogi'!O615-'Tab. 6A -Drogi'!O628-'Tab. 6A -Drogi'!O636+'Tab. 6C - Ochrona zdrowia'!O24+'Tab. 6D - Oświata'!O86+'Tab. 6F - Kultura'!O18+'Tab. 6G - Roln i ochrona środ.'!O189</f>
        <v>15816258</v>
      </c>
      <c r="M103" s="142">
        <f>'Tab. 6A -Drogi'!P545-'Tab. 6A -Drogi'!P615-'Tab. 6A -Drogi'!P628-'Tab. 6A -Drogi'!P636+'Tab. 6C - Ochrona zdrowia'!P24+'Tab. 6D - Oświata'!P86+'Tab. 6F - Kultura'!P18+'Tab. 6G - Roln i ochrona środ.'!P189</f>
        <v>9604658</v>
      </c>
      <c r="N103" s="142">
        <f>'Tab. 6A -Drogi'!Q545-'Tab. 6A -Drogi'!Q615-'Tab. 6A -Drogi'!Q628-'Tab. 6A -Drogi'!Q636+'Tab. 6C - Ochrona zdrowia'!Q24+'Tab. 6D - Oświata'!Q86+'Tab. 6F - Kultura'!Q18+'Tab. 6G - Roln i ochrona środ.'!Q189</f>
        <v>350000</v>
      </c>
      <c r="O103" s="142">
        <f>'Tab. 6A -Drogi'!R545-'Tab. 6A -Drogi'!R615-'Tab. 6A -Drogi'!R628-'Tab. 6A -Drogi'!R636+'Tab. 6C - Ochrona zdrowia'!R24+'Tab. 6D - Oświata'!R86+'Tab. 6F - Kultura'!R18+'Tab. 6G - Roln i ochrona środ.'!R189</f>
        <v>1855657</v>
      </c>
      <c r="P103" s="142">
        <f>'Tab. 6A -Drogi'!S545-'Tab. 6A -Drogi'!S615-'Tab. 6A -Drogi'!S628-'Tab. 6A -Drogi'!S636+'Tab. 6C - Ochrona zdrowia'!S24+'Tab. 6D - Oświata'!S86+'Tab. 6F - Kultura'!S18+'Tab. 6G - Roln i ochrona środ.'!S189</f>
        <v>6000000</v>
      </c>
      <c r="Q103" s="142">
        <f>'Tab. 6A -Drogi'!T545-'Tab. 6A -Drogi'!T615-'Tab. 6A -Drogi'!T628-'Tab. 6A -Drogi'!T636+'Tab. 6C - Ochrona zdrowia'!T24+'Tab. 6D - Oświata'!T86+'Tab. 6F - Kultura'!T18+'Tab. 6G - Roln i ochrona środ.'!T189</f>
        <v>4000000</v>
      </c>
      <c r="R103" s="142">
        <f>'Tab. 6A -Drogi'!U545-'Tab. 6A -Drogi'!U615-'Tab. 6A -Drogi'!U628-'Tab. 6A -Drogi'!U636+'Tab. 6C - Ochrona zdrowia'!U24+'Tab. 6D - Oświata'!U86+'Tab. 6F - Kultura'!U18+'Tab. 6G - Roln i ochrona środ.'!U189</f>
        <v>2000000</v>
      </c>
      <c r="S103" s="142">
        <f>'Tab. 6A -Drogi'!V545-'Tab. 6A -Drogi'!V615-'Tab. 6A -Drogi'!V628-'Tab. 6A -Drogi'!V636+'Tab. 6C - Ochrona zdrowia'!V24+'Tab. 6D - Oświata'!V86+'Tab. 6F - Kultura'!V18+'Tab. 6G - Roln i ochrona środ.'!V189</f>
        <v>1650729</v>
      </c>
      <c r="T103" s="142">
        <f>'Tab. 6A -Drogi'!W545-'Tab. 6A -Drogi'!W615-'Tab. 6A -Drogi'!W628-'Tab. 6A -Drogi'!W636+'Tab. 6C - Ochrona zdrowia'!W24+'Tab. 6D - Oświata'!W86+'Tab. 6F - Kultura'!W18+'Tab. 6G - Roln i ochrona środ.'!W189</f>
        <v>0</v>
      </c>
      <c r="U103" s="143">
        <f>J103+L103+M103+N103+O103+P103+Q103+R103+S103+T103</f>
        <v>74221587</v>
      </c>
      <c r="V103" s="118"/>
      <c r="W103" s="118"/>
    </row>
    <row r="104" spans="1:23" s="119" customFormat="1" ht="18" hidden="1" customHeight="1">
      <c r="A104" s="135"/>
      <c r="B104" s="134"/>
      <c r="C104" s="134"/>
      <c r="D104" s="134"/>
      <c r="E104" s="134"/>
      <c r="F104" s="134"/>
      <c r="G104" s="134"/>
      <c r="H104" s="134"/>
      <c r="I104" s="134"/>
      <c r="J104" s="134">
        <f>J101+J97-J91</f>
        <v>0</v>
      </c>
      <c r="K104" s="134" t="e">
        <f t="shared" ref="K104:U104" si="56">K101+K97-K91</f>
        <v>#REF!</v>
      </c>
      <c r="L104" s="134">
        <f t="shared" si="56"/>
        <v>0</v>
      </c>
      <c r="M104" s="134">
        <f>M101+M97-M91</f>
        <v>0</v>
      </c>
      <c r="N104" s="134">
        <f t="shared" si="56"/>
        <v>0</v>
      </c>
      <c r="O104" s="134">
        <f t="shared" si="56"/>
        <v>0</v>
      </c>
      <c r="P104" s="134">
        <f t="shared" si="56"/>
        <v>0</v>
      </c>
      <c r="Q104" s="134">
        <f t="shared" si="56"/>
        <v>0</v>
      </c>
      <c r="R104" s="134">
        <f t="shared" si="56"/>
        <v>0</v>
      </c>
      <c r="S104" s="134">
        <f t="shared" si="56"/>
        <v>0</v>
      </c>
      <c r="T104" s="134">
        <f t="shared" si="56"/>
        <v>0</v>
      </c>
      <c r="U104" s="134">
        <f t="shared" si="56"/>
        <v>0</v>
      </c>
      <c r="V104" s="118"/>
      <c r="W104" s="118"/>
    </row>
    <row r="105" spans="1:23" s="119" customFormat="1" ht="18" hidden="1" customHeight="1" thickBot="1">
      <c r="A105" s="144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18"/>
      <c r="W105" s="118"/>
    </row>
    <row r="106" spans="1:23" s="119" customFormat="1" ht="18" hidden="1" customHeight="1">
      <c r="A106" s="116"/>
      <c r="B106" s="117"/>
      <c r="C106" s="146"/>
      <c r="D106" s="146"/>
      <c r="E106" s="146"/>
      <c r="F106" s="117"/>
      <c r="G106" s="117"/>
      <c r="H106" s="117"/>
      <c r="I106" s="117"/>
      <c r="J106" s="889">
        <f>+J85-J59</f>
        <v>0</v>
      </c>
      <c r="K106" s="889">
        <f t="shared" ref="K106:T106" si="57">+K85-K59</f>
        <v>0</v>
      </c>
      <c r="L106" s="889">
        <f>+L85-L59</f>
        <v>0</v>
      </c>
      <c r="M106" s="889">
        <f t="shared" si="57"/>
        <v>0</v>
      </c>
      <c r="N106" s="889">
        <f t="shared" si="57"/>
        <v>0</v>
      </c>
      <c r="O106" s="889">
        <f>+O85-O59</f>
        <v>0</v>
      </c>
      <c r="P106" s="889">
        <f t="shared" si="57"/>
        <v>0</v>
      </c>
      <c r="Q106" s="889">
        <f t="shared" si="57"/>
        <v>0</v>
      </c>
      <c r="R106" s="889">
        <f t="shared" si="57"/>
        <v>0</v>
      </c>
      <c r="S106" s="889">
        <f t="shared" si="57"/>
        <v>0</v>
      </c>
      <c r="T106" s="889">
        <f t="shared" si="57"/>
        <v>0</v>
      </c>
      <c r="U106" s="889">
        <f>+U85-U59</f>
        <v>0</v>
      </c>
      <c r="V106" s="889"/>
      <c r="W106" s="118"/>
    </row>
    <row r="107" spans="1:23" s="119" customFormat="1" ht="18" hidden="1" customHeight="1" thickBot="1">
      <c r="A107" s="116"/>
      <c r="B107" s="117">
        <f t="shared" ref="B107:U107" si="58">B12+B59</f>
        <v>11835288</v>
      </c>
      <c r="C107" s="117">
        <f t="shared" si="58"/>
        <v>49287</v>
      </c>
      <c r="D107" s="117">
        <f t="shared" si="58"/>
        <v>5456117</v>
      </c>
      <c r="E107" s="117">
        <f t="shared" si="58"/>
        <v>5577389.0600000005</v>
      </c>
      <c r="F107" s="117">
        <f t="shared" si="58"/>
        <v>13662351.300000001</v>
      </c>
      <c r="G107" s="117">
        <f t="shared" si="58"/>
        <v>68934017.299999997</v>
      </c>
      <c r="H107" s="117">
        <f t="shared" si="58"/>
        <v>100570869</v>
      </c>
      <c r="I107" s="117">
        <f t="shared" si="58"/>
        <v>172060593</v>
      </c>
      <c r="J107" s="117">
        <f t="shared" si="58"/>
        <v>555510094</v>
      </c>
      <c r="K107" s="117">
        <f t="shared" si="58"/>
        <v>196822665</v>
      </c>
      <c r="L107" s="117">
        <f t="shared" si="58"/>
        <v>180744038</v>
      </c>
      <c r="M107" s="117">
        <f t="shared" si="58"/>
        <v>259818372.63999999</v>
      </c>
      <c r="N107" s="117">
        <f t="shared" si="58"/>
        <v>584404050</v>
      </c>
      <c r="O107" s="117">
        <f t="shared" si="58"/>
        <v>465133712</v>
      </c>
      <c r="P107" s="117">
        <f t="shared" si="58"/>
        <v>262732599</v>
      </c>
      <c r="Q107" s="117">
        <f t="shared" si="58"/>
        <v>223445781</v>
      </c>
      <c r="R107" s="117">
        <f t="shared" si="58"/>
        <v>45223441</v>
      </c>
      <c r="S107" s="117">
        <f t="shared" si="58"/>
        <v>40450714</v>
      </c>
      <c r="T107" s="117">
        <f t="shared" si="58"/>
        <v>36567475</v>
      </c>
      <c r="U107" s="117">
        <f t="shared" si="58"/>
        <v>2657594566.6399999</v>
      </c>
      <c r="V107" s="117"/>
      <c r="W107" s="118"/>
    </row>
    <row r="108" spans="1:23" s="119" customFormat="1" ht="16.5" hidden="1" customHeight="1" thickBot="1">
      <c r="A108" s="116"/>
      <c r="B108" s="796" t="s">
        <v>6</v>
      </c>
      <c r="C108" s="797" t="s">
        <v>7</v>
      </c>
      <c r="D108" s="797" t="s">
        <v>8</v>
      </c>
      <c r="E108" s="797" t="s">
        <v>9</v>
      </c>
      <c r="F108" s="796" t="s">
        <v>10</v>
      </c>
      <c r="G108" s="796" t="s">
        <v>11</v>
      </c>
      <c r="H108" s="796" t="s">
        <v>12</v>
      </c>
      <c r="I108" s="796" t="s">
        <v>13</v>
      </c>
      <c r="J108" s="879" t="s">
        <v>338</v>
      </c>
      <c r="K108" s="2231" t="s">
        <v>14</v>
      </c>
      <c r="L108" s="2231" t="s">
        <v>15</v>
      </c>
      <c r="M108" s="151" t="s">
        <v>16</v>
      </c>
      <c r="N108" s="2265" t="s">
        <v>17</v>
      </c>
      <c r="O108" s="150" t="s">
        <v>18</v>
      </c>
      <c r="P108" s="150" t="s">
        <v>271</v>
      </c>
      <c r="Q108" s="150" t="s">
        <v>276</v>
      </c>
      <c r="R108" s="150" t="s">
        <v>340</v>
      </c>
      <c r="S108" s="150" t="s">
        <v>341</v>
      </c>
      <c r="T108" s="150" t="s">
        <v>339</v>
      </c>
      <c r="U108" s="152" t="s">
        <v>61</v>
      </c>
      <c r="V108" s="152" t="s">
        <v>328</v>
      </c>
      <c r="W108" s="118"/>
    </row>
    <row r="109" spans="1:23" s="119" customFormat="1" ht="18" hidden="1" customHeight="1">
      <c r="A109" s="116"/>
      <c r="B109" s="117"/>
      <c r="C109" s="146"/>
      <c r="D109" s="146"/>
      <c r="E109" s="146"/>
      <c r="F109" s="117"/>
      <c r="G109" s="117"/>
      <c r="H109" s="117"/>
      <c r="I109" s="117"/>
      <c r="J109" s="117"/>
      <c r="K109" s="117"/>
      <c r="L109" s="2254"/>
      <c r="M109" s="842"/>
      <c r="N109" s="117"/>
      <c r="O109" s="117"/>
      <c r="P109" s="117"/>
      <c r="Q109" s="117"/>
      <c r="R109" s="117"/>
      <c r="S109" s="117"/>
      <c r="T109" s="117"/>
      <c r="U109" s="117"/>
      <c r="V109" s="131"/>
      <c r="W109" s="118"/>
    </row>
    <row r="110" spans="1:23" s="119" customFormat="1" ht="18" hidden="1" customHeight="1">
      <c r="A110" s="116"/>
      <c r="B110" s="117"/>
      <c r="C110" s="146"/>
      <c r="D110" s="146"/>
      <c r="E110" s="146"/>
      <c r="F110" s="117"/>
      <c r="G110" s="117"/>
      <c r="H110" s="117"/>
      <c r="I110" s="117"/>
      <c r="J110" s="117"/>
      <c r="K110" s="117"/>
      <c r="L110" s="2254"/>
      <c r="M110" s="842"/>
      <c r="N110" s="117"/>
      <c r="O110" s="117"/>
      <c r="P110" s="117"/>
      <c r="Q110" s="117"/>
      <c r="R110" s="117"/>
      <c r="S110" s="117"/>
      <c r="T110" s="117"/>
      <c r="U110" s="117"/>
      <c r="V110" s="131"/>
      <c r="W110" s="118"/>
    </row>
    <row r="111" spans="1:23" s="38" customFormat="1" ht="12.75" hidden="1" customHeight="1">
      <c r="A111" s="79"/>
      <c r="B111" s="36"/>
      <c r="C111" s="36"/>
      <c r="D111" s="36"/>
      <c r="E111" s="36"/>
      <c r="F111" s="36"/>
      <c r="G111" s="36"/>
      <c r="H111" s="36"/>
      <c r="I111" s="36">
        <f>+I13+I60</f>
        <v>103309070</v>
      </c>
      <c r="J111" s="36"/>
      <c r="K111" s="36">
        <f t="shared" ref="K111:O112" si="59">+K13+K60</f>
        <v>98209595</v>
      </c>
      <c r="L111" s="2255">
        <f t="shared" si="59"/>
        <v>104898956</v>
      </c>
      <c r="M111" s="843">
        <f t="shared" si="59"/>
        <v>156268476.63999999</v>
      </c>
      <c r="N111" s="36">
        <f t="shared" si="59"/>
        <v>198814023</v>
      </c>
      <c r="O111" s="36">
        <f t="shared" si="59"/>
        <v>193734312</v>
      </c>
      <c r="P111" s="36"/>
      <c r="Q111" s="36"/>
      <c r="R111" s="36"/>
      <c r="S111" s="36"/>
      <c r="T111" s="36"/>
      <c r="U111" s="36"/>
      <c r="W111" s="30"/>
    </row>
    <row r="112" spans="1:23" s="38" customFormat="1" ht="28.5" hidden="1" customHeight="1">
      <c r="A112" s="153"/>
      <c r="B112" s="153"/>
      <c r="C112" s="153"/>
      <c r="D112" s="153"/>
      <c r="E112" s="153"/>
      <c r="F112" s="153"/>
      <c r="G112" s="153"/>
      <c r="H112" s="153"/>
      <c r="I112" s="154">
        <f>+I14+I61</f>
        <v>68751523</v>
      </c>
      <c r="J112" s="154"/>
      <c r="K112" s="154">
        <f t="shared" si="59"/>
        <v>98613070</v>
      </c>
      <c r="L112" s="2256">
        <f t="shared" si="59"/>
        <v>75845082</v>
      </c>
      <c r="M112" s="844">
        <f t="shared" si="59"/>
        <v>103549896</v>
      </c>
      <c r="N112" s="154">
        <f t="shared" si="59"/>
        <v>385590027</v>
      </c>
      <c r="O112" s="154">
        <f t="shared" si="59"/>
        <v>271399400</v>
      </c>
      <c r="P112" s="154"/>
      <c r="Q112" s="154"/>
      <c r="R112" s="154"/>
      <c r="S112" s="154"/>
      <c r="T112" s="154"/>
      <c r="U112" s="153"/>
      <c r="V112" s="153"/>
      <c r="W112" s="30"/>
    </row>
    <row r="113" spans="1:23" s="38" customFormat="1" ht="8.25" hidden="1" customHeight="1" thickBot="1">
      <c r="A113" s="7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2255"/>
      <c r="M113" s="843"/>
      <c r="N113" s="36"/>
      <c r="O113" s="36"/>
      <c r="P113" s="36"/>
      <c r="Q113" s="36"/>
      <c r="R113" s="36"/>
      <c r="S113" s="36"/>
      <c r="T113" s="36"/>
      <c r="U113" s="36"/>
      <c r="W113" s="30"/>
    </row>
    <row r="114" spans="1:23" s="38" customFormat="1" ht="12.75" hidden="1" customHeight="1">
      <c r="A114" s="79"/>
      <c r="B114" s="36"/>
      <c r="C114" s="36"/>
      <c r="D114" s="36"/>
      <c r="E114" s="36"/>
      <c r="F114" s="2570" t="s">
        <v>62</v>
      </c>
      <c r="G114" s="2571"/>
      <c r="H114" s="2571"/>
      <c r="I114" s="155">
        <f>+I115+I116</f>
        <v>172060593</v>
      </c>
      <c r="J114" s="155"/>
      <c r="K114" s="155">
        <f t="shared" ref="K114:U114" si="60">+K115+K116</f>
        <v>196822665</v>
      </c>
      <c r="L114" s="2257">
        <f t="shared" si="60"/>
        <v>180744038</v>
      </c>
      <c r="M114" s="845">
        <f t="shared" si="60"/>
        <v>259818372.63999999</v>
      </c>
      <c r="N114" s="156">
        <f t="shared" si="60"/>
        <v>584404050</v>
      </c>
      <c r="O114" s="156">
        <f>+O115+O116</f>
        <v>465133712</v>
      </c>
      <c r="P114" s="156"/>
      <c r="Q114" s="156"/>
      <c r="R114" s="156"/>
      <c r="S114" s="156"/>
      <c r="T114" s="156"/>
      <c r="U114" s="155">
        <f t="shared" si="60"/>
        <v>2657594566.6399999</v>
      </c>
      <c r="V114" s="157"/>
      <c r="W114" s="30"/>
    </row>
    <row r="115" spans="1:23" s="38" customFormat="1" ht="12.75" hidden="1" customHeight="1">
      <c r="A115" s="79"/>
      <c r="B115" s="36"/>
      <c r="C115" s="36"/>
      <c r="D115" s="36"/>
      <c r="E115" s="36"/>
      <c r="F115" s="2572"/>
      <c r="G115" s="2573"/>
      <c r="H115" s="2573"/>
      <c r="I115" s="158">
        <f>+I13+I60</f>
        <v>103309070</v>
      </c>
      <c r="J115" s="158"/>
      <c r="K115" s="158">
        <f t="shared" ref="K115:O116" si="61">+K13+K60</f>
        <v>98209595</v>
      </c>
      <c r="L115" s="2258">
        <f t="shared" si="61"/>
        <v>104898956</v>
      </c>
      <c r="M115" s="846">
        <f t="shared" si="61"/>
        <v>156268476.63999999</v>
      </c>
      <c r="N115" s="159">
        <f t="shared" si="61"/>
        <v>198814023</v>
      </c>
      <c r="O115" s="159">
        <f t="shared" si="61"/>
        <v>193734312</v>
      </c>
      <c r="P115" s="159"/>
      <c r="Q115" s="159"/>
      <c r="R115" s="159"/>
      <c r="S115" s="159"/>
      <c r="T115" s="159"/>
      <c r="U115" s="158">
        <f>+U13+U60</f>
        <v>1328114383.6399999</v>
      </c>
      <c r="V115" s="160"/>
      <c r="W115" s="30"/>
    </row>
    <row r="116" spans="1:23" s="38" customFormat="1" ht="12.75" hidden="1" customHeight="1" thickBot="1">
      <c r="A116" s="79"/>
      <c r="B116" s="36"/>
      <c r="C116" s="36"/>
      <c r="D116" s="36"/>
      <c r="E116" s="36"/>
      <c r="F116" s="161"/>
      <c r="G116" s="162"/>
      <c r="H116" s="162"/>
      <c r="I116" s="163">
        <f>+I14+I61</f>
        <v>68751523</v>
      </c>
      <c r="J116" s="163"/>
      <c r="K116" s="163">
        <f t="shared" si="61"/>
        <v>98613070</v>
      </c>
      <c r="L116" s="2259">
        <f t="shared" si="61"/>
        <v>75845082</v>
      </c>
      <c r="M116" s="847">
        <f t="shared" si="61"/>
        <v>103549896</v>
      </c>
      <c r="N116" s="164">
        <f t="shared" si="61"/>
        <v>385590027</v>
      </c>
      <c r="O116" s="164">
        <f t="shared" si="61"/>
        <v>271399400</v>
      </c>
      <c r="P116" s="164"/>
      <c r="Q116" s="164"/>
      <c r="R116" s="164"/>
      <c r="S116" s="164"/>
      <c r="T116" s="164"/>
      <c r="U116" s="163">
        <f>+U14+U61</f>
        <v>1329480183</v>
      </c>
      <c r="V116" s="165"/>
      <c r="W116" s="30"/>
    </row>
    <row r="117" spans="1:23" s="38" customFormat="1" ht="21.75" hidden="1" customHeight="1">
      <c r="A117" s="166" t="s">
        <v>63</v>
      </c>
      <c r="B117" s="167" t="e">
        <f t="shared" ref="B117:U117" si="62">+B85+B48</f>
        <v>#REF!</v>
      </c>
      <c r="C117" s="167" t="e">
        <f t="shared" si="62"/>
        <v>#REF!</v>
      </c>
      <c r="D117" s="167" t="e">
        <f t="shared" si="62"/>
        <v>#REF!</v>
      </c>
      <c r="E117" s="167" t="e">
        <f t="shared" si="62"/>
        <v>#REF!</v>
      </c>
      <c r="F117" s="167" t="e">
        <f t="shared" si="62"/>
        <v>#REF!</v>
      </c>
      <c r="G117" s="167" t="e">
        <f t="shared" si="62"/>
        <v>#REF!</v>
      </c>
      <c r="H117" s="167" t="e">
        <f t="shared" si="62"/>
        <v>#REF!</v>
      </c>
      <c r="I117" s="167" t="e">
        <f t="shared" si="62"/>
        <v>#REF!</v>
      </c>
      <c r="J117" s="167"/>
      <c r="K117" s="167" t="e">
        <f t="shared" si="62"/>
        <v>#REF!</v>
      </c>
      <c r="L117" s="2260">
        <f t="shared" si="62"/>
        <v>180744038</v>
      </c>
      <c r="M117" s="848">
        <f t="shared" si="62"/>
        <v>259818372.63999999</v>
      </c>
      <c r="N117" s="167">
        <f t="shared" si="62"/>
        <v>584404050</v>
      </c>
      <c r="O117" s="167">
        <f t="shared" si="62"/>
        <v>465133712</v>
      </c>
      <c r="P117" s="167"/>
      <c r="Q117" s="167"/>
      <c r="R117" s="167"/>
      <c r="S117" s="167"/>
      <c r="T117" s="167"/>
      <c r="U117" s="167">
        <f t="shared" si="62"/>
        <v>2657594566.9399996</v>
      </c>
      <c r="V117" s="168"/>
      <c r="W117" s="30"/>
    </row>
    <row r="118" spans="1:23" s="38" customFormat="1" ht="9.75" hidden="1" customHeight="1">
      <c r="A118" s="166"/>
      <c r="B118" s="154"/>
      <c r="C118" s="154" t="e">
        <f>+C117-'[1]zał. nr 2'!D89</f>
        <v>#REF!</v>
      </c>
      <c r="D118" s="154" t="e">
        <f>+D117-'[1]zał. nr 2'!E89</f>
        <v>#REF!</v>
      </c>
      <c r="E118" s="154" t="e">
        <f>+E117-'[1]zał. nr 2'!F89</f>
        <v>#REF!</v>
      </c>
      <c r="F118" s="154"/>
      <c r="G118" s="154"/>
      <c r="H118" s="154"/>
      <c r="I118" s="154" t="e">
        <f>+I117-I114</f>
        <v>#REF!</v>
      </c>
      <c r="J118" s="154"/>
      <c r="K118" s="154" t="e">
        <f t="shared" ref="K118:U118" si="63">+K117-K114</f>
        <v>#REF!</v>
      </c>
      <c r="L118" s="2256">
        <f t="shared" si="63"/>
        <v>0</v>
      </c>
      <c r="M118" s="844">
        <f t="shared" si="63"/>
        <v>0</v>
      </c>
      <c r="N118" s="154">
        <f t="shared" si="63"/>
        <v>0</v>
      </c>
      <c r="O118" s="154">
        <f t="shared" si="63"/>
        <v>0</v>
      </c>
      <c r="P118" s="154"/>
      <c r="Q118" s="154"/>
      <c r="R118" s="154"/>
      <c r="S118" s="154"/>
      <c r="T118" s="154"/>
      <c r="U118" s="154">
        <f t="shared" si="63"/>
        <v>0.29999971389770508</v>
      </c>
      <c r="V118" s="36"/>
      <c r="W118" s="30"/>
    </row>
    <row r="119" spans="1:23" s="38" customFormat="1" ht="15.75" hidden="1" customHeight="1" thickBot="1">
      <c r="A119" s="166" t="s">
        <v>64</v>
      </c>
      <c r="B119" s="167" t="e">
        <f t="shared" ref="B119:U119" si="64">+B86+B49</f>
        <v>#REF!</v>
      </c>
      <c r="C119" s="167" t="e">
        <f t="shared" si="64"/>
        <v>#REF!</v>
      </c>
      <c r="D119" s="167" t="e">
        <f t="shared" si="64"/>
        <v>#REF!</v>
      </c>
      <c r="E119" s="167" t="e">
        <f t="shared" si="64"/>
        <v>#REF!</v>
      </c>
      <c r="F119" s="167" t="e">
        <f t="shared" si="64"/>
        <v>#REF!</v>
      </c>
      <c r="G119" s="167" t="e">
        <f t="shared" si="64"/>
        <v>#REF!</v>
      </c>
      <c r="H119" s="167" t="e">
        <f t="shared" si="64"/>
        <v>#REF!</v>
      </c>
      <c r="I119" s="167" t="e">
        <f t="shared" si="64"/>
        <v>#REF!</v>
      </c>
      <c r="J119" s="167"/>
      <c r="K119" s="167" t="e">
        <f t="shared" si="64"/>
        <v>#REF!</v>
      </c>
      <c r="L119" s="2260">
        <f t="shared" si="64"/>
        <v>93400763</v>
      </c>
      <c r="M119" s="848">
        <f t="shared" si="64"/>
        <v>151154727</v>
      </c>
      <c r="N119" s="167">
        <f t="shared" si="64"/>
        <v>352631851</v>
      </c>
      <c r="O119" s="167">
        <f t="shared" si="64"/>
        <v>259854934</v>
      </c>
      <c r="P119" s="167"/>
      <c r="Q119" s="167"/>
      <c r="R119" s="167"/>
      <c r="S119" s="167"/>
      <c r="T119" s="167"/>
      <c r="U119" s="167">
        <f t="shared" si="64"/>
        <v>1379698238</v>
      </c>
      <c r="V119" s="36"/>
      <c r="W119" s="30"/>
    </row>
    <row r="120" spans="1:23" ht="1.5" hidden="1" customHeight="1">
      <c r="A120" s="2566" t="s">
        <v>535</v>
      </c>
      <c r="B120" s="169"/>
      <c r="C120" s="169"/>
      <c r="D120" s="169"/>
      <c r="E120" s="169"/>
      <c r="F120" s="169"/>
      <c r="G120" s="169"/>
      <c r="H120" s="169"/>
      <c r="I120" s="169"/>
      <c r="J120" s="169"/>
      <c r="K120" s="835"/>
      <c r="L120" s="835"/>
      <c r="M120" s="849"/>
      <c r="N120" s="839"/>
      <c r="O120" s="169"/>
      <c r="P120" s="169"/>
      <c r="Q120" s="169"/>
      <c r="R120" s="169"/>
      <c r="S120" s="169"/>
      <c r="T120" s="169"/>
      <c r="U120" s="169"/>
      <c r="V120" s="170"/>
    </row>
    <row r="121" spans="1:23" s="25" customFormat="1" ht="27.75" hidden="1" customHeight="1" thickBot="1">
      <c r="A121" s="2567"/>
      <c r="B121" s="171" t="e">
        <f t="shared" ref="B121:U121" si="65">+B85+B48</f>
        <v>#REF!</v>
      </c>
      <c r="C121" s="172" t="e">
        <f t="shared" si="65"/>
        <v>#REF!</v>
      </c>
      <c r="D121" s="172" t="e">
        <f t="shared" si="65"/>
        <v>#REF!</v>
      </c>
      <c r="E121" s="172" t="e">
        <f t="shared" si="65"/>
        <v>#REF!</v>
      </c>
      <c r="F121" s="171" t="e">
        <f t="shared" si="65"/>
        <v>#REF!</v>
      </c>
      <c r="G121" s="171" t="e">
        <f t="shared" si="65"/>
        <v>#REF!</v>
      </c>
      <c r="H121" s="171" t="e">
        <f t="shared" si="65"/>
        <v>#REF!</v>
      </c>
      <c r="I121" s="171" t="e">
        <f t="shared" si="65"/>
        <v>#REF!</v>
      </c>
      <c r="J121" s="171">
        <f>+J85+J48</f>
        <v>555510094.29999995</v>
      </c>
      <c r="K121" s="836" t="e">
        <f t="shared" si="65"/>
        <v>#REF!</v>
      </c>
      <c r="L121" s="836">
        <f t="shared" si="65"/>
        <v>180744038</v>
      </c>
      <c r="M121" s="850">
        <f t="shared" si="65"/>
        <v>259818372.63999999</v>
      </c>
      <c r="N121" s="840">
        <f t="shared" si="65"/>
        <v>584404050</v>
      </c>
      <c r="O121" s="171">
        <f t="shared" si="65"/>
        <v>465133712</v>
      </c>
      <c r="P121" s="171">
        <f t="shared" si="65"/>
        <v>262732599</v>
      </c>
      <c r="Q121" s="171">
        <f t="shared" si="65"/>
        <v>223445781</v>
      </c>
      <c r="R121" s="171">
        <f>+R85+R48</f>
        <v>45223441</v>
      </c>
      <c r="S121" s="171">
        <f>+S85+S48</f>
        <v>40450714</v>
      </c>
      <c r="T121" s="171">
        <f>+T85+T48</f>
        <v>36567475</v>
      </c>
      <c r="U121" s="171">
        <f t="shared" si="65"/>
        <v>2657594566.9399996</v>
      </c>
      <c r="V121" s="173">
        <f>+V85+V48</f>
        <v>1921340434.6399999</v>
      </c>
      <c r="W121" s="24"/>
    </row>
    <row r="122" spans="1:23" hidden="1">
      <c r="A122" s="174" t="s">
        <v>65</v>
      </c>
      <c r="B122" s="175">
        <f t="shared" ref="B122:V122" si="66">+B18+B65+B27</f>
        <v>7457785</v>
      </c>
      <c r="C122" s="175">
        <f t="shared" si="66"/>
        <v>49287</v>
      </c>
      <c r="D122" s="175">
        <f t="shared" si="66"/>
        <v>5428606</v>
      </c>
      <c r="E122" s="175">
        <f t="shared" si="66"/>
        <v>1939894</v>
      </c>
      <c r="F122" s="175">
        <f t="shared" si="66"/>
        <v>2518672</v>
      </c>
      <c r="G122" s="175">
        <f t="shared" si="66"/>
        <v>19794062</v>
      </c>
      <c r="H122" s="175">
        <f t="shared" si="66"/>
        <v>28111284</v>
      </c>
      <c r="I122" s="175">
        <f t="shared" si="66"/>
        <v>110804666.3</v>
      </c>
      <c r="J122" s="175">
        <f t="shared" si="66"/>
        <v>275352215.30000001</v>
      </c>
      <c r="K122" s="837">
        <f t="shared" si="66"/>
        <v>106751220</v>
      </c>
      <c r="L122" s="837">
        <f t="shared" si="66"/>
        <v>97579095</v>
      </c>
      <c r="M122" s="851">
        <f t="shared" si="66"/>
        <v>124073791.64</v>
      </c>
      <c r="N122" s="841">
        <f t="shared" si="66"/>
        <v>220941866</v>
      </c>
      <c r="O122" s="175">
        <f t="shared" si="66"/>
        <v>216488369</v>
      </c>
      <c r="P122" s="175">
        <f t="shared" si="66"/>
        <v>166126111</v>
      </c>
      <c r="Q122" s="175">
        <f t="shared" si="66"/>
        <v>152130039</v>
      </c>
      <c r="R122" s="175">
        <f t="shared" si="66"/>
        <v>8080861</v>
      </c>
      <c r="S122" s="175">
        <f t="shared" si="66"/>
        <v>5742035</v>
      </c>
      <c r="T122" s="175">
        <f t="shared" si="66"/>
        <v>4864523</v>
      </c>
      <c r="U122" s="177">
        <f t="shared" si="66"/>
        <v>1274943195.9399998</v>
      </c>
      <c r="V122" s="176">
        <f t="shared" si="66"/>
        <v>902011885.63999999</v>
      </c>
    </row>
    <row r="123" spans="1:23" hidden="1">
      <c r="A123" s="174" t="s">
        <v>66</v>
      </c>
      <c r="B123" s="177">
        <f t="shared" ref="B123:O123" si="67">+B68</f>
        <v>3431827</v>
      </c>
      <c r="C123" s="177">
        <f t="shared" si="67"/>
        <v>0</v>
      </c>
      <c r="D123" s="177">
        <f t="shared" si="67"/>
        <v>27000</v>
      </c>
      <c r="E123" s="177">
        <f t="shared" si="67"/>
        <v>3348880.0600000005</v>
      </c>
      <c r="F123" s="177">
        <f t="shared" si="67"/>
        <v>6763671</v>
      </c>
      <c r="G123" s="177">
        <f t="shared" si="67"/>
        <v>10651424</v>
      </c>
      <c r="H123" s="177">
        <f t="shared" si="67"/>
        <v>10053717</v>
      </c>
      <c r="I123" s="177">
        <f t="shared" si="67"/>
        <v>2123912</v>
      </c>
      <c r="J123" s="177">
        <f>+J68</f>
        <v>39316351</v>
      </c>
      <c r="K123" s="2240">
        <f t="shared" si="67"/>
        <v>13835578</v>
      </c>
      <c r="L123" s="2242">
        <f t="shared" si="67"/>
        <v>12474194</v>
      </c>
      <c r="M123" s="2277">
        <f t="shared" si="67"/>
        <v>4528401</v>
      </c>
      <c r="N123" s="2266">
        <f t="shared" si="67"/>
        <v>5955000</v>
      </c>
      <c r="O123" s="177">
        <f t="shared" si="67"/>
        <v>7127000</v>
      </c>
      <c r="P123" s="177">
        <f t="shared" ref="P123:V123" si="68">+P68</f>
        <v>12305000</v>
      </c>
      <c r="Q123" s="177">
        <f t="shared" si="68"/>
        <v>5657500</v>
      </c>
      <c r="R123" s="177">
        <f t="shared" si="68"/>
        <v>3566880</v>
      </c>
      <c r="S123" s="177">
        <f t="shared" si="68"/>
        <v>1467579</v>
      </c>
      <c r="T123" s="177">
        <f t="shared" si="68"/>
        <v>0</v>
      </c>
      <c r="U123" s="177">
        <f t="shared" si="68"/>
        <v>92397905</v>
      </c>
      <c r="V123" s="179">
        <f t="shared" si="68"/>
        <v>40607360</v>
      </c>
    </row>
    <row r="124" spans="1:23" hidden="1">
      <c r="A124" s="180" t="s">
        <v>25</v>
      </c>
      <c r="B124" s="177" t="e">
        <f t="shared" ref="B124:V124" si="69">+B19+B70</f>
        <v>#REF!</v>
      </c>
      <c r="C124" s="177" t="e">
        <f t="shared" si="69"/>
        <v>#REF!</v>
      </c>
      <c r="D124" s="177" t="e">
        <f t="shared" si="69"/>
        <v>#REF!</v>
      </c>
      <c r="E124" s="177" t="e">
        <f t="shared" si="69"/>
        <v>#REF!</v>
      </c>
      <c r="F124" s="177" t="e">
        <f t="shared" si="69"/>
        <v>#REF!</v>
      </c>
      <c r="G124" s="177" t="e">
        <f t="shared" si="69"/>
        <v>#REF!</v>
      </c>
      <c r="H124" s="177" t="e">
        <f t="shared" si="69"/>
        <v>#REF!</v>
      </c>
      <c r="I124" s="177" t="e">
        <f t="shared" si="69"/>
        <v>#REF!</v>
      </c>
      <c r="J124" s="177">
        <f t="shared" si="69"/>
        <v>24219046</v>
      </c>
      <c r="K124" s="2240" t="e">
        <f t="shared" si="69"/>
        <v>#REF!</v>
      </c>
      <c r="L124" s="2242">
        <f t="shared" si="69"/>
        <v>23810786</v>
      </c>
      <c r="M124" s="2277">
        <f t="shared" si="69"/>
        <v>17048135</v>
      </c>
      <c r="N124" s="2266">
        <f t="shared" si="69"/>
        <v>2259599</v>
      </c>
      <c r="O124" s="177">
        <f t="shared" si="69"/>
        <v>1176432</v>
      </c>
      <c r="P124" s="177">
        <f t="shared" si="69"/>
        <v>1151570</v>
      </c>
      <c r="Q124" s="177">
        <f t="shared" si="69"/>
        <v>1216734</v>
      </c>
      <c r="R124" s="177">
        <f t="shared" si="69"/>
        <v>989414</v>
      </c>
      <c r="S124" s="177">
        <f t="shared" si="69"/>
        <v>989414</v>
      </c>
      <c r="T124" s="177">
        <f t="shared" si="69"/>
        <v>494707</v>
      </c>
      <c r="U124" s="177">
        <f>+U19+U70</f>
        <v>73355837</v>
      </c>
      <c r="V124" s="181">
        <f t="shared" si="69"/>
        <v>25326005</v>
      </c>
    </row>
    <row r="125" spans="1:23" ht="24" hidden="1">
      <c r="A125" s="180" t="s">
        <v>67</v>
      </c>
      <c r="B125" s="177">
        <f t="shared" ref="B125:V125" si="70">+B20+B72</f>
        <v>0</v>
      </c>
      <c r="C125" s="177">
        <f t="shared" si="70"/>
        <v>0</v>
      </c>
      <c r="D125" s="177">
        <f t="shared" si="70"/>
        <v>0</v>
      </c>
      <c r="E125" s="177">
        <f t="shared" si="70"/>
        <v>0</v>
      </c>
      <c r="F125" s="177">
        <f t="shared" si="70"/>
        <v>0</v>
      </c>
      <c r="G125" s="177">
        <f t="shared" si="70"/>
        <v>0</v>
      </c>
      <c r="H125" s="177">
        <f t="shared" si="70"/>
        <v>0</v>
      </c>
      <c r="I125" s="177">
        <f t="shared" si="70"/>
        <v>0</v>
      </c>
      <c r="J125" s="177">
        <f t="shared" si="70"/>
        <v>0</v>
      </c>
      <c r="K125" s="2240">
        <f t="shared" si="70"/>
        <v>200000</v>
      </c>
      <c r="L125" s="2242">
        <f t="shared" si="70"/>
        <v>0</v>
      </c>
      <c r="M125" s="2277">
        <f t="shared" si="70"/>
        <v>0</v>
      </c>
      <c r="N125" s="2266">
        <f t="shared" si="70"/>
        <v>0</v>
      </c>
      <c r="O125" s="177">
        <f t="shared" si="70"/>
        <v>0</v>
      </c>
      <c r="P125" s="177">
        <f t="shared" si="70"/>
        <v>0</v>
      </c>
      <c r="Q125" s="177">
        <f t="shared" si="70"/>
        <v>0</v>
      </c>
      <c r="R125" s="177">
        <f t="shared" si="70"/>
        <v>0</v>
      </c>
      <c r="S125" s="177">
        <f t="shared" si="70"/>
        <v>0</v>
      </c>
      <c r="T125" s="177">
        <f t="shared" si="70"/>
        <v>0</v>
      </c>
      <c r="U125" s="177">
        <f t="shared" si="70"/>
        <v>0</v>
      </c>
      <c r="V125" s="182">
        <f t="shared" si="70"/>
        <v>0</v>
      </c>
      <c r="W125" s="315">
        <f>+U125+U130</f>
        <v>0</v>
      </c>
    </row>
    <row r="126" spans="1:23" hidden="1">
      <c r="A126" s="180" t="s">
        <v>27</v>
      </c>
      <c r="B126" s="177">
        <f t="shared" ref="B126:V126" si="71">+B21+B69</f>
        <v>279786</v>
      </c>
      <c r="C126" s="177">
        <f t="shared" si="71"/>
        <v>0</v>
      </c>
      <c r="D126" s="177">
        <f t="shared" si="71"/>
        <v>0</v>
      </c>
      <c r="E126" s="177">
        <f t="shared" si="71"/>
        <v>279786</v>
      </c>
      <c r="F126" s="177">
        <f t="shared" si="71"/>
        <v>2494494</v>
      </c>
      <c r="G126" s="177">
        <f t="shared" si="71"/>
        <v>4145000</v>
      </c>
      <c r="H126" s="177">
        <f t="shared" si="71"/>
        <v>7662289</v>
      </c>
      <c r="I126" s="177">
        <f t="shared" si="71"/>
        <v>762896</v>
      </c>
      <c r="J126" s="177">
        <f t="shared" si="71"/>
        <v>19030945</v>
      </c>
      <c r="K126" s="2240">
        <f t="shared" si="71"/>
        <v>3686480</v>
      </c>
      <c r="L126" s="2242">
        <f t="shared" si="71"/>
        <v>1651313</v>
      </c>
      <c r="M126" s="2277">
        <f t="shared" si="71"/>
        <v>2644619</v>
      </c>
      <c r="N126" s="2266">
        <f t="shared" si="71"/>
        <v>500000</v>
      </c>
      <c r="O126" s="177">
        <f t="shared" si="71"/>
        <v>0</v>
      </c>
      <c r="P126" s="177">
        <f t="shared" si="71"/>
        <v>0</v>
      </c>
      <c r="Q126" s="177">
        <f t="shared" si="71"/>
        <v>0</v>
      </c>
      <c r="R126" s="177">
        <f t="shared" si="71"/>
        <v>0</v>
      </c>
      <c r="S126" s="177">
        <f t="shared" si="71"/>
        <v>0</v>
      </c>
      <c r="T126" s="177">
        <f t="shared" si="71"/>
        <v>0</v>
      </c>
      <c r="U126" s="177">
        <f t="shared" si="71"/>
        <v>23826877</v>
      </c>
      <c r="V126" s="183">
        <f t="shared" si="71"/>
        <v>3144619</v>
      </c>
    </row>
    <row r="127" spans="1:23" hidden="1">
      <c r="A127" s="180" t="s">
        <v>68</v>
      </c>
      <c r="B127" s="177">
        <f t="shared" ref="B127:V127" si="72">+B22+B66</f>
        <v>0</v>
      </c>
      <c r="C127" s="177">
        <f t="shared" si="72"/>
        <v>0</v>
      </c>
      <c r="D127" s="177">
        <f t="shared" si="72"/>
        <v>0</v>
      </c>
      <c r="E127" s="177">
        <f t="shared" si="72"/>
        <v>0</v>
      </c>
      <c r="F127" s="177">
        <f t="shared" si="72"/>
        <v>0</v>
      </c>
      <c r="G127" s="177">
        <f t="shared" si="72"/>
        <v>0</v>
      </c>
      <c r="H127" s="177">
        <f t="shared" si="72"/>
        <v>3801777</v>
      </c>
      <c r="I127" s="177">
        <f t="shared" si="72"/>
        <v>3261339</v>
      </c>
      <c r="J127" s="177">
        <f t="shared" si="72"/>
        <v>7063116</v>
      </c>
      <c r="K127" s="2240">
        <f t="shared" si="72"/>
        <v>0</v>
      </c>
      <c r="L127" s="2242">
        <f t="shared" si="72"/>
        <v>303250</v>
      </c>
      <c r="M127" s="2277">
        <f t="shared" si="72"/>
        <v>2039337</v>
      </c>
      <c r="N127" s="2266">
        <f t="shared" si="72"/>
        <v>23896915</v>
      </c>
      <c r="O127" s="177">
        <f t="shared" si="72"/>
        <v>16754888</v>
      </c>
      <c r="P127" s="177">
        <f t="shared" si="72"/>
        <v>4009238</v>
      </c>
      <c r="Q127" s="177">
        <f t="shared" si="72"/>
        <v>3470500</v>
      </c>
      <c r="R127" s="177">
        <f t="shared" si="72"/>
        <v>0</v>
      </c>
      <c r="S127" s="177">
        <f t="shared" si="72"/>
        <v>0</v>
      </c>
      <c r="T127" s="177">
        <f t="shared" si="72"/>
        <v>0</v>
      </c>
      <c r="U127" s="177">
        <f t="shared" si="72"/>
        <v>57537244</v>
      </c>
      <c r="V127" s="183">
        <f t="shared" si="72"/>
        <v>50170878</v>
      </c>
    </row>
    <row r="128" spans="1:23" hidden="1">
      <c r="A128" s="180" t="s">
        <v>32</v>
      </c>
      <c r="B128" s="177">
        <f t="shared" ref="B128:V128" si="73">+B29</f>
        <v>0</v>
      </c>
      <c r="C128" s="177">
        <f t="shared" si="73"/>
        <v>0</v>
      </c>
      <c r="D128" s="177">
        <f t="shared" si="73"/>
        <v>0</v>
      </c>
      <c r="E128" s="177">
        <f t="shared" si="73"/>
        <v>0</v>
      </c>
      <c r="F128" s="177">
        <f t="shared" si="73"/>
        <v>0</v>
      </c>
      <c r="G128" s="177">
        <f t="shared" si="73"/>
        <v>629249</v>
      </c>
      <c r="H128" s="177">
        <f t="shared" si="73"/>
        <v>2188317</v>
      </c>
      <c r="I128" s="177">
        <f t="shared" si="73"/>
        <v>1116737</v>
      </c>
      <c r="J128" s="177">
        <f t="shared" si="73"/>
        <v>7123728</v>
      </c>
      <c r="K128" s="2240">
        <f t="shared" si="73"/>
        <v>3209752</v>
      </c>
      <c r="L128" s="2242">
        <f t="shared" si="73"/>
        <v>4991601</v>
      </c>
      <c r="M128" s="2277">
        <f t="shared" si="73"/>
        <v>4279880</v>
      </c>
      <c r="N128" s="2266">
        <f t="shared" si="73"/>
        <v>25146222</v>
      </c>
      <c r="O128" s="177">
        <f t="shared" si="73"/>
        <v>6028854</v>
      </c>
      <c r="P128" s="177">
        <f t="shared" si="73"/>
        <v>6609205</v>
      </c>
      <c r="Q128" s="177">
        <f t="shared" si="73"/>
        <v>113837</v>
      </c>
      <c r="R128" s="177">
        <f t="shared" si="73"/>
        <v>0</v>
      </c>
      <c r="S128" s="177">
        <f t="shared" si="73"/>
        <v>0</v>
      </c>
      <c r="T128" s="177">
        <f t="shared" si="73"/>
        <v>0</v>
      </c>
      <c r="U128" s="177">
        <f t="shared" si="73"/>
        <v>54293327</v>
      </c>
      <c r="V128" s="183">
        <f t="shared" si="73"/>
        <v>42177998</v>
      </c>
    </row>
    <row r="129" spans="1:23" hidden="1">
      <c r="A129" s="180" t="s">
        <v>29</v>
      </c>
      <c r="B129" s="177">
        <f t="shared" ref="B129:V129" si="74">+B24</f>
        <v>16194</v>
      </c>
      <c r="C129" s="177">
        <f t="shared" si="74"/>
        <v>0</v>
      </c>
      <c r="D129" s="177">
        <f t="shared" si="74"/>
        <v>0</v>
      </c>
      <c r="E129" s="177">
        <f t="shared" si="74"/>
        <v>83</v>
      </c>
      <c r="F129" s="177">
        <f t="shared" si="74"/>
        <v>198958</v>
      </c>
      <c r="G129" s="177">
        <f t="shared" si="74"/>
        <v>11663211</v>
      </c>
      <c r="H129" s="177">
        <f t="shared" si="74"/>
        <v>2624337</v>
      </c>
      <c r="I129" s="177">
        <f t="shared" si="74"/>
        <v>1960926</v>
      </c>
      <c r="J129" s="177">
        <f t="shared" si="74"/>
        <v>18056213</v>
      </c>
      <c r="K129" s="2240">
        <f t="shared" si="74"/>
        <v>1592587</v>
      </c>
      <c r="L129" s="2242">
        <f t="shared" si="74"/>
        <v>3031</v>
      </c>
      <c r="M129" s="2277">
        <f t="shared" si="74"/>
        <v>0</v>
      </c>
      <c r="N129" s="2266">
        <f t="shared" si="74"/>
        <v>0</v>
      </c>
      <c r="O129" s="177">
        <f t="shared" si="74"/>
        <v>0</v>
      </c>
      <c r="P129" s="177">
        <f t="shared" si="74"/>
        <v>0</v>
      </c>
      <c r="Q129" s="177">
        <f t="shared" si="74"/>
        <v>0</v>
      </c>
      <c r="R129" s="177">
        <f t="shared" si="74"/>
        <v>0</v>
      </c>
      <c r="S129" s="177">
        <f t="shared" si="74"/>
        <v>0</v>
      </c>
      <c r="T129" s="177">
        <f t="shared" si="74"/>
        <v>0</v>
      </c>
      <c r="U129" s="177">
        <f t="shared" si="74"/>
        <v>18059244</v>
      </c>
      <c r="V129" s="183">
        <f t="shared" si="74"/>
        <v>0</v>
      </c>
    </row>
    <row r="130" spans="1:23" ht="22.5" hidden="1" customHeight="1">
      <c r="A130" s="180" t="s">
        <v>69</v>
      </c>
      <c r="B130" s="177">
        <f t="shared" ref="B130:V130" si="75">+B30</f>
        <v>0</v>
      </c>
      <c r="C130" s="177">
        <f t="shared" si="75"/>
        <v>0</v>
      </c>
      <c r="D130" s="177">
        <f t="shared" si="75"/>
        <v>0</v>
      </c>
      <c r="E130" s="177">
        <f t="shared" si="75"/>
        <v>0</v>
      </c>
      <c r="F130" s="177">
        <f t="shared" si="75"/>
        <v>0</v>
      </c>
      <c r="G130" s="177">
        <f t="shared" si="75"/>
        <v>0</v>
      </c>
      <c r="H130" s="177">
        <f t="shared" si="75"/>
        <v>0</v>
      </c>
      <c r="I130" s="177">
        <f t="shared" si="75"/>
        <v>0</v>
      </c>
      <c r="J130" s="177">
        <f t="shared" si="75"/>
        <v>0</v>
      </c>
      <c r="K130" s="2240">
        <f t="shared" si="75"/>
        <v>0</v>
      </c>
      <c r="L130" s="2242">
        <f t="shared" si="75"/>
        <v>0</v>
      </c>
      <c r="M130" s="2277">
        <f t="shared" si="75"/>
        <v>0</v>
      </c>
      <c r="N130" s="2266">
        <f t="shared" si="75"/>
        <v>0</v>
      </c>
      <c r="O130" s="177">
        <f t="shared" si="75"/>
        <v>0</v>
      </c>
      <c r="P130" s="177">
        <f t="shared" si="75"/>
        <v>0</v>
      </c>
      <c r="Q130" s="177">
        <f t="shared" si="75"/>
        <v>0</v>
      </c>
      <c r="R130" s="177">
        <f t="shared" si="75"/>
        <v>0</v>
      </c>
      <c r="S130" s="177">
        <f t="shared" si="75"/>
        <v>0</v>
      </c>
      <c r="T130" s="177">
        <f t="shared" si="75"/>
        <v>0</v>
      </c>
      <c r="U130" s="177">
        <f t="shared" si="75"/>
        <v>0</v>
      </c>
      <c r="V130" s="183">
        <f t="shared" si="75"/>
        <v>0</v>
      </c>
    </row>
    <row r="131" spans="1:23" ht="16.5" hidden="1" customHeight="1">
      <c r="A131" s="180" t="s">
        <v>31</v>
      </c>
      <c r="B131" s="177">
        <f t="shared" ref="B131:V131" si="76">+B28</f>
        <v>0</v>
      </c>
      <c r="C131" s="177">
        <f t="shared" si="76"/>
        <v>0</v>
      </c>
      <c r="D131" s="177">
        <f t="shared" si="76"/>
        <v>0</v>
      </c>
      <c r="E131" s="177">
        <f t="shared" si="76"/>
        <v>0</v>
      </c>
      <c r="F131" s="177">
        <f t="shared" si="76"/>
        <v>0</v>
      </c>
      <c r="G131" s="177">
        <f t="shared" si="76"/>
        <v>0</v>
      </c>
      <c r="H131" s="177">
        <f t="shared" si="76"/>
        <v>0</v>
      </c>
      <c r="I131" s="177">
        <f t="shared" si="76"/>
        <v>0</v>
      </c>
      <c r="J131" s="177">
        <f t="shared" si="76"/>
        <v>0</v>
      </c>
      <c r="K131" s="2240">
        <f t="shared" si="76"/>
        <v>0</v>
      </c>
      <c r="L131" s="2242">
        <f t="shared" si="76"/>
        <v>0</v>
      </c>
      <c r="M131" s="2277">
        <f t="shared" si="76"/>
        <v>0</v>
      </c>
      <c r="N131" s="2266">
        <f t="shared" si="76"/>
        <v>0</v>
      </c>
      <c r="O131" s="177">
        <f t="shared" si="76"/>
        <v>0</v>
      </c>
      <c r="P131" s="177">
        <f t="shared" si="76"/>
        <v>0</v>
      </c>
      <c r="Q131" s="177">
        <f t="shared" si="76"/>
        <v>0</v>
      </c>
      <c r="R131" s="177">
        <f t="shared" si="76"/>
        <v>0</v>
      </c>
      <c r="S131" s="177">
        <f t="shared" si="76"/>
        <v>0</v>
      </c>
      <c r="T131" s="177">
        <f t="shared" si="76"/>
        <v>0</v>
      </c>
      <c r="U131" s="177">
        <f t="shared" si="76"/>
        <v>0</v>
      </c>
      <c r="V131" s="184">
        <f t="shared" si="76"/>
        <v>0</v>
      </c>
    </row>
    <row r="132" spans="1:23" ht="13.5" hidden="1" thickBot="1">
      <c r="A132" s="185" t="s">
        <v>33</v>
      </c>
      <c r="B132" s="186">
        <f t="shared" ref="B132:V132" si="77">+B31</f>
        <v>583542</v>
      </c>
      <c r="C132" s="186">
        <f t="shared" si="77"/>
        <v>0</v>
      </c>
      <c r="D132" s="186">
        <f t="shared" si="77"/>
        <v>511</v>
      </c>
      <c r="E132" s="186">
        <f t="shared" si="77"/>
        <v>8746</v>
      </c>
      <c r="F132" s="186">
        <f t="shared" si="77"/>
        <v>1631840</v>
      </c>
      <c r="G132" s="186">
        <f t="shared" si="77"/>
        <v>13929819</v>
      </c>
      <c r="H132" s="186">
        <f t="shared" si="77"/>
        <v>44221874</v>
      </c>
      <c r="I132" s="186">
        <f t="shared" si="77"/>
        <v>48091307</v>
      </c>
      <c r="J132" s="186">
        <f t="shared" si="77"/>
        <v>165348480</v>
      </c>
      <c r="K132" s="2241">
        <f t="shared" si="77"/>
        <v>57153153</v>
      </c>
      <c r="L132" s="2261">
        <f t="shared" si="77"/>
        <v>39930768</v>
      </c>
      <c r="M132" s="852">
        <f t="shared" si="77"/>
        <v>105204209</v>
      </c>
      <c r="N132" s="2267">
        <f t="shared" si="77"/>
        <v>305704448</v>
      </c>
      <c r="O132" s="187">
        <f t="shared" si="77"/>
        <v>217558169</v>
      </c>
      <c r="P132" s="187">
        <f t="shared" si="77"/>
        <v>72531475</v>
      </c>
      <c r="Q132" s="187">
        <f t="shared" si="77"/>
        <v>60857171</v>
      </c>
      <c r="R132" s="187">
        <f t="shared" si="77"/>
        <v>32586286</v>
      </c>
      <c r="S132" s="187">
        <f t="shared" si="77"/>
        <v>32251686</v>
      </c>
      <c r="T132" s="187">
        <f t="shared" si="77"/>
        <v>31208245</v>
      </c>
      <c r="U132" s="187">
        <f t="shared" si="77"/>
        <v>1063180937</v>
      </c>
      <c r="V132" s="187">
        <f t="shared" si="77"/>
        <v>380000</v>
      </c>
    </row>
    <row r="133" spans="1:23" s="25" customFormat="1" ht="18" hidden="1" customHeight="1">
      <c r="A133" s="1606">
        <f>+B123+F123</f>
        <v>10195498</v>
      </c>
      <c r="B133" s="1607" t="e">
        <f t="shared" ref="B133:V133" si="78">SUM(B122:B132)</f>
        <v>#REF!</v>
      </c>
      <c r="C133" s="1608" t="e">
        <f t="shared" si="78"/>
        <v>#REF!</v>
      </c>
      <c r="D133" s="1608" t="e">
        <f t="shared" si="78"/>
        <v>#REF!</v>
      </c>
      <c r="E133" s="1608" t="e">
        <f t="shared" si="78"/>
        <v>#REF!</v>
      </c>
      <c r="F133" s="1607" t="e">
        <f t="shared" si="78"/>
        <v>#REF!</v>
      </c>
      <c r="G133" s="1609" t="e">
        <f t="shared" si="78"/>
        <v>#REF!</v>
      </c>
      <c r="H133" s="1610" t="e">
        <f t="shared" si="78"/>
        <v>#REF!</v>
      </c>
      <c r="I133" s="1610" t="e">
        <f t="shared" si="78"/>
        <v>#REF!</v>
      </c>
      <c r="J133" s="1610">
        <f t="shared" si="78"/>
        <v>555510094.29999995</v>
      </c>
      <c r="K133" s="1607" t="e">
        <f t="shared" si="78"/>
        <v>#REF!</v>
      </c>
      <c r="L133" s="2262">
        <f t="shared" si="78"/>
        <v>180744038</v>
      </c>
      <c r="M133" s="1611">
        <f t="shared" si="78"/>
        <v>259818372.63999999</v>
      </c>
      <c r="N133" s="1607">
        <f t="shared" si="78"/>
        <v>584404050</v>
      </c>
      <c r="O133" s="1607">
        <f t="shared" si="78"/>
        <v>465133712</v>
      </c>
      <c r="P133" s="1607">
        <f t="shared" si="78"/>
        <v>262732599</v>
      </c>
      <c r="Q133" s="1607">
        <f t="shared" si="78"/>
        <v>223445781</v>
      </c>
      <c r="R133" s="1607">
        <f t="shared" si="78"/>
        <v>45223441</v>
      </c>
      <c r="S133" s="1607">
        <f t="shared" si="78"/>
        <v>40450714</v>
      </c>
      <c r="T133" s="1607">
        <f t="shared" si="78"/>
        <v>36567475</v>
      </c>
      <c r="U133" s="1607">
        <f t="shared" si="78"/>
        <v>2657594566.9399996</v>
      </c>
      <c r="V133" s="1607">
        <f t="shared" si="78"/>
        <v>1063818745.64</v>
      </c>
      <c r="W133" s="24"/>
    </row>
    <row r="134" spans="1:23" ht="18" hidden="1" customHeight="1" thickBot="1">
      <c r="A134" s="192"/>
      <c r="B134" s="193" t="e">
        <f t="shared" ref="B134:T134" si="79">+B133-B88</f>
        <v>#REF!</v>
      </c>
      <c r="C134" s="193" t="e">
        <f t="shared" si="79"/>
        <v>#REF!</v>
      </c>
      <c r="D134" s="193" t="e">
        <f t="shared" si="79"/>
        <v>#REF!</v>
      </c>
      <c r="E134" s="193" t="e">
        <f t="shared" si="79"/>
        <v>#REF!</v>
      </c>
      <c r="F134" s="193" t="e">
        <f t="shared" si="79"/>
        <v>#REF!</v>
      </c>
      <c r="G134" s="193" t="e">
        <f t="shared" si="79"/>
        <v>#REF!</v>
      </c>
      <c r="H134" s="193" t="e">
        <f t="shared" si="79"/>
        <v>#REF!</v>
      </c>
      <c r="I134" s="193" t="e">
        <f t="shared" si="79"/>
        <v>#REF!</v>
      </c>
      <c r="J134" s="1632">
        <f t="shared" si="79"/>
        <v>0.29999995231628418</v>
      </c>
      <c r="K134" s="1632" t="e">
        <f t="shared" si="79"/>
        <v>#REF!</v>
      </c>
      <c r="L134" s="2263">
        <f t="shared" si="79"/>
        <v>0</v>
      </c>
      <c r="M134" s="1633">
        <f t="shared" si="79"/>
        <v>0</v>
      </c>
      <c r="N134" s="1632">
        <f t="shared" si="79"/>
        <v>0</v>
      </c>
      <c r="O134" s="1632">
        <f t="shared" si="79"/>
        <v>0</v>
      </c>
      <c r="P134" s="1632">
        <f t="shared" si="79"/>
        <v>0</v>
      </c>
      <c r="Q134" s="1632">
        <f t="shared" si="79"/>
        <v>0</v>
      </c>
      <c r="R134" s="1632">
        <f t="shared" si="79"/>
        <v>0</v>
      </c>
      <c r="S134" s="1632">
        <f t="shared" si="79"/>
        <v>0</v>
      </c>
      <c r="T134" s="1632">
        <f t="shared" si="79"/>
        <v>0</v>
      </c>
      <c r="U134" s="1632">
        <f>+U133-U88</f>
        <v>0.29999971389770508</v>
      </c>
      <c r="V134" s="193"/>
    </row>
    <row r="135" spans="1:23" ht="30" hidden="1" customHeight="1" thickBot="1">
      <c r="A135" s="194" t="s">
        <v>536</v>
      </c>
      <c r="B135" s="195" t="e">
        <f t="shared" ref="B135:U135" si="80">+B86+B49</f>
        <v>#REF!</v>
      </c>
      <c r="C135" s="196" t="e">
        <f t="shared" si="80"/>
        <v>#REF!</v>
      </c>
      <c r="D135" s="196" t="e">
        <f t="shared" si="80"/>
        <v>#REF!</v>
      </c>
      <c r="E135" s="196" t="e">
        <f t="shared" si="80"/>
        <v>#REF!</v>
      </c>
      <c r="F135" s="195" t="e">
        <f t="shared" si="80"/>
        <v>#REF!</v>
      </c>
      <c r="G135" s="195" t="e">
        <f t="shared" si="80"/>
        <v>#REF!</v>
      </c>
      <c r="H135" s="195" t="e">
        <f t="shared" si="80"/>
        <v>#REF!</v>
      </c>
      <c r="I135" s="195" t="e">
        <f t="shared" si="80"/>
        <v>#REF!</v>
      </c>
      <c r="J135" s="1074">
        <f t="shared" si="80"/>
        <v>228687441</v>
      </c>
      <c r="K135" s="1075" t="e">
        <f t="shared" si="80"/>
        <v>#REF!</v>
      </c>
      <c r="L135" s="1075">
        <f t="shared" si="80"/>
        <v>93400763</v>
      </c>
      <c r="M135" s="1076">
        <f t="shared" si="80"/>
        <v>151154727</v>
      </c>
      <c r="N135" s="1077">
        <f t="shared" si="80"/>
        <v>352631851</v>
      </c>
      <c r="O135" s="1074">
        <f t="shared" si="80"/>
        <v>259854934</v>
      </c>
      <c r="P135" s="1074">
        <f t="shared" si="80"/>
        <v>108759049</v>
      </c>
      <c r="Q135" s="1074">
        <f t="shared" si="80"/>
        <v>82627065</v>
      </c>
      <c r="R135" s="1074">
        <f t="shared" si="80"/>
        <v>35706857</v>
      </c>
      <c r="S135" s="1074">
        <f t="shared" si="80"/>
        <v>34892459</v>
      </c>
      <c r="T135" s="1074">
        <f t="shared" si="80"/>
        <v>31983092</v>
      </c>
      <c r="U135" s="1074">
        <f t="shared" si="80"/>
        <v>1379698238</v>
      </c>
      <c r="V135" s="197" t="s">
        <v>35</v>
      </c>
    </row>
    <row r="136" spans="1:23" ht="14.25" hidden="1" customHeight="1">
      <c r="A136" s="198" t="s">
        <v>70</v>
      </c>
      <c r="B136" s="199">
        <f t="shared" ref="B136:V136" si="81">+B35</f>
        <v>0</v>
      </c>
      <c r="C136" s="199">
        <f t="shared" si="81"/>
        <v>0</v>
      </c>
      <c r="D136" s="199">
        <f t="shared" si="81"/>
        <v>0</v>
      </c>
      <c r="E136" s="199">
        <f t="shared" si="81"/>
        <v>0</v>
      </c>
      <c r="F136" s="199">
        <f t="shared" si="81"/>
        <v>0</v>
      </c>
      <c r="G136" s="199">
        <f t="shared" si="81"/>
        <v>0</v>
      </c>
      <c r="H136" s="199">
        <f t="shared" si="81"/>
        <v>0</v>
      </c>
      <c r="I136" s="200">
        <f t="shared" si="81"/>
        <v>0</v>
      </c>
      <c r="J136" s="200">
        <f t="shared" si="81"/>
        <v>0</v>
      </c>
      <c r="K136" s="838">
        <f t="shared" si="81"/>
        <v>0</v>
      </c>
      <c r="L136" s="838">
        <f t="shared" si="81"/>
        <v>0</v>
      </c>
      <c r="M136" s="853">
        <f t="shared" si="81"/>
        <v>0</v>
      </c>
      <c r="N136" s="200">
        <f t="shared" si="81"/>
        <v>0</v>
      </c>
      <c r="O136" s="199">
        <f t="shared" si="81"/>
        <v>0</v>
      </c>
      <c r="P136" s="199">
        <f t="shared" si="81"/>
        <v>0</v>
      </c>
      <c r="Q136" s="199">
        <f t="shared" si="81"/>
        <v>0</v>
      </c>
      <c r="R136" s="199">
        <f t="shared" si="81"/>
        <v>0</v>
      </c>
      <c r="S136" s="199">
        <f t="shared" si="81"/>
        <v>0</v>
      </c>
      <c r="T136" s="199">
        <f t="shared" si="81"/>
        <v>0</v>
      </c>
      <c r="U136" s="876">
        <f t="shared" si="81"/>
        <v>0</v>
      </c>
      <c r="V136" s="199">
        <f t="shared" si="81"/>
        <v>0</v>
      </c>
    </row>
    <row r="137" spans="1:23" ht="14.25" hidden="1" customHeight="1">
      <c r="A137" s="180" t="s">
        <v>25</v>
      </c>
      <c r="B137" s="177" t="e">
        <f t="shared" ref="B137:V137" si="82">+B77+B34</f>
        <v>#REF!</v>
      </c>
      <c r="C137" s="177" t="e">
        <f t="shared" si="82"/>
        <v>#REF!</v>
      </c>
      <c r="D137" s="177" t="e">
        <f t="shared" si="82"/>
        <v>#REF!</v>
      </c>
      <c r="E137" s="177" t="e">
        <f t="shared" si="82"/>
        <v>#REF!</v>
      </c>
      <c r="F137" s="177" t="e">
        <f t="shared" si="82"/>
        <v>#REF!</v>
      </c>
      <c r="G137" s="177" t="e">
        <f t="shared" si="82"/>
        <v>#REF!</v>
      </c>
      <c r="H137" s="177" t="e">
        <f t="shared" si="82"/>
        <v>#REF!</v>
      </c>
      <c r="I137" s="178" t="e">
        <f t="shared" si="82"/>
        <v>#REF!</v>
      </c>
      <c r="J137" s="178">
        <f t="shared" si="82"/>
        <v>24203193</v>
      </c>
      <c r="K137" s="2242" t="e">
        <f t="shared" si="82"/>
        <v>#REF!</v>
      </c>
      <c r="L137" s="2242">
        <f t="shared" si="82"/>
        <v>23799904</v>
      </c>
      <c r="M137" s="2277">
        <f t="shared" si="82"/>
        <v>17044751</v>
      </c>
      <c r="N137" s="2266">
        <f t="shared" si="82"/>
        <v>2272399</v>
      </c>
      <c r="O137" s="201">
        <f t="shared" si="82"/>
        <v>1176432</v>
      </c>
      <c r="P137" s="201">
        <f t="shared" si="82"/>
        <v>1151569</v>
      </c>
      <c r="Q137" s="201">
        <f t="shared" si="82"/>
        <v>1216734</v>
      </c>
      <c r="R137" s="201">
        <f t="shared" si="82"/>
        <v>1006734</v>
      </c>
      <c r="S137" s="201">
        <f t="shared" si="82"/>
        <v>989414</v>
      </c>
      <c r="T137" s="201">
        <f t="shared" si="82"/>
        <v>494707</v>
      </c>
      <c r="U137" s="877">
        <f t="shared" si="82"/>
        <v>73355837</v>
      </c>
      <c r="V137" s="201">
        <f t="shared" si="82"/>
        <v>0</v>
      </c>
    </row>
    <row r="138" spans="1:23" ht="14.25" hidden="1" customHeight="1">
      <c r="A138" s="180" t="s">
        <v>27</v>
      </c>
      <c r="B138" s="177">
        <f t="shared" ref="B138:V138" si="83">+B37+B78</f>
        <v>279786</v>
      </c>
      <c r="C138" s="177">
        <f t="shared" si="83"/>
        <v>0</v>
      </c>
      <c r="D138" s="177">
        <f t="shared" si="83"/>
        <v>0</v>
      </c>
      <c r="E138" s="177">
        <f t="shared" si="83"/>
        <v>279786</v>
      </c>
      <c r="F138" s="177">
        <f t="shared" si="83"/>
        <v>2494494</v>
      </c>
      <c r="G138" s="177">
        <f t="shared" si="83"/>
        <v>4145000</v>
      </c>
      <c r="H138" s="177">
        <f t="shared" si="83"/>
        <v>5672425</v>
      </c>
      <c r="I138" s="178">
        <f t="shared" si="83"/>
        <v>2752760</v>
      </c>
      <c r="J138" s="178">
        <f t="shared" si="83"/>
        <v>19030945</v>
      </c>
      <c r="K138" s="2242">
        <f t="shared" si="83"/>
        <v>3686480</v>
      </c>
      <c r="L138" s="2242">
        <f t="shared" si="83"/>
        <v>1651313</v>
      </c>
      <c r="M138" s="2277">
        <f t="shared" si="83"/>
        <v>2644619</v>
      </c>
      <c r="N138" s="2266">
        <f t="shared" si="83"/>
        <v>500000</v>
      </c>
      <c r="O138" s="201">
        <f t="shared" si="83"/>
        <v>0</v>
      </c>
      <c r="P138" s="201">
        <f t="shared" si="83"/>
        <v>0</v>
      </c>
      <c r="Q138" s="201">
        <f t="shared" si="83"/>
        <v>0</v>
      </c>
      <c r="R138" s="201">
        <f t="shared" si="83"/>
        <v>0</v>
      </c>
      <c r="S138" s="201">
        <f t="shared" si="83"/>
        <v>0</v>
      </c>
      <c r="T138" s="201">
        <f t="shared" si="83"/>
        <v>0</v>
      </c>
      <c r="U138" s="877">
        <f t="shared" si="83"/>
        <v>23826877</v>
      </c>
      <c r="V138" s="201">
        <f t="shared" si="83"/>
        <v>0</v>
      </c>
    </row>
    <row r="139" spans="1:23" ht="14.25" hidden="1" customHeight="1">
      <c r="A139" s="180" t="s">
        <v>68</v>
      </c>
      <c r="B139" s="177">
        <f t="shared" ref="B139:V139" si="84">+B38+B79</f>
        <v>0</v>
      </c>
      <c r="C139" s="177">
        <f t="shared" si="84"/>
        <v>0</v>
      </c>
      <c r="D139" s="177">
        <f t="shared" si="84"/>
        <v>0</v>
      </c>
      <c r="E139" s="177">
        <f t="shared" si="84"/>
        <v>0</v>
      </c>
      <c r="F139" s="177">
        <f t="shared" si="84"/>
        <v>0</v>
      </c>
      <c r="G139" s="177">
        <f t="shared" si="84"/>
        <v>0</v>
      </c>
      <c r="H139" s="177">
        <f t="shared" si="84"/>
        <v>3801777</v>
      </c>
      <c r="I139" s="178">
        <f t="shared" si="84"/>
        <v>3261339</v>
      </c>
      <c r="J139" s="178">
        <f t="shared" si="84"/>
        <v>11540261</v>
      </c>
      <c r="K139" s="2242">
        <f t="shared" si="84"/>
        <v>4477145</v>
      </c>
      <c r="L139" s="2242">
        <f t="shared" si="84"/>
        <v>6553250</v>
      </c>
      <c r="M139" s="2277">
        <f t="shared" si="84"/>
        <v>10458622</v>
      </c>
      <c r="N139" s="2266">
        <f t="shared" si="84"/>
        <v>11861826</v>
      </c>
      <c r="O139" s="201">
        <f t="shared" si="84"/>
        <v>8696585</v>
      </c>
      <c r="P139" s="201">
        <f t="shared" si="84"/>
        <v>7032200</v>
      </c>
      <c r="Q139" s="201">
        <f t="shared" si="84"/>
        <v>1394500</v>
      </c>
      <c r="R139" s="201">
        <f t="shared" si="84"/>
        <v>0</v>
      </c>
      <c r="S139" s="201">
        <f t="shared" si="84"/>
        <v>0</v>
      </c>
      <c r="T139" s="201">
        <f t="shared" si="84"/>
        <v>0</v>
      </c>
      <c r="U139" s="877">
        <f t="shared" si="84"/>
        <v>57537244</v>
      </c>
      <c r="V139" s="201">
        <f t="shared" si="84"/>
        <v>0</v>
      </c>
    </row>
    <row r="140" spans="1:23" ht="14.25" hidden="1" customHeight="1">
      <c r="A140" s="198" t="s">
        <v>24</v>
      </c>
      <c r="B140" s="177">
        <f t="shared" ref="B140:V140" si="85">+B80</f>
        <v>0</v>
      </c>
      <c r="C140" s="177">
        <f t="shared" si="85"/>
        <v>0</v>
      </c>
      <c r="D140" s="177">
        <f t="shared" si="85"/>
        <v>0</v>
      </c>
      <c r="E140" s="177">
        <f t="shared" si="85"/>
        <v>0</v>
      </c>
      <c r="F140" s="177">
        <f t="shared" si="85"/>
        <v>101937</v>
      </c>
      <c r="G140" s="177">
        <f t="shared" si="85"/>
        <v>220330</v>
      </c>
      <c r="H140" s="177">
        <f t="shared" si="85"/>
        <v>912952</v>
      </c>
      <c r="I140" s="178">
        <f t="shared" si="85"/>
        <v>359900</v>
      </c>
      <c r="J140" s="178">
        <f t="shared" si="85"/>
        <v>0</v>
      </c>
      <c r="K140" s="2242">
        <f t="shared" si="85"/>
        <v>0</v>
      </c>
      <c r="L140" s="2242">
        <f t="shared" si="85"/>
        <v>10593533</v>
      </c>
      <c r="M140" s="2277">
        <f t="shared" si="85"/>
        <v>14153370</v>
      </c>
      <c r="N140" s="2266">
        <f t="shared" si="85"/>
        <v>12350000</v>
      </c>
      <c r="O140" s="201">
        <f t="shared" si="85"/>
        <v>13855657</v>
      </c>
      <c r="P140" s="201">
        <f t="shared" si="85"/>
        <v>18000000</v>
      </c>
      <c r="Q140" s="201">
        <f t="shared" si="85"/>
        <v>16000000</v>
      </c>
      <c r="R140" s="201">
        <f t="shared" si="85"/>
        <v>2000000</v>
      </c>
      <c r="S140" s="201">
        <f t="shared" si="85"/>
        <v>1650729</v>
      </c>
      <c r="T140" s="201">
        <f t="shared" si="85"/>
        <v>0</v>
      </c>
      <c r="U140" s="877">
        <f t="shared" si="85"/>
        <v>88603289</v>
      </c>
      <c r="V140" s="201">
        <f t="shared" si="85"/>
        <v>0</v>
      </c>
    </row>
    <row r="141" spans="1:23" ht="13.5" hidden="1" customHeight="1">
      <c r="A141" s="180" t="s">
        <v>71</v>
      </c>
      <c r="B141" s="177">
        <f t="shared" ref="B141:V141" si="86">+B81+B36</f>
        <v>0</v>
      </c>
      <c r="C141" s="177">
        <f t="shared" si="86"/>
        <v>0</v>
      </c>
      <c r="D141" s="177">
        <f t="shared" si="86"/>
        <v>0</v>
      </c>
      <c r="E141" s="177">
        <f t="shared" si="86"/>
        <v>0</v>
      </c>
      <c r="F141" s="177">
        <f t="shared" si="86"/>
        <v>0</v>
      </c>
      <c r="G141" s="177">
        <f t="shared" si="86"/>
        <v>0</v>
      </c>
      <c r="H141" s="177">
        <f t="shared" si="86"/>
        <v>0</v>
      </c>
      <c r="I141" s="178">
        <f t="shared" si="86"/>
        <v>0</v>
      </c>
      <c r="J141" s="178">
        <f t="shared" si="86"/>
        <v>0</v>
      </c>
      <c r="K141" s="2242">
        <f t="shared" si="86"/>
        <v>200000</v>
      </c>
      <c r="L141" s="2242">
        <f t="shared" si="86"/>
        <v>0</v>
      </c>
      <c r="M141" s="2277">
        <f t="shared" si="86"/>
        <v>0</v>
      </c>
      <c r="N141" s="2266">
        <f t="shared" si="86"/>
        <v>0</v>
      </c>
      <c r="O141" s="201">
        <f t="shared" si="86"/>
        <v>0</v>
      </c>
      <c r="P141" s="201">
        <f t="shared" si="86"/>
        <v>0</v>
      </c>
      <c r="Q141" s="201">
        <f t="shared" si="86"/>
        <v>0</v>
      </c>
      <c r="R141" s="201">
        <f t="shared" si="86"/>
        <v>0</v>
      </c>
      <c r="S141" s="201">
        <f t="shared" si="86"/>
        <v>0</v>
      </c>
      <c r="T141" s="201">
        <f t="shared" si="86"/>
        <v>0</v>
      </c>
      <c r="U141" s="877">
        <f t="shared" si="86"/>
        <v>0</v>
      </c>
      <c r="V141" s="201">
        <f t="shared" si="86"/>
        <v>0</v>
      </c>
    </row>
    <row r="142" spans="1:23" ht="12.75" hidden="1" customHeight="1">
      <c r="A142" s="180" t="s">
        <v>72</v>
      </c>
      <c r="B142" s="177">
        <f t="shared" ref="B142:V142" si="87">+B44</f>
        <v>0</v>
      </c>
      <c r="C142" s="177">
        <f t="shared" si="87"/>
        <v>0</v>
      </c>
      <c r="D142" s="177">
        <f t="shared" si="87"/>
        <v>0</v>
      </c>
      <c r="E142" s="177">
        <f t="shared" si="87"/>
        <v>0</v>
      </c>
      <c r="F142" s="177">
        <f t="shared" si="87"/>
        <v>0</v>
      </c>
      <c r="G142" s="177">
        <f t="shared" si="87"/>
        <v>0</v>
      </c>
      <c r="H142" s="177">
        <f t="shared" si="87"/>
        <v>0</v>
      </c>
      <c r="I142" s="178">
        <f t="shared" si="87"/>
        <v>0</v>
      </c>
      <c r="J142" s="178">
        <f t="shared" si="87"/>
        <v>0</v>
      </c>
      <c r="K142" s="2242">
        <f t="shared" si="87"/>
        <v>0</v>
      </c>
      <c r="L142" s="2242">
        <f t="shared" si="87"/>
        <v>0</v>
      </c>
      <c r="M142" s="2277">
        <f t="shared" si="87"/>
        <v>0</v>
      </c>
      <c r="N142" s="2266">
        <f t="shared" si="87"/>
        <v>0</v>
      </c>
      <c r="O142" s="201">
        <f t="shared" si="87"/>
        <v>0</v>
      </c>
      <c r="P142" s="201">
        <f t="shared" si="87"/>
        <v>0</v>
      </c>
      <c r="Q142" s="201">
        <f t="shared" si="87"/>
        <v>0</v>
      </c>
      <c r="R142" s="201">
        <f t="shared" si="87"/>
        <v>0</v>
      </c>
      <c r="S142" s="201">
        <f t="shared" si="87"/>
        <v>0</v>
      </c>
      <c r="T142" s="201">
        <f t="shared" si="87"/>
        <v>0</v>
      </c>
      <c r="U142" s="877">
        <f t="shared" si="87"/>
        <v>0</v>
      </c>
      <c r="V142" s="201">
        <f t="shared" si="87"/>
        <v>0</v>
      </c>
    </row>
    <row r="143" spans="1:23" ht="14.25" hidden="1" customHeight="1">
      <c r="A143" s="180" t="s">
        <v>29</v>
      </c>
      <c r="B143" s="177">
        <f t="shared" ref="B143:V143" si="88">+B42+B39</f>
        <v>0</v>
      </c>
      <c r="C143" s="177">
        <f t="shared" si="88"/>
        <v>0</v>
      </c>
      <c r="D143" s="177">
        <f t="shared" si="88"/>
        <v>0</v>
      </c>
      <c r="E143" s="177">
        <f t="shared" si="88"/>
        <v>0</v>
      </c>
      <c r="F143" s="177">
        <f t="shared" si="88"/>
        <v>0</v>
      </c>
      <c r="G143" s="177">
        <f t="shared" si="88"/>
        <v>7240187</v>
      </c>
      <c r="H143" s="177">
        <f t="shared" si="88"/>
        <v>6502132</v>
      </c>
      <c r="I143" s="178">
        <f t="shared" si="88"/>
        <v>744857</v>
      </c>
      <c r="J143" s="178">
        <f t="shared" si="88"/>
        <v>17362220</v>
      </c>
      <c r="K143" s="2242">
        <f t="shared" si="88"/>
        <v>2875044</v>
      </c>
      <c r="L143" s="2242">
        <f t="shared" si="88"/>
        <v>697024</v>
      </c>
      <c r="M143" s="2277">
        <f t="shared" si="88"/>
        <v>0</v>
      </c>
      <c r="N143" s="2266">
        <f t="shared" si="88"/>
        <v>0</v>
      </c>
      <c r="O143" s="201">
        <f t="shared" si="88"/>
        <v>0</v>
      </c>
      <c r="P143" s="201">
        <f t="shared" si="88"/>
        <v>0</v>
      </c>
      <c r="Q143" s="201">
        <f t="shared" si="88"/>
        <v>0</v>
      </c>
      <c r="R143" s="201">
        <f t="shared" si="88"/>
        <v>0</v>
      </c>
      <c r="S143" s="201">
        <f t="shared" si="88"/>
        <v>0</v>
      </c>
      <c r="T143" s="201">
        <f t="shared" si="88"/>
        <v>0</v>
      </c>
      <c r="U143" s="877">
        <f t="shared" si="88"/>
        <v>18059244</v>
      </c>
      <c r="V143" s="201">
        <f t="shared" si="88"/>
        <v>0</v>
      </c>
    </row>
    <row r="144" spans="1:23" ht="21.75" hidden="1" customHeight="1">
      <c r="A144" s="180" t="s">
        <v>38</v>
      </c>
      <c r="B144" s="201">
        <f t="shared" ref="B144:V144" si="89">+B40</f>
        <v>0</v>
      </c>
      <c r="C144" s="201">
        <f t="shared" si="89"/>
        <v>0</v>
      </c>
      <c r="D144" s="201">
        <f t="shared" si="89"/>
        <v>0</v>
      </c>
      <c r="E144" s="201">
        <f t="shared" si="89"/>
        <v>0</v>
      </c>
      <c r="F144" s="201">
        <f t="shared" si="89"/>
        <v>0</v>
      </c>
      <c r="G144" s="201">
        <f t="shared" si="89"/>
        <v>0</v>
      </c>
      <c r="H144" s="201">
        <f t="shared" si="89"/>
        <v>0</v>
      </c>
      <c r="I144" s="201">
        <f t="shared" si="89"/>
        <v>841481</v>
      </c>
      <c r="J144" s="177">
        <f t="shared" si="89"/>
        <v>841481</v>
      </c>
      <c r="K144" s="2242">
        <f t="shared" si="89"/>
        <v>0</v>
      </c>
      <c r="L144" s="2242">
        <f t="shared" si="89"/>
        <v>0</v>
      </c>
      <c r="M144" s="2277">
        <f t="shared" si="89"/>
        <v>0</v>
      </c>
      <c r="N144" s="2266">
        <f t="shared" si="89"/>
        <v>0</v>
      </c>
      <c r="O144" s="201">
        <f t="shared" si="89"/>
        <v>0</v>
      </c>
      <c r="P144" s="201">
        <f t="shared" si="89"/>
        <v>0</v>
      </c>
      <c r="Q144" s="201">
        <f t="shared" si="89"/>
        <v>0</v>
      </c>
      <c r="R144" s="201">
        <f t="shared" si="89"/>
        <v>0</v>
      </c>
      <c r="S144" s="201">
        <f t="shared" si="89"/>
        <v>0</v>
      </c>
      <c r="T144" s="201">
        <f t="shared" si="89"/>
        <v>0</v>
      </c>
      <c r="U144" s="877">
        <f t="shared" si="89"/>
        <v>841481</v>
      </c>
      <c r="V144" s="201">
        <f t="shared" si="89"/>
        <v>0</v>
      </c>
    </row>
    <row r="145" spans="1:25" ht="14.25" hidden="1" customHeight="1">
      <c r="A145" s="180" t="s">
        <v>32</v>
      </c>
      <c r="B145" s="201">
        <f t="shared" ref="B145:V145" si="90">+B45</f>
        <v>0</v>
      </c>
      <c r="C145" s="201">
        <f t="shared" si="90"/>
        <v>0</v>
      </c>
      <c r="D145" s="201">
        <f t="shared" si="90"/>
        <v>0</v>
      </c>
      <c r="E145" s="201">
        <f t="shared" si="90"/>
        <v>0</v>
      </c>
      <c r="F145" s="201">
        <f t="shared" si="90"/>
        <v>0</v>
      </c>
      <c r="G145" s="201">
        <f t="shared" si="90"/>
        <v>3544011</v>
      </c>
      <c r="H145" s="201">
        <f t="shared" si="90"/>
        <v>4405356</v>
      </c>
      <c r="I145" s="202">
        <f t="shared" si="90"/>
        <v>3461860</v>
      </c>
      <c r="J145" s="178">
        <f t="shared" si="90"/>
        <v>11647133</v>
      </c>
      <c r="K145" s="2242">
        <f t="shared" si="90"/>
        <v>235906</v>
      </c>
      <c r="L145" s="2242">
        <f t="shared" si="90"/>
        <v>137580</v>
      </c>
      <c r="M145" s="2277">
        <f t="shared" si="90"/>
        <v>4858633</v>
      </c>
      <c r="N145" s="2266">
        <f t="shared" si="90"/>
        <v>15423597</v>
      </c>
      <c r="O145" s="201">
        <f t="shared" si="90"/>
        <v>10410084</v>
      </c>
      <c r="P145" s="201">
        <f t="shared" si="90"/>
        <v>8543805</v>
      </c>
      <c r="Q145" s="201">
        <f t="shared" si="90"/>
        <v>3158660</v>
      </c>
      <c r="R145" s="201">
        <f t="shared" si="90"/>
        <v>113837</v>
      </c>
      <c r="S145" s="201">
        <f t="shared" si="90"/>
        <v>0</v>
      </c>
      <c r="T145" s="201">
        <f t="shared" si="90"/>
        <v>0</v>
      </c>
      <c r="U145" s="877">
        <f t="shared" si="90"/>
        <v>54293329</v>
      </c>
      <c r="V145" s="201">
        <f t="shared" si="90"/>
        <v>0</v>
      </c>
    </row>
    <row r="146" spans="1:25" ht="14.25" hidden="1" customHeight="1">
      <c r="A146" s="203" t="s">
        <v>31</v>
      </c>
      <c r="B146" s="204">
        <f t="shared" ref="B146:V146" si="91">+B43</f>
        <v>0</v>
      </c>
      <c r="C146" s="204">
        <f t="shared" si="91"/>
        <v>0</v>
      </c>
      <c r="D146" s="204">
        <f t="shared" si="91"/>
        <v>0</v>
      </c>
      <c r="E146" s="204">
        <f t="shared" si="91"/>
        <v>0</v>
      </c>
      <c r="F146" s="204">
        <f t="shared" si="91"/>
        <v>0</v>
      </c>
      <c r="G146" s="204">
        <f t="shared" si="91"/>
        <v>0</v>
      </c>
      <c r="H146" s="204">
        <f t="shared" si="91"/>
        <v>0</v>
      </c>
      <c r="I146" s="204">
        <f t="shared" si="91"/>
        <v>0</v>
      </c>
      <c r="J146" s="883">
        <f t="shared" si="91"/>
        <v>0</v>
      </c>
      <c r="K146" s="2243">
        <f t="shared" si="91"/>
        <v>0</v>
      </c>
      <c r="L146" s="2243">
        <f t="shared" si="91"/>
        <v>0</v>
      </c>
      <c r="M146" s="2278">
        <f t="shared" si="91"/>
        <v>0</v>
      </c>
      <c r="N146" s="2268">
        <f t="shared" si="91"/>
        <v>0</v>
      </c>
      <c r="O146" s="204">
        <f t="shared" si="91"/>
        <v>0</v>
      </c>
      <c r="P146" s="204">
        <f t="shared" si="91"/>
        <v>0</v>
      </c>
      <c r="Q146" s="204">
        <f t="shared" si="91"/>
        <v>0</v>
      </c>
      <c r="R146" s="204">
        <f t="shared" si="91"/>
        <v>0</v>
      </c>
      <c r="S146" s="204">
        <f t="shared" si="91"/>
        <v>0</v>
      </c>
      <c r="T146" s="204">
        <f t="shared" si="91"/>
        <v>0</v>
      </c>
      <c r="U146" s="877">
        <f t="shared" si="91"/>
        <v>0</v>
      </c>
      <c r="V146" s="204">
        <f t="shared" si="91"/>
        <v>0</v>
      </c>
    </row>
    <row r="147" spans="1:25" ht="14.25" hidden="1" customHeight="1" thickBot="1">
      <c r="A147" s="185" t="s">
        <v>33</v>
      </c>
      <c r="B147" s="205">
        <f t="shared" ref="B147:V147" si="92">+B46</f>
        <v>0</v>
      </c>
      <c r="C147" s="205">
        <f t="shared" si="92"/>
        <v>0</v>
      </c>
      <c r="D147" s="205">
        <f t="shared" si="92"/>
        <v>2563346</v>
      </c>
      <c r="E147" s="205">
        <f t="shared" si="92"/>
        <v>8310034</v>
      </c>
      <c r="F147" s="205">
        <f t="shared" si="92"/>
        <v>408227</v>
      </c>
      <c r="G147" s="205">
        <f t="shared" si="92"/>
        <v>6808351</v>
      </c>
      <c r="H147" s="205">
        <f t="shared" si="92"/>
        <v>39393265</v>
      </c>
      <c r="I147" s="206">
        <f t="shared" si="92"/>
        <v>29205721</v>
      </c>
      <c r="J147" s="206">
        <f t="shared" si="92"/>
        <v>144062208</v>
      </c>
      <c r="K147" s="2244">
        <f t="shared" si="92"/>
        <v>68509699</v>
      </c>
      <c r="L147" s="2244">
        <f t="shared" si="92"/>
        <v>49968159</v>
      </c>
      <c r="M147" s="854">
        <f t="shared" si="92"/>
        <v>101994732</v>
      </c>
      <c r="N147" s="2269">
        <f t="shared" si="92"/>
        <v>310224029</v>
      </c>
      <c r="O147" s="205">
        <f t="shared" si="92"/>
        <v>225716176</v>
      </c>
      <c r="P147" s="205">
        <f t="shared" si="92"/>
        <v>74031475</v>
      </c>
      <c r="Q147" s="205">
        <f t="shared" si="92"/>
        <v>60857171</v>
      </c>
      <c r="R147" s="205">
        <f t="shared" si="92"/>
        <v>32586286</v>
      </c>
      <c r="S147" s="205">
        <f t="shared" si="92"/>
        <v>32252316</v>
      </c>
      <c r="T147" s="205">
        <f t="shared" si="92"/>
        <v>31488385</v>
      </c>
      <c r="U147" s="878">
        <f t="shared" si="92"/>
        <v>1063180937</v>
      </c>
      <c r="V147" s="205">
        <f t="shared" si="92"/>
        <v>0</v>
      </c>
    </row>
    <row r="148" spans="1:25" ht="14.25" hidden="1" customHeight="1">
      <c r="A148" s="207">
        <f>+L137+L143</f>
        <v>24496928</v>
      </c>
      <c r="B148" s="188" t="e">
        <f t="shared" ref="B148:U148" si="93">SUM(B136:B147)</f>
        <v>#REF!</v>
      </c>
      <c r="C148" s="189" t="e">
        <f t="shared" si="93"/>
        <v>#REF!</v>
      </c>
      <c r="D148" s="189" t="e">
        <f t="shared" si="93"/>
        <v>#REF!</v>
      </c>
      <c r="E148" s="189" t="e">
        <f t="shared" si="93"/>
        <v>#REF!</v>
      </c>
      <c r="F148" s="188" t="e">
        <f t="shared" si="93"/>
        <v>#REF!</v>
      </c>
      <c r="G148" s="190" t="e">
        <f t="shared" si="93"/>
        <v>#REF!</v>
      </c>
      <c r="H148" s="191" t="e">
        <f t="shared" si="93"/>
        <v>#REF!</v>
      </c>
      <c r="I148" s="188" t="e">
        <f t="shared" si="93"/>
        <v>#REF!</v>
      </c>
      <c r="J148" s="188">
        <f>SUM(J136:J147)</f>
        <v>228687441</v>
      </c>
      <c r="K148" s="188" t="e">
        <f t="shared" si="93"/>
        <v>#REF!</v>
      </c>
      <c r="L148" s="2264">
        <f t="shared" si="93"/>
        <v>93400763</v>
      </c>
      <c r="M148" s="2279">
        <f t="shared" si="93"/>
        <v>151154727</v>
      </c>
      <c r="N148" s="188">
        <f t="shared" si="93"/>
        <v>352631851</v>
      </c>
      <c r="O148" s="188">
        <f t="shared" si="93"/>
        <v>259854934</v>
      </c>
      <c r="P148" s="188">
        <f>SUM(P136:P147)</f>
        <v>108759049</v>
      </c>
      <c r="Q148" s="188">
        <f>SUM(Q136:Q147)</f>
        <v>82627065</v>
      </c>
      <c r="R148" s="188">
        <f t="shared" ref="R148:T148" si="94">SUM(R136:R147)</f>
        <v>35706857</v>
      </c>
      <c r="S148" s="188">
        <f t="shared" si="94"/>
        <v>34892459</v>
      </c>
      <c r="T148" s="188">
        <f t="shared" si="94"/>
        <v>31983092</v>
      </c>
      <c r="U148" s="188">
        <f t="shared" si="93"/>
        <v>1379698238</v>
      </c>
      <c r="V148" s="188">
        <f>SUM(V136:V147)</f>
        <v>0</v>
      </c>
    </row>
    <row r="149" spans="1:25" ht="14.25" hidden="1" customHeight="1">
      <c r="A149" s="208"/>
      <c r="B149" s="209" t="e">
        <f t="shared" ref="B149:Q149" si="95">+B148-B91</f>
        <v>#REF!</v>
      </c>
      <c r="C149" s="209" t="e">
        <f t="shared" si="95"/>
        <v>#REF!</v>
      </c>
      <c r="D149" s="209" t="e">
        <f t="shared" si="95"/>
        <v>#REF!</v>
      </c>
      <c r="E149" s="209" t="e">
        <f t="shared" si="95"/>
        <v>#REF!</v>
      </c>
      <c r="F149" s="209" t="e">
        <f t="shared" si="95"/>
        <v>#REF!</v>
      </c>
      <c r="G149" s="209" t="e">
        <f t="shared" si="95"/>
        <v>#REF!</v>
      </c>
      <c r="H149" s="209" t="e">
        <f t="shared" si="95"/>
        <v>#REF!</v>
      </c>
      <c r="I149" s="209" t="e">
        <f t="shared" si="95"/>
        <v>#REF!</v>
      </c>
      <c r="J149" s="209">
        <f t="shared" si="95"/>
        <v>0</v>
      </c>
      <c r="K149" s="188" t="e">
        <f t="shared" si="95"/>
        <v>#REF!</v>
      </c>
      <c r="L149" s="2289">
        <f t="shared" si="95"/>
        <v>0</v>
      </c>
      <c r="M149" s="2280">
        <f t="shared" si="95"/>
        <v>0</v>
      </c>
      <c r="N149" s="209">
        <f t="shared" si="95"/>
        <v>0</v>
      </c>
      <c r="O149" s="209">
        <f t="shared" si="95"/>
        <v>0</v>
      </c>
      <c r="P149" s="209">
        <f t="shared" si="95"/>
        <v>0</v>
      </c>
      <c r="Q149" s="209">
        <f t="shared" si="95"/>
        <v>0</v>
      </c>
      <c r="R149" s="209">
        <f t="shared" ref="R149:T149" si="96">+R148-R91</f>
        <v>0</v>
      </c>
      <c r="S149" s="209">
        <f t="shared" si="96"/>
        <v>0</v>
      </c>
      <c r="T149" s="209">
        <f t="shared" si="96"/>
        <v>0</v>
      </c>
      <c r="U149" s="209">
        <f>+U148-U91</f>
        <v>0</v>
      </c>
      <c r="V149" s="188"/>
    </row>
    <row r="150" spans="1:25" ht="13.5" hidden="1" thickBot="1">
      <c r="A150" s="2"/>
      <c r="B150" s="147" t="s">
        <v>6</v>
      </c>
      <c r="C150" s="148" t="s">
        <v>7</v>
      </c>
      <c r="D150" s="148" t="s">
        <v>8</v>
      </c>
      <c r="E150" s="148" t="s">
        <v>9</v>
      </c>
      <c r="F150" s="147" t="s">
        <v>10</v>
      </c>
      <c r="G150" s="149" t="s">
        <v>11</v>
      </c>
      <c r="H150" s="150" t="s">
        <v>12</v>
      </c>
      <c r="I150" s="831" t="s">
        <v>13</v>
      </c>
      <c r="J150" s="793" t="s">
        <v>338</v>
      </c>
      <c r="K150" s="2245" t="s">
        <v>14</v>
      </c>
      <c r="L150" s="2287" t="s">
        <v>15</v>
      </c>
      <c r="M150" s="2281" t="s">
        <v>16</v>
      </c>
      <c r="N150" s="2265" t="s">
        <v>17</v>
      </c>
      <c r="O150" s="150" t="s">
        <v>18</v>
      </c>
      <c r="P150" s="150" t="s">
        <v>271</v>
      </c>
      <c r="Q150" s="150" t="s">
        <v>276</v>
      </c>
      <c r="R150" s="150" t="s">
        <v>340</v>
      </c>
      <c r="S150" s="150" t="s">
        <v>341</v>
      </c>
      <c r="T150" s="150" t="s">
        <v>339</v>
      </c>
      <c r="U150" s="152" t="s">
        <v>61</v>
      </c>
      <c r="V150" s="2290" t="s">
        <v>328</v>
      </c>
    </row>
    <row r="151" spans="1:25" ht="3" hidden="1" customHeight="1">
      <c r="A151" s="2568" t="s">
        <v>537</v>
      </c>
      <c r="B151" s="210"/>
      <c r="C151" s="210"/>
      <c r="D151" s="210"/>
      <c r="E151" s="210"/>
      <c r="F151" s="210"/>
      <c r="G151" s="211"/>
      <c r="H151" s="210"/>
      <c r="I151" s="212"/>
      <c r="J151" s="212"/>
      <c r="K151" s="211"/>
      <c r="L151" s="211"/>
      <c r="M151" s="213"/>
      <c r="N151" s="214"/>
      <c r="O151" s="210"/>
      <c r="P151" s="210"/>
      <c r="Q151" s="210"/>
      <c r="R151" s="210"/>
      <c r="S151" s="210"/>
      <c r="T151" s="210"/>
      <c r="U151" s="210"/>
      <c r="V151" s="973"/>
    </row>
    <row r="152" spans="1:25" ht="26.25" hidden="1" customHeight="1" thickBot="1">
      <c r="A152" s="2569"/>
      <c r="B152" s="215">
        <f>SUM(B153:B163)</f>
        <v>64233113</v>
      </c>
      <c r="C152" s="216" t="e">
        <f t="shared" ref="C152:O152" si="97">SUM(C153:C163)</f>
        <v>#REF!</v>
      </c>
      <c r="D152" s="216" t="e">
        <f t="shared" si="97"/>
        <v>#REF!</v>
      </c>
      <c r="E152" s="216" t="e">
        <f t="shared" si="97"/>
        <v>#REF!</v>
      </c>
      <c r="F152" s="215">
        <f t="shared" si="97"/>
        <v>106866512</v>
      </c>
      <c r="G152" s="217">
        <f t="shared" si="97"/>
        <v>210123298</v>
      </c>
      <c r="H152" s="215">
        <f t="shared" si="97"/>
        <v>232143167.30000001</v>
      </c>
      <c r="I152" s="215">
        <f t="shared" si="97"/>
        <v>373564523.30000001</v>
      </c>
      <c r="J152" s="1078">
        <f t="shared" si="97"/>
        <v>751148631.29999995</v>
      </c>
      <c r="K152" s="2246">
        <f t="shared" si="97"/>
        <v>315124189</v>
      </c>
      <c r="L152" s="2246">
        <f t="shared" si="97"/>
        <v>276512306</v>
      </c>
      <c r="M152" s="1079">
        <f t="shared" si="97"/>
        <v>277394124.63999999</v>
      </c>
      <c r="N152" s="1080">
        <f t="shared" si="97"/>
        <v>582083620</v>
      </c>
      <c r="O152" s="1078">
        <f t="shared" si="97"/>
        <v>455812374</v>
      </c>
      <c r="P152" s="1078">
        <f t="shared" ref="P152:V152" si="98">SUM(P153:P163)</f>
        <v>239998251</v>
      </c>
      <c r="Q152" s="1078">
        <f t="shared" si="98"/>
        <v>214354864</v>
      </c>
      <c r="R152" s="1078">
        <f t="shared" si="98"/>
        <v>41375591</v>
      </c>
      <c r="S152" s="1078">
        <f t="shared" si="98"/>
        <v>38702795</v>
      </c>
      <c r="T152" s="1078">
        <f t="shared" si="98"/>
        <v>36567475</v>
      </c>
      <c r="U152" s="1078">
        <f t="shared" si="98"/>
        <v>2917514321.9399996</v>
      </c>
      <c r="V152" s="1081">
        <f t="shared" si="98"/>
        <v>1038214682.64</v>
      </c>
    </row>
    <row r="153" spans="1:25" hidden="1">
      <c r="A153" s="218" t="s">
        <v>65</v>
      </c>
      <c r="B153" s="219">
        <v>14165198</v>
      </c>
      <c r="C153" s="219" t="e">
        <v>#REF!</v>
      </c>
      <c r="D153" s="219" t="e">
        <v>#REF!</v>
      </c>
      <c r="E153" s="219" t="e">
        <v>#REF!</v>
      </c>
      <c r="F153" s="219">
        <v>14686560</v>
      </c>
      <c r="G153" s="220">
        <v>58576756</v>
      </c>
      <c r="H153" s="219">
        <v>56208229.299999997</v>
      </c>
      <c r="I153" s="219">
        <v>139739807.30000001</v>
      </c>
      <c r="J153" s="221">
        <v>276617093.30000001</v>
      </c>
      <c r="K153" s="2247">
        <v>106753443</v>
      </c>
      <c r="L153" s="2247">
        <v>97618909</v>
      </c>
      <c r="M153" s="2282">
        <v>130416427.64</v>
      </c>
      <c r="N153" s="2270">
        <v>219749824</v>
      </c>
      <c r="O153" s="219">
        <v>213978893</v>
      </c>
      <c r="P153" s="219">
        <v>163075585</v>
      </c>
      <c r="Q153" s="219">
        <v>151742459</v>
      </c>
      <c r="R153" s="219">
        <v>8080661</v>
      </c>
      <c r="S153" s="219">
        <v>5741835</v>
      </c>
      <c r="T153" s="219">
        <v>4864523</v>
      </c>
      <c r="U153" s="219">
        <v>1275450499.9399998</v>
      </c>
      <c r="V153" s="220">
        <v>901214497.63999999</v>
      </c>
      <c r="X153" s="13"/>
      <c r="Y153" s="13"/>
    </row>
    <row r="154" spans="1:25" hidden="1">
      <c r="A154" s="218" t="s">
        <v>66</v>
      </c>
      <c r="B154" s="219">
        <v>3621827</v>
      </c>
      <c r="C154" s="219" t="e">
        <v>#REF!</v>
      </c>
      <c r="D154" s="219" t="e">
        <v>#REF!</v>
      </c>
      <c r="E154" s="219" t="e">
        <v>#REF!</v>
      </c>
      <c r="F154" s="219">
        <v>6819986</v>
      </c>
      <c r="G154" s="220">
        <v>10846424</v>
      </c>
      <c r="H154" s="219">
        <v>13251483</v>
      </c>
      <c r="I154" s="219">
        <v>6472922</v>
      </c>
      <c r="J154" s="221">
        <v>65727829</v>
      </c>
      <c r="K154" s="2247">
        <v>27656273</v>
      </c>
      <c r="L154" s="2247">
        <v>33450035</v>
      </c>
      <c r="M154" s="2282">
        <v>6706101</v>
      </c>
      <c r="N154" s="2270">
        <v>2600000</v>
      </c>
      <c r="O154" s="219">
        <v>2647000</v>
      </c>
      <c r="P154" s="219">
        <v>2705000</v>
      </c>
      <c r="Q154" s="219">
        <v>0</v>
      </c>
      <c r="R154" s="219">
        <v>0</v>
      </c>
      <c r="S154" s="219">
        <v>0</v>
      </c>
      <c r="T154" s="219">
        <v>0</v>
      </c>
      <c r="U154" s="219">
        <v>113835965</v>
      </c>
      <c r="V154" s="220">
        <v>14658101</v>
      </c>
      <c r="X154" s="13"/>
      <c r="Y154" s="13"/>
    </row>
    <row r="155" spans="1:25" hidden="1">
      <c r="A155" s="222" t="s">
        <v>25</v>
      </c>
      <c r="B155" s="219">
        <v>535781</v>
      </c>
      <c r="C155" s="219" t="e">
        <v>#REF!</v>
      </c>
      <c r="D155" s="219" t="e">
        <v>#REF!</v>
      </c>
      <c r="E155" s="219" t="e">
        <v>#REF!</v>
      </c>
      <c r="F155" s="219">
        <v>624623</v>
      </c>
      <c r="G155" s="220">
        <v>8734797</v>
      </c>
      <c r="H155" s="219">
        <v>2799809</v>
      </c>
      <c r="I155" s="219">
        <v>5170948</v>
      </c>
      <c r="J155" s="221">
        <v>31512796</v>
      </c>
      <c r="K155" s="2247">
        <v>17471012</v>
      </c>
      <c r="L155" s="2247">
        <v>31092036</v>
      </c>
      <c r="M155" s="2282">
        <v>17268898</v>
      </c>
      <c r="N155" s="2270">
        <v>2177620</v>
      </c>
      <c r="O155" s="219">
        <v>1116432</v>
      </c>
      <c r="P155" s="219">
        <v>1151570</v>
      </c>
      <c r="Q155" s="219">
        <v>1216734</v>
      </c>
      <c r="R155" s="219">
        <v>989414</v>
      </c>
      <c r="S155" s="219">
        <v>989414</v>
      </c>
      <c r="T155" s="219">
        <v>494707</v>
      </c>
      <c r="U155" s="219">
        <v>88009621</v>
      </c>
      <c r="V155" s="220">
        <v>25404789</v>
      </c>
      <c r="X155" s="13"/>
      <c r="Y155" s="13"/>
    </row>
    <row r="156" spans="1:25" ht="24" hidden="1">
      <c r="A156" s="222" t="s">
        <v>67</v>
      </c>
      <c r="B156" s="219">
        <v>5935894</v>
      </c>
      <c r="C156" s="219">
        <v>0</v>
      </c>
      <c r="D156" s="219">
        <v>0</v>
      </c>
      <c r="E156" s="219">
        <v>6647405</v>
      </c>
      <c r="F156" s="219">
        <v>10285500</v>
      </c>
      <c r="G156" s="220">
        <v>12796084</v>
      </c>
      <c r="H156" s="219">
        <v>12792166</v>
      </c>
      <c r="I156" s="219">
        <v>9659941</v>
      </c>
      <c r="J156" s="221">
        <v>0</v>
      </c>
      <c r="K156" s="2247">
        <v>200000</v>
      </c>
      <c r="L156" s="2247">
        <v>0</v>
      </c>
      <c r="M156" s="2282">
        <v>0</v>
      </c>
      <c r="N156" s="2270">
        <v>0</v>
      </c>
      <c r="O156" s="219">
        <v>0</v>
      </c>
      <c r="P156" s="219">
        <v>0</v>
      </c>
      <c r="Q156" s="219">
        <v>0</v>
      </c>
      <c r="R156" s="219">
        <v>0</v>
      </c>
      <c r="S156" s="219">
        <v>0</v>
      </c>
      <c r="T156" s="219">
        <v>0</v>
      </c>
      <c r="U156" s="219">
        <v>0</v>
      </c>
      <c r="V156" s="220">
        <v>0</v>
      </c>
      <c r="X156" s="13"/>
      <c r="Y156" s="13"/>
    </row>
    <row r="157" spans="1:25" hidden="1">
      <c r="A157" s="222" t="s">
        <v>27</v>
      </c>
      <c r="B157" s="219">
        <v>3923747</v>
      </c>
      <c r="C157" s="219">
        <v>0</v>
      </c>
      <c r="D157" s="219">
        <v>0</v>
      </c>
      <c r="E157" s="219">
        <v>3923747</v>
      </c>
      <c r="F157" s="219">
        <v>3817914</v>
      </c>
      <c r="G157" s="220">
        <v>4145000</v>
      </c>
      <c r="H157" s="219">
        <v>8232289</v>
      </c>
      <c r="I157" s="219">
        <v>3712896</v>
      </c>
      <c r="J157" s="221">
        <v>19030945</v>
      </c>
      <c r="K157" s="2247">
        <v>3686480</v>
      </c>
      <c r="L157" s="2247">
        <v>1651313</v>
      </c>
      <c r="M157" s="2282">
        <v>2644619</v>
      </c>
      <c r="N157" s="2270">
        <v>500000</v>
      </c>
      <c r="O157" s="219">
        <v>0</v>
      </c>
      <c r="P157" s="219">
        <v>0</v>
      </c>
      <c r="Q157" s="219">
        <v>0</v>
      </c>
      <c r="R157" s="219">
        <v>0</v>
      </c>
      <c r="S157" s="219">
        <v>0</v>
      </c>
      <c r="T157" s="219">
        <v>0</v>
      </c>
      <c r="U157" s="219">
        <v>23826877</v>
      </c>
      <c r="V157" s="220">
        <v>3144619</v>
      </c>
      <c r="X157" s="13"/>
      <c r="Y157" s="13"/>
    </row>
    <row r="158" spans="1:25" hidden="1">
      <c r="A158" s="222" t="s">
        <v>68</v>
      </c>
      <c r="B158" s="219">
        <v>0</v>
      </c>
      <c r="C158" s="219">
        <v>0</v>
      </c>
      <c r="D158" s="219">
        <v>0</v>
      </c>
      <c r="E158" s="219">
        <v>0</v>
      </c>
      <c r="F158" s="219">
        <v>0</v>
      </c>
      <c r="G158" s="220">
        <v>0</v>
      </c>
      <c r="H158" s="219">
        <v>3849132</v>
      </c>
      <c r="I158" s="219">
        <v>19947789</v>
      </c>
      <c r="J158" s="221">
        <v>23259366</v>
      </c>
      <c r="K158" s="2247">
        <v>5756250</v>
      </c>
      <c r="L158" s="2247">
        <v>3462000</v>
      </c>
      <c r="M158" s="2282">
        <v>2039337</v>
      </c>
      <c r="N158" s="2270">
        <v>23896915</v>
      </c>
      <c r="O158" s="219">
        <v>16754888</v>
      </c>
      <c r="P158" s="219">
        <v>4009238</v>
      </c>
      <c r="Q158" s="219">
        <v>3470500</v>
      </c>
      <c r="R158" s="219">
        <v>0</v>
      </c>
      <c r="S158" s="219">
        <v>0</v>
      </c>
      <c r="T158" s="219">
        <v>0</v>
      </c>
      <c r="U158" s="219">
        <v>76892244</v>
      </c>
      <c r="V158" s="220">
        <v>50170878</v>
      </c>
      <c r="X158" s="13"/>
      <c r="Y158" s="13"/>
    </row>
    <row r="159" spans="1:25" hidden="1">
      <c r="A159" s="222" t="s">
        <v>32</v>
      </c>
      <c r="B159" s="219">
        <v>0</v>
      </c>
      <c r="C159" s="219">
        <v>0</v>
      </c>
      <c r="D159" s="219">
        <v>0</v>
      </c>
      <c r="E159" s="219">
        <v>0</v>
      </c>
      <c r="F159" s="219">
        <v>829536</v>
      </c>
      <c r="G159" s="220">
        <v>4707541</v>
      </c>
      <c r="H159" s="219">
        <v>2188317</v>
      </c>
      <c r="I159" s="219">
        <v>1176214</v>
      </c>
      <c r="J159" s="221">
        <v>7123728</v>
      </c>
      <c r="K159" s="2247">
        <v>3209752</v>
      </c>
      <c r="L159" s="2247">
        <v>4991601</v>
      </c>
      <c r="M159" s="2282">
        <v>4393231</v>
      </c>
      <c r="N159" s="2270">
        <v>25032871</v>
      </c>
      <c r="O159" s="219">
        <v>6028854</v>
      </c>
      <c r="P159" s="219">
        <v>6609205</v>
      </c>
      <c r="Q159" s="219">
        <v>113837</v>
      </c>
      <c r="R159" s="219">
        <v>0</v>
      </c>
      <c r="S159" s="219">
        <v>0</v>
      </c>
      <c r="T159" s="219">
        <v>0</v>
      </c>
      <c r="U159" s="219">
        <v>54293327</v>
      </c>
      <c r="V159" s="220">
        <v>42177998</v>
      </c>
      <c r="X159" s="13"/>
      <c r="Y159" s="13"/>
    </row>
    <row r="160" spans="1:25" hidden="1">
      <c r="A160" s="222" t="s">
        <v>29</v>
      </c>
      <c r="B160" s="219">
        <v>289954</v>
      </c>
      <c r="C160" s="219">
        <v>0</v>
      </c>
      <c r="D160" s="219">
        <v>43011</v>
      </c>
      <c r="E160" s="219">
        <v>230832</v>
      </c>
      <c r="F160" s="219">
        <v>787833</v>
      </c>
      <c r="G160" s="220">
        <v>29963574</v>
      </c>
      <c r="H160" s="219">
        <v>7405834</v>
      </c>
      <c r="I160" s="219">
        <v>1961906</v>
      </c>
      <c r="J160" s="221">
        <v>18056213</v>
      </c>
      <c r="K160" s="2247">
        <v>1592587</v>
      </c>
      <c r="L160" s="2247">
        <v>3031</v>
      </c>
      <c r="M160" s="2282">
        <v>0</v>
      </c>
      <c r="N160" s="2270">
        <v>0</v>
      </c>
      <c r="O160" s="219">
        <v>0</v>
      </c>
      <c r="P160" s="219">
        <v>0</v>
      </c>
      <c r="Q160" s="219">
        <v>0</v>
      </c>
      <c r="R160" s="219">
        <v>0</v>
      </c>
      <c r="S160" s="219">
        <v>0</v>
      </c>
      <c r="T160" s="219">
        <v>0</v>
      </c>
      <c r="U160" s="219">
        <v>18059244</v>
      </c>
      <c r="V160" s="220">
        <v>0</v>
      </c>
      <c r="X160" s="13"/>
      <c r="Y160" s="13"/>
    </row>
    <row r="161" spans="1:25" hidden="1">
      <c r="A161" s="223" t="s">
        <v>69</v>
      </c>
      <c r="B161" s="219">
        <v>10594223</v>
      </c>
      <c r="C161" s="219">
        <v>0</v>
      </c>
      <c r="D161" s="219">
        <v>0</v>
      </c>
      <c r="E161" s="219">
        <v>3058368</v>
      </c>
      <c r="F161" s="219">
        <v>17692550</v>
      </c>
      <c r="G161" s="220">
        <v>2998223</v>
      </c>
      <c r="H161" s="219">
        <v>3753212</v>
      </c>
      <c r="I161" s="219">
        <v>4711864</v>
      </c>
      <c r="J161" s="221">
        <v>0</v>
      </c>
      <c r="K161" s="2247">
        <v>0</v>
      </c>
      <c r="L161" s="2247">
        <v>0</v>
      </c>
      <c r="M161" s="2282">
        <v>0</v>
      </c>
      <c r="N161" s="2270">
        <v>0</v>
      </c>
      <c r="O161" s="219">
        <v>0</v>
      </c>
      <c r="P161" s="219">
        <v>0</v>
      </c>
      <c r="Q161" s="219">
        <v>0</v>
      </c>
      <c r="R161" s="219">
        <v>0</v>
      </c>
      <c r="S161" s="219">
        <v>0</v>
      </c>
      <c r="T161" s="219">
        <v>0</v>
      </c>
      <c r="U161" s="219">
        <v>0</v>
      </c>
      <c r="V161" s="220">
        <v>0</v>
      </c>
      <c r="W161" s="315"/>
      <c r="X161" s="13"/>
      <c r="Y161" s="13"/>
    </row>
    <row r="162" spans="1:25" hidden="1">
      <c r="A162" s="224" t="s">
        <v>31</v>
      </c>
      <c r="B162" s="225">
        <v>0</v>
      </c>
      <c r="C162" s="225">
        <v>0</v>
      </c>
      <c r="D162" s="225">
        <v>0</v>
      </c>
      <c r="E162" s="225">
        <v>0</v>
      </c>
      <c r="F162" s="225">
        <v>0</v>
      </c>
      <c r="G162" s="226">
        <v>0</v>
      </c>
      <c r="H162" s="225">
        <v>0</v>
      </c>
      <c r="I162" s="225">
        <v>1023120</v>
      </c>
      <c r="J162" s="221">
        <v>0</v>
      </c>
      <c r="K162" s="2248">
        <v>0</v>
      </c>
      <c r="L162" s="2248">
        <v>0</v>
      </c>
      <c r="M162" s="2283">
        <v>0</v>
      </c>
      <c r="N162" s="2271">
        <v>0</v>
      </c>
      <c r="O162" s="225">
        <v>0</v>
      </c>
      <c r="P162" s="225">
        <v>0</v>
      </c>
      <c r="Q162" s="225">
        <v>0</v>
      </c>
      <c r="R162" s="225">
        <v>0</v>
      </c>
      <c r="S162" s="225">
        <v>0</v>
      </c>
      <c r="T162" s="225">
        <v>0</v>
      </c>
      <c r="U162" s="219">
        <v>0</v>
      </c>
      <c r="V162" s="220">
        <v>0</v>
      </c>
      <c r="X162" s="13"/>
      <c r="Y162" s="13"/>
    </row>
    <row r="163" spans="1:25" ht="13.5" hidden="1" thickBot="1">
      <c r="A163" s="227" t="s">
        <v>33</v>
      </c>
      <c r="B163" s="228">
        <v>25166489</v>
      </c>
      <c r="C163" s="228" t="e">
        <v>#REF!</v>
      </c>
      <c r="D163" s="228" t="e">
        <v>#REF!</v>
      </c>
      <c r="E163" s="228" t="e">
        <v>#REF!</v>
      </c>
      <c r="F163" s="228">
        <v>51322010</v>
      </c>
      <c r="G163" s="229">
        <v>77354899</v>
      </c>
      <c r="H163" s="228">
        <v>121662696</v>
      </c>
      <c r="I163" s="228">
        <v>179987116</v>
      </c>
      <c r="J163" s="228">
        <v>309820661</v>
      </c>
      <c r="K163" s="2249">
        <v>148798392</v>
      </c>
      <c r="L163" s="2249">
        <v>104243381</v>
      </c>
      <c r="M163" s="230">
        <v>113925511</v>
      </c>
      <c r="N163" s="2272">
        <v>308126390</v>
      </c>
      <c r="O163" s="228">
        <v>215286307</v>
      </c>
      <c r="P163" s="228">
        <v>62447653</v>
      </c>
      <c r="Q163" s="228">
        <v>57811334</v>
      </c>
      <c r="R163" s="228">
        <v>32305516</v>
      </c>
      <c r="S163" s="228">
        <v>31971546</v>
      </c>
      <c r="T163" s="228">
        <v>31208245</v>
      </c>
      <c r="U163" s="228">
        <v>1267146544</v>
      </c>
      <c r="V163" s="229">
        <v>1443800</v>
      </c>
      <c r="X163" s="13"/>
      <c r="Y163" s="13"/>
    </row>
    <row r="164" spans="1:25" hidden="1">
      <c r="A164" s="231"/>
      <c r="B164" s="232">
        <f>SUM(B153:B163)</f>
        <v>64233113</v>
      </c>
      <c r="C164" s="232" t="e">
        <f t="shared" ref="C164:U164" si="99">SUM(C153:C163)</f>
        <v>#REF!</v>
      </c>
      <c r="D164" s="232" t="e">
        <f t="shared" si="99"/>
        <v>#REF!</v>
      </c>
      <c r="E164" s="232" t="e">
        <f t="shared" si="99"/>
        <v>#REF!</v>
      </c>
      <c r="F164" s="232">
        <f t="shared" si="99"/>
        <v>106866512</v>
      </c>
      <c r="G164" s="232">
        <f t="shared" si="99"/>
        <v>210123298</v>
      </c>
      <c r="H164" s="233">
        <f t="shared" si="99"/>
        <v>232143167.30000001</v>
      </c>
      <c r="I164" s="233">
        <f t="shared" si="99"/>
        <v>373564523.30000001</v>
      </c>
      <c r="J164" s="233">
        <f t="shared" si="99"/>
        <v>751148631.29999995</v>
      </c>
      <c r="K164" s="2250">
        <f t="shared" si="99"/>
        <v>315124189</v>
      </c>
      <c r="L164" s="2250">
        <f t="shared" si="99"/>
        <v>276512306</v>
      </c>
      <c r="M164" s="234">
        <f t="shared" si="99"/>
        <v>277394124.63999999</v>
      </c>
      <c r="N164" s="232">
        <f t="shared" ref="N164:T164" si="100">SUM(N153:N163)</f>
        <v>582083620</v>
      </c>
      <c r="O164" s="232">
        <f t="shared" si="100"/>
        <v>455812374</v>
      </c>
      <c r="P164" s="232">
        <f t="shared" si="100"/>
        <v>239998251</v>
      </c>
      <c r="Q164" s="232">
        <f t="shared" si="100"/>
        <v>214354864</v>
      </c>
      <c r="R164" s="232">
        <f t="shared" si="100"/>
        <v>41375591</v>
      </c>
      <c r="S164" s="232">
        <f t="shared" si="100"/>
        <v>38702795</v>
      </c>
      <c r="T164" s="232">
        <f t="shared" si="100"/>
        <v>36567475</v>
      </c>
      <c r="U164" s="232">
        <f t="shared" si="99"/>
        <v>2917514321.9399996</v>
      </c>
      <c r="V164" s="232">
        <f>SUM(V153:V163)</f>
        <v>1038214682.64</v>
      </c>
    </row>
    <row r="165" spans="1:25" hidden="1">
      <c r="A165" s="235" t="s">
        <v>56</v>
      </c>
      <c r="B165" s="236">
        <f t="shared" ref="B165:V165" si="101">+B164-B152</f>
        <v>0</v>
      </c>
      <c r="C165" s="236" t="e">
        <f t="shared" si="101"/>
        <v>#REF!</v>
      </c>
      <c r="D165" s="236" t="e">
        <f t="shared" si="101"/>
        <v>#REF!</v>
      </c>
      <c r="E165" s="236" t="e">
        <f t="shared" si="101"/>
        <v>#REF!</v>
      </c>
      <c r="F165" s="236">
        <f t="shared" si="101"/>
        <v>0</v>
      </c>
      <c r="G165" s="236">
        <f t="shared" si="101"/>
        <v>0</v>
      </c>
      <c r="H165" s="237">
        <f t="shared" si="101"/>
        <v>0</v>
      </c>
      <c r="I165" s="237">
        <f t="shared" si="101"/>
        <v>0</v>
      </c>
      <c r="J165" s="237">
        <f t="shared" si="101"/>
        <v>0</v>
      </c>
      <c r="K165" s="2251">
        <f t="shared" si="101"/>
        <v>0</v>
      </c>
      <c r="L165" s="2251">
        <f t="shared" si="101"/>
        <v>0</v>
      </c>
      <c r="M165" s="238">
        <f>+M164-M152</f>
        <v>0</v>
      </c>
      <c r="N165" s="236">
        <f>+N164-N152</f>
        <v>0</v>
      </c>
      <c r="O165" s="236">
        <f>+O164-O152</f>
        <v>0</v>
      </c>
      <c r="P165" s="236">
        <f>+P164-P152</f>
        <v>0</v>
      </c>
      <c r="Q165" s="236">
        <f>+Q164-Q152</f>
        <v>0</v>
      </c>
      <c r="R165" s="236"/>
      <c r="S165" s="236"/>
      <c r="T165" s="236"/>
      <c r="U165" s="236">
        <f t="shared" si="101"/>
        <v>0</v>
      </c>
      <c r="V165" s="236">
        <f t="shared" si="101"/>
        <v>0</v>
      </c>
    </row>
    <row r="166" spans="1:25" ht="3.75" hidden="1" customHeight="1" thickBot="1">
      <c r="A166" s="192"/>
      <c r="B166" s="239"/>
      <c r="C166" s="239"/>
      <c r="D166" s="239"/>
      <c r="E166" s="239"/>
      <c r="F166" s="239"/>
      <c r="G166" s="239"/>
      <c r="H166" s="240"/>
      <c r="I166" s="240"/>
      <c r="J166" s="239"/>
      <c r="K166" s="2252"/>
      <c r="L166" s="2252"/>
      <c r="M166" s="241"/>
      <c r="N166" s="239"/>
      <c r="O166" s="239"/>
      <c r="P166" s="239"/>
      <c r="Q166" s="239"/>
      <c r="R166" s="239"/>
      <c r="S166" s="239"/>
      <c r="T166" s="239"/>
      <c r="U166" s="239"/>
    </row>
    <row r="167" spans="1:25" ht="32.25" hidden="1" customHeight="1" thickBot="1">
      <c r="A167" s="242" t="s">
        <v>506</v>
      </c>
      <c r="B167" s="243">
        <f>SUM(B168:B179)</f>
        <v>41617945</v>
      </c>
      <c r="C167" s="243" t="e">
        <f t="shared" ref="C167:U167" si="102">SUM(C168:C179)</f>
        <v>#REF!</v>
      </c>
      <c r="D167" s="243" t="e">
        <f t="shared" si="102"/>
        <v>#REF!</v>
      </c>
      <c r="E167" s="243" t="e">
        <f t="shared" si="102"/>
        <v>#REF!</v>
      </c>
      <c r="F167" s="243">
        <f t="shared" si="102"/>
        <v>85458386</v>
      </c>
      <c r="G167" s="244">
        <f t="shared" si="102"/>
        <v>136543290</v>
      </c>
      <c r="H167" s="243">
        <f t="shared" si="102"/>
        <v>176246118</v>
      </c>
      <c r="I167" s="243">
        <f t="shared" si="102"/>
        <v>213347494</v>
      </c>
      <c r="J167" s="243">
        <f t="shared" si="102"/>
        <v>380094141</v>
      </c>
      <c r="K167" s="244">
        <f t="shared" si="102"/>
        <v>174011866</v>
      </c>
      <c r="L167" s="244">
        <f t="shared" si="102"/>
        <v>173930778</v>
      </c>
      <c r="M167" s="245">
        <f t="shared" si="102"/>
        <v>184260587</v>
      </c>
      <c r="N167" s="246">
        <f t="shared" si="102"/>
        <v>365606618</v>
      </c>
      <c r="O167" s="243">
        <f t="shared" si="102"/>
        <v>256170008</v>
      </c>
      <c r="P167" s="243">
        <f>SUM(P168:P179)</f>
        <v>93029324</v>
      </c>
      <c r="Q167" s="243">
        <f>SUM(Q168:Q179)</f>
        <v>75277331</v>
      </c>
      <c r="R167" s="243">
        <f>SUM(R168:R179)</f>
        <v>33426087</v>
      </c>
      <c r="S167" s="243">
        <f>SUM(S168:S179)</f>
        <v>32960960</v>
      </c>
      <c r="T167" s="243">
        <f>SUM(T168:T179)</f>
        <v>31702952</v>
      </c>
      <c r="U167" s="243">
        <f t="shared" si="102"/>
        <v>1626458786</v>
      </c>
      <c r="V167" s="975"/>
    </row>
    <row r="168" spans="1:25" hidden="1">
      <c r="A168" s="218" t="s">
        <v>70</v>
      </c>
      <c r="B168" s="247">
        <v>0</v>
      </c>
      <c r="C168" s="247">
        <v>0</v>
      </c>
      <c r="D168" s="247">
        <v>0</v>
      </c>
      <c r="E168" s="247">
        <v>0</v>
      </c>
      <c r="F168" s="247">
        <v>453868</v>
      </c>
      <c r="G168" s="248">
        <v>569798</v>
      </c>
      <c r="H168" s="247">
        <v>474487</v>
      </c>
      <c r="I168" s="247">
        <v>126548</v>
      </c>
      <c r="J168" s="247">
        <v>0</v>
      </c>
      <c r="K168" s="248">
        <v>0</v>
      </c>
      <c r="L168" s="248">
        <v>0</v>
      </c>
      <c r="M168" s="249">
        <v>0</v>
      </c>
      <c r="N168" s="250">
        <v>0</v>
      </c>
      <c r="O168" s="247">
        <v>0</v>
      </c>
      <c r="P168" s="247">
        <v>0</v>
      </c>
      <c r="Q168" s="247">
        <v>0</v>
      </c>
      <c r="R168" s="1010">
        <v>0</v>
      </c>
      <c r="S168" s="1010">
        <v>0</v>
      </c>
      <c r="T168" s="1010">
        <v>0</v>
      </c>
      <c r="U168" s="219">
        <v>0</v>
      </c>
      <c r="V168" s="974"/>
    </row>
    <row r="169" spans="1:25" hidden="1">
      <c r="A169" s="222" t="s">
        <v>25</v>
      </c>
      <c r="B169" s="219">
        <v>473501</v>
      </c>
      <c r="C169" s="219" t="e">
        <v>#REF!</v>
      </c>
      <c r="D169" s="219" t="e">
        <v>#REF!</v>
      </c>
      <c r="E169" s="219" t="e">
        <v>#REF!</v>
      </c>
      <c r="F169" s="219">
        <v>642141</v>
      </c>
      <c r="G169" s="220">
        <v>8751565</v>
      </c>
      <c r="H169" s="219">
        <v>2800194</v>
      </c>
      <c r="I169" s="219">
        <v>5158660</v>
      </c>
      <c r="J169" s="219">
        <v>31496943</v>
      </c>
      <c r="K169" s="2247">
        <v>17494706</v>
      </c>
      <c r="L169" s="2247">
        <v>31081154</v>
      </c>
      <c r="M169" s="2282">
        <v>17265514</v>
      </c>
      <c r="N169" s="2270">
        <v>2190420</v>
      </c>
      <c r="O169" s="219">
        <v>1116432</v>
      </c>
      <c r="P169" s="219">
        <v>1151569</v>
      </c>
      <c r="Q169" s="219">
        <v>1216734</v>
      </c>
      <c r="R169" s="219">
        <v>1006734</v>
      </c>
      <c r="S169" s="219">
        <v>989414</v>
      </c>
      <c r="T169" s="219">
        <v>494707</v>
      </c>
      <c r="U169" s="219">
        <v>88009621</v>
      </c>
      <c r="V169" s="974"/>
    </row>
    <row r="170" spans="1:25" ht="14.25" hidden="1" customHeight="1">
      <c r="A170" s="222" t="s">
        <v>27</v>
      </c>
      <c r="B170" s="219">
        <v>279786</v>
      </c>
      <c r="C170" s="219">
        <v>0</v>
      </c>
      <c r="D170" s="219">
        <v>0</v>
      </c>
      <c r="E170" s="219">
        <v>279786</v>
      </c>
      <c r="F170" s="219">
        <v>7461875</v>
      </c>
      <c r="G170" s="220">
        <v>4145000</v>
      </c>
      <c r="H170" s="219">
        <v>6242425</v>
      </c>
      <c r="I170" s="219">
        <v>5702760</v>
      </c>
      <c r="J170" s="219">
        <v>19030945</v>
      </c>
      <c r="K170" s="2247">
        <v>3686480</v>
      </c>
      <c r="L170" s="2247">
        <v>1651313</v>
      </c>
      <c r="M170" s="2282">
        <v>2644619</v>
      </c>
      <c r="N170" s="2270">
        <v>500000</v>
      </c>
      <c r="O170" s="219">
        <v>0</v>
      </c>
      <c r="P170" s="219">
        <v>0</v>
      </c>
      <c r="Q170" s="219">
        <v>0</v>
      </c>
      <c r="R170" s="219">
        <v>0</v>
      </c>
      <c r="S170" s="219">
        <v>0</v>
      </c>
      <c r="T170" s="219">
        <v>0</v>
      </c>
      <c r="U170" s="219">
        <v>23826877</v>
      </c>
      <c r="V170" s="974"/>
    </row>
    <row r="171" spans="1:25" ht="14.25" hidden="1" customHeight="1">
      <c r="A171" s="222" t="s">
        <v>68</v>
      </c>
      <c r="B171" s="219">
        <v>0</v>
      </c>
      <c r="C171" s="219">
        <v>0</v>
      </c>
      <c r="D171" s="219">
        <v>0</v>
      </c>
      <c r="E171" s="219">
        <v>0</v>
      </c>
      <c r="F171" s="219">
        <v>8238536</v>
      </c>
      <c r="G171" s="220">
        <v>6250000</v>
      </c>
      <c r="H171" s="219">
        <v>10099132</v>
      </c>
      <c r="I171" s="219">
        <v>10537789</v>
      </c>
      <c r="J171" s="219">
        <v>30895261</v>
      </c>
      <c r="K171" s="2247">
        <v>4477145</v>
      </c>
      <c r="L171" s="2247">
        <v>6553250</v>
      </c>
      <c r="M171" s="2282">
        <v>10458622</v>
      </c>
      <c r="N171" s="2270">
        <v>11861826</v>
      </c>
      <c r="O171" s="219">
        <v>8696585</v>
      </c>
      <c r="P171" s="219">
        <v>7032200</v>
      </c>
      <c r="Q171" s="219">
        <v>1394500</v>
      </c>
      <c r="R171" s="219">
        <v>0</v>
      </c>
      <c r="S171" s="219">
        <v>0</v>
      </c>
      <c r="T171" s="219">
        <v>0</v>
      </c>
      <c r="U171" s="219">
        <v>76892244</v>
      </c>
      <c r="V171" s="974"/>
    </row>
    <row r="172" spans="1:25" hidden="1">
      <c r="A172" s="218" t="s">
        <v>24</v>
      </c>
      <c r="B172" s="219">
        <v>0</v>
      </c>
      <c r="C172" s="219">
        <v>0</v>
      </c>
      <c r="D172" s="219">
        <v>0</v>
      </c>
      <c r="E172" s="219">
        <v>0</v>
      </c>
      <c r="F172" s="219">
        <v>101937</v>
      </c>
      <c r="G172" s="220">
        <v>220330</v>
      </c>
      <c r="H172" s="219">
        <v>1345053</v>
      </c>
      <c r="I172" s="219">
        <v>2037072</v>
      </c>
      <c r="J172" s="219">
        <v>6780924</v>
      </c>
      <c r="K172" s="2247">
        <v>3254229</v>
      </c>
      <c r="L172" s="2247">
        <v>22550528</v>
      </c>
      <c r="M172" s="2282">
        <v>20057994</v>
      </c>
      <c r="N172" s="2270">
        <v>12000000</v>
      </c>
      <c r="O172" s="219">
        <v>12000000</v>
      </c>
      <c r="P172" s="219">
        <v>12000000</v>
      </c>
      <c r="Q172" s="219">
        <v>12000000</v>
      </c>
      <c r="R172" s="219">
        <v>0</v>
      </c>
      <c r="S172" s="219">
        <v>0</v>
      </c>
      <c r="T172" s="219">
        <v>0</v>
      </c>
      <c r="U172" s="219">
        <v>97389446</v>
      </c>
      <c r="V172" s="974"/>
    </row>
    <row r="173" spans="1:25" hidden="1">
      <c r="A173" s="222" t="s">
        <v>73</v>
      </c>
      <c r="B173" s="219">
        <v>5935894</v>
      </c>
      <c r="C173" s="219">
        <v>0</v>
      </c>
      <c r="D173" s="219">
        <v>0</v>
      </c>
      <c r="E173" s="219">
        <v>6647405</v>
      </c>
      <c r="F173" s="219">
        <v>10285500</v>
      </c>
      <c r="G173" s="220">
        <v>12796084</v>
      </c>
      <c r="H173" s="219">
        <v>12792166</v>
      </c>
      <c r="I173" s="219">
        <v>9659941</v>
      </c>
      <c r="J173" s="219">
        <v>0</v>
      </c>
      <c r="K173" s="2247">
        <v>200000</v>
      </c>
      <c r="L173" s="2247">
        <v>0</v>
      </c>
      <c r="M173" s="2282">
        <v>0</v>
      </c>
      <c r="N173" s="2270">
        <v>0</v>
      </c>
      <c r="O173" s="219">
        <v>0</v>
      </c>
      <c r="P173" s="219">
        <v>0</v>
      </c>
      <c r="Q173" s="219">
        <v>0</v>
      </c>
      <c r="R173" s="219">
        <v>0</v>
      </c>
      <c r="S173" s="219">
        <v>0</v>
      </c>
      <c r="T173" s="219">
        <v>0</v>
      </c>
      <c r="U173" s="219">
        <v>0</v>
      </c>
      <c r="V173" s="974"/>
    </row>
    <row r="174" spans="1:25" hidden="1">
      <c r="A174" s="222" t="s">
        <v>74</v>
      </c>
      <c r="B174" s="219">
        <v>10594223</v>
      </c>
      <c r="C174" s="219">
        <v>0</v>
      </c>
      <c r="D174" s="219">
        <v>0</v>
      </c>
      <c r="E174" s="219">
        <v>3058368</v>
      </c>
      <c r="F174" s="219">
        <v>17692550</v>
      </c>
      <c r="G174" s="220">
        <v>2998223</v>
      </c>
      <c r="H174" s="219">
        <v>3753212</v>
      </c>
      <c r="I174" s="219">
        <v>4711864</v>
      </c>
      <c r="J174" s="219">
        <v>0</v>
      </c>
      <c r="K174" s="2247">
        <v>0</v>
      </c>
      <c r="L174" s="2247">
        <v>0</v>
      </c>
      <c r="M174" s="2282">
        <v>0</v>
      </c>
      <c r="N174" s="2270">
        <v>0</v>
      </c>
      <c r="O174" s="219">
        <v>0</v>
      </c>
      <c r="P174" s="219">
        <v>0</v>
      </c>
      <c r="Q174" s="219">
        <v>0</v>
      </c>
      <c r="R174" s="219">
        <v>0</v>
      </c>
      <c r="S174" s="219">
        <v>0</v>
      </c>
      <c r="T174" s="219">
        <v>0</v>
      </c>
      <c r="U174" s="219">
        <v>0</v>
      </c>
      <c r="V174" s="974"/>
    </row>
    <row r="175" spans="1:25" hidden="1">
      <c r="A175" s="222" t="s">
        <v>29</v>
      </c>
      <c r="B175" s="219">
        <v>0</v>
      </c>
      <c r="C175" s="219">
        <v>0</v>
      </c>
      <c r="D175" s="219">
        <v>0</v>
      </c>
      <c r="E175" s="219">
        <v>0</v>
      </c>
      <c r="F175" s="219">
        <v>0</v>
      </c>
      <c r="G175" s="220">
        <v>18718271</v>
      </c>
      <c r="H175" s="219">
        <v>16003036</v>
      </c>
      <c r="I175" s="219">
        <v>3705956</v>
      </c>
      <c r="J175" s="219">
        <v>17362220</v>
      </c>
      <c r="K175" s="2247">
        <v>2875044</v>
      </c>
      <c r="L175" s="2247">
        <v>697024</v>
      </c>
      <c r="M175" s="2282">
        <v>0</v>
      </c>
      <c r="N175" s="2270">
        <v>0</v>
      </c>
      <c r="O175" s="219">
        <v>0</v>
      </c>
      <c r="P175" s="219">
        <v>0</v>
      </c>
      <c r="Q175" s="219">
        <v>0</v>
      </c>
      <c r="R175" s="219">
        <v>0</v>
      </c>
      <c r="S175" s="219">
        <v>0</v>
      </c>
      <c r="T175" s="219">
        <v>0</v>
      </c>
      <c r="U175" s="219">
        <v>18059244</v>
      </c>
      <c r="V175" s="974"/>
    </row>
    <row r="176" spans="1:25" ht="24" hidden="1">
      <c r="A176" s="222" t="s">
        <v>38</v>
      </c>
      <c r="B176" s="219">
        <v>0</v>
      </c>
      <c r="C176" s="219">
        <v>0</v>
      </c>
      <c r="D176" s="219">
        <v>0</v>
      </c>
      <c r="E176" s="219">
        <v>0</v>
      </c>
      <c r="F176" s="219">
        <v>0</v>
      </c>
      <c r="G176" s="220">
        <v>0</v>
      </c>
      <c r="H176" s="219">
        <v>0</v>
      </c>
      <c r="I176" s="219">
        <v>841481</v>
      </c>
      <c r="J176" s="880">
        <v>841481</v>
      </c>
      <c r="K176" s="2253">
        <v>0</v>
      </c>
      <c r="L176" s="2253">
        <v>0</v>
      </c>
      <c r="M176" s="2284">
        <v>0</v>
      </c>
      <c r="N176" s="2273">
        <v>0</v>
      </c>
      <c r="O176" s="880">
        <v>0</v>
      </c>
      <c r="P176" s="880">
        <v>0</v>
      </c>
      <c r="Q176" s="880">
        <v>0</v>
      </c>
      <c r="R176" s="880">
        <v>0</v>
      </c>
      <c r="S176" s="880">
        <v>0</v>
      </c>
      <c r="T176" s="880">
        <v>0</v>
      </c>
      <c r="U176" s="219">
        <v>841481</v>
      </c>
      <c r="V176" s="976"/>
    </row>
    <row r="177" spans="1:22" ht="13.5" hidden="1" customHeight="1">
      <c r="A177" s="222" t="s">
        <v>32</v>
      </c>
      <c r="B177" s="219">
        <v>0</v>
      </c>
      <c r="C177" s="219" t="e">
        <v>#REF!</v>
      </c>
      <c r="D177" s="219" t="e">
        <v>#REF!</v>
      </c>
      <c r="E177" s="219" t="e">
        <v>#REF!</v>
      </c>
      <c r="F177" s="219">
        <v>1361604</v>
      </c>
      <c r="G177" s="220">
        <v>6341970</v>
      </c>
      <c r="H177" s="219">
        <v>5828817</v>
      </c>
      <c r="I177" s="219">
        <v>8011553</v>
      </c>
      <c r="J177" s="219">
        <v>11647133</v>
      </c>
      <c r="K177" s="2247">
        <v>235906</v>
      </c>
      <c r="L177" s="2247">
        <v>137580</v>
      </c>
      <c r="M177" s="2282">
        <v>4858633</v>
      </c>
      <c r="N177" s="2270">
        <v>15423597</v>
      </c>
      <c r="O177" s="219">
        <v>10410084</v>
      </c>
      <c r="P177" s="219">
        <v>8543805</v>
      </c>
      <c r="Q177" s="219">
        <v>3158660</v>
      </c>
      <c r="R177" s="219">
        <v>113837</v>
      </c>
      <c r="S177" s="219">
        <v>0</v>
      </c>
      <c r="T177" s="219">
        <v>0</v>
      </c>
      <c r="U177" s="219">
        <v>54293329</v>
      </c>
      <c r="V177" s="974"/>
    </row>
    <row r="178" spans="1:22" ht="14.25" hidden="1" customHeight="1">
      <c r="A178" s="251" t="s">
        <v>31</v>
      </c>
      <c r="B178" s="225">
        <v>0</v>
      </c>
      <c r="C178" s="225">
        <v>0</v>
      </c>
      <c r="D178" s="225">
        <v>0</v>
      </c>
      <c r="E178" s="225">
        <v>0</v>
      </c>
      <c r="F178" s="225">
        <v>0</v>
      </c>
      <c r="G178" s="226">
        <v>0</v>
      </c>
      <c r="H178" s="225">
        <v>0</v>
      </c>
      <c r="I178" s="225">
        <v>1023120</v>
      </c>
      <c r="J178" s="219">
        <v>0</v>
      </c>
      <c r="K178" s="2248">
        <v>0</v>
      </c>
      <c r="L178" s="2248">
        <v>0</v>
      </c>
      <c r="M178" s="2283">
        <v>0</v>
      </c>
      <c r="N178" s="2271">
        <v>0</v>
      </c>
      <c r="O178" s="225">
        <v>0</v>
      </c>
      <c r="P178" s="225">
        <v>0</v>
      </c>
      <c r="Q178" s="225">
        <v>0</v>
      </c>
      <c r="R178" s="225">
        <v>0</v>
      </c>
      <c r="S178" s="225">
        <v>0</v>
      </c>
      <c r="T178" s="225">
        <v>0</v>
      </c>
      <c r="U178" s="219">
        <v>0</v>
      </c>
      <c r="V178" s="974"/>
    </row>
    <row r="179" spans="1:22" ht="13.5" hidden="1" thickBot="1">
      <c r="A179" s="227" t="s">
        <v>33</v>
      </c>
      <c r="B179" s="228">
        <v>24334541</v>
      </c>
      <c r="C179" s="228" t="e">
        <v>#REF!</v>
      </c>
      <c r="D179" s="228" t="e">
        <v>#REF!</v>
      </c>
      <c r="E179" s="228" t="e">
        <v>#REF!</v>
      </c>
      <c r="F179" s="228">
        <v>39220375</v>
      </c>
      <c r="G179" s="229">
        <v>75752049</v>
      </c>
      <c r="H179" s="228">
        <v>116907596</v>
      </c>
      <c r="I179" s="228">
        <v>161830750</v>
      </c>
      <c r="J179" s="2249">
        <v>262039234</v>
      </c>
      <c r="K179" s="2249">
        <v>141788356</v>
      </c>
      <c r="L179" s="2288">
        <v>111259929</v>
      </c>
      <c r="M179" s="230">
        <v>128975205</v>
      </c>
      <c r="N179" s="2272">
        <v>323630775</v>
      </c>
      <c r="O179" s="228">
        <v>223946907</v>
      </c>
      <c r="P179" s="228">
        <v>64301750</v>
      </c>
      <c r="Q179" s="228">
        <v>57507437</v>
      </c>
      <c r="R179" s="228">
        <v>32305516</v>
      </c>
      <c r="S179" s="228">
        <v>31971546</v>
      </c>
      <c r="T179" s="228">
        <v>31208245</v>
      </c>
      <c r="U179" s="219">
        <v>1267146544</v>
      </c>
      <c r="V179" s="974"/>
    </row>
    <row r="180" spans="1:22" hidden="1">
      <c r="A180" s="252"/>
      <c r="B180" s="253">
        <f>SUM(B168:B179)</f>
        <v>41617945</v>
      </c>
      <c r="C180" s="253" t="e">
        <f t="shared" ref="C180:U180" si="103">SUM(C168:C179)</f>
        <v>#REF!</v>
      </c>
      <c r="D180" s="253" t="e">
        <f t="shared" si="103"/>
        <v>#REF!</v>
      </c>
      <c r="E180" s="253" t="e">
        <f t="shared" si="103"/>
        <v>#REF!</v>
      </c>
      <c r="F180" s="253">
        <f t="shared" si="103"/>
        <v>85458386</v>
      </c>
      <c r="G180" s="253">
        <f t="shared" si="103"/>
        <v>136543290</v>
      </c>
      <c r="H180" s="254">
        <f t="shared" si="103"/>
        <v>176246118</v>
      </c>
      <c r="I180" s="254">
        <f t="shared" si="103"/>
        <v>213347494</v>
      </c>
      <c r="J180" s="254">
        <f t="shared" si="103"/>
        <v>380094141</v>
      </c>
      <c r="K180" s="2230">
        <f t="shared" si="103"/>
        <v>174011866</v>
      </c>
      <c r="L180" s="2230">
        <f t="shared" si="103"/>
        <v>173930778</v>
      </c>
      <c r="M180" s="255">
        <f t="shared" si="103"/>
        <v>184260587</v>
      </c>
      <c r="N180" s="253">
        <f t="shared" si="103"/>
        <v>365606618</v>
      </c>
      <c r="O180" s="253">
        <f t="shared" si="103"/>
        <v>256170008</v>
      </c>
      <c r="P180" s="253">
        <f t="shared" si="103"/>
        <v>93029324</v>
      </c>
      <c r="Q180" s="253">
        <f t="shared" si="103"/>
        <v>75277331</v>
      </c>
      <c r="R180" s="253">
        <f t="shared" si="103"/>
        <v>33426087</v>
      </c>
      <c r="S180" s="253">
        <f t="shared" si="103"/>
        <v>32960960</v>
      </c>
      <c r="T180" s="253">
        <f t="shared" si="103"/>
        <v>31702952</v>
      </c>
      <c r="U180" s="253">
        <f t="shared" si="103"/>
        <v>1626458786</v>
      </c>
      <c r="V180" s="256"/>
    </row>
    <row r="181" spans="1:22" ht="17.25" hidden="1" customHeight="1" thickBot="1">
      <c r="A181" s="257"/>
      <c r="B181" s="150" t="s">
        <v>6</v>
      </c>
      <c r="C181" s="258" t="s">
        <v>7</v>
      </c>
      <c r="D181" s="258" t="s">
        <v>8</v>
      </c>
      <c r="E181" s="258" t="s">
        <v>9</v>
      </c>
      <c r="F181" s="150" t="s">
        <v>10</v>
      </c>
      <c r="G181" s="149" t="s">
        <v>11</v>
      </c>
      <c r="H181" s="150" t="s">
        <v>12</v>
      </c>
      <c r="I181" s="150" t="s">
        <v>13</v>
      </c>
      <c r="J181" s="793" t="s">
        <v>275</v>
      </c>
      <c r="K181" s="2231" t="s">
        <v>14</v>
      </c>
      <c r="L181" s="2231" t="s">
        <v>15</v>
      </c>
      <c r="M181" s="2281" t="s">
        <v>16</v>
      </c>
      <c r="N181" s="2265" t="s">
        <v>17</v>
      </c>
      <c r="O181" s="150" t="s">
        <v>18</v>
      </c>
      <c r="P181" s="150" t="s">
        <v>271</v>
      </c>
      <c r="Q181" s="150" t="s">
        <v>276</v>
      </c>
      <c r="R181" s="150" t="s">
        <v>340</v>
      </c>
      <c r="S181" s="150" t="s">
        <v>341</v>
      </c>
      <c r="T181" s="150" t="s">
        <v>339</v>
      </c>
      <c r="U181" s="152" t="s">
        <v>61</v>
      </c>
    </row>
    <row r="182" spans="1:22" ht="9" hidden="1" customHeight="1">
      <c r="A182" s="959"/>
      <c r="B182" s="960"/>
      <c r="C182" s="960"/>
      <c r="D182" s="960"/>
      <c r="E182" s="960"/>
      <c r="F182" s="960"/>
      <c r="G182" s="961"/>
      <c r="H182" s="960"/>
      <c r="I182" s="960"/>
      <c r="J182" s="962"/>
      <c r="K182" s="961"/>
      <c r="L182" s="961"/>
      <c r="M182" s="963"/>
      <c r="N182" s="964"/>
      <c r="O182" s="960"/>
      <c r="P182" s="960"/>
      <c r="Q182" s="960"/>
      <c r="R182" s="960"/>
      <c r="S182" s="960"/>
      <c r="T182" s="960"/>
      <c r="U182" s="960"/>
      <c r="V182" s="977"/>
    </row>
    <row r="183" spans="1:22" ht="13.5" hidden="1" thickBot="1">
      <c r="A183" s="965" t="s">
        <v>75</v>
      </c>
      <c r="B183" s="966" t="e">
        <f t="shared" ref="B183:U183" si="104">+B121-B152</f>
        <v>#REF!</v>
      </c>
      <c r="C183" s="966" t="e">
        <f t="shared" si="104"/>
        <v>#REF!</v>
      </c>
      <c r="D183" s="966" t="e">
        <f t="shared" si="104"/>
        <v>#REF!</v>
      </c>
      <c r="E183" s="966" t="e">
        <f t="shared" si="104"/>
        <v>#REF!</v>
      </c>
      <c r="F183" s="966" t="e">
        <f t="shared" si="104"/>
        <v>#REF!</v>
      </c>
      <c r="G183" s="967" t="e">
        <f t="shared" si="104"/>
        <v>#REF!</v>
      </c>
      <c r="H183" s="966" t="e">
        <f t="shared" si="104"/>
        <v>#REF!</v>
      </c>
      <c r="I183" s="966" t="e">
        <f t="shared" si="104"/>
        <v>#REF!</v>
      </c>
      <c r="J183" s="966">
        <f t="shared" si="104"/>
        <v>-195638537</v>
      </c>
      <c r="K183" s="967" t="e">
        <f t="shared" si="104"/>
        <v>#REF!</v>
      </c>
      <c r="L183" s="967">
        <f t="shared" si="104"/>
        <v>-95768268</v>
      </c>
      <c r="M183" s="968">
        <f t="shared" si="104"/>
        <v>-17575752</v>
      </c>
      <c r="N183" s="969">
        <f t="shared" si="104"/>
        <v>2320430</v>
      </c>
      <c r="O183" s="966">
        <f t="shared" si="104"/>
        <v>9321338</v>
      </c>
      <c r="P183" s="966">
        <f t="shared" si="104"/>
        <v>22734348</v>
      </c>
      <c r="Q183" s="966">
        <f t="shared" si="104"/>
        <v>9090917</v>
      </c>
      <c r="R183" s="966">
        <f t="shared" si="104"/>
        <v>3847850</v>
      </c>
      <c r="S183" s="966">
        <f t="shared" si="104"/>
        <v>1747919</v>
      </c>
      <c r="T183" s="966">
        <f t="shared" si="104"/>
        <v>0</v>
      </c>
      <c r="U183" s="966">
        <f t="shared" si="104"/>
        <v>-259919755</v>
      </c>
      <c r="V183" s="978"/>
    </row>
    <row r="184" spans="1:22" hidden="1">
      <c r="A184" s="259" t="s">
        <v>24</v>
      </c>
      <c r="B184" s="260">
        <f t="shared" ref="B184:U184" si="105">+B122-B153</f>
        <v>-6707413</v>
      </c>
      <c r="C184" s="260" t="e">
        <f t="shared" si="105"/>
        <v>#REF!</v>
      </c>
      <c r="D184" s="260" t="e">
        <f t="shared" si="105"/>
        <v>#REF!</v>
      </c>
      <c r="E184" s="260" t="e">
        <f t="shared" si="105"/>
        <v>#REF!</v>
      </c>
      <c r="F184" s="260">
        <f t="shared" si="105"/>
        <v>-12167888</v>
      </c>
      <c r="G184" s="261">
        <f t="shared" si="105"/>
        <v>-38782694</v>
      </c>
      <c r="H184" s="260">
        <f t="shared" si="105"/>
        <v>-28096945.299999997</v>
      </c>
      <c r="I184" s="260">
        <f t="shared" si="105"/>
        <v>-28935141.000000015</v>
      </c>
      <c r="J184" s="260">
        <f t="shared" si="105"/>
        <v>-1264878</v>
      </c>
      <c r="K184" s="261">
        <f t="shared" si="105"/>
        <v>-2223</v>
      </c>
      <c r="L184" s="261">
        <f t="shared" si="105"/>
        <v>-39814</v>
      </c>
      <c r="M184" s="262">
        <f t="shared" si="105"/>
        <v>-6342636</v>
      </c>
      <c r="N184" s="263">
        <f t="shared" si="105"/>
        <v>1192042</v>
      </c>
      <c r="O184" s="260">
        <f t="shared" si="105"/>
        <v>2509476</v>
      </c>
      <c r="P184" s="260">
        <f t="shared" si="105"/>
        <v>3050526</v>
      </c>
      <c r="Q184" s="260">
        <f t="shared" si="105"/>
        <v>387580</v>
      </c>
      <c r="R184" s="260">
        <f t="shared" si="105"/>
        <v>200</v>
      </c>
      <c r="S184" s="260">
        <f t="shared" si="105"/>
        <v>200</v>
      </c>
      <c r="T184" s="260">
        <f t="shared" si="105"/>
        <v>0</v>
      </c>
      <c r="U184" s="265">
        <f t="shared" si="105"/>
        <v>-507304</v>
      </c>
      <c r="V184" s="979"/>
    </row>
    <row r="185" spans="1:22" hidden="1">
      <c r="A185" s="264" t="s">
        <v>66</v>
      </c>
      <c r="B185" s="265">
        <f t="shared" ref="B185:U185" si="106">+B123-B154</f>
        <v>-190000</v>
      </c>
      <c r="C185" s="265" t="e">
        <f t="shared" si="106"/>
        <v>#REF!</v>
      </c>
      <c r="D185" s="265" t="e">
        <f t="shared" si="106"/>
        <v>#REF!</v>
      </c>
      <c r="E185" s="265" t="e">
        <f t="shared" si="106"/>
        <v>#REF!</v>
      </c>
      <c r="F185" s="265">
        <f t="shared" si="106"/>
        <v>-56315</v>
      </c>
      <c r="G185" s="266">
        <f t="shared" si="106"/>
        <v>-195000</v>
      </c>
      <c r="H185" s="265">
        <f t="shared" si="106"/>
        <v>-3197766</v>
      </c>
      <c r="I185" s="265">
        <f t="shared" si="106"/>
        <v>-4349010</v>
      </c>
      <c r="J185" s="265">
        <f t="shared" si="106"/>
        <v>-26411478</v>
      </c>
      <c r="K185" s="2232">
        <f t="shared" si="106"/>
        <v>-13820695</v>
      </c>
      <c r="L185" s="2232">
        <f t="shared" si="106"/>
        <v>-20975841</v>
      </c>
      <c r="M185" s="2285">
        <f t="shared" si="106"/>
        <v>-2177700</v>
      </c>
      <c r="N185" s="2274">
        <f t="shared" si="106"/>
        <v>3355000</v>
      </c>
      <c r="O185" s="265">
        <f t="shared" si="106"/>
        <v>4480000</v>
      </c>
      <c r="P185" s="265">
        <f t="shared" si="106"/>
        <v>9600000</v>
      </c>
      <c r="Q185" s="265">
        <f t="shared" si="106"/>
        <v>5657500</v>
      </c>
      <c r="R185" s="265">
        <f t="shared" si="106"/>
        <v>3566880</v>
      </c>
      <c r="S185" s="265">
        <f t="shared" si="106"/>
        <v>1467579</v>
      </c>
      <c r="T185" s="265">
        <f t="shared" si="106"/>
        <v>0</v>
      </c>
      <c r="U185" s="265">
        <f t="shared" si="106"/>
        <v>-21438060</v>
      </c>
      <c r="V185" s="979"/>
    </row>
    <row r="186" spans="1:22" hidden="1">
      <c r="A186" s="264" t="s">
        <v>25</v>
      </c>
      <c r="B186" s="265" t="e">
        <f t="shared" ref="B186:U186" si="107">+B124-B155</f>
        <v>#REF!</v>
      </c>
      <c r="C186" s="265" t="e">
        <f t="shared" si="107"/>
        <v>#REF!</v>
      </c>
      <c r="D186" s="265" t="e">
        <f t="shared" si="107"/>
        <v>#REF!</v>
      </c>
      <c r="E186" s="265" t="e">
        <f t="shared" si="107"/>
        <v>#REF!</v>
      </c>
      <c r="F186" s="265" t="e">
        <f t="shared" si="107"/>
        <v>#REF!</v>
      </c>
      <c r="G186" s="266" t="e">
        <f t="shared" si="107"/>
        <v>#REF!</v>
      </c>
      <c r="H186" s="265" t="e">
        <f t="shared" si="107"/>
        <v>#REF!</v>
      </c>
      <c r="I186" s="265" t="e">
        <f t="shared" si="107"/>
        <v>#REF!</v>
      </c>
      <c r="J186" s="265">
        <f t="shared" si="107"/>
        <v>-7293750</v>
      </c>
      <c r="K186" s="2232" t="e">
        <f t="shared" si="107"/>
        <v>#REF!</v>
      </c>
      <c r="L186" s="2232">
        <f t="shared" si="107"/>
        <v>-7281250</v>
      </c>
      <c r="M186" s="2285">
        <f t="shared" si="107"/>
        <v>-220763</v>
      </c>
      <c r="N186" s="2274">
        <f t="shared" si="107"/>
        <v>81979</v>
      </c>
      <c r="O186" s="265">
        <f t="shared" si="107"/>
        <v>60000</v>
      </c>
      <c r="P186" s="265">
        <f t="shared" si="107"/>
        <v>0</v>
      </c>
      <c r="Q186" s="265">
        <f t="shared" si="107"/>
        <v>0</v>
      </c>
      <c r="R186" s="265">
        <f t="shared" si="107"/>
        <v>0</v>
      </c>
      <c r="S186" s="265">
        <f t="shared" si="107"/>
        <v>0</v>
      </c>
      <c r="T186" s="265">
        <f t="shared" si="107"/>
        <v>0</v>
      </c>
      <c r="U186" s="265">
        <f t="shared" si="107"/>
        <v>-14653784</v>
      </c>
      <c r="V186" s="979"/>
    </row>
    <row r="187" spans="1:22" hidden="1">
      <c r="A187" s="264" t="s">
        <v>27</v>
      </c>
      <c r="B187" s="265">
        <f t="shared" ref="B187:U187" si="108">+B126-B157</f>
        <v>-3643961</v>
      </c>
      <c r="C187" s="265">
        <f t="shared" si="108"/>
        <v>0</v>
      </c>
      <c r="D187" s="265">
        <f t="shared" si="108"/>
        <v>0</v>
      </c>
      <c r="E187" s="265">
        <f t="shared" si="108"/>
        <v>-3643961</v>
      </c>
      <c r="F187" s="265">
        <f t="shared" si="108"/>
        <v>-1323420</v>
      </c>
      <c r="G187" s="266">
        <f t="shared" si="108"/>
        <v>0</v>
      </c>
      <c r="H187" s="265">
        <f t="shared" si="108"/>
        <v>-570000</v>
      </c>
      <c r="I187" s="265">
        <f t="shared" si="108"/>
        <v>-2950000</v>
      </c>
      <c r="J187" s="265">
        <f t="shared" si="108"/>
        <v>0</v>
      </c>
      <c r="K187" s="2232">
        <f t="shared" si="108"/>
        <v>0</v>
      </c>
      <c r="L187" s="2232">
        <f t="shared" si="108"/>
        <v>0</v>
      </c>
      <c r="M187" s="2285">
        <f t="shared" si="108"/>
        <v>0</v>
      </c>
      <c r="N187" s="2274">
        <f t="shared" si="108"/>
        <v>0</v>
      </c>
      <c r="O187" s="265">
        <f t="shared" si="108"/>
        <v>0</v>
      </c>
      <c r="P187" s="265">
        <f t="shared" si="108"/>
        <v>0</v>
      </c>
      <c r="Q187" s="265">
        <f t="shared" si="108"/>
        <v>0</v>
      </c>
      <c r="R187" s="265">
        <f t="shared" si="108"/>
        <v>0</v>
      </c>
      <c r="S187" s="265">
        <f t="shared" si="108"/>
        <v>0</v>
      </c>
      <c r="T187" s="265">
        <f t="shared" si="108"/>
        <v>0</v>
      </c>
      <c r="U187" s="265">
        <f t="shared" si="108"/>
        <v>0</v>
      </c>
      <c r="V187" s="979"/>
    </row>
    <row r="188" spans="1:22" hidden="1">
      <c r="A188" s="264" t="s">
        <v>68</v>
      </c>
      <c r="B188" s="265">
        <f t="shared" ref="B188:U188" si="109">+B127-B158</f>
        <v>0</v>
      </c>
      <c r="C188" s="265">
        <f t="shared" si="109"/>
        <v>0</v>
      </c>
      <c r="D188" s="265">
        <f t="shared" si="109"/>
        <v>0</v>
      </c>
      <c r="E188" s="265">
        <f t="shared" si="109"/>
        <v>0</v>
      </c>
      <c r="F188" s="265">
        <f t="shared" si="109"/>
        <v>0</v>
      </c>
      <c r="G188" s="266">
        <f t="shared" si="109"/>
        <v>0</v>
      </c>
      <c r="H188" s="265">
        <f t="shared" si="109"/>
        <v>-47355</v>
      </c>
      <c r="I188" s="265">
        <f t="shared" si="109"/>
        <v>-16686450</v>
      </c>
      <c r="J188" s="265">
        <f t="shared" si="109"/>
        <v>-16196250</v>
      </c>
      <c r="K188" s="2232">
        <f t="shared" si="109"/>
        <v>-5756250</v>
      </c>
      <c r="L188" s="2232">
        <f t="shared" si="109"/>
        <v>-3158750</v>
      </c>
      <c r="M188" s="2285">
        <f t="shared" si="109"/>
        <v>0</v>
      </c>
      <c r="N188" s="2274">
        <f t="shared" si="109"/>
        <v>0</v>
      </c>
      <c r="O188" s="265">
        <f t="shared" si="109"/>
        <v>0</v>
      </c>
      <c r="P188" s="265">
        <f t="shared" si="109"/>
        <v>0</v>
      </c>
      <c r="Q188" s="265">
        <f t="shared" si="109"/>
        <v>0</v>
      </c>
      <c r="R188" s="265">
        <f t="shared" si="109"/>
        <v>0</v>
      </c>
      <c r="S188" s="265">
        <f t="shared" si="109"/>
        <v>0</v>
      </c>
      <c r="T188" s="265">
        <f t="shared" si="109"/>
        <v>0</v>
      </c>
      <c r="U188" s="265">
        <f t="shared" si="109"/>
        <v>-19355000</v>
      </c>
      <c r="V188" s="979"/>
    </row>
    <row r="189" spans="1:22" hidden="1">
      <c r="A189" s="264" t="s">
        <v>32</v>
      </c>
      <c r="B189" s="265">
        <f t="shared" ref="B189:U190" si="110">+B128-B159</f>
        <v>0</v>
      </c>
      <c r="C189" s="265">
        <f t="shared" si="110"/>
        <v>0</v>
      </c>
      <c r="D189" s="265">
        <f t="shared" si="110"/>
        <v>0</v>
      </c>
      <c r="E189" s="265">
        <f t="shared" si="110"/>
        <v>0</v>
      </c>
      <c r="F189" s="265">
        <f t="shared" si="110"/>
        <v>-829536</v>
      </c>
      <c r="G189" s="266">
        <f t="shared" si="110"/>
        <v>-4078292</v>
      </c>
      <c r="H189" s="265">
        <f t="shared" si="110"/>
        <v>0</v>
      </c>
      <c r="I189" s="265">
        <f t="shared" si="110"/>
        <v>-59477</v>
      </c>
      <c r="J189" s="265">
        <f>+J128-J159</f>
        <v>0</v>
      </c>
      <c r="K189" s="2232">
        <f t="shared" si="110"/>
        <v>0</v>
      </c>
      <c r="L189" s="2232">
        <f t="shared" si="110"/>
        <v>0</v>
      </c>
      <c r="M189" s="2285">
        <f t="shared" si="110"/>
        <v>-113351</v>
      </c>
      <c r="N189" s="2274">
        <f t="shared" si="110"/>
        <v>113351</v>
      </c>
      <c r="O189" s="265">
        <f t="shared" si="110"/>
        <v>0</v>
      </c>
      <c r="P189" s="265">
        <f t="shared" ref="P189:T190" si="111">+P128-P159</f>
        <v>0</v>
      </c>
      <c r="Q189" s="265">
        <f t="shared" si="111"/>
        <v>0</v>
      </c>
      <c r="R189" s="265">
        <f t="shared" si="111"/>
        <v>0</v>
      </c>
      <c r="S189" s="265">
        <f t="shared" si="111"/>
        <v>0</v>
      </c>
      <c r="T189" s="265">
        <f t="shared" si="111"/>
        <v>0</v>
      </c>
      <c r="U189" s="265">
        <f t="shared" si="110"/>
        <v>0</v>
      </c>
      <c r="V189" s="979"/>
    </row>
    <row r="190" spans="1:22" hidden="1">
      <c r="A190" s="264" t="s">
        <v>29</v>
      </c>
      <c r="B190" s="265">
        <f t="shared" si="110"/>
        <v>-273760</v>
      </c>
      <c r="C190" s="265">
        <f t="shared" si="110"/>
        <v>0</v>
      </c>
      <c r="D190" s="265">
        <f t="shared" si="110"/>
        <v>-43011</v>
      </c>
      <c r="E190" s="265">
        <f t="shared" si="110"/>
        <v>-230749</v>
      </c>
      <c r="F190" s="265">
        <f t="shared" si="110"/>
        <v>-588875</v>
      </c>
      <c r="G190" s="266">
        <f t="shared" si="110"/>
        <v>-18300363</v>
      </c>
      <c r="H190" s="265">
        <f t="shared" si="110"/>
        <v>-4781497</v>
      </c>
      <c r="I190" s="265">
        <f t="shared" si="110"/>
        <v>-980</v>
      </c>
      <c r="J190" s="265">
        <f>+J129-J160</f>
        <v>0</v>
      </c>
      <c r="K190" s="2232">
        <f t="shared" si="110"/>
        <v>0</v>
      </c>
      <c r="L190" s="2232">
        <f t="shared" si="110"/>
        <v>0</v>
      </c>
      <c r="M190" s="2285">
        <f t="shared" si="110"/>
        <v>0</v>
      </c>
      <c r="N190" s="2274">
        <f t="shared" si="110"/>
        <v>0</v>
      </c>
      <c r="O190" s="265">
        <f t="shared" si="110"/>
        <v>0</v>
      </c>
      <c r="P190" s="265">
        <f t="shared" si="111"/>
        <v>0</v>
      </c>
      <c r="Q190" s="265">
        <f t="shared" si="111"/>
        <v>0</v>
      </c>
      <c r="R190" s="265">
        <f t="shared" si="111"/>
        <v>0</v>
      </c>
      <c r="S190" s="265">
        <f t="shared" si="111"/>
        <v>0</v>
      </c>
      <c r="T190" s="265">
        <f t="shared" si="111"/>
        <v>0</v>
      </c>
      <c r="U190" s="265">
        <f t="shared" si="110"/>
        <v>0</v>
      </c>
      <c r="V190" s="979"/>
    </row>
    <row r="191" spans="1:22" hidden="1">
      <c r="A191" s="264" t="s">
        <v>73</v>
      </c>
      <c r="B191" s="265">
        <f t="shared" ref="B191:U191" si="112">+B125-B156</f>
        <v>-5935894</v>
      </c>
      <c r="C191" s="265">
        <f t="shared" si="112"/>
        <v>0</v>
      </c>
      <c r="D191" s="265">
        <f t="shared" si="112"/>
        <v>0</v>
      </c>
      <c r="E191" s="265">
        <f t="shared" si="112"/>
        <v>-6647405</v>
      </c>
      <c r="F191" s="265">
        <f t="shared" si="112"/>
        <v>-10285500</v>
      </c>
      <c r="G191" s="266">
        <f t="shared" si="112"/>
        <v>-12796084</v>
      </c>
      <c r="H191" s="265">
        <f t="shared" si="112"/>
        <v>-12792166</v>
      </c>
      <c r="I191" s="265">
        <f t="shared" si="112"/>
        <v>-9659941</v>
      </c>
      <c r="J191" s="265">
        <f t="shared" si="112"/>
        <v>0</v>
      </c>
      <c r="K191" s="2232">
        <f t="shared" si="112"/>
        <v>0</v>
      </c>
      <c r="L191" s="2232">
        <f t="shared" si="112"/>
        <v>0</v>
      </c>
      <c r="M191" s="2285">
        <f t="shared" si="112"/>
        <v>0</v>
      </c>
      <c r="N191" s="2274">
        <f t="shared" si="112"/>
        <v>0</v>
      </c>
      <c r="O191" s="265">
        <f t="shared" si="112"/>
        <v>0</v>
      </c>
      <c r="P191" s="265">
        <f t="shared" si="112"/>
        <v>0</v>
      </c>
      <c r="Q191" s="265">
        <f t="shared" si="112"/>
        <v>0</v>
      </c>
      <c r="R191" s="265">
        <f t="shared" si="112"/>
        <v>0</v>
      </c>
      <c r="S191" s="265">
        <f t="shared" si="112"/>
        <v>0</v>
      </c>
      <c r="T191" s="265">
        <f t="shared" si="112"/>
        <v>0</v>
      </c>
      <c r="U191" s="265">
        <f t="shared" si="112"/>
        <v>0</v>
      </c>
      <c r="V191" s="979"/>
    </row>
    <row r="192" spans="1:22" ht="13.5" hidden="1" customHeight="1">
      <c r="A192" s="264" t="s">
        <v>72</v>
      </c>
      <c r="B192" s="265">
        <f t="shared" ref="B192:U194" si="113">+B130-B161</f>
        <v>-10594223</v>
      </c>
      <c r="C192" s="265">
        <f t="shared" si="113"/>
        <v>0</v>
      </c>
      <c r="D192" s="265">
        <f t="shared" si="113"/>
        <v>0</v>
      </c>
      <c r="E192" s="265">
        <f t="shared" si="113"/>
        <v>-3058368</v>
      </c>
      <c r="F192" s="265">
        <f t="shared" si="113"/>
        <v>-17692550</v>
      </c>
      <c r="G192" s="266">
        <f t="shared" si="113"/>
        <v>-2998223</v>
      </c>
      <c r="H192" s="265">
        <f t="shared" si="113"/>
        <v>-3753212</v>
      </c>
      <c r="I192" s="265">
        <f t="shared" si="113"/>
        <v>-4711864</v>
      </c>
      <c r="J192" s="265">
        <f>+J130-J161</f>
        <v>0</v>
      </c>
      <c r="K192" s="2232">
        <f t="shared" si="113"/>
        <v>0</v>
      </c>
      <c r="L192" s="2232">
        <f t="shared" si="113"/>
        <v>0</v>
      </c>
      <c r="M192" s="2285">
        <f t="shared" si="113"/>
        <v>0</v>
      </c>
      <c r="N192" s="2274">
        <f t="shared" si="113"/>
        <v>0</v>
      </c>
      <c r="O192" s="265">
        <f t="shared" si="113"/>
        <v>0</v>
      </c>
      <c r="P192" s="265">
        <f t="shared" ref="P192:T194" si="114">+P130-P161</f>
        <v>0</v>
      </c>
      <c r="Q192" s="265">
        <f t="shared" si="114"/>
        <v>0</v>
      </c>
      <c r="R192" s="265">
        <f t="shared" si="114"/>
        <v>0</v>
      </c>
      <c r="S192" s="265">
        <f t="shared" si="114"/>
        <v>0</v>
      </c>
      <c r="T192" s="265">
        <f t="shared" si="114"/>
        <v>0</v>
      </c>
      <c r="U192" s="265">
        <f t="shared" si="113"/>
        <v>0</v>
      </c>
      <c r="V192" s="979"/>
    </row>
    <row r="193" spans="1:27" ht="13.5" hidden="1" customHeight="1">
      <c r="A193" s="267" t="s">
        <v>31</v>
      </c>
      <c r="B193" s="265">
        <f t="shared" si="113"/>
        <v>0</v>
      </c>
      <c r="C193" s="265">
        <f t="shared" si="113"/>
        <v>0</v>
      </c>
      <c r="D193" s="265">
        <f t="shared" si="113"/>
        <v>0</v>
      </c>
      <c r="E193" s="265">
        <f t="shared" si="113"/>
        <v>0</v>
      </c>
      <c r="F193" s="265">
        <f t="shared" si="113"/>
        <v>0</v>
      </c>
      <c r="G193" s="266">
        <f t="shared" si="113"/>
        <v>0</v>
      </c>
      <c r="H193" s="265">
        <f t="shared" si="113"/>
        <v>0</v>
      </c>
      <c r="I193" s="265">
        <f t="shared" si="113"/>
        <v>-1023120</v>
      </c>
      <c r="J193" s="265">
        <f>+J131-J162</f>
        <v>0</v>
      </c>
      <c r="K193" s="2232">
        <f t="shared" si="113"/>
        <v>0</v>
      </c>
      <c r="L193" s="2232">
        <f t="shared" si="113"/>
        <v>0</v>
      </c>
      <c r="M193" s="2285">
        <f t="shared" si="113"/>
        <v>0</v>
      </c>
      <c r="N193" s="2274">
        <f t="shared" si="113"/>
        <v>0</v>
      </c>
      <c r="O193" s="265">
        <f t="shared" si="113"/>
        <v>0</v>
      </c>
      <c r="P193" s="265">
        <f t="shared" si="114"/>
        <v>0</v>
      </c>
      <c r="Q193" s="265">
        <f t="shared" si="114"/>
        <v>0</v>
      </c>
      <c r="R193" s="265">
        <f t="shared" si="114"/>
        <v>0</v>
      </c>
      <c r="S193" s="265">
        <f t="shared" si="114"/>
        <v>0</v>
      </c>
      <c r="T193" s="265">
        <f t="shared" si="114"/>
        <v>0</v>
      </c>
      <c r="U193" s="265">
        <f t="shared" si="113"/>
        <v>0</v>
      </c>
      <c r="V193" s="979"/>
    </row>
    <row r="194" spans="1:27" ht="13.5" hidden="1" thickBot="1">
      <c r="A194" s="268" t="s">
        <v>33</v>
      </c>
      <c r="B194" s="269">
        <f t="shared" si="113"/>
        <v>-24582947</v>
      </c>
      <c r="C194" s="269" t="e">
        <f t="shared" si="113"/>
        <v>#REF!</v>
      </c>
      <c r="D194" s="269" t="e">
        <f t="shared" si="113"/>
        <v>#REF!</v>
      </c>
      <c r="E194" s="269" t="e">
        <f t="shared" si="113"/>
        <v>#REF!</v>
      </c>
      <c r="F194" s="269">
        <f t="shared" si="113"/>
        <v>-49690170</v>
      </c>
      <c r="G194" s="270">
        <f t="shared" si="113"/>
        <v>-63425080</v>
      </c>
      <c r="H194" s="269">
        <f t="shared" si="113"/>
        <v>-77440822</v>
      </c>
      <c r="I194" s="269">
        <f t="shared" si="113"/>
        <v>-131895809</v>
      </c>
      <c r="J194" s="269">
        <f>+J132-J163</f>
        <v>-144472181</v>
      </c>
      <c r="K194" s="2233">
        <f t="shared" si="113"/>
        <v>-91645239</v>
      </c>
      <c r="L194" s="2233">
        <f t="shared" si="113"/>
        <v>-64312613</v>
      </c>
      <c r="M194" s="271">
        <f t="shared" si="113"/>
        <v>-8721302</v>
      </c>
      <c r="N194" s="2275">
        <f t="shared" si="113"/>
        <v>-2421942</v>
      </c>
      <c r="O194" s="269">
        <f t="shared" si="113"/>
        <v>2271862</v>
      </c>
      <c r="P194" s="269">
        <f t="shared" si="114"/>
        <v>10083822</v>
      </c>
      <c r="Q194" s="269">
        <f t="shared" si="114"/>
        <v>3045837</v>
      </c>
      <c r="R194" s="269">
        <f t="shared" si="114"/>
        <v>280770</v>
      </c>
      <c r="S194" s="269">
        <f t="shared" si="114"/>
        <v>280140</v>
      </c>
      <c r="T194" s="269">
        <f t="shared" si="114"/>
        <v>0</v>
      </c>
      <c r="U194" s="265">
        <f>+U132-U163</f>
        <v>-203965607</v>
      </c>
      <c r="V194" s="979">
        <f>+U194-U209</f>
        <v>0</v>
      </c>
      <c r="AA194" s="13">
        <f>+U194-U209</f>
        <v>0</v>
      </c>
    </row>
    <row r="195" spans="1:27" ht="15" hidden="1" customHeight="1" thickBot="1">
      <c r="A195" s="272"/>
      <c r="B195" s="273" t="e">
        <f t="shared" ref="B195:U195" si="115">SUM(B184:B194)</f>
        <v>#REF!</v>
      </c>
      <c r="C195" s="274" t="e">
        <f t="shared" si="115"/>
        <v>#REF!</v>
      </c>
      <c r="D195" s="274" t="e">
        <f t="shared" si="115"/>
        <v>#REF!</v>
      </c>
      <c r="E195" s="274" t="e">
        <f t="shared" si="115"/>
        <v>#REF!</v>
      </c>
      <c r="F195" s="273" t="e">
        <f t="shared" si="115"/>
        <v>#REF!</v>
      </c>
      <c r="G195" s="273" t="e">
        <f t="shared" si="115"/>
        <v>#REF!</v>
      </c>
      <c r="H195" s="275" t="e">
        <f t="shared" si="115"/>
        <v>#REF!</v>
      </c>
      <c r="I195" s="275" t="e">
        <f t="shared" si="115"/>
        <v>#REF!</v>
      </c>
      <c r="J195" s="275">
        <f>SUM(J184:J194)</f>
        <v>-195638537</v>
      </c>
      <c r="K195" s="2234" t="e">
        <f t="shared" si="115"/>
        <v>#REF!</v>
      </c>
      <c r="L195" s="2234">
        <f t="shared" si="115"/>
        <v>-95768268</v>
      </c>
      <c r="M195" s="276">
        <f t="shared" si="115"/>
        <v>-17575752</v>
      </c>
      <c r="N195" s="277">
        <f t="shared" si="115"/>
        <v>2320430</v>
      </c>
      <c r="O195" s="275">
        <f t="shared" si="115"/>
        <v>9321338</v>
      </c>
      <c r="P195" s="275">
        <f>SUM(P184:P194)</f>
        <v>22734348</v>
      </c>
      <c r="Q195" s="275">
        <f>SUM(Q184:Q194)</f>
        <v>9090917</v>
      </c>
      <c r="R195" s="275">
        <f>SUM(R184:R194)</f>
        <v>3847850</v>
      </c>
      <c r="S195" s="275">
        <f>SUM(S184:S194)</f>
        <v>1747919</v>
      </c>
      <c r="T195" s="275">
        <f>SUM(T184:T194)</f>
        <v>0</v>
      </c>
      <c r="U195" s="275">
        <f t="shared" si="115"/>
        <v>-259919755</v>
      </c>
      <c r="V195" s="980"/>
    </row>
    <row r="196" spans="1:27" ht="14.25" hidden="1" customHeight="1" thickBot="1">
      <c r="A196" s="278" t="s">
        <v>56</v>
      </c>
      <c r="B196" s="279" t="e">
        <f t="shared" ref="B196:U196" si="116">+B121-B152</f>
        <v>#REF!</v>
      </c>
      <c r="C196" s="280" t="e">
        <f t="shared" si="116"/>
        <v>#REF!</v>
      </c>
      <c r="D196" s="280" t="e">
        <f t="shared" si="116"/>
        <v>#REF!</v>
      </c>
      <c r="E196" s="280" t="e">
        <f t="shared" si="116"/>
        <v>#REF!</v>
      </c>
      <c r="F196" s="279" t="e">
        <f t="shared" si="116"/>
        <v>#REF!</v>
      </c>
      <c r="G196" s="279" t="e">
        <f t="shared" si="116"/>
        <v>#REF!</v>
      </c>
      <c r="H196" s="281" t="e">
        <f t="shared" si="116"/>
        <v>#REF!</v>
      </c>
      <c r="I196" s="281" t="e">
        <f t="shared" si="116"/>
        <v>#REF!</v>
      </c>
      <c r="J196" s="281">
        <f t="shared" si="116"/>
        <v>-195638537</v>
      </c>
      <c r="K196" s="2235" t="e">
        <f t="shared" si="116"/>
        <v>#REF!</v>
      </c>
      <c r="L196" s="2235">
        <f t="shared" si="116"/>
        <v>-95768268</v>
      </c>
      <c r="M196" s="282">
        <f t="shared" si="116"/>
        <v>-17575752</v>
      </c>
      <c r="N196" s="279">
        <f t="shared" si="116"/>
        <v>2320430</v>
      </c>
      <c r="O196" s="279">
        <f t="shared" si="116"/>
        <v>9321338</v>
      </c>
      <c r="P196" s="279">
        <f t="shared" si="116"/>
        <v>22734348</v>
      </c>
      <c r="Q196" s="279">
        <f t="shared" si="116"/>
        <v>9090917</v>
      </c>
      <c r="R196" s="279">
        <f t="shared" si="116"/>
        <v>3847850</v>
      </c>
      <c r="S196" s="279">
        <f t="shared" si="116"/>
        <v>1747919</v>
      </c>
      <c r="T196" s="279">
        <f t="shared" si="116"/>
        <v>0</v>
      </c>
      <c r="U196" s="279">
        <f t="shared" si="116"/>
        <v>-259919755</v>
      </c>
      <c r="V196" s="279"/>
    </row>
    <row r="197" spans="1:27" ht="16.5" hidden="1" customHeight="1" thickBot="1">
      <c r="A197" s="283" t="s">
        <v>76</v>
      </c>
      <c r="B197" s="284" t="e">
        <f t="shared" ref="B197:U209" si="117">+B135-B167</f>
        <v>#REF!</v>
      </c>
      <c r="C197" s="284" t="e">
        <f t="shared" si="117"/>
        <v>#REF!</v>
      </c>
      <c r="D197" s="284" t="e">
        <f t="shared" si="117"/>
        <v>#REF!</v>
      </c>
      <c r="E197" s="284" t="e">
        <f t="shared" si="117"/>
        <v>#REF!</v>
      </c>
      <c r="F197" s="284" t="e">
        <f t="shared" si="117"/>
        <v>#REF!</v>
      </c>
      <c r="G197" s="285" t="e">
        <f t="shared" si="117"/>
        <v>#REF!</v>
      </c>
      <c r="H197" s="284" t="e">
        <f t="shared" si="117"/>
        <v>#REF!</v>
      </c>
      <c r="I197" s="284" t="e">
        <f t="shared" si="117"/>
        <v>#REF!</v>
      </c>
      <c r="J197" s="284">
        <f t="shared" si="117"/>
        <v>-151406700</v>
      </c>
      <c r="K197" s="285" t="e">
        <f t="shared" si="117"/>
        <v>#REF!</v>
      </c>
      <c r="L197" s="285">
        <f t="shared" si="117"/>
        <v>-80530015</v>
      </c>
      <c r="M197" s="286">
        <f t="shared" si="117"/>
        <v>-33105860</v>
      </c>
      <c r="N197" s="287">
        <f t="shared" si="117"/>
        <v>-12974767</v>
      </c>
      <c r="O197" s="284">
        <f t="shared" si="117"/>
        <v>3684926</v>
      </c>
      <c r="P197" s="284">
        <f t="shared" ref="P197:T209" si="118">+P135-P167</f>
        <v>15729725</v>
      </c>
      <c r="Q197" s="284">
        <f t="shared" si="118"/>
        <v>7349734</v>
      </c>
      <c r="R197" s="284">
        <f t="shared" si="118"/>
        <v>2280770</v>
      </c>
      <c r="S197" s="284">
        <f t="shared" si="118"/>
        <v>1931499</v>
      </c>
      <c r="T197" s="284">
        <f t="shared" si="118"/>
        <v>280140</v>
      </c>
      <c r="U197" s="284">
        <f>SUM(U198:U209)</f>
        <v>-246760548</v>
      </c>
      <c r="V197" s="981"/>
    </row>
    <row r="198" spans="1:27" hidden="1">
      <c r="A198" s="259" t="s">
        <v>70</v>
      </c>
      <c r="B198" s="260">
        <f t="shared" si="117"/>
        <v>0</v>
      </c>
      <c r="C198" s="260">
        <f t="shared" si="117"/>
        <v>0</v>
      </c>
      <c r="D198" s="260">
        <f t="shared" si="117"/>
        <v>0</v>
      </c>
      <c r="E198" s="260">
        <f t="shared" si="117"/>
        <v>0</v>
      </c>
      <c r="F198" s="260">
        <f t="shared" si="117"/>
        <v>-453868</v>
      </c>
      <c r="G198" s="261">
        <f t="shared" si="117"/>
        <v>-569798</v>
      </c>
      <c r="H198" s="260">
        <f t="shared" si="117"/>
        <v>-474487</v>
      </c>
      <c r="I198" s="260">
        <f t="shared" si="117"/>
        <v>-126548</v>
      </c>
      <c r="J198" s="260">
        <f t="shared" ref="J198:J209" si="119">+J136-J168</f>
        <v>0</v>
      </c>
      <c r="K198" s="261">
        <f t="shared" si="117"/>
        <v>0</v>
      </c>
      <c r="L198" s="261">
        <f t="shared" si="117"/>
        <v>0</v>
      </c>
      <c r="M198" s="262">
        <f t="shared" si="117"/>
        <v>0</v>
      </c>
      <c r="N198" s="263">
        <f t="shared" si="117"/>
        <v>0</v>
      </c>
      <c r="O198" s="260">
        <f t="shared" si="117"/>
        <v>0</v>
      </c>
      <c r="P198" s="260">
        <f t="shared" si="118"/>
        <v>0</v>
      </c>
      <c r="Q198" s="260">
        <f t="shared" si="118"/>
        <v>0</v>
      </c>
      <c r="R198" s="260">
        <f t="shared" si="118"/>
        <v>0</v>
      </c>
      <c r="S198" s="260">
        <f t="shared" si="118"/>
        <v>0</v>
      </c>
      <c r="T198" s="260">
        <f t="shared" si="118"/>
        <v>0</v>
      </c>
      <c r="U198" s="288">
        <f>+U136-U168</f>
        <v>0</v>
      </c>
      <c r="V198" s="982"/>
    </row>
    <row r="199" spans="1:27" hidden="1">
      <c r="A199" s="264" t="s">
        <v>25</v>
      </c>
      <c r="B199" s="265" t="e">
        <f t="shared" si="117"/>
        <v>#REF!</v>
      </c>
      <c r="C199" s="265" t="e">
        <f t="shared" si="117"/>
        <v>#REF!</v>
      </c>
      <c r="D199" s="265" t="e">
        <f t="shared" si="117"/>
        <v>#REF!</v>
      </c>
      <c r="E199" s="265" t="e">
        <f t="shared" si="117"/>
        <v>#REF!</v>
      </c>
      <c r="F199" s="265" t="e">
        <f t="shared" si="117"/>
        <v>#REF!</v>
      </c>
      <c r="G199" s="266" t="e">
        <f t="shared" si="117"/>
        <v>#REF!</v>
      </c>
      <c r="H199" s="265" t="e">
        <f t="shared" si="117"/>
        <v>#REF!</v>
      </c>
      <c r="I199" s="265" t="e">
        <f t="shared" si="117"/>
        <v>#REF!</v>
      </c>
      <c r="J199" s="265">
        <f t="shared" si="119"/>
        <v>-7293750</v>
      </c>
      <c r="K199" s="2232" t="e">
        <f t="shared" si="117"/>
        <v>#REF!</v>
      </c>
      <c r="L199" s="2232">
        <f t="shared" si="117"/>
        <v>-7281250</v>
      </c>
      <c r="M199" s="2285">
        <f t="shared" si="117"/>
        <v>-220763</v>
      </c>
      <c r="N199" s="2274">
        <f t="shared" si="117"/>
        <v>81979</v>
      </c>
      <c r="O199" s="265">
        <f t="shared" si="117"/>
        <v>60000</v>
      </c>
      <c r="P199" s="265">
        <f t="shared" si="118"/>
        <v>0</v>
      </c>
      <c r="Q199" s="265">
        <f t="shared" si="118"/>
        <v>0</v>
      </c>
      <c r="R199" s="265">
        <f t="shared" si="118"/>
        <v>0</v>
      </c>
      <c r="S199" s="265">
        <f t="shared" si="118"/>
        <v>0</v>
      </c>
      <c r="T199" s="265">
        <f t="shared" si="118"/>
        <v>0</v>
      </c>
      <c r="U199" s="289">
        <f t="shared" si="117"/>
        <v>-14653784</v>
      </c>
      <c r="V199" s="982"/>
    </row>
    <row r="200" spans="1:27" hidden="1">
      <c r="A200" s="264" t="s">
        <v>27</v>
      </c>
      <c r="B200" s="265">
        <f t="shared" si="117"/>
        <v>0</v>
      </c>
      <c r="C200" s="265">
        <f t="shared" si="117"/>
        <v>0</v>
      </c>
      <c r="D200" s="265">
        <f t="shared" si="117"/>
        <v>0</v>
      </c>
      <c r="E200" s="265">
        <f t="shared" si="117"/>
        <v>0</v>
      </c>
      <c r="F200" s="265">
        <f t="shared" si="117"/>
        <v>-4967381</v>
      </c>
      <c r="G200" s="266">
        <f t="shared" si="117"/>
        <v>0</v>
      </c>
      <c r="H200" s="265">
        <f t="shared" si="117"/>
        <v>-570000</v>
      </c>
      <c r="I200" s="265">
        <f t="shared" si="117"/>
        <v>-2950000</v>
      </c>
      <c r="J200" s="265">
        <f t="shared" si="119"/>
        <v>0</v>
      </c>
      <c r="K200" s="2232">
        <f t="shared" si="117"/>
        <v>0</v>
      </c>
      <c r="L200" s="2232">
        <f t="shared" si="117"/>
        <v>0</v>
      </c>
      <c r="M200" s="2285">
        <f t="shared" si="117"/>
        <v>0</v>
      </c>
      <c r="N200" s="2274">
        <f t="shared" si="117"/>
        <v>0</v>
      </c>
      <c r="O200" s="265">
        <f t="shared" si="117"/>
        <v>0</v>
      </c>
      <c r="P200" s="265">
        <f t="shared" si="118"/>
        <v>0</v>
      </c>
      <c r="Q200" s="265">
        <f t="shared" si="118"/>
        <v>0</v>
      </c>
      <c r="R200" s="265">
        <f t="shared" si="118"/>
        <v>0</v>
      </c>
      <c r="S200" s="265">
        <f t="shared" si="118"/>
        <v>0</v>
      </c>
      <c r="T200" s="265">
        <f t="shared" si="118"/>
        <v>0</v>
      </c>
      <c r="U200" s="289">
        <f t="shared" si="117"/>
        <v>0</v>
      </c>
      <c r="V200" s="982"/>
    </row>
    <row r="201" spans="1:27" hidden="1">
      <c r="A201" s="264" t="s">
        <v>78</v>
      </c>
      <c r="B201" s="265">
        <f t="shared" si="117"/>
        <v>0</v>
      </c>
      <c r="C201" s="265">
        <f t="shared" si="117"/>
        <v>0</v>
      </c>
      <c r="D201" s="265">
        <f t="shared" si="117"/>
        <v>0</v>
      </c>
      <c r="E201" s="265">
        <f t="shared" si="117"/>
        <v>0</v>
      </c>
      <c r="F201" s="265">
        <f t="shared" si="117"/>
        <v>-8238536</v>
      </c>
      <c r="G201" s="266">
        <f t="shared" si="117"/>
        <v>-6250000</v>
      </c>
      <c r="H201" s="265">
        <f t="shared" si="117"/>
        <v>-6297355</v>
      </c>
      <c r="I201" s="265">
        <f t="shared" si="117"/>
        <v>-7276450</v>
      </c>
      <c r="J201" s="265">
        <f t="shared" si="119"/>
        <v>-19355000</v>
      </c>
      <c r="K201" s="2232">
        <f t="shared" si="117"/>
        <v>0</v>
      </c>
      <c r="L201" s="2232">
        <f t="shared" si="117"/>
        <v>0</v>
      </c>
      <c r="M201" s="2285">
        <f t="shared" si="117"/>
        <v>0</v>
      </c>
      <c r="N201" s="2274">
        <f t="shared" si="117"/>
        <v>0</v>
      </c>
      <c r="O201" s="265">
        <f t="shared" si="117"/>
        <v>0</v>
      </c>
      <c r="P201" s="265">
        <f t="shared" si="118"/>
        <v>0</v>
      </c>
      <c r="Q201" s="265">
        <f t="shared" si="118"/>
        <v>0</v>
      </c>
      <c r="R201" s="265">
        <f t="shared" si="118"/>
        <v>0</v>
      </c>
      <c r="S201" s="265">
        <f t="shared" si="118"/>
        <v>0</v>
      </c>
      <c r="T201" s="265">
        <f t="shared" si="118"/>
        <v>0</v>
      </c>
      <c r="U201" s="289">
        <f t="shared" si="117"/>
        <v>-19355000</v>
      </c>
      <c r="V201" s="982"/>
    </row>
    <row r="202" spans="1:27" hidden="1">
      <c r="A202" s="259" t="s">
        <v>24</v>
      </c>
      <c r="B202" s="265">
        <f t="shared" si="117"/>
        <v>0</v>
      </c>
      <c r="C202" s="265">
        <f t="shared" si="117"/>
        <v>0</v>
      </c>
      <c r="D202" s="265">
        <f t="shared" si="117"/>
        <v>0</v>
      </c>
      <c r="E202" s="265">
        <f t="shared" si="117"/>
        <v>0</v>
      </c>
      <c r="F202" s="265">
        <f t="shared" si="117"/>
        <v>0</v>
      </c>
      <c r="G202" s="266">
        <f t="shared" si="117"/>
        <v>0</v>
      </c>
      <c r="H202" s="265">
        <f t="shared" si="117"/>
        <v>-432101</v>
      </c>
      <c r="I202" s="265">
        <f t="shared" si="117"/>
        <v>-1677172</v>
      </c>
      <c r="J202" s="265">
        <f t="shared" si="119"/>
        <v>-6780924</v>
      </c>
      <c r="K202" s="2232">
        <f t="shared" si="117"/>
        <v>-3254229</v>
      </c>
      <c r="L202" s="2232">
        <f t="shared" si="117"/>
        <v>-11956995</v>
      </c>
      <c r="M202" s="2285">
        <f t="shared" si="117"/>
        <v>-5904624</v>
      </c>
      <c r="N202" s="2274">
        <f t="shared" si="117"/>
        <v>350000</v>
      </c>
      <c r="O202" s="265">
        <f t="shared" si="117"/>
        <v>1855657</v>
      </c>
      <c r="P202" s="265">
        <f t="shared" si="118"/>
        <v>6000000</v>
      </c>
      <c r="Q202" s="265">
        <f t="shared" si="118"/>
        <v>4000000</v>
      </c>
      <c r="R202" s="265">
        <f t="shared" si="118"/>
        <v>2000000</v>
      </c>
      <c r="S202" s="265">
        <f t="shared" si="118"/>
        <v>1650729</v>
      </c>
      <c r="T202" s="265">
        <f t="shared" si="118"/>
        <v>0</v>
      </c>
      <c r="U202" s="289">
        <f t="shared" si="117"/>
        <v>-8786157</v>
      </c>
      <c r="V202" s="982"/>
    </row>
    <row r="203" spans="1:27" hidden="1">
      <c r="A203" s="264" t="s">
        <v>73</v>
      </c>
      <c r="B203" s="265">
        <f t="shared" si="117"/>
        <v>-5935894</v>
      </c>
      <c r="C203" s="265">
        <f t="shared" si="117"/>
        <v>0</v>
      </c>
      <c r="D203" s="265">
        <f t="shared" si="117"/>
        <v>0</v>
      </c>
      <c r="E203" s="265">
        <f t="shared" si="117"/>
        <v>-6647405</v>
      </c>
      <c r="F203" s="265">
        <f t="shared" si="117"/>
        <v>-10285500</v>
      </c>
      <c r="G203" s="266">
        <f t="shared" si="117"/>
        <v>-12796084</v>
      </c>
      <c r="H203" s="265">
        <f t="shared" si="117"/>
        <v>-12792166</v>
      </c>
      <c r="I203" s="265">
        <f t="shared" si="117"/>
        <v>-9659941</v>
      </c>
      <c r="J203" s="265">
        <f t="shared" si="119"/>
        <v>0</v>
      </c>
      <c r="K203" s="2232">
        <f>+K141-K173</f>
        <v>0</v>
      </c>
      <c r="L203" s="2232">
        <f t="shared" si="117"/>
        <v>0</v>
      </c>
      <c r="M203" s="2285">
        <f t="shared" si="117"/>
        <v>0</v>
      </c>
      <c r="N203" s="2274">
        <f t="shared" si="117"/>
        <v>0</v>
      </c>
      <c r="O203" s="265">
        <f t="shared" si="117"/>
        <v>0</v>
      </c>
      <c r="P203" s="265">
        <f t="shared" si="118"/>
        <v>0</v>
      </c>
      <c r="Q203" s="265">
        <f t="shared" si="118"/>
        <v>0</v>
      </c>
      <c r="R203" s="265">
        <f t="shared" si="118"/>
        <v>0</v>
      </c>
      <c r="S203" s="265">
        <f t="shared" si="118"/>
        <v>0</v>
      </c>
      <c r="T203" s="265">
        <f t="shared" si="118"/>
        <v>0</v>
      </c>
      <c r="U203" s="289">
        <f t="shared" si="117"/>
        <v>0</v>
      </c>
      <c r="V203" s="979"/>
    </row>
    <row r="204" spans="1:27" hidden="1">
      <c r="A204" s="264" t="s">
        <v>74</v>
      </c>
      <c r="B204" s="265">
        <f t="shared" si="117"/>
        <v>-10594223</v>
      </c>
      <c r="C204" s="265">
        <f t="shared" si="117"/>
        <v>0</v>
      </c>
      <c r="D204" s="265">
        <f t="shared" si="117"/>
        <v>0</v>
      </c>
      <c r="E204" s="265">
        <f t="shared" si="117"/>
        <v>-3058368</v>
      </c>
      <c r="F204" s="265">
        <f t="shared" si="117"/>
        <v>-17692550</v>
      </c>
      <c r="G204" s="266">
        <f t="shared" si="117"/>
        <v>-2998223</v>
      </c>
      <c r="H204" s="265">
        <f t="shared" si="117"/>
        <v>-3753212</v>
      </c>
      <c r="I204" s="265">
        <f t="shared" si="117"/>
        <v>-4711864</v>
      </c>
      <c r="J204" s="265">
        <f t="shared" si="119"/>
        <v>0</v>
      </c>
      <c r="K204" s="2232">
        <f>+K142-K174</f>
        <v>0</v>
      </c>
      <c r="L204" s="2232">
        <f t="shared" si="117"/>
        <v>0</v>
      </c>
      <c r="M204" s="2285">
        <f t="shared" si="117"/>
        <v>0</v>
      </c>
      <c r="N204" s="2274">
        <f t="shared" si="117"/>
        <v>0</v>
      </c>
      <c r="O204" s="265">
        <f t="shared" si="117"/>
        <v>0</v>
      </c>
      <c r="P204" s="265">
        <f t="shared" si="118"/>
        <v>0</v>
      </c>
      <c r="Q204" s="265">
        <f t="shared" si="118"/>
        <v>0</v>
      </c>
      <c r="R204" s="265">
        <f t="shared" si="118"/>
        <v>0</v>
      </c>
      <c r="S204" s="265">
        <f t="shared" si="118"/>
        <v>0</v>
      </c>
      <c r="T204" s="265">
        <f t="shared" si="118"/>
        <v>0</v>
      </c>
      <c r="U204" s="289">
        <f t="shared" si="117"/>
        <v>0</v>
      </c>
      <c r="V204" s="982"/>
    </row>
    <row r="205" spans="1:27" hidden="1">
      <c r="A205" s="264" t="s">
        <v>29</v>
      </c>
      <c r="B205" s="265">
        <f t="shared" si="117"/>
        <v>0</v>
      </c>
      <c r="C205" s="265">
        <f t="shared" si="117"/>
        <v>0</v>
      </c>
      <c r="D205" s="265">
        <f t="shared" si="117"/>
        <v>0</v>
      </c>
      <c r="E205" s="265">
        <f t="shared" si="117"/>
        <v>0</v>
      </c>
      <c r="F205" s="265">
        <f t="shared" si="117"/>
        <v>0</v>
      </c>
      <c r="G205" s="266">
        <f t="shared" si="117"/>
        <v>-11478084</v>
      </c>
      <c r="H205" s="265">
        <f t="shared" si="117"/>
        <v>-9500904</v>
      </c>
      <c r="I205" s="265">
        <f t="shared" si="117"/>
        <v>-2961099</v>
      </c>
      <c r="J205" s="265">
        <f t="shared" si="119"/>
        <v>0</v>
      </c>
      <c r="K205" s="2232">
        <f t="shared" si="117"/>
        <v>0</v>
      </c>
      <c r="L205" s="2232">
        <f t="shared" si="117"/>
        <v>0</v>
      </c>
      <c r="M205" s="2285">
        <f t="shared" si="117"/>
        <v>0</v>
      </c>
      <c r="N205" s="2274">
        <f t="shared" si="117"/>
        <v>0</v>
      </c>
      <c r="O205" s="265">
        <f t="shared" si="117"/>
        <v>0</v>
      </c>
      <c r="P205" s="265">
        <f t="shared" si="118"/>
        <v>0</v>
      </c>
      <c r="Q205" s="265">
        <f t="shared" si="118"/>
        <v>0</v>
      </c>
      <c r="R205" s="265">
        <f t="shared" si="118"/>
        <v>0</v>
      </c>
      <c r="S205" s="265">
        <f t="shared" si="118"/>
        <v>0</v>
      </c>
      <c r="T205" s="265">
        <f t="shared" si="118"/>
        <v>0</v>
      </c>
      <c r="U205" s="289">
        <f t="shared" si="117"/>
        <v>0</v>
      </c>
      <c r="V205" s="982"/>
    </row>
    <row r="206" spans="1:27" ht="24" hidden="1">
      <c r="A206" s="264" t="s">
        <v>38</v>
      </c>
      <c r="B206" s="881">
        <f t="shared" si="117"/>
        <v>0</v>
      </c>
      <c r="C206" s="881">
        <f t="shared" si="117"/>
        <v>0</v>
      </c>
      <c r="D206" s="881">
        <f t="shared" si="117"/>
        <v>0</v>
      </c>
      <c r="E206" s="881">
        <f t="shared" si="117"/>
        <v>0</v>
      </c>
      <c r="F206" s="881">
        <f t="shared" si="117"/>
        <v>0</v>
      </c>
      <c r="G206" s="882">
        <f t="shared" si="117"/>
        <v>0</v>
      </c>
      <c r="H206" s="881">
        <f t="shared" si="117"/>
        <v>0</v>
      </c>
      <c r="I206" s="881">
        <f t="shared" si="117"/>
        <v>0</v>
      </c>
      <c r="J206" s="881">
        <f t="shared" si="119"/>
        <v>0</v>
      </c>
      <c r="K206" s="2236">
        <f t="shared" si="117"/>
        <v>0</v>
      </c>
      <c r="L206" s="2236">
        <f t="shared" si="117"/>
        <v>0</v>
      </c>
      <c r="M206" s="2286">
        <f t="shared" si="117"/>
        <v>0</v>
      </c>
      <c r="N206" s="2276">
        <f t="shared" si="117"/>
        <v>0</v>
      </c>
      <c r="O206" s="881">
        <f t="shared" si="117"/>
        <v>0</v>
      </c>
      <c r="P206" s="881">
        <f t="shared" si="118"/>
        <v>0</v>
      </c>
      <c r="Q206" s="881">
        <f t="shared" si="118"/>
        <v>0</v>
      </c>
      <c r="R206" s="881">
        <f t="shared" si="118"/>
        <v>0</v>
      </c>
      <c r="S206" s="881">
        <f t="shared" si="118"/>
        <v>0</v>
      </c>
      <c r="T206" s="881">
        <f t="shared" si="118"/>
        <v>0</v>
      </c>
      <c r="U206" s="289">
        <f>+U144-U176</f>
        <v>0</v>
      </c>
      <c r="V206" s="983"/>
    </row>
    <row r="207" spans="1:27" ht="13.5" hidden="1" customHeight="1">
      <c r="A207" s="264" t="s">
        <v>32</v>
      </c>
      <c r="B207" s="265">
        <f t="shared" si="117"/>
        <v>0</v>
      </c>
      <c r="C207" s="265" t="e">
        <f t="shared" si="117"/>
        <v>#REF!</v>
      </c>
      <c r="D207" s="265" t="e">
        <f t="shared" si="117"/>
        <v>#REF!</v>
      </c>
      <c r="E207" s="265" t="e">
        <f t="shared" si="117"/>
        <v>#REF!</v>
      </c>
      <c r="F207" s="265">
        <f t="shared" si="117"/>
        <v>-1361604</v>
      </c>
      <c r="G207" s="266">
        <f t="shared" si="117"/>
        <v>-2797959</v>
      </c>
      <c r="H207" s="265">
        <f t="shared" si="117"/>
        <v>-1423461</v>
      </c>
      <c r="I207" s="265">
        <f t="shared" si="117"/>
        <v>-4549693</v>
      </c>
      <c r="J207" s="265">
        <f t="shared" si="119"/>
        <v>0</v>
      </c>
      <c r="K207" s="2232">
        <f t="shared" si="117"/>
        <v>0</v>
      </c>
      <c r="L207" s="2232">
        <f t="shared" si="117"/>
        <v>0</v>
      </c>
      <c r="M207" s="2285">
        <f t="shared" si="117"/>
        <v>0</v>
      </c>
      <c r="N207" s="2274">
        <f t="shared" si="117"/>
        <v>0</v>
      </c>
      <c r="O207" s="265">
        <f t="shared" si="117"/>
        <v>0</v>
      </c>
      <c r="P207" s="265">
        <f t="shared" si="118"/>
        <v>0</v>
      </c>
      <c r="Q207" s="265">
        <f t="shared" si="118"/>
        <v>0</v>
      </c>
      <c r="R207" s="265">
        <f t="shared" si="118"/>
        <v>0</v>
      </c>
      <c r="S207" s="265">
        <f t="shared" si="118"/>
        <v>0</v>
      </c>
      <c r="T207" s="265">
        <f t="shared" si="118"/>
        <v>0</v>
      </c>
      <c r="U207" s="289">
        <f>+U145-U177</f>
        <v>0</v>
      </c>
      <c r="V207" s="982"/>
    </row>
    <row r="208" spans="1:27" ht="13.5" hidden="1" customHeight="1">
      <c r="A208" s="267" t="s">
        <v>31</v>
      </c>
      <c r="B208" s="265">
        <f t="shared" si="117"/>
        <v>0</v>
      </c>
      <c r="C208" s="265">
        <f t="shared" si="117"/>
        <v>0</v>
      </c>
      <c r="D208" s="265">
        <f t="shared" si="117"/>
        <v>0</v>
      </c>
      <c r="E208" s="265">
        <f t="shared" si="117"/>
        <v>0</v>
      </c>
      <c r="F208" s="265">
        <f t="shared" si="117"/>
        <v>0</v>
      </c>
      <c r="G208" s="266">
        <f t="shared" si="117"/>
        <v>0</v>
      </c>
      <c r="H208" s="265">
        <f t="shared" si="117"/>
        <v>0</v>
      </c>
      <c r="I208" s="265">
        <f t="shared" si="117"/>
        <v>-1023120</v>
      </c>
      <c r="J208" s="265">
        <f t="shared" si="119"/>
        <v>0</v>
      </c>
      <c r="K208" s="2232">
        <f t="shared" si="117"/>
        <v>0</v>
      </c>
      <c r="L208" s="2232">
        <f t="shared" si="117"/>
        <v>0</v>
      </c>
      <c r="M208" s="2285">
        <f t="shared" si="117"/>
        <v>0</v>
      </c>
      <c r="N208" s="2274">
        <f t="shared" si="117"/>
        <v>0</v>
      </c>
      <c r="O208" s="265">
        <f t="shared" si="117"/>
        <v>0</v>
      </c>
      <c r="P208" s="265">
        <f t="shared" si="118"/>
        <v>0</v>
      </c>
      <c r="Q208" s="265">
        <f t="shared" si="118"/>
        <v>0</v>
      </c>
      <c r="R208" s="265">
        <f t="shared" si="118"/>
        <v>0</v>
      </c>
      <c r="S208" s="265">
        <f t="shared" si="118"/>
        <v>0</v>
      </c>
      <c r="T208" s="265">
        <f t="shared" si="118"/>
        <v>0</v>
      </c>
      <c r="U208" s="289">
        <f>+U146-U178</f>
        <v>0</v>
      </c>
      <c r="V208" s="982"/>
    </row>
    <row r="209" spans="1:22" ht="13.5" hidden="1" thickBot="1">
      <c r="A209" s="268" t="s">
        <v>33</v>
      </c>
      <c r="B209" s="269">
        <f t="shared" si="117"/>
        <v>-24334541</v>
      </c>
      <c r="C209" s="269" t="e">
        <f t="shared" si="117"/>
        <v>#REF!</v>
      </c>
      <c r="D209" s="269" t="e">
        <f t="shared" si="117"/>
        <v>#REF!</v>
      </c>
      <c r="E209" s="269" t="e">
        <f t="shared" si="117"/>
        <v>#REF!</v>
      </c>
      <c r="F209" s="269">
        <f t="shared" si="117"/>
        <v>-38812148</v>
      </c>
      <c r="G209" s="270">
        <f t="shared" si="117"/>
        <v>-68943698</v>
      </c>
      <c r="H209" s="269">
        <f t="shared" si="117"/>
        <v>-77514331</v>
      </c>
      <c r="I209" s="269">
        <f t="shared" si="117"/>
        <v>-132625029</v>
      </c>
      <c r="J209" s="269">
        <f t="shared" si="119"/>
        <v>-117977026</v>
      </c>
      <c r="K209" s="2233">
        <f t="shared" si="117"/>
        <v>-73278657</v>
      </c>
      <c r="L209" s="2233">
        <f t="shared" si="117"/>
        <v>-61291770</v>
      </c>
      <c r="M209" s="271">
        <f t="shared" si="117"/>
        <v>-26980473</v>
      </c>
      <c r="N209" s="2275">
        <f t="shared" si="117"/>
        <v>-13406746</v>
      </c>
      <c r="O209" s="269">
        <f t="shared" si="117"/>
        <v>1769269</v>
      </c>
      <c r="P209" s="269">
        <f t="shared" si="118"/>
        <v>9729725</v>
      </c>
      <c r="Q209" s="269">
        <f t="shared" si="118"/>
        <v>3349734</v>
      </c>
      <c r="R209" s="269">
        <f t="shared" si="118"/>
        <v>280770</v>
      </c>
      <c r="S209" s="269">
        <f t="shared" si="118"/>
        <v>280770</v>
      </c>
      <c r="T209" s="269">
        <f t="shared" si="118"/>
        <v>280140</v>
      </c>
      <c r="U209" s="289">
        <f>+U147-U179</f>
        <v>-203965607</v>
      </c>
      <c r="V209" s="982"/>
    </row>
    <row r="210" spans="1:22" ht="13.5" hidden="1" thickBot="1">
      <c r="A210" s="290"/>
      <c r="B210" s="291" t="e">
        <f>SUM(B198:B209)</f>
        <v>#REF!</v>
      </c>
      <c r="C210" s="291" t="e">
        <f t="shared" ref="C210:M210" si="120">SUM(C198:C209)</f>
        <v>#REF!</v>
      </c>
      <c r="D210" s="291" t="e">
        <f t="shared" si="120"/>
        <v>#REF!</v>
      </c>
      <c r="E210" s="291" t="e">
        <f t="shared" si="120"/>
        <v>#REF!</v>
      </c>
      <c r="F210" s="291" t="e">
        <f t="shared" si="120"/>
        <v>#REF!</v>
      </c>
      <c r="G210" s="291" t="e">
        <f t="shared" si="120"/>
        <v>#REF!</v>
      </c>
      <c r="H210" s="292" t="e">
        <f t="shared" si="120"/>
        <v>#REF!</v>
      </c>
      <c r="I210" s="292" t="e">
        <f t="shared" si="120"/>
        <v>#REF!</v>
      </c>
      <c r="J210" s="292">
        <f>SUM(J198:J209)</f>
        <v>-151406700</v>
      </c>
      <c r="K210" s="2237" t="e">
        <f t="shared" si="120"/>
        <v>#REF!</v>
      </c>
      <c r="L210" s="2237">
        <f t="shared" si="120"/>
        <v>-80530015</v>
      </c>
      <c r="M210" s="293">
        <f t="shared" si="120"/>
        <v>-33105860</v>
      </c>
      <c r="N210" s="291">
        <f t="shared" ref="N210:U210" si="121">SUM(N198:N209)</f>
        <v>-12974767</v>
      </c>
      <c r="O210" s="291">
        <f t="shared" si="121"/>
        <v>3684926</v>
      </c>
      <c r="P210" s="291">
        <f t="shared" si="121"/>
        <v>15729725</v>
      </c>
      <c r="Q210" s="291">
        <f t="shared" si="121"/>
        <v>7349734</v>
      </c>
      <c r="R210" s="291">
        <f t="shared" si="121"/>
        <v>2280770</v>
      </c>
      <c r="S210" s="291">
        <f t="shared" si="121"/>
        <v>1931499</v>
      </c>
      <c r="T210" s="291">
        <f t="shared" si="121"/>
        <v>280140</v>
      </c>
      <c r="U210" s="291">
        <f t="shared" si="121"/>
        <v>-246760548</v>
      </c>
      <c r="V210" s="984"/>
    </row>
    <row r="211" spans="1:22" ht="2.25" hidden="1" customHeight="1">
      <c r="A211" s="2"/>
      <c r="B211" s="2"/>
      <c r="C211" s="2"/>
      <c r="D211" s="2"/>
      <c r="E211" s="2"/>
      <c r="F211" s="2"/>
      <c r="H211" s="294"/>
      <c r="I211" s="294"/>
      <c r="J211" s="294"/>
      <c r="K211" s="307"/>
      <c r="L211" s="294"/>
      <c r="U211" s="2"/>
    </row>
    <row r="212" spans="1:22" hidden="1">
      <c r="A212" s="278" t="s">
        <v>56</v>
      </c>
      <c r="B212" s="295" t="e">
        <f t="shared" ref="B212:U212" si="122">+B135-B167</f>
        <v>#REF!</v>
      </c>
      <c r="C212" s="296" t="e">
        <f t="shared" si="122"/>
        <v>#REF!</v>
      </c>
      <c r="D212" s="296" t="e">
        <f t="shared" si="122"/>
        <v>#REF!</v>
      </c>
      <c r="E212" s="296" t="e">
        <f t="shared" si="122"/>
        <v>#REF!</v>
      </c>
      <c r="F212" s="295" t="e">
        <f t="shared" si="122"/>
        <v>#REF!</v>
      </c>
      <c r="G212" s="295" t="e">
        <f t="shared" si="122"/>
        <v>#REF!</v>
      </c>
      <c r="H212" s="297" t="e">
        <f t="shared" si="122"/>
        <v>#REF!</v>
      </c>
      <c r="I212" s="297" t="e">
        <f t="shared" si="122"/>
        <v>#REF!</v>
      </c>
      <c r="J212" s="297">
        <f>+J135-J167</f>
        <v>-151406700</v>
      </c>
      <c r="K212" s="2238" t="e">
        <f t="shared" si="122"/>
        <v>#REF!</v>
      </c>
      <c r="L212" s="295">
        <f t="shared" si="122"/>
        <v>-80530015</v>
      </c>
      <c r="M212" s="295">
        <f t="shared" si="122"/>
        <v>-33105860</v>
      </c>
      <c r="N212" s="295">
        <f t="shared" si="122"/>
        <v>-12974767</v>
      </c>
      <c r="O212" s="295">
        <f t="shared" si="122"/>
        <v>3684926</v>
      </c>
      <c r="P212" s="295">
        <f>+P135-P167</f>
        <v>15729725</v>
      </c>
      <c r="Q212" s="295">
        <f>+Q135-Q167</f>
        <v>7349734</v>
      </c>
      <c r="R212" s="295">
        <f>+R135-R167</f>
        <v>2280770</v>
      </c>
      <c r="S212" s="295">
        <f>+S135-S167</f>
        <v>1931499</v>
      </c>
      <c r="T212" s="295">
        <f>+T135-T167</f>
        <v>280140</v>
      </c>
      <c r="U212" s="295">
        <f t="shared" si="122"/>
        <v>-246760548</v>
      </c>
    </row>
    <row r="213" spans="1:22" ht="14.25" hidden="1" customHeight="1" thickBot="1">
      <c r="A213" s="2"/>
      <c r="B213" s="2"/>
      <c r="C213" s="2"/>
      <c r="D213" s="2"/>
      <c r="E213" s="2"/>
      <c r="F213" s="2"/>
      <c r="G213" s="298" t="e">
        <f>+G212-G210</f>
        <v>#REF!</v>
      </c>
      <c r="H213" s="299" t="e">
        <f>+H212-H210</f>
        <v>#REF!</v>
      </c>
      <c r="I213" s="298" t="e">
        <f t="shared" ref="I213:U213" si="123">+I212-I210</f>
        <v>#REF!</v>
      </c>
      <c r="J213" s="298">
        <f>+J212-J210</f>
        <v>0</v>
      </c>
      <c r="K213" s="2239" t="e">
        <f t="shared" si="123"/>
        <v>#REF!</v>
      </c>
      <c r="L213" s="298">
        <f t="shared" si="123"/>
        <v>0</v>
      </c>
      <c r="M213" s="298">
        <f t="shared" si="123"/>
        <v>0</v>
      </c>
      <c r="N213" s="298">
        <f t="shared" si="123"/>
        <v>0</v>
      </c>
      <c r="O213" s="298">
        <f t="shared" si="123"/>
        <v>0</v>
      </c>
      <c r="P213" s="298">
        <f>+P212-P210</f>
        <v>0</v>
      </c>
      <c r="Q213" s="298">
        <f>+Q212-Q210</f>
        <v>0</v>
      </c>
      <c r="R213" s="298">
        <f>+R212-R210</f>
        <v>0</v>
      </c>
      <c r="S213" s="298">
        <f>+S212-S210</f>
        <v>0</v>
      </c>
      <c r="T213" s="298">
        <f>+T212-T210</f>
        <v>0</v>
      </c>
      <c r="U213" s="298">
        <f t="shared" si="123"/>
        <v>0</v>
      </c>
    </row>
    <row r="214" spans="1:22" ht="12" hidden="1" customHeight="1">
      <c r="A214" s="2"/>
      <c r="B214" s="2"/>
      <c r="C214" s="2"/>
      <c r="D214" s="2"/>
      <c r="E214" s="2"/>
      <c r="F214" s="2"/>
      <c r="H214" s="294"/>
      <c r="U214" s="298"/>
    </row>
    <row r="215" spans="1:22" hidden="1">
      <c r="A215" s="2"/>
      <c r="B215" s="2"/>
      <c r="C215" s="2"/>
      <c r="D215" s="2"/>
      <c r="E215" s="2"/>
      <c r="F215" s="2"/>
      <c r="U215" s="2"/>
    </row>
    <row r="216" spans="1:22" hidden="1">
      <c r="A216" s="2"/>
      <c r="B216" s="2"/>
      <c r="C216" s="2"/>
      <c r="D216" s="2"/>
      <c r="E216" s="2"/>
      <c r="F216" s="2"/>
    </row>
    <row r="217" spans="1:22" hidden="1">
      <c r="A217" s="2"/>
      <c r="B217" s="2"/>
      <c r="C217" s="2"/>
      <c r="D217" s="2"/>
      <c r="E217" s="2"/>
      <c r="F217" s="2"/>
      <c r="U217" s="2"/>
    </row>
    <row r="218" spans="1:22" hidden="1">
      <c r="A218" s="2"/>
      <c r="B218" s="2"/>
      <c r="C218" s="2"/>
      <c r="D218" s="2"/>
      <c r="E218" s="2"/>
      <c r="F218" s="2"/>
      <c r="L218" s="2576" t="s">
        <v>398</v>
      </c>
      <c r="M218" s="2576"/>
      <c r="N218" s="2576"/>
      <c r="O218" s="2576"/>
      <c r="P218" s="2576"/>
      <c r="Q218" s="2576"/>
      <c r="U218" s="2"/>
      <c r="V218" s="2"/>
    </row>
    <row r="219" spans="1:22" ht="21" hidden="1" customHeight="1">
      <c r="A219" s="2"/>
      <c r="B219" s="2"/>
      <c r="C219" s="2"/>
      <c r="D219" s="2"/>
      <c r="E219" s="2"/>
      <c r="F219" s="2"/>
      <c r="M219" s="2480" t="s">
        <v>399</v>
      </c>
      <c r="N219" s="2577" t="s">
        <v>5</v>
      </c>
      <c r="O219" s="2578"/>
      <c r="P219" s="2578"/>
      <c r="Q219" s="2578"/>
      <c r="R219" s="2578"/>
      <c r="S219" s="2579"/>
      <c r="T219" s="1666" t="s">
        <v>400</v>
      </c>
      <c r="U219" s="1666" t="s">
        <v>401</v>
      </c>
      <c r="V219" s="1374"/>
    </row>
    <row r="220" spans="1:22" ht="29.25" hidden="1" customHeight="1">
      <c r="A220" s="2"/>
      <c r="B220" s="2"/>
      <c r="C220" s="2"/>
      <c r="D220" s="2"/>
      <c r="E220" s="2"/>
      <c r="F220" s="2"/>
      <c r="M220" s="1667" t="s">
        <v>79</v>
      </c>
      <c r="N220" s="2580" t="s">
        <v>521</v>
      </c>
      <c r="O220" s="2581"/>
      <c r="P220" s="2581"/>
      <c r="Q220" s="2581"/>
      <c r="R220" s="2581"/>
      <c r="S220" s="2582"/>
      <c r="T220" s="2481">
        <v>8364627</v>
      </c>
      <c r="U220" s="2481">
        <v>4972787</v>
      </c>
      <c r="V220" s="1375"/>
    </row>
    <row r="221" spans="1:22" ht="29.25" hidden="1" customHeight="1">
      <c r="A221" s="2"/>
      <c r="B221" s="2"/>
      <c r="C221" s="2"/>
      <c r="D221" s="2"/>
      <c r="E221" s="2"/>
      <c r="F221" s="2"/>
      <c r="M221" s="1667" t="s">
        <v>80</v>
      </c>
      <c r="N221" s="2580" t="s">
        <v>525</v>
      </c>
      <c r="O221" s="2581"/>
      <c r="P221" s="2581"/>
      <c r="Q221" s="2581"/>
      <c r="R221" s="2581"/>
      <c r="S221" s="2582"/>
      <c r="T221" s="2481">
        <v>7842608</v>
      </c>
      <c r="U221" s="2481">
        <v>4674406</v>
      </c>
      <c r="V221" s="1375"/>
    </row>
    <row r="222" spans="1:22" ht="33.75" hidden="1" customHeight="1">
      <c r="A222" s="2"/>
      <c r="B222" s="2"/>
      <c r="C222" s="2"/>
      <c r="D222" s="2"/>
      <c r="E222" s="2"/>
      <c r="F222" s="2"/>
      <c r="M222" s="1667" t="s">
        <v>81</v>
      </c>
      <c r="N222" s="2580" t="s">
        <v>526</v>
      </c>
      <c r="O222" s="2581"/>
      <c r="P222" s="2581"/>
      <c r="Q222" s="2581"/>
      <c r="R222" s="2581"/>
      <c r="S222" s="2582"/>
      <c r="T222" s="2481">
        <v>28745371</v>
      </c>
      <c r="U222" s="2481">
        <v>13525758</v>
      </c>
      <c r="V222" s="1375"/>
    </row>
    <row r="223" spans="1:22" ht="31.5" hidden="1" customHeight="1">
      <c r="A223" s="2"/>
      <c r="B223" s="2"/>
      <c r="C223" s="2"/>
      <c r="D223" s="2"/>
      <c r="E223" s="2"/>
      <c r="F223" s="2"/>
      <c r="M223" s="1667" t="s">
        <v>82</v>
      </c>
      <c r="N223" s="2580" t="s">
        <v>527</v>
      </c>
      <c r="O223" s="2581"/>
      <c r="P223" s="2581"/>
      <c r="Q223" s="2581"/>
      <c r="R223" s="2581"/>
      <c r="S223" s="2582"/>
      <c r="T223" s="2481">
        <v>2434713</v>
      </c>
      <c r="U223" s="2481">
        <v>1469592</v>
      </c>
      <c r="V223" s="1375"/>
    </row>
    <row r="224" spans="1:22" ht="48.75" hidden="1" customHeight="1">
      <c r="A224" s="2"/>
      <c r="B224" s="2"/>
      <c r="C224" s="2"/>
      <c r="D224" s="2"/>
      <c r="E224" s="2"/>
      <c r="F224" s="2"/>
      <c r="M224" s="1667" t="s">
        <v>83</v>
      </c>
      <c r="N224" s="2580" t="s">
        <v>545</v>
      </c>
      <c r="O224" s="2581"/>
      <c r="P224" s="2581"/>
      <c r="Q224" s="2581"/>
      <c r="R224" s="2581"/>
      <c r="S224" s="2582"/>
      <c r="T224" s="1668">
        <v>226200000</v>
      </c>
      <c r="U224" s="1668">
        <v>224957640</v>
      </c>
      <c r="V224" s="1614"/>
    </row>
    <row r="225" spans="1:22" ht="19.5" hidden="1" customHeight="1">
      <c r="A225" s="2"/>
      <c r="B225" s="2"/>
      <c r="C225" s="2"/>
      <c r="D225" s="2"/>
      <c r="E225" s="2"/>
      <c r="F225" s="2"/>
      <c r="M225" s="1667" t="s">
        <v>136</v>
      </c>
      <c r="N225" s="2580" t="s">
        <v>127</v>
      </c>
      <c r="O225" s="2581"/>
      <c r="P225" s="2581"/>
      <c r="Q225" s="2581"/>
      <c r="R225" s="2581"/>
      <c r="S225" s="2582"/>
      <c r="T225" s="1668">
        <v>135198</v>
      </c>
      <c r="U225" s="1668">
        <v>93430</v>
      </c>
      <c r="V225" s="1614"/>
    </row>
    <row r="226" spans="1:22" ht="31.5" hidden="1" customHeight="1">
      <c r="A226" s="2"/>
      <c r="B226" s="2"/>
      <c r="C226" s="2"/>
      <c r="D226" s="2"/>
      <c r="E226" s="2"/>
      <c r="F226" s="2"/>
      <c r="M226" s="1667" t="s">
        <v>104</v>
      </c>
      <c r="N226" s="2580" t="s">
        <v>191</v>
      </c>
      <c r="O226" s="2581"/>
      <c r="P226" s="2581"/>
      <c r="Q226" s="2581"/>
      <c r="R226" s="2581"/>
      <c r="S226" s="2582"/>
      <c r="T226" s="2481">
        <v>17684288</v>
      </c>
      <c r="U226" s="2481">
        <v>17663724</v>
      </c>
      <c r="V226" s="2483"/>
    </row>
    <row r="227" spans="1:22" ht="21" hidden="1" customHeight="1">
      <c r="A227" s="2"/>
      <c r="B227" s="2"/>
      <c r="C227" s="2"/>
      <c r="D227" s="2"/>
      <c r="E227" s="2"/>
      <c r="F227" s="2"/>
      <c r="M227" s="1669" t="s">
        <v>84</v>
      </c>
      <c r="N227" s="2583" t="s">
        <v>551</v>
      </c>
      <c r="O227" s="2584"/>
      <c r="P227" s="2584"/>
      <c r="Q227" s="2584"/>
      <c r="R227" s="2584"/>
      <c r="S227" s="2585"/>
      <c r="T227" s="1376">
        <f>SUM(T220:T226)</f>
        <v>291406805</v>
      </c>
      <c r="U227" s="1376">
        <f>SUM(U220:U226)</f>
        <v>267357337</v>
      </c>
      <c r="V227" s="1377"/>
    </row>
    <row r="228" spans="1:22" hidden="1">
      <c r="A228" s="2"/>
      <c r="B228" s="2"/>
      <c r="C228" s="2"/>
      <c r="D228" s="2"/>
      <c r="E228" s="2"/>
      <c r="F228" s="2"/>
      <c r="U228" s="2"/>
    </row>
    <row r="229" spans="1:22" hidden="1">
      <c r="A229" s="2"/>
      <c r="B229" s="2"/>
      <c r="C229" s="2"/>
      <c r="D229" s="2"/>
      <c r="E229" s="2"/>
      <c r="F229" s="2"/>
      <c r="U229" s="2"/>
    </row>
    <row r="230" spans="1:22" hidden="1">
      <c r="A230" s="2"/>
      <c r="B230" s="2"/>
      <c r="C230" s="2"/>
      <c r="D230" s="2"/>
      <c r="E230" s="2"/>
      <c r="F230" s="2"/>
      <c r="U230" s="2"/>
    </row>
    <row r="231" spans="1:22" hidden="1">
      <c r="A231" s="2"/>
      <c r="B231" s="2"/>
      <c r="C231" s="2"/>
      <c r="D231" s="2"/>
      <c r="E231" s="2"/>
      <c r="F231" s="2"/>
      <c r="U231" s="2"/>
    </row>
    <row r="232" spans="1:22" hidden="1">
      <c r="A232" s="2"/>
      <c r="B232" s="2"/>
      <c r="C232" s="2"/>
      <c r="D232" s="2"/>
      <c r="E232" s="2"/>
      <c r="F232" s="2"/>
      <c r="U232" s="2"/>
    </row>
    <row r="233" spans="1:22" hidden="1">
      <c r="A233" s="2"/>
      <c r="B233" s="2"/>
      <c r="C233" s="2"/>
      <c r="D233" s="2"/>
      <c r="E233" s="2"/>
      <c r="F233" s="2"/>
      <c r="U233" s="2"/>
    </row>
    <row r="234" spans="1:22" hidden="1">
      <c r="A234" s="2"/>
      <c r="B234" s="2"/>
      <c r="C234" s="2"/>
      <c r="D234" s="2"/>
      <c r="E234" s="2"/>
      <c r="F234" s="2"/>
      <c r="U234" s="2"/>
    </row>
    <row r="235" spans="1:22" hidden="1">
      <c r="A235" s="2"/>
      <c r="B235" s="2"/>
      <c r="C235" s="2"/>
      <c r="D235" s="2"/>
      <c r="E235" s="2"/>
      <c r="F235" s="2"/>
      <c r="U235" s="2"/>
    </row>
    <row r="236" spans="1:22" hidden="1">
      <c r="A236" s="2"/>
      <c r="B236" s="2"/>
      <c r="C236" s="2"/>
      <c r="D236" s="2"/>
      <c r="E236" s="2"/>
      <c r="F236" s="2"/>
      <c r="U236" s="2"/>
    </row>
    <row r="237" spans="1:22" hidden="1">
      <c r="A237" s="2"/>
      <c r="B237" s="2"/>
      <c r="C237" s="2"/>
      <c r="D237" s="2"/>
      <c r="E237" s="2"/>
      <c r="F237" s="2"/>
      <c r="U237" s="2"/>
    </row>
    <row r="238" spans="1:22" hidden="1">
      <c r="A238" s="2"/>
      <c r="B238" s="2"/>
      <c r="C238" s="2"/>
      <c r="D238" s="2"/>
      <c r="E238" s="2"/>
      <c r="F238" s="2"/>
      <c r="U238" s="2"/>
    </row>
    <row r="239" spans="1:22" hidden="1">
      <c r="A239" s="2"/>
      <c r="B239" s="2"/>
      <c r="C239" s="2"/>
      <c r="D239" s="2"/>
      <c r="E239" s="2"/>
      <c r="F239" s="2"/>
      <c r="U239" s="2"/>
    </row>
    <row r="240" spans="1:22" hidden="1">
      <c r="A240" s="2"/>
      <c r="B240" s="2"/>
      <c r="C240" s="2"/>
      <c r="D240" s="2"/>
      <c r="E240" s="2"/>
      <c r="F240" s="2"/>
      <c r="U240" s="2"/>
    </row>
    <row r="241" spans="1:21" hidden="1">
      <c r="A241" s="2"/>
      <c r="B241" s="2"/>
      <c r="C241" s="2"/>
      <c r="D241" s="2"/>
      <c r="E241" s="2"/>
      <c r="F241" s="2"/>
      <c r="U241" s="2"/>
    </row>
    <row r="242" spans="1:21" hidden="1">
      <c r="A242" s="2"/>
      <c r="B242" s="2"/>
      <c r="C242" s="2"/>
      <c r="D242" s="2"/>
      <c r="E242" s="2"/>
      <c r="F242" s="2"/>
      <c r="U242" s="2"/>
    </row>
    <row r="243" spans="1:21" hidden="1">
      <c r="A243" s="2"/>
      <c r="B243" s="2"/>
      <c r="C243" s="2"/>
      <c r="D243" s="2"/>
      <c r="E243" s="2"/>
      <c r="F243" s="2"/>
      <c r="U243" s="2"/>
    </row>
    <row r="244" spans="1:21" hidden="1">
      <c r="A244" s="2"/>
      <c r="B244" s="2"/>
      <c r="C244" s="2"/>
      <c r="D244" s="2"/>
      <c r="E244" s="2"/>
      <c r="F244" s="2"/>
      <c r="U244" s="2"/>
    </row>
    <row r="245" spans="1:21" hidden="1">
      <c r="A245" s="2"/>
      <c r="B245" s="2"/>
      <c r="C245" s="2"/>
      <c r="D245" s="2"/>
      <c r="E245" s="2"/>
      <c r="F245" s="2"/>
      <c r="U245" s="2"/>
    </row>
    <row r="246" spans="1:21" hidden="1">
      <c r="A246" s="2"/>
      <c r="B246" s="2"/>
      <c r="C246" s="2"/>
      <c r="D246" s="2"/>
      <c r="E246" s="2"/>
      <c r="F246" s="2"/>
      <c r="U246" s="2"/>
    </row>
    <row r="247" spans="1:21" hidden="1">
      <c r="A247" s="2"/>
      <c r="B247" s="2"/>
      <c r="C247" s="2"/>
      <c r="D247" s="2"/>
      <c r="E247" s="2"/>
      <c r="F247" s="2"/>
      <c r="U247" s="2"/>
    </row>
    <row r="248" spans="1:21" hidden="1">
      <c r="A248" s="2"/>
      <c r="B248" s="2"/>
      <c r="C248" s="2"/>
      <c r="D248" s="2"/>
      <c r="E248" s="2"/>
      <c r="F248" s="2"/>
      <c r="U248" s="2"/>
    </row>
    <row r="249" spans="1:21" hidden="1">
      <c r="A249" s="2"/>
      <c r="B249" s="2"/>
      <c r="C249" s="2"/>
      <c r="D249" s="2"/>
      <c r="E249" s="2"/>
      <c r="F249" s="2"/>
      <c r="U249" s="2"/>
    </row>
    <row r="250" spans="1:21" hidden="1">
      <c r="A250" s="2"/>
      <c r="B250" s="2"/>
      <c r="C250" s="2"/>
      <c r="D250" s="2"/>
      <c r="E250" s="2"/>
      <c r="F250" s="2"/>
      <c r="U250" s="2"/>
    </row>
    <row r="251" spans="1:21" hidden="1">
      <c r="A251" s="2"/>
      <c r="B251" s="2"/>
      <c r="C251" s="2"/>
      <c r="D251" s="2"/>
      <c r="E251" s="2"/>
      <c r="F251" s="2"/>
      <c r="U251" s="2"/>
    </row>
    <row r="252" spans="1:21" hidden="1">
      <c r="A252" s="2"/>
      <c r="B252" s="2"/>
      <c r="C252" s="2"/>
      <c r="D252" s="2"/>
      <c r="E252" s="2"/>
      <c r="F252" s="2"/>
      <c r="U252" s="2"/>
    </row>
    <row r="253" spans="1:21" hidden="1">
      <c r="A253" s="2"/>
      <c r="B253" s="2"/>
      <c r="C253" s="2"/>
      <c r="D253" s="2"/>
      <c r="E253" s="2"/>
      <c r="F253" s="2"/>
      <c r="U253" s="2"/>
    </row>
    <row r="254" spans="1:21" hidden="1">
      <c r="A254" s="2"/>
      <c r="B254" s="2"/>
      <c r="C254" s="2"/>
      <c r="D254" s="2"/>
      <c r="E254" s="2"/>
      <c r="F254" s="2"/>
      <c r="U254" s="2"/>
    </row>
    <row r="255" spans="1:21" hidden="1">
      <c r="A255" s="2"/>
      <c r="B255" s="2"/>
      <c r="C255" s="2"/>
      <c r="D255" s="2"/>
      <c r="E255" s="2"/>
      <c r="F255" s="2"/>
      <c r="U255" s="2"/>
    </row>
    <row r="256" spans="1:21" hidden="1">
      <c r="A256" s="2"/>
      <c r="B256" s="2"/>
      <c r="C256" s="2"/>
      <c r="D256" s="2"/>
      <c r="E256" s="2"/>
      <c r="F256" s="2"/>
      <c r="U256" s="2"/>
    </row>
    <row r="257" spans="1:21" hidden="1">
      <c r="A257" s="2"/>
      <c r="B257" s="2"/>
      <c r="C257" s="2"/>
      <c r="D257" s="2"/>
      <c r="E257" s="2"/>
      <c r="F257" s="2"/>
      <c r="U257" s="2"/>
    </row>
    <row r="258" spans="1:21" hidden="1">
      <c r="A258" s="2"/>
      <c r="B258" s="2"/>
      <c r="C258" s="2"/>
      <c r="D258" s="2"/>
      <c r="E258" s="2"/>
      <c r="F258" s="2"/>
      <c r="U258" s="2"/>
    </row>
    <row r="259" spans="1:21" hidden="1">
      <c r="A259" s="2"/>
      <c r="B259" s="2"/>
      <c r="C259" s="2"/>
      <c r="D259" s="2"/>
      <c r="E259" s="2"/>
      <c r="F259" s="2"/>
      <c r="U259" s="2"/>
    </row>
    <row r="260" spans="1:21" hidden="1">
      <c r="A260" s="2"/>
      <c r="B260" s="2"/>
      <c r="C260" s="2"/>
      <c r="D260" s="2"/>
      <c r="E260" s="2"/>
      <c r="F260" s="2"/>
      <c r="U260" s="2"/>
    </row>
    <row r="261" spans="1:21" hidden="1">
      <c r="A261" s="2"/>
      <c r="B261" s="2"/>
      <c r="C261" s="2"/>
      <c r="D261" s="2"/>
      <c r="E261" s="2"/>
      <c r="F261" s="2"/>
      <c r="U261" s="2"/>
    </row>
    <row r="262" spans="1:21" hidden="1">
      <c r="A262" s="2"/>
      <c r="B262" s="2"/>
      <c r="C262" s="2"/>
      <c r="D262" s="2"/>
      <c r="E262" s="2"/>
      <c r="F262" s="2"/>
      <c r="U262" s="2"/>
    </row>
    <row r="263" spans="1:21" hidden="1">
      <c r="A263" s="2"/>
      <c r="B263" s="2"/>
      <c r="C263" s="2"/>
      <c r="D263" s="2"/>
      <c r="E263" s="2"/>
      <c r="F263" s="2"/>
      <c r="U263" s="2"/>
    </row>
    <row r="264" spans="1:21" hidden="1">
      <c r="A264" s="2"/>
      <c r="B264" s="2"/>
      <c r="C264" s="2"/>
      <c r="D264" s="2"/>
      <c r="E264" s="2"/>
      <c r="F264" s="2"/>
      <c r="U264" s="2"/>
    </row>
    <row r="265" spans="1:21" hidden="1">
      <c r="A265" s="2"/>
      <c r="B265" s="2"/>
      <c r="C265" s="2"/>
      <c r="D265" s="2"/>
      <c r="E265" s="2"/>
      <c r="F265" s="2"/>
      <c r="U265" s="2"/>
    </row>
    <row r="266" spans="1:21" hidden="1">
      <c r="A266" s="2"/>
      <c r="B266" s="2"/>
      <c r="C266" s="2"/>
      <c r="D266" s="2"/>
      <c r="E266" s="2"/>
      <c r="F266" s="2"/>
      <c r="U266" s="2"/>
    </row>
    <row r="267" spans="1:21" hidden="1">
      <c r="A267" s="2"/>
      <c r="B267" s="2"/>
      <c r="C267" s="2"/>
      <c r="D267" s="2"/>
      <c r="E267" s="2"/>
      <c r="F267" s="2"/>
      <c r="U267" s="2"/>
    </row>
    <row r="268" spans="1:21">
      <c r="A268" s="2"/>
      <c r="B268" s="2"/>
      <c r="C268" s="2"/>
      <c r="D268" s="2"/>
      <c r="E268" s="2"/>
      <c r="F268" s="2"/>
      <c r="U268" s="2"/>
    </row>
    <row r="269" spans="1:21">
      <c r="A269" s="2"/>
      <c r="B269" s="2"/>
      <c r="C269" s="2"/>
      <c r="D269" s="2"/>
      <c r="E269" s="2"/>
      <c r="F269" s="2"/>
      <c r="U269" s="2"/>
    </row>
    <row r="270" spans="1:21">
      <c r="A270" s="2"/>
      <c r="B270" s="2"/>
      <c r="C270" s="2"/>
      <c r="D270" s="2"/>
      <c r="E270" s="2"/>
      <c r="F270" s="2"/>
      <c r="U270" s="2"/>
    </row>
    <row r="271" spans="1:21">
      <c r="A271" s="2"/>
      <c r="B271" s="2"/>
      <c r="C271" s="2"/>
      <c r="D271" s="2"/>
      <c r="E271" s="2"/>
      <c r="F271" s="2"/>
      <c r="U271" s="2"/>
    </row>
    <row r="272" spans="1:21">
      <c r="A272" s="2"/>
      <c r="B272" s="2"/>
      <c r="C272" s="2"/>
      <c r="D272" s="2"/>
      <c r="E272" s="2"/>
      <c r="F272" s="2"/>
      <c r="U272" s="2"/>
    </row>
    <row r="273" spans="1:21">
      <c r="A273" s="2"/>
      <c r="B273" s="2"/>
      <c r="C273" s="2"/>
      <c r="D273" s="2"/>
      <c r="E273" s="2"/>
      <c r="F273" s="2"/>
      <c r="U273" s="2"/>
    </row>
    <row r="274" spans="1:21">
      <c r="A274" s="2"/>
      <c r="B274" s="2"/>
      <c r="C274" s="2"/>
      <c r="D274" s="2"/>
      <c r="E274" s="2"/>
      <c r="F274" s="2"/>
      <c r="U274" s="2"/>
    </row>
    <row r="275" spans="1:21">
      <c r="A275" s="2"/>
      <c r="B275" s="2"/>
      <c r="C275" s="2"/>
      <c r="D275" s="2"/>
      <c r="E275" s="2"/>
      <c r="F275" s="2"/>
      <c r="U275" s="2"/>
    </row>
    <row r="276" spans="1:21">
      <c r="A276" s="2"/>
      <c r="B276" s="2"/>
      <c r="C276" s="2"/>
      <c r="D276" s="2"/>
      <c r="E276" s="2"/>
      <c r="F276" s="2"/>
      <c r="U276" s="2"/>
    </row>
    <row r="277" spans="1:21">
      <c r="A277" s="2"/>
      <c r="B277" s="2"/>
      <c r="C277" s="2"/>
      <c r="D277" s="2"/>
      <c r="E277" s="2"/>
      <c r="F277" s="2"/>
      <c r="U277" s="2"/>
    </row>
    <row r="278" spans="1:21">
      <c r="A278" s="2"/>
      <c r="B278" s="2"/>
      <c r="C278" s="2"/>
      <c r="D278" s="2"/>
      <c r="E278" s="2"/>
      <c r="F278" s="2"/>
      <c r="U278" s="2"/>
    </row>
    <row r="279" spans="1:21">
      <c r="A279" s="2"/>
      <c r="B279" s="2"/>
      <c r="C279" s="2"/>
      <c r="D279" s="2"/>
      <c r="E279" s="2"/>
      <c r="F279" s="2"/>
      <c r="U279" s="2"/>
    </row>
    <row r="280" spans="1:21">
      <c r="A280" s="2"/>
      <c r="B280" s="2"/>
      <c r="C280" s="2"/>
      <c r="D280" s="2"/>
      <c r="E280" s="2"/>
      <c r="F280" s="2"/>
      <c r="U280" s="2"/>
    </row>
    <row r="281" spans="1:21">
      <c r="A281" s="2"/>
      <c r="B281" s="2"/>
      <c r="C281" s="2"/>
      <c r="D281" s="2"/>
      <c r="E281" s="2"/>
      <c r="F281" s="2"/>
      <c r="U281" s="2"/>
    </row>
    <row r="282" spans="1:21">
      <c r="A282" s="2"/>
      <c r="B282" s="2"/>
      <c r="C282" s="2"/>
      <c r="D282" s="2"/>
      <c r="E282" s="2"/>
      <c r="F282" s="2"/>
      <c r="U282" s="2"/>
    </row>
    <row r="283" spans="1:21">
      <c r="A283" s="2"/>
      <c r="B283" s="2"/>
      <c r="C283" s="2"/>
      <c r="D283" s="2"/>
      <c r="E283" s="2"/>
      <c r="F283" s="2"/>
      <c r="U283" s="2"/>
    </row>
    <row r="284" spans="1:21">
      <c r="A284" s="2"/>
      <c r="B284" s="2"/>
      <c r="C284" s="2"/>
      <c r="D284" s="2"/>
      <c r="E284" s="2"/>
      <c r="F284" s="2"/>
      <c r="U284" s="2"/>
    </row>
    <row r="285" spans="1:21">
      <c r="A285" s="2"/>
      <c r="B285" s="2"/>
      <c r="C285" s="2"/>
      <c r="D285" s="2"/>
      <c r="E285" s="2"/>
      <c r="F285" s="2"/>
      <c r="U285" s="2"/>
    </row>
    <row r="286" spans="1:21">
      <c r="A286" s="2"/>
      <c r="B286" s="2"/>
      <c r="C286" s="2"/>
      <c r="D286" s="2"/>
      <c r="E286" s="2"/>
      <c r="F286" s="2"/>
      <c r="U286" s="2"/>
    </row>
    <row r="287" spans="1:21">
      <c r="A287" s="2"/>
      <c r="B287" s="2"/>
      <c r="C287" s="2"/>
      <c r="D287" s="2"/>
      <c r="E287" s="2"/>
      <c r="F287" s="2"/>
      <c r="U287" s="2"/>
    </row>
    <row r="288" spans="1:21">
      <c r="A288" s="2"/>
      <c r="B288" s="2"/>
      <c r="C288" s="2"/>
      <c r="D288" s="2"/>
      <c r="E288" s="2"/>
      <c r="F288" s="2"/>
      <c r="U288" s="2"/>
    </row>
    <row r="289" spans="1:21">
      <c r="A289" s="2"/>
      <c r="B289" s="2"/>
      <c r="C289" s="2"/>
      <c r="D289" s="2"/>
      <c r="E289" s="2"/>
      <c r="F289" s="2"/>
      <c r="U289" s="2"/>
    </row>
    <row r="290" spans="1:21">
      <c r="A290" s="2"/>
      <c r="B290" s="2"/>
      <c r="C290" s="2"/>
      <c r="D290" s="2"/>
      <c r="E290" s="2"/>
      <c r="F290" s="2"/>
      <c r="U290" s="2"/>
    </row>
    <row r="291" spans="1:21">
      <c r="A291" s="2"/>
      <c r="B291" s="2"/>
      <c r="C291" s="2"/>
      <c r="D291" s="2"/>
      <c r="E291" s="2"/>
      <c r="F291" s="2"/>
      <c r="U291" s="2"/>
    </row>
    <row r="292" spans="1:21">
      <c r="A292" s="2"/>
      <c r="B292" s="2"/>
      <c r="C292" s="2"/>
      <c r="D292" s="2"/>
      <c r="E292" s="2"/>
      <c r="F292" s="2"/>
      <c r="U292" s="2"/>
    </row>
    <row r="293" spans="1:21">
      <c r="A293" s="2"/>
      <c r="B293" s="2"/>
      <c r="C293" s="2"/>
      <c r="D293" s="2"/>
      <c r="E293" s="2"/>
      <c r="F293" s="2"/>
      <c r="U293" s="2"/>
    </row>
    <row r="294" spans="1:21">
      <c r="A294" s="2"/>
      <c r="B294" s="2"/>
      <c r="C294" s="2"/>
      <c r="D294" s="2"/>
      <c r="E294" s="2"/>
      <c r="F294" s="2"/>
      <c r="U294" s="2"/>
    </row>
    <row r="295" spans="1:21">
      <c r="A295" s="2"/>
      <c r="B295" s="2"/>
      <c r="C295" s="2"/>
      <c r="D295" s="2"/>
      <c r="E295" s="2"/>
      <c r="F295" s="2"/>
      <c r="U295" s="2"/>
    </row>
    <row r="296" spans="1:21">
      <c r="A296" s="2"/>
      <c r="B296" s="2"/>
      <c r="C296" s="2"/>
      <c r="D296" s="2"/>
      <c r="E296" s="2"/>
      <c r="F296" s="2"/>
      <c r="U296" s="2"/>
    </row>
    <row r="297" spans="1:21">
      <c r="A297" s="2"/>
      <c r="B297" s="2"/>
      <c r="C297" s="2"/>
      <c r="D297" s="2"/>
      <c r="E297" s="2"/>
      <c r="F297" s="2"/>
      <c r="U297" s="2"/>
    </row>
    <row r="298" spans="1:21">
      <c r="A298" s="2"/>
      <c r="B298" s="2"/>
      <c r="C298" s="2"/>
      <c r="D298" s="2"/>
      <c r="E298" s="2"/>
      <c r="F298" s="2"/>
      <c r="U298" s="2"/>
    </row>
    <row r="299" spans="1:21">
      <c r="A299" s="2"/>
      <c r="B299" s="2"/>
      <c r="C299" s="2"/>
      <c r="D299" s="2"/>
      <c r="E299" s="2"/>
      <c r="F299" s="2"/>
      <c r="U299" s="2"/>
    </row>
    <row r="300" spans="1:21">
      <c r="A300" s="2"/>
      <c r="B300" s="2"/>
      <c r="C300" s="2"/>
      <c r="D300" s="2"/>
      <c r="E300" s="2"/>
      <c r="F300" s="2"/>
      <c r="U300" s="2"/>
    </row>
    <row r="301" spans="1:21">
      <c r="A301" s="2"/>
      <c r="B301" s="2"/>
      <c r="C301" s="2"/>
      <c r="D301" s="2"/>
      <c r="E301" s="2"/>
      <c r="F301" s="2"/>
      <c r="U301" s="2"/>
    </row>
    <row r="302" spans="1:21">
      <c r="A302" s="2"/>
      <c r="B302" s="2"/>
      <c r="C302" s="2"/>
      <c r="D302" s="2"/>
      <c r="E302" s="2"/>
      <c r="F302" s="2"/>
      <c r="U302" s="2"/>
    </row>
    <row r="303" spans="1:21">
      <c r="A303" s="2"/>
      <c r="B303" s="2"/>
      <c r="C303" s="2"/>
      <c r="D303" s="2"/>
      <c r="E303" s="2"/>
      <c r="F303" s="2"/>
      <c r="U303" s="2"/>
    </row>
    <row r="304" spans="1:21">
      <c r="A304" s="2"/>
      <c r="B304" s="2"/>
      <c r="C304" s="2"/>
      <c r="D304" s="2"/>
      <c r="E304" s="2"/>
      <c r="F304" s="2"/>
      <c r="U304" s="2"/>
    </row>
    <row r="305" spans="1:21">
      <c r="A305" s="2"/>
      <c r="B305" s="2"/>
      <c r="C305" s="2"/>
      <c r="D305" s="2"/>
      <c r="E305" s="2"/>
      <c r="F305" s="2"/>
      <c r="U305" s="2"/>
    </row>
    <row r="306" spans="1:21">
      <c r="A306" s="2"/>
      <c r="B306" s="2"/>
      <c r="C306" s="2"/>
      <c r="D306" s="2"/>
      <c r="E306" s="2"/>
      <c r="F306" s="2"/>
      <c r="U306" s="2"/>
    </row>
    <row r="307" spans="1:21">
      <c r="A307" s="2"/>
      <c r="B307" s="2"/>
      <c r="C307" s="2"/>
      <c r="D307" s="2"/>
      <c r="E307" s="2"/>
      <c r="F307" s="2"/>
      <c r="U307" s="2"/>
    </row>
    <row r="308" spans="1:21">
      <c r="A308" s="2"/>
      <c r="B308" s="2"/>
      <c r="C308" s="2"/>
      <c r="D308" s="2"/>
      <c r="E308" s="2"/>
      <c r="F308" s="2"/>
      <c r="U308" s="2"/>
    </row>
    <row r="309" spans="1:21">
      <c r="A309" s="2"/>
      <c r="B309" s="2"/>
      <c r="C309" s="2"/>
      <c r="D309" s="2"/>
      <c r="E309" s="2"/>
      <c r="F309" s="2"/>
      <c r="U309" s="2"/>
    </row>
    <row r="310" spans="1:21">
      <c r="A310" s="2"/>
      <c r="B310" s="2"/>
      <c r="C310" s="2"/>
      <c r="D310" s="2"/>
      <c r="E310" s="2"/>
      <c r="F310" s="2"/>
      <c r="U310" s="2"/>
    </row>
    <row r="311" spans="1:21">
      <c r="A311" s="2"/>
      <c r="B311" s="2"/>
      <c r="C311" s="2"/>
      <c r="D311" s="2"/>
      <c r="E311" s="2"/>
      <c r="F311" s="2"/>
      <c r="U311" s="2"/>
    </row>
    <row r="312" spans="1:21">
      <c r="A312" s="2"/>
      <c r="B312" s="2"/>
      <c r="C312" s="2"/>
      <c r="D312" s="2"/>
      <c r="E312" s="2"/>
      <c r="F312" s="2"/>
      <c r="U312" s="2"/>
    </row>
    <row r="313" spans="1:21">
      <c r="A313" s="2"/>
      <c r="B313" s="2"/>
      <c r="C313" s="2"/>
      <c r="D313" s="2"/>
      <c r="E313" s="2"/>
      <c r="F313" s="2"/>
      <c r="U313" s="2"/>
    </row>
    <row r="314" spans="1:21">
      <c r="A314" s="2"/>
      <c r="B314" s="2"/>
      <c r="C314" s="2"/>
      <c r="D314" s="2"/>
      <c r="E314" s="2"/>
      <c r="F314" s="2"/>
      <c r="U314" s="2"/>
    </row>
    <row r="315" spans="1:21">
      <c r="A315" s="2"/>
      <c r="B315" s="2"/>
      <c r="C315" s="2"/>
      <c r="D315" s="2"/>
      <c r="E315" s="2"/>
      <c r="F315" s="2"/>
      <c r="U315" s="2"/>
    </row>
    <row r="316" spans="1:21">
      <c r="A316" s="2"/>
      <c r="B316" s="2"/>
      <c r="C316" s="2"/>
      <c r="D316" s="2"/>
      <c r="E316" s="2"/>
      <c r="F316" s="2"/>
      <c r="U316" s="2"/>
    </row>
    <row r="317" spans="1:21">
      <c r="A317" s="2"/>
      <c r="B317" s="2"/>
      <c r="C317" s="2"/>
      <c r="D317" s="2"/>
      <c r="E317" s="2"/>
      <c r="F317" s="2"/>
      <c r="U317" s="2"/>
    </row>
    <row r="318" spans="1:21">
      <c r="A318" s="2"/>
      <c r="B318" s="2"/>
      <c r="C318" s="2"/>
      <c r="D318" s="2"/>
      <c r="E318" s="2"/>
      <c r="F318" s="2"/>
      <c r="U318" s="2"/>
    </row>
    <row r="319" spans="1:21">
      <c r="A319" s="2"/>
      <c r="B319" s="2"/>
      <c r="C319" s="2"/>
      <c r="D319" s="2"/>
      <c r="E319" s="2"/>
      <c r="F319" s="2"/>
      <c r="U319" s="2"/>
    </row>
    <row r="320" spans="1:21">
      <c r="A320" s="2"/>
      <c r="B320" s="2"/>
      <c r="C320" s="2"/>
      <c r="D320" s="2"/>
      <c r="E320" s="2"/>
      <c r="F320" s="2"/>
      <c r="U320" s="2"/>
    </row>
    <row r="321" spans="1:21">
      <c r="A321" s="2"/>
      <c r="B321" s="2"/>
      <c r="C321" s="2"/>
      <c r="D321" s="2"/>
      <c r="E321" s="2"/>
      <c r="F321" s="2"/>
      <c r="U321" s="2"/>
    </row>
    <row r="322" spans="1:21">
      <c r="A322" s="2"/>
      <c r="B322" s="2"/>
      <c r="C322" s="2"/>
      <c r="D322" s="2"/>
      <c r="E322" s="2"/>
      <c r="F322" s="2"/>
      <c r="U322" s="2"/>
    </row>
    <row r="323" spans="1:21">
      <c r="A323" s="2"/>
      <c r="B323" s="2"/>
      <c r="C323" s="2"/>
      <c r="D323" s="2"/>
      <c r="E323" s="2"/>
      <c r="F323" s="2"/>
      <c r="U323" s="2"/>
    </row>
    <row r="324" spans="1:21">
      <c r="A324" s="2"/>
      <c r="B324" s="2"/>
      <c r="C324" s="2"/>
      <c r="D324" s="2"/>
      <c r="E324" s="2"/>
      <c r="F324" s="2"/>
      <c r="U324" s="2"/>
    </row>
    <row r="325" spans="1:21">
      <c r="A325" s="2"/>
      <c r="B325" s="2"/>
      <c r="C325" s="2"/>
      <c r="D325" s="2"/>
      <c r="E325" s="2"/>
      <c r="F325" s="2"/>
      <c r="U325" s="2"/>
    </row>
    <row r="326" spans="1:21">
      <c r="A326" s="2"/>
      <c r="B326" s="2"/>
      <c r="C326" s="2"/>
      <c r="D326" s="2"/>
      <c r="E326" s="2"/>
      <c r="F326" s="2"/>
      <c r="U326" s="2"/>
    </row>
    <row r="327" spans="1:21">
      <c r="A327" s="2"/>
      <c r="B327" s="2"/>
      <c r="C327" s="2"/>
      <c r="D327" s="2"/>
      <c r="E327" s="2"/>
      <c r="F327" s="2"/>
      <c r="U327" s="2"/>
    </row>
    <row r="328" spans="1:21">
      <c r="A328" s="2"/>
      <c r="B328" s="2"/>
      <c r="C328" s="2"/>
      <c r="D328" s="2"/>
      <c r="E328" s="2"/>
      <c r="F328" s="2"/>
      <c r="U328" s="2"/>
    </row>
    <row r="329" spans="1:21">
      <c r="A329" s="2"/>
      <c r="B329" s="2"/>
      <c r="C329" s="2"/>
      <c r="D329" s="2"/>
      <c r="E329" s="2"/>
      <c r="F329" s="2"/>
      <c r="U329" s="2"/>
    </row>
    <row r="330" spans="1:21">
      <c r="A330" s="2"/>
      <c r="B330" s="2"/>
      <c r="C330" s="2"/>
      <c r="D330" s="2"/>
      <c r="E330" s="2"/>
      <c r="F330" s="2"/>
      <c r="U330" s="2"/>
    </row>
    <row r="331" spans="1:21">
      <c r="A331" s="2"/>
      <c r="B331" s="2"/>
      <c r="C331" s="2"/>
      <c r="D331" s="2"/>
      <c r="E331" s="2"/>
      <c r="F331" s="2"/>
      <c r="U331" s="2"/>
    </row>
    <row r="332" spans="1:21">
      <c r="A332" s="2"/>
      <c r="B332" s="2"/>
      <c r="C332" s="2"/>
      <c r="D332" s="2"/>
      <c r="E332" s="2"/>
      <c r="F332" s="2"/>
      <c r="U332" s="2"/>
    </row>
    <row r="333" spans="1:21">
      <c r="A333" s="2"/>
      <c r="B333" s="2"/>
      <c r="C333" s="2"/>
      <c r="D333" s="2"/>
      <c r="E333" s="2"/>
      <c r="F333" s="2"/>
      <c r="U333" s="2"/>
    </row>
    <row r="334" spans="1:21">
      <c r="A334" s="2"/>
      <c r="B334" s="2"/>
      <c r="C334" s="2"/>
      <c r="D334" s="2"/>
      <c r="E334" s="2"/>
      <c r="F334" s="2"/>
      <c r="U334" s="2"/>
    </row>
    <row r="335" spans="1:21">
      <c r="A335" s="2"/>
      <c r="B335" s="2"/>
      <c r="C335" s="2"/>
      <c r="D335" s="2"/>
      <c r="E335" s="2"/>
      <c r="F335" s="2"/>
      <c r="U335" s="2"/>
    </row>
    <row r="336" spans="1:21">
      <c r="A336" s="2"/>
      <c r="B336" s="2"/>
      <c r="C336" s="2"/>
      <c r="D336" s="2"/>
      <c r="E336" s="2"/>
      <c r="F336" s="2"/>
      <c r="U336" s="2"/>
    </row>
    <row r="337" spans="1:21">
      <c r="A337" s="2"/>
      <c r="B337" s="2"/>
      <c r="C337" s="2"/>
      <c r="D337" s="2"/>
      <c r="E337" s="2"/>
      <c r="F337" s="2"/>
      <c r="U337" s="2"/>
    </row>
    <row r="338" spans="1:21">
      <c r="A338" s="2"/>
      <c r="B338" s="2"/>
      <c r="C338" s="2"/>
      <c r="D338" s="2"/>
      <c r="E338" s="2"/>
      <c r="F338" s="2"/>
      <c r="U338" s="2"/>
    </row>
    <row r="339" spans="1:21">
      <c r="A339" s="2"/>
      <c r="B339" s="2"/>
      <c r="C339" s="2"/>
      <c r="D339" s="2"/>
      <c r="E339" s="2"/>
      <c r="F339" s="2"/>
      <c r="U339" s="2"/>
    </row>
    <row r="340" spans="1:21">
      <c r="A340" s="2"/>
      <c r="B340" s="2"/>
      <c r="C340" s="2"/>
      <c r="D340" s="2"/>
      <c r="E340" s="2"/>
      <c r="F340" s="2"/>
      <c r="U340" s="2"/>
    </row>
    <row r="341" spans="1:21">
      <c r="A341" s="2"/>
      <c r="B341" s="2"/>
      <c r="C341" s="2"/>
      <c r="D341" s="2"/>
      <c r="E341" s="2"/>
      <c r="F341" s="2"/>
      <c r="U341" s="2"/>
    </row>
    <row r="342" spans="1:21">
      <c r="A342" s="2"/>
      <c r="B342" s="2"/>
      <c r="C342" s="2"/>
      <c r="D342" s="2"/>
      <c r="E342" s="2"/>
      <c r="F342" s="2"/>
      <c r="U342" s="2"/>
    </row>
    <row r="343" spans="1:21">
      <c r="A343" s="2"/>
      <c r="B343" s="2"/>
      <c r="C343" s="2"/>
      <c r="D343" s="2"/>
      <c r="E343" s="2"/>
      <c r="F343" s="2"/>
      <c r="U343" s="2"/>
    </row>
    <row r="344" spans="1:21">
      <c r="A344" s="2"/>
      <c r="B344" s="2"/>
      <c r="C344" s="2"/>
      <c r="D344" s="2"/>
      <c r="E344" s="2"/>
      <c r="F344" s="2"/>
      <c r="U344" s="2"/>
    </row>
    <row r="345" spans="1:21">
      <c r="A345" s="2"/>
      <c r="B345" s="2"/>
      <c r="C345" s="2"/>
      <c r="D345" s="2"/>
      <c r="E345" s="2"/>
      <c r="F345" s="2"/>
      <c r="U345" s="2"/>
    </row>
    <row r="346" spans="1:21">
      <c r="A346" s="2"/>
      <c r="B346" s="2"/>
      <c r="C346" s="2"/>
      <c r="D346" s="2"/>
      <c r="E346" s="2"/>
      <c r="F346" s="2"/>
      <c r="U346" s="2"/>
    </row>
    <row r="347" spans="1:21">
      <c r="A347" s="2"/>
      <c r="B347" s="2"/>
      <c r="C347" s="2"/>
      <c r="D347" s="2"/>
      <c r="E347" s="2"/>
      <c r="F347" s="2"/>
      <c r="U347" s="2"/>
    </row>
    <row r="348" spans="1:21">
      <c r="A348" s="2"/>
      <c r="B348" s="2"/>
      <c r="C348" s="2"/>
      <c r="D348" s="2"/>
      <c r="E348" s="2"/>
      <c r="F348" s="2"/>
      <c r="U348" s="2"/>
    </row>
    <row r="349" spans="1:21">
      <c r="A349" s="2"/>
      <c r="B349" s="2"/>
      <c r="C349" s="2"/>
      <c r="D349" s="2"/>
      <c r="E349" s="2"/>
      <c r="F349" s="2"/>
      <c r="U349" s="2"/>
    </row>
    <row r="350" spans="1:21">
      <c r="A350" s="2"/>
      <c r="B350" s="2"/>
      <c r="C350" s="2"/>
      <c r="D350" s="2"/>
      <c r="E350" s="2"/>
      <c r="F350" s="2"/>
      <c r="U350" s="2"/>
    </row>
    <row r="351" spans="1:21">
      <c r="A351" s="2"/>
      <c r="B351" s="2"/>
      <c r="C351" s="2"/>
      <c r="D351" s="2"/>
      <c r="E351" s="2"/>
      <c r="F351" s="2"/>
      <c r="U351" s="2"/>
    </row>
    <row r="352" spans="1:21">
      <c r="A352" s="2"/>
      <c r="B352" s="2"/>
      <c r="C352" s="2"/>
      <c r="D352" s="2"/>
      <c r="E352" s="2"/>
      <c r="F352" s="2"/>
      <c r="U352" s="2"/>
    </row>
    <row r="353" spans="1:21">
      <c r="A353" s="2"/>
      <c r="B353" s="2"/>
      <c r="C353" s="2"/>
      <c r="D353" s="2"/>
      <c r="E353" s="2"/>
      <c r="F353" s="2"/>
      <c r="U353" s="2"/>
    </row>
    <row r="354" spans="1:21">
      <c r="A354" s="2"/>
      <c r="B354" s="2"/>
      <c r="C354" s="2"/>
      <c r="D354" s="2"/>
      <c r="E354" s="2"/>
      <c r="F354" s="2"/>
      <c r="U354" s="2"/>
    </row>
    <row r="355" spans="1:21">
      <c r="A355" s="2"/>
      <c r="B355" s="2"/>
      <c r="C355" s="2"/>
      <c r="D355" s="2"/>
      <c r="E355" s="2"/>
      <c r="F355" s="2"/>
      <c r="U355" s="2"/>
    </row>
    <row r="356" spans="1:21">
      <c r="A356" s="2"/>
      <c r="B356" s="2"/>
      <c r="C356" s="2"/>
      <c r="D356" s="2"/>
      <c r="E356" s="2"/>
      <c r="F356" s="2"/>
      <c r="U356" s="2"/>
    </row>
    <row r="357" spans="1:21">
      <c r="A357" s="2"/>
      <c r="B357" s="2"/>
      <c r="C357" s="2"/>
      <c r="D357" s="2"/>
      <c r="E357" s="2"/>
      <c r="F357" s="2"/>
      <c r="U357" s="2"/>
    </row>
    <row r="358" spans="1:21">
      <c r="A358" s="2"/>
      <c r="B358" s="2"/>
      <c r="C358" s="2"/>
      <c r="D358" s="2"/>
      <c r="E358" s="2"/>
      <c r="F358" s="2"/>
      <c r="U358" s="2"/>
    </row>
    <row r="359" spans="1:21">
      <c r="A359" s="2"/>
      <c r="B359" s="2"/>
      <c r="C359" s="2"/>
      <c r="D359" s="2"/>
      <c r="E359" s="2"/>
      <c r="F359" s="2"/>
      <c r="U359" s="2"/>
    </row>
    <row r="360" spans="1:21">
      <c r="A360" s="2"/>
      <c r="B360" s="2"/>
      <c r="C360" s="2"/>
      <c r="D360" s="2"/>
      <c r="E360" s="2"/>
      <c r="F360" s="2"/>
      <c r="U360" s="2"/>
    </row>
    <row r="361" spans="1:21">
      <c r="A361" s="2"/>
      <c r="B361" s="2"/>
      <c r="C361" s="2"/>
      <c r="D361" s="2"/>
      <c r="E361" s="2"/>
      <c r="F361" s="2"/>
      <c r="U361" s="2"/>
    </row>
    <row r="362" spans="1:21">
      <c r="A362" s="2"/>
      <c r="B362" s="2"/>
      <c r="C362" s="2"/>
      <c r="D362" s="2"/>
      <c r="E362" s="2"/>
      <c r="F362" s="2"/>
      <c r="U362" s="2"/>
    </row>
    <row r="363" spans="1:21">
      <c r="A363" s="2"/>
      <c r="B363" s="2"/>
      <c r="C363" s="2"/>
      <c r="D363" s="2"/>
      <c r="E363" s="2"/>
      <c r="F363" s="2"/>
      <c r="U363" s="2"/>
    </row>
    <row r="364" spans="1:21">
      <c r="A364" s="2"/>
      <c r="B364" s="2"/>
      <c r="C364" s="2"/>
      <c r="D364" s="2"/>
      <c r="E364" s="2"/>
      <c r="F364" s="2"/>
      <c r="U364" s="2"/>
    </row>
    <row r="365" spans="1:21">
      <c r="A365" s="2"/>
      <c r="B365" s="2"/>
      <c r="C365" s="2"/>
      <c r="D365" s="2"/>
      <c r="E365" s="2"/>
      <c r="F365" s="2"/>
      <c r="U365" s="2"/>
    </row>
    <row r="366" spans="1:21">
      <c r="A366" s="2"/>
      <c r="B366" s="2"/>
      <c r="C366" s="2"/>
      <c r="D366" s="2"/>
      <c r="E366" s="2"/>
      <c r="F366" s="2"/>
      <c r="U366" s="2"/>
    </row>
    <row r="367" spans="1:21">
      <c r="A367" s="2"/>
      <c r="B367" s="2"/>
      <c r="C367" s="2"/>
      <c r="D367" s="2"/>
      <c r="E367" s="2"/>
      <c r="F367" s="2"/>
      <c r="U367" s="2"/>
    </row>
    <row r="368" spans="1:21">
      <c r="A368" s="2"/>
      <c r="B368" s="2"/>
      <c r="C368" s="2"/>
      <c r="D368" s="2"/>
      <c r="E368" s="2"/>
      <c r="F368" s="2"/>
      <c r="U368" s="2"/>
    </row>
    <row r="369" spans="1:21">
      <c r="A369" s="2"/>
      <c r="B369" s="2"/>
      <c r="C369" s="2"/>
      <c r="D369" s="2"/>
      <c r="E369" s="2"/>
      <c r="F369" s="2"/>
      <c r="U369" s="2"/>
    </row>
    <row r="370" spans="1:21">
      <c r="A370" s="2"/>
      <c r="B370" s="2"/>
      <c r="C370" s="2"/>
      <c r="D370" s="2"/>
      <c r="E370" s="2"/>
      <c r="F370" s="2"/>
      <c r="U370" s="2"/>
    </row>
    <row r="371" spans="1:21">
      <c r="A371" s="2"/>
      <c r="B371" s="2"/>
      <c r="C371" s="2"/>
      <c r="D371" s="2"/>
      <c r="E371" s="2"/>
      <c r="F371" s="2"/>
      <c r="U371" s="2"/>
    </row>
    <row r="372" spans="1:21">
      <c r="A372" s="2"/>
      <c r="B372" s="2"/>
      <c r="C372" s="2"/>
      <c r="D372" s="2"/>
      <c r="E372" s="2"/>
      <c r="F372" s="2"/>
      <c r="U372" s="2"/>
    </row>
    <row r="373" spans="1:21">
      <c r="A373" s="2"/>
      <c r="B373" s="2"/>
      <c r="C373" s="2"/>
      <c r="D373" s="2"/>
      <c r="E373" s="2"/>
      <c r="F373" s="2"/>
      <c r="U373" s="2"/>
    </row>
    <row r="374" spans="1:21">
      <c r="A374" s="2"/>
      <c r="B374" s="2"/>
      <c r="C374" s="2"/>
      <c r="D374" s="2"/>
      <c r="E374" s="2"/>
      <c r="F374" s="2"/>
      <c r="U374" s="2"/>
    </row>
    <row r="375" spans="1:21">
      <c r="A375" s="2"/>
      <c r="B375" s="2"/>
      <c r="C375" s="2"/>
      <c r="D375" s="2"/>
      <c r="E375" s="2"/>
      <c r="F375" s="2"/>
      <c r="U375" s="2"/>
    </row>
    <row r="376" spans="1:21">
      <c r="A376" s="2"/>
      <c r="B376" s="2"/>
      <c r="C376" s="2"/>
      <c r="D376" s="2"/>
      <c r="E376" s="2"/>
      <c r="F376" s="2"/>
      <c r="U376" s="2"/>
    </row>
    <row r="377" spans="1:21">
      <c r="A377" s="2"/>
      <c r="B377" s="2"/>
      <c r="C377" s="2"/>
      <c r="D377" s="2"/>
      <c r="E377" s="2"/>
      <c r="F377" s="2"/>
      <c r="U377" s="2"/>
    </row>
    <row r="378" spans="1:21">
      <c r="A378" s="2"/>
      <c r="B378" s="2"/>
      <c r="C378" s="2"/>
      <c r="D378" s="2"/>
      <c r="E378" s="2"/>
      <c r="F378" s="2"/>
      <c r="U378" s="2"/>
    </row>
    <row r="379" spans="1:21">
      <c r="A379" s="2"/>
      <c r="B379" s="2"/>
      <c r="C379" s="2"/>
      <c r="D379" s="2"/>
      <c r="E379" s="2"/>
      <c r="F379" s="2"/>
      <c r="U379" s="2"/>
    </row>
    <row r="380" spans="1:21">
      <c r="A380" s="2"/>
      <c r="B380" s="2"/>
      <c r="C380" s="2"/>
      <c r="D380" s="2"/>
      <c r="E380" s="2"/>
      <c r="F380" s="2"/>
      <c r="U380" s="2"/>
    </row>
    <row r="381" spans="1:21">
      <c r="A381" s="2"/>
      <c r="B381" s="2"/>
      <c r="C381" s="2"/>
      <c r="D381" s="2"/>
      <c r="E381" s="2"/>
      <c r="F381" s="2"/>
      <c r="U381" s="2"/>
    </row>
    <row r="382" spans="1:21">
      <c r="A382" s="2"/>
      <c r="B382" s="2"/>
      <c r="C382" s="2"/>
      <c r="D382" s="2"/>
      <c r="E382" s="2"/>
      <c r="F382" s="2"/>
      <c r="U382" s="2"/>
    </row>
    <row r="383" spans="1:21">
      <c r="A383" s="2"/>
      <c r="B383" s="2"/>
      <c r="C383" s="2"/>
      <c r="D383" s="2"/>
      <c r="E383" s="2"/>
      <c r="F383" s="2"/>
      <c r="U383" s="2"/>
    </row>
    <row r="384" spans="1:21">
      <c r="A384" s="2"/>
      <c r="B384" s="2"/>
      <c r="C384" s="2"/>
      <c r="D384" s="2"/>
      <c r="E384" s="2"/>
      <c r="F384" s="2"/>
      <c r="U384" s="2"/>
    </row>
    <row r="385" spans="1:21">
      <c r="A385" s="2"/>
      <c r="B385" s="2"/>
      <c r="C385" s="2"/>
      <c r="D385" s="2"/>
      <c r="E385" s="2"/>
      <c r="F385" s="2"/>
      <c r="U385" s="2"/>
    </row>
    <row r="386" spans="1:21">
      <c r="A386" s="2"/>
      <c r="B386" s="2"/>
      <c r="C386" s="2"/>
      <c r="D386" s="2"/>
      <c r="E386" s="2"/>
      <c r="F386" s="2"/>
      <c r="U386" s="2"/>
    </row>
    <row r="387" spans="1:21">
      <c r="A387" s="2"/>
      <c r="B387" s="2"/>
      <c r="C387" s="2"/>
      <c r="D387" s="2"/>
      <c r="E387" s="2"/>
      <c r="F387" s="2"/>
      <c r="U387" s="2"/>
    </row>
    <row r="388" spans="1:21">
      <c r="A388" s="2"/>
      <c r="B388" s="2"/>
      <c r="C388" s="2"/>
      <c r="D388" s="2"/>
      <c r="E388" s="2"/>
      <c r="F388" s="2"/>
      <c r="U388" s="2"/>
    </row>
    <row r="389" spans="1:21">
      <c r="A389" s="2"/>
      <c r="B389" s="2"/>
      <c r="C389" s="2"/>
      <c r="D389" s="2"/>
      <c r="E389" s="2"/>
      <c r="F389" s="2"/>
      <c r="U389" s="2"/>
    </row>
    <row r="390" spans="1:21">
      <c r="A390" s="2"/>
      <c r="B390" s="2"/>
      <c r="C390" s="2"/>
      <c r="D390" s="2"/>
      <c r="E390" s="2"/>
      <c r="F390" s="2"/>
      <c r="U390" s="2"/>
    </row>
    <row r="391" spans="1:21">
      <c r="A391" s="2"/>
      <c r="B391" s="2"/>
      <c r="C391" s="2"/>
      <c r="D391" s="2"/>
      <c r="E391" s="2"/>
      <c r="F391" s="2"/>
      <c r="U391" s="2"/>
    </row>
    <row r="392" spans="1:21">
      <c r="A392" s="2"/>
      <c r="B392" s="2"/>
      <c r="C392" s="2"/>
      <c r="D392" s="2"/>
      <c r="E392" s="2"/>
      <c r="F392" s="2"/>
      <c r="U392" s="2"/>
    </row>
    <row r="393" spans="1:21">
      <c r="A393" s="2"/>
      <c r="B393" s="2"/>
      <c r="C393" s="2"/>
      <c r="D393" s="2"/>
      <c r="E393" s="2"/>
      <c r="F393" s="2"/>
      <c r="U393" s="2"/>
    </row>
    <row r="394" spans="1:21">
      <c r="A394" s="2"/>
      <c r="B394" s="2"/>
      <c r="C394" s="2"/>
      <c r="D394" s="2"/>
      <c r="E394" s="2"/>
      <c r="F394" s="2"/>
      <c r="U394" s="2"/>
    </row>
    <row r="395" spans="1:21">
      <c r="A395" s="2"/>
      <c r="B395" s="2"/>
      <c r="C395" s="2"/>
      <c r="D395" s="2"/>
      <c r="E395" s="2"/>
      <c r="F395" s="2"/>
      <c r="U395" s="2"/>
    </row>
    <row r="396" spans="1:21">
      <c r="A396" s="2"/>
      <c r="B396" s="2"/>
      <c r="C396" s="2"/>
      <c r="D396" s="2"/>
      <c r="E396" s="2"/>
      <c r="F396" s="2"/>
      <c r="U396" s="2"/>
    </row>
    <row r="397" spans="1:21">
      <c r="A397" s="2"/>
      <c r="B397" s="2"/>
      <c r="C397" s="2"/>
      <c r="D397" s="2"/>
      <c r="E397" s="2"/>
      <c r="F397" s="2"/>
      <c r="U397" s="2"/>
    </row>
    <row r="398" spans="1:21">
      <c r="A398" s="2"/>
      <c r="B398" s="2"/>
      <c r="C398" s="2"/>
      <c r="D398" s="2"/>
      <c r="E398" s="2"/>
      <c r="F398" s="2"/>
      <c r="U398" s="2"/>
    </row>
    <row r="399" spans="1:21">
      <c r="A399" s="2"/>
      <c r="B399" s="2"/>
      <c r="C399" s="2"/>
      <c r="D399" s="2"/>
      <c r="E399" s="2"/>
      <c r="F399" s="2"/>
      <c r="U399" s="2"/>
    </row>
    <row r="400" spans="1:21">
      <c r="A400" s="2"/>
      <c r="B400" s="2"/>
      <c r="C400" s="2"/>
      <c r="D400" s="2"/>
      <c r="E400" s="2"/>
      <c r="F400" s="2"/>
      <c r="U400" s="2"/>
    </row>
    <row r="401" spans="1:21">
      <c r="A401" s="2"/>
      <c r="B401" s="2"/>
      <c r="C401" s="2"/>
      <c r="D401" s="2"/>
      <c r="E401" s="2"/>
      <c r="F401" s="2"/>
      <c r="U401" s="2"/>
    </row>
    <row r="402" spans="1:21">
      <c r="A402" s="2"/>
      <c r="B402" s="2"/>
      <c r="C402" s="2"/>
      <c r="D402" s="2"/>
      <c r="E402" s="2"/>
      <c r="F402" s="2"/>
      <c r="U402" s="2"/>
    </row>
    <row r="403" spans="1:21">
      <c r="A403" s="2"/>
      <c r="B403" s="2"/>
      <c r="C403" s="2"/>
      <c r="D403" s="2"/>
      <c r="E403" s="2"/>
      <c r="F403" s="2"/>
      <c r="U403" s="2"/>
    </row>
    <row r="404" spans="1:21">
      <c r="A404" s="2"/>
      <c r="B404" s="2"/>
      <c r="C404" s="2"/>
      <c r="D404" s="2"/>
      <c r="E404" s="2"/>
      <c r="F404" s="2"/>
      <c r="U404" s="2"/>
    </row>
    <row r="405" spans="1:21">
      <c r="A405" s="2"/>
      <c r="B405" s="2"/>
      <c r="C405" s="2"/>
      <c r="D405" s="2"/>
      <c r="E405" s="2"/>
      <c r="F405" s="2"/>
      <c r="U405" s="2"/>
    </row>
    <row r="406" spans="1:21">
      <c r="A406" s="2"/>
      <c r="B406" s="2"/>
      <c r="C406" s="2"/>
      <c r="D406" s="2"/>
      <c r="E406" s="2"/>
      <c r="F406" s="2"/>
      <c r="U406" s="2"/>
    </row>
    <row r="407" spans="1:21">
      <c r="A407" s="2"/>
      <c r="B407" s="2"/>
      <c r="C407" s="2"/>
      <c r="D407" s="2"/>
      <c r="E407" s="2"/>
      <c r="F407" s="2"/>
      <c r="U407" s="2"/>
    </row>
    <row r="408" spans="1:21">
      <c r="A408" s="2"/>
      <c r="B408" s="2"/>
      <c r="C408" s="2"/>
      <c r="D408" s="2"/>
      <c r="E408" s="2"/>
      <c r="F408" s="2"/>
      <c r="U408" s="2"/>
    </row>
    <row r="409" spans="1:21">
      <c r="A409" s="2"/>
      <c r="B409" s="2"/>
      <c r="C409" s="2"/>
      <c r="D409" s="2"/>
      <c r="E409" s="2"/>
      <c r="F409" s="2"/>
      <c r="U409" s="2"/>
    </row>
    <row r="410" spans="1:21">
      <c r="A410" s="2"/>
      <c r="B410" s="2"/>
      <c r="C410" s="2"/>
      <c r="D410" s="2"/>
      <c r="E410" s="2"/>
      <c r="F410" s="2"/>
      <c r="U410" s="2"/>
    </row>
    <row r="411" spans="1:21">
      <c r="A411" s="2"/>
      <c r="B411" s="2"/>
      <c r="C411" s="2"/>
      <c r="D411" s="2"/>
      <c r="E411" s="2"/>
      <c r="F411" s="2"/>
      <c r="U411" s="2"/>
    </row>
    <row r="412" spans="1:21">
      <c r="A412" s="2"/>
      <c r="B412" s="2"/>
      <c r="C412" s="2"/>
      <c r="D412" s="2"/>
      <c r="E412" s="2"/>
      <c r="F412" s="2"/>
      <c r="U412" s="2"/>
    </row>
    <row r="413" spans="1:21">
      <c r="A413" s="2"/>
      <c r="B413" s="2"/>
      <c r="C413" s="2"/>
      <c r="D413" s="2"/>
      <c r="E413" s="2"/>
      <c r="F413" s="2"/>
      <c r="U413" s="2"/>
    </row>
    <row r="414" spans="1:21">
      <c r="A414" s="2"/>
      <c r="B414" s="2"/>
      <c r="C414" s="2"/>
      <c r="D414" s="2"/>
      <c r="E414" s="2"/>
      <c r="F414" s="2"/>
      <c r="U414" s="2"/>
    </row>
    <row r="415" spans="1:21">
      <c r="A415" s="2"/>
      <c r="B415" s="2"/>
      <c r="C415" s="2"/>
      <c r="D415" s="2"/>
      <c r="E415" s="2"/>
      <c r="F415" s="2"/>
      <c r="U415" s="2"/>
    </row>
    <row r="416" spans="1:21">
      <c r="A416" s="2"/>
      <c r="B416" s="2"/>
      <c r="C416" s="2"/>
      <c r="D416" s="2"/>
      <c r="E416" s="2"/>
      <c r="F416" s="2"/>
      <c r="U416" s="2"/>
    </row>
    <row r="417" spans="1:21">
      <c r="A417" s="2"/>
      <c r="B417" s="2"/>
      <c r="C417" s="2"/>
      <c r="D417" s="2"/>
      <c r="E417" s="2"/>
      <c r="F417" s="2"/>
      <c r="U417" s="2"/>
    </row>
    <row r="418" spans="1:21">
      <c r="A418" s="2"/>
      <c r="B418" s="2"/>
      <c r="C418" s="2"/>
      <c r="D418" s="2"/>
      <c r="E418" s="2"/>
      <c r="F418" s="2"/>
      <c r="U418" s="2"/>
    </row>
    <row r="419" spans="1:21">
      <c r="A419" s="2"/>
      <c r="B419" s="2"/>
      <c r="C419" s="2"/>
      <c r="D419" s="2"/>
      <c r="E419" s="2"/>
      <c r="F419" s="2"/>
      <c r="U419" s="2"/>
    </row>
    <row r="420" spans="1:21">
      <c r="A420" s="2"/>
      <c r="B420" s="2"/>
      <c r="C420" s="2"/>
      <c r="D420" s="2"/>
      <c r="E420" s="2"/>
      <c r="F420" s="2"/>
      <c r="U420" s="2"/>
    </row>
    <row r="421" spans="1:21">
      <c r="A421" s="2"/>
      <c r="B421" s="2"/>
      <c r="C421" s="2"/>
      <c r="D421" s="2"/>
      <c r="E421" s="2"/>
      <c r="F421" s="2"/>
      <c r="U421" s="2"/>
    </row>
    <row r="422" spans="1:21">
      <c r="A422" s="2"/>
      <c r="B422" s="2"/>
      <c r="C422" s="2"/>
      <c r="D422" s="2"/>
      <c r="E422" s="2"/>
      <c r="F422" s="2"/>
      <c r="U422" s="2"/>
    </row>
    <row r="423" spans="1:21">
      <c r="A423" s="2"/>
      <c r="B423" s="2"/>
      <c r="C423" s="2"/>
      <c r="D423" s="2"/>
      <c r="E423" s="2"/>
      <c r="F423" s="2"/>
      <c r="U423" s="2"/>
    </row>
    <row r="424" spans="1:21">
      <c r="A424" s="2"/>
      <c r="B424" s="2"/>
      <c r="C424" s="2"/>
      <c r="D424" s="2"/>
      <c r="E424" s="2"/>
      <c r="F424" s="2"/>
      <c r="U424" s="2"/>
    </row>
    <row r="425" spans="1:21">
      <c r="A425" s="2"/>
      <c r="B425" s="2"/>
      <c r="C425" s="2"/>
      <c r="D425" s="2"/>
      <c r="E425" s="2"/>
      <c r="F425" s="2"/>
      <c r="U425" s="2"/>
    </row>
    <row r="426" spans="1:21">
      <c r="A426" s="2"/>
      <c r="B426" s="2"/>
      <c r="C426" s="2"/>
      <c r="D426" s="2"/>
      <c r="E426" s="2"/>
      <c r="F426" s="2"/>
      <c r="U426" s="2"/>
    </row>
    <row r="427" spans="1:21">
      <c r="A427" s="2"/>
      <c r="B427" s="2"/>
      <c r="C427" s="2"/>
      <c r="D427" s="2"/>
      <c r="E427" s="2"/>
      <c r="F427" s="2"/>
      <c r="U427" s="2"/>
    </row>
    <row r="428" spans="1:21">
      <c r="A428" s="2"/>
      <c r="B428" s="2"/>
      <c r="C428" s="2"/>
      <c r="D428" s="2"/>
      <c r="E428" s="2"/>
      <c r="F428" s="2"/>
      <c r="U428" s="2"/>
    </row>
    <row r="429" spans="1:21">
      <c r="A429" s="2"/>
      <c r="B429" s="2"/>
      <c r="C429" s="2"/>
      <c r="D429" s="2"/>
      <c r="E429" s="2"/>
      <c r="F429" s="2"/>
      <c r="U429" s="2"/>
    </row>
    <row r="430" spans="1:21">
      <c r="A430" s="2"/>
      <c r="B430" s="2"/>
      <c r="C430" s="2"/>
      <c r="D430" s="2"/>
      <c r="E430" s="2"/>
      <c r="F430" s="2"/>
      <c r="U430" s="2"/>
    </row>
    <row r="431" spans="1:21">
      <c r="A431" s="2"/>
      <c r="B431" s="2"/>
      <c r="C431" s="2"/>
      <c r="D431" s="2"/>
      <c r="E431" s="2"/>
      <c r="F431" s="2"/>
      <c r="U431" s="2"/>
    </row>
    <row r="432" spans="1:21">
      <c r="A432" s="2"/>
      <c r="B432" s="2"/>
      <c r="C432" s="2"/>
      <c r="D432" s="2"/>
      <c r="E432" s="2"/>
      <c r="F432" s="2"/>
      <c r="U432" s="2"/>
    </row>
    <row r="433" spans="1:23">
      <c r="A433" s="2"/>
      <c r="B433" s="2"/>
      <c r="C433" s="2"/>
      <c r="D433" s="2"/>
      <c r="E433" s="2"/>
      <c r="F433" s="2"/>
      <c r="U433" s="2"/>
    </row>
    <row r="434" spans="1:23">
      <c r="A434" s="2"/>
      <c r="B434" s="2"/>
      <c r="C434" s="2"/>
      <c r="D434" s="2"/>
      <c r="E434" s="2"/>
      <c r="F434" s="2"/>
      <c r="U434" s="2"/>
    </row>
    <row r="435" spans="1:23">
      <c r="A435" s="2"/>
      <c r="B435" s="2"/>
      <c r="C435" s="2"/>
      <c r="D435" s="2"/>
      <c r="E435" s="2"/>
      <c r="F435" s="2"/>
      <c r="U435" s="2"/>
    </row>
    <row r="436" spans="1:23">
      <c r="A436" s="2"/>
      <c r="B436" s="2"/>
      <c r="C436" s="2"/>
      <c r="D436" s="2"/>
      <c r="E436" s="2"/>
      <c r="F436" s="2"/>
      <c r="U436" s="2"/>
    </row>
    <row r="437" spans="1:23">
      <c r="A437" s="2"/>
      <c r="B437" s="2"/>
      <c r="C437" s="2"/>
      <c r="D437" s="2"/>
      <c r="E437" s="2"/>
      <c r="F437" s="2"/>
      <c r="U437" s="2"/>
    </row>
    <row r="438" spans="1:23">
      <c r="A438" s="2"/>
      <c r="B438" s="2"/>
      <c r="C438" s="2"/>
      <c r="D438" s="2"/>
      <c r="E438" s="2"/>
      <c r="F438" s="2"/>
      <c r="U438" s="2"/>
    </row>
    <row r="439" spans="1:23">
      <c r="A439" s="2"/>
      <c r="B439" s="2"/>
      <c r="C439" s="2"/>
      <c r="D439" s="2"/>
      <c r="E439" s="2"/>
      <c r="F439" s="2"/>
      <c r="U439" s="2"/>
    </row>
    <row r="440" spans="1:23">
      <c r="A440" s="2"/>
      <c r="B440" s="2"/>
      <c r="C440" s="2"/>
      <c r="D440" s="2"/>
      <c r="E440" s="2"/>
      <c r="F440" s="2"/>
      <c r="U440" s="2"/>
    </row>
    <row r="441" spans="1:23">
      <c r="A441" s="2"/>
      <c r="B441" s="2"/>
      <c r="C441" s="2"/>
      <c r="D441" s="2"/>
      <c r="E441" s="2"/>
      <c r="F441" s="2"/>
      <c r="U441" s="2"/>
    </row>
    <row r="442" spans="1:23">
      <c r="A442" s="2"/>
      <c r="B442" s="2"/>
      <c r="C442" s="2"/>
      <c r="D442" s="2"/>
      <c r="E442" s="2"/>
      <c r="F442" s="2"/>
      <c r="U442" s="2"/>
    </row>
    <row r="443" spans="1:23">
      <c r="A443" s="2"/>
      <c r="B443" s="2"/>
      <c r="C443" s="2"/>
      <c r="D443" s="2"/>
      <c r="E443" s="2"/>
      <c r="F443" s="2"/>
      <c r="U443" s="2"/>
    </row>
    <row r="444" spans="1:23" ht="13.5" thickBot="1">
      <c r="A444" s="2"/>
      <c r="B444" s="2"/>
      <c r="C444" s="2"/>
      <c r="D444" s="2"/>
      <c r="E444" s="2"/>
      <c r="F444" s="2"/>
      <c r="U444" s="2"/>
    </row>
    <row r="445" spans="1:23" ht="45">
      <c r="A445" s="300" t="s">
        <v>85</v>
      </c>
      <c r="B445" s="300"/>
      <c r="C445" s="301"/>
      <c r="D445" s="301"/>
      <c r="E445" s="301"/>
      <c r="F445" s="301"/>
      <c r="G445" s="301"/>
      <c r="H445" s="301"/>
      <c r="I445" s="301"/>
      <c r="J445" s="301"/>
      <c r="K445" s="301"/>
      <c r="L445" s="301"/>
      <c r="M445" s="301"/>
      <c r="N445" s="301"/>
      <c r="O445" s="301"/>
      <c r="P445" s="301"/>
      <c r="Q445" s="301"/>
      <c r="R445" s="301"/>
      <c r="S445" s="301"/>
      <c r="T445" s="301"/>
      <c r="U445" s="301"/>
      <c r="V445" s="302"/>
      <c r="W445" s="302"/>
    </row>
    <row r="446" spans="1:23">
      <c r="A446" s="2"/>
      <c r="B446" s="2"/>
      <c r="C446" s="2"/>
      <c r="D446" s="2"/>
      <c r="E446" s="2"/>
      <c r="F446" s="2"/>
      <c r="U446" s="2"/>
      <c r="V446" s="303"/>
      <c r="W446" s="303"/>
    </row>
    <row r="447" spans="1:23">
      <c r="A447" s="2"/>
      <c r="B447" s="2"/>
      <c r="C447" s="2"/>
      <c r="D447" s="2"/>
      <c r="E447" s="2"/>
      <c r="F447" s="2"/>
      <c r="U447" s="2"/>
      <c r="V447" s="303"/>
      <c r="W447" s="303"/>
    </row>
    <row r="448" spans="1:23">
      <c r="A448" s="2"/>
      <c r="B448" s="2"/>
      <c r="C448" s="2"/>
      <c r="D448" s="2"/>
      <c r="E448" s="2"/>
      <c r="F448" s="2"/>
      <c r="U448" s="2"/>
      <c r="V448" s="303"/>
      <c r="W448" s="303"/>
    </row>
    <row r="449" spans="1:23">
      <c r="A449" s="2"/>
      <c r="B449" s="2"/>
      <c r="C449" s="2"/>
      <c r="D449" s="2"/>
      <c r="E449" s="2"/>
      <c r="F449" s="2"/>
      <c r="U449" s="2"/>
      <c r="V449" s="303"/>
      <c r="W449" s="303"/>
    </row>
    <row r="450" spans="1:23">
      <c r="A450" s="2"/>
      <c r="B450" s="2"/>
      <c r="C450" s="2"/>
      <c r="D450" s="2"/>
      <c r="E450" s="2"/>
      <c r="F450" s="2"/>
      <c r="U450" s="2"/>
      <c r="V450" s="303"/>
      <c r="W450" s="303"/>
    </row>
    <row r="451" spans="1:23">
      <c r="A451" s="2"/>
      <c r="B451" s="2"/>
      <c r="C451" s="2"/>
      <c r="D451" s="2"/>
      <c r="E451" s="2"/>
      <c r="F451" s="2"/>
      <c r="U451" s="2"/>
      <c r="V451" s="303"/>
      <c r="W451" s="303"/>
    </row>
    <row r="452" spans="1:23">
      <c r="A452" s="2"/>
      <c r="B452" s="2"/>
      <c r="C452" s="2"/>
      <c r="D452" s="2"/>
      <c r="E452" s="2"/>
      <c r="F452" s="2"/>
      <c r="U452" s="2"/>
      <c r="V452" s="303"/>
      <c r="W452" s="303"/>
    </row>
    <row r="453" spans="1:23">
      <c r="A453" s="2"/>
      <c r="B453" s="2"/>
      <c r="C453" s="2"/>
      <c r="D453" s="2"/>
      <c r="E453" s="2"/>
      <c r="F453" s="2"/>
      <c r="U453" s="2"/>
      <c r="V453" s="303"/>
      <c r="W453" s="303"/>
    </row>
    <row r="454" spans="1:23">
      <c r="A454" s="2"/>
      <c r="B454" s="2"/>
      <c r="C454" s="2"/>
      <c r="D454" s="2"/>
      <c r="E454" s="2"/>
      <c r="F454" s="2"/>
      <c r="U454" s="2"/>
      <c r="V454" s="303"/>
      <c r="W454" s="303"/>
    </row>
    <row r="455" spans="1:23">
      <c r="A455" s="2"/>
      <c r="B455" s="2"/>
      <c r="C455" s="2"/>
      <c r="D455" s="2"/>
      <c r="E455" s="2"/>
      <c r="F455" s="2"/>
      <c r="U455" s="2"/>
      <c r="V455" s="303"/>
      <c r="W455" s="303"/>
    </row>
    <row r="456" spans="1:23" ht="13.5" thickBot="1">
      <c r="A456" s="304"/>
      <c r="B456" s="304"/>
      <c r="C456" s="304"/>
      <c r="D456" s="304"/>
      <c r="E456" s="304"/>
      <c r="F456" s="304"/>
      <c r="G456" s="304"/>
      <c r="H456" s="304"/>
      <c r="I456" s="304"/>
      <c r="J456" s="304"/>
      <c r="K456" s="304"/>
      <c r="L456" s="304"/>
      <c r="M456" s="304"/>
      <c r="N456" s="304"/>
      <c r="O456" s="304"/>
      <c r="P456" s="304"/>
      <c r="Q456" s="304"/>
      <c r="R456" s="304"/>
      <c r="S456" s="304"/>
      <c r="T456" s="304"/>
      <c r="U456" s="304"/>
      <c r="V456" s="305"/>
      <c r="W456" s="305"/>
    </row>
    <row r="457" spans="1:23">
      <c r="A457" s="2"/>
      <c r="B457" s="2"/>
      <c r="C457" s="2"/>
      <c r="D457" s="2"/>
      <c r="E457" s="2"/>
      <c r="F457" s="2"/>
      <c r="U457" s="2"/>
    </row>
    <row r="458" spans="1:23">
      <c r="A458" s="2"/>
      <c r="B458" s="2"/>
      <c r="C458" s="2"/>
      <c r="D458" s="2"/>
      <c r="E458" s="2"/>
      <c r="F458" s="2"/>
      <c r="U458" s="2"/>
    </row>
    <row r="459" spans="1:23">
      <c r="A459" s="2"/>
      <c r="B459" s="2"/>
      <c r="C459" s="2"/>
      <c r="D459" s="2"/>
      <c r="E459" s="2"/>
      <c r="F459" s="2"/>
      <c r="U459" s="2"/>
    </row>
    <row r="460" spans="1:23">
      <c r="A460" s="2"/>
      <c r="B460" s="2"/>
      <c r="C460" s="2"/>
      <c r="D460" s="2"/>
      <c r="E460" s="2"/>
      <c r="F460" s="2"/>
      <c r="U460" s="2"/>
    </row>
    <row r="461" spans="1:23">
      <c r="A461" s="2"/>
      <c r="B461" s="2"/>
      <c r="C461" s="2"/>
      <c r="D461" s="2"/>
      <c r="E461" s="2"/>
      <c r="F461" s="2"/>
      <c r="U461" s="2"/>
    </row>
    <row r="462" spans="1:23">
      <c r="A462" s="2"/>
      <c r="B462" s="2"/>
      <c r="C462" s="2"/>
      <c r="D462" s="2"/>
      <c r="E462" s="2"/>
      <c r="F462" s="2"/>
      <c r="U462" s="2"/>
    </row>
    <row r="463" spans="1:23">
      <c r="A463" s="2"/>
      <c r="B463" s="2"/>
      <c r="C463" s="2"/>
      <c r="D463" s="2"/>
      <c r="E463" s="2"/>
      <c r="F463" s="2"/>
      <c r="U463" s="2"/>
    </row>
    <row r="464" spans="1:23">
      <c r="A464" s="2"/>
      <c r="B464" s="2"/>
      <c r="C464" s="2"/>
      <c r="D464" s="2"/>
      <c r="E464" s="2"/>
      <c r="F464" s="2"/>
      <c r="U464" s="2"/>
    </row>
    <row r="465" spans="1:21">
      <c r="A465" s="2"/>
      <c r="B465" s="2"/>
      <c r="C465" s="2"/>
      <c r="D465" s="2"/>
      <c r="E465" s="2"/>
      <c r="F465" s="2"/>
      <c r="U465" s="2"/>
    </row>
    <row r="466" spans="1:21">
      <c r="A466" s="2"/>
      <c r="B466" s="2"/>
      <c r="C466" s="2"/>
      <c r="D466" s="2"/>
      <c r="E466" s="2"/>
      <c r="F466" s="2"/>
      <c r="U466" s="2"/>
    </row>
    <row r="467" spans="1:21">
      <c r="A467" s="2"/>
      <c r="B467" s="2"/>
      <c r="C467" s="2"/>
      <c r="D467" s="2"/>
      <c r="E467" s="2"/>
      <c r="F467" s="2"/>
      <c r="U467" s="2"/>
    </row>
    <row r="468" spans="1:21">
      <c r="A468" s="2"/>
      <c r="B468" s="2"/>
      <c r="C468" s="2"/>
      <c r="D468" s="2"/>
      <c r="E468" s="2"/>
      <c r="F468" s="2"/>
      <c r="U468" s="2"/>
    </row>
    <row r="469" spans="1:21">
      <c r="A469" s="2"/>
      <c r="B469" s="2"/>
      <c r="C469" s="2"/>
      <c r="D469" s="2"/>
      <c r="E469" s="2"/>
      <c r="F469" s="2"/>
      <c r="U469" s="2"/>
    </row>
    <row r="470" spans="1:21">
      <c r="A470" s="2"/>
      <c r="B470" s="2"/>
      <c r="C470" s="2"/>
      <c r="D470" s="2"/>
      <c r="E470" s="2"/>
      <c r="F470" s="2"/>
      <c r="U470" s="2"/>
    </row>
    <row r="471" spans="1:21">
      <c r="A471" s="2"/>
      <c r="B471" s="2"/>
      <c r="C471" s="2"/>
      <c r="D471" s="2"/>
      <c r="E471" s="2"/>
      <c r="F471" s="2"/>
      <c r="U471" s="2"/>
    </row>
    <row r="472" spans="1:21">
      <c r="A472" s="2"/>
      <c r="B472" s="2"/>
      <c r="C472" s="2"/>
      <c r="D472" s="2"/>
      <c r="E472" s="2"/>
      <c r="F472" s="2"/>
      <c r="U472" s="2"/>
    </row>
    <row r="473" spans="1:21">
      <c r="A473" s="2"/>
      <c r="B473" s="2"/>
      <c r="C473" s="2"/>
      <c r="D473" s="2"/>
      <c r="E473" s="2"/>
      <c r="F473" s="2"/>
      <c r="U473" s="2"/>
    </row>
    <row r="474" spans="1:21">
      <c r="A474" s="2"/>
      <c r="B474" s="2"/>
      <c r="C474" s="2"/>
      <c r="D474" s="2"/>
      <c r="E474" s="2"/>
      <c r="F474" s="2"/>
      <c r="U474" s="2"/>
    </row>
    <row r="475" spans="1:21">
      <c r="A475" s="2"/>
      <c r="B475" s="2"/>
      <c r="C475" s="2"/>
      <c r="D475" s="2"/>
      <c r="E475" s="2"/>
      <c r="F475" s="2"/>
      <c r="U475" s="2"/>
    </row>
    <row r="476" spans="1:21">
      <c r="A476" s="2"/>
      <c r="B476" s="2"/>
      <c r="C476" s="2"/>
      <c r="D476" s="2"/>
      <c r="E476" s="2"/>
      <c r="F476" s="2"/>
      <c r="U476" s="2"/>
    </row>
    <row r="477" spans="1:21">
      <c r="A477" s="2"/>
      <c r="B477" s="2"/>
      <c r="C477" s="2"/>
      <c r="D477" s="2"/>
      <c r="E477" s="2"/>
      <c r="F477" s="2"/>
      <c r="U477" s="2"/>
    </row>
    <row r="478" spans="1:21">
      <c r="A478" s="2"/>
      <c r="B478" s="2"/>
      <c r="C478" s="2"/>
      <c r="D478" s="2"/>
      <c r="E478" s="2"/>
      <c r="F478" s="2"/>
      <c r="U478" s="2"/>
    </row>
    <row r="479" spans="1:21">
      <c r="A479" s="2"/>
      <c r="B479" s="2"/>
      <c r="C479" s="2"/>
      <c r="D479" s="2"/>
      <c r="E479" s="2"/>
      <c r="F479" s="2"/>
      <c r="U479" s="2"/>
    </row>
    <row r="480" spans="1:21">
      <c r="A480" s="2"/>
      <c r="B480" s="2"/>
      <c r="C480" s="2"/>
      <c r="D480" s="2"/>
      <c r="E480" s="2"/>
      <c r="F480" s="2"/>
      <c r="U480" s="2"/>
    </row>
    <row r="481" spans="1:21">
      <c r="A481" s="2"/>
      <c r="B481" s="2"/>
      <c r="C481" s="2"/>
      <c r="D481" s="2"/>
      <c r="E481" s="2"/>
      <c r="F481" s="2"/>
      <c r="U481" s="2"/>
    </row>
    <row r="482" spans="1:21">
      <c r="A482" s="2"/>
      <c r="B482" s="2"/>
      <c r="C482" s="2"/>
      <c r="D482" s="2"/>
      <c r="E482" s="2"/>
      <c r="F482" s="2"/>
      <c r="U482" s="2"/>
    </row>
    <row r="483" spans="1:21">
      <c r="A483" s="2"/>
      <c r="B483" s="2"/>
      <c r="C483" s="2"/>
      <c r="D483" s="2"/>
      <c r="E483" s="2"/>
      <c r="F483" s="2"/>
      <c r="U483" s="2"/>
    </row>
    <row r="484" spans="1:21">
      <c r="A484" s="2"/>
      <c r="B484" s="2"/>
      <c r="C484" s="2"/>
      <c r="D484" s="2"/>
      <c r="E484" s="2"/>
      <c r="F484" s="2"/>
      <c r="U484" s="2"/>
    </row>
    <row r="485" spans="1:21">
      <c r="A485" s="2"/>
      <c r="B485" s="2"/>
      <c r="C485" s="2"/>
      <c r="D485" s="2"/>
      <c r="E485" s="2"/>
      <c r="F485" s="2"/>
      <c r="U485" s="2"/>
    </row>
    <row r="486" spans="1:21">
      <c r="A486" s="2"/>
      <c r="B486" s="2"/>
      <c r="C486" s="2"/>
      <c r="D486" s="2"/>
      <c r="E486" s="2"/>
      <c r="F486" s="2"/>
      <c r="U486" s="2"/>
    </row>
    <row r="487" spans="1:21">
      <c r="A487" s="2"/>
      <c r="B487" s="2"/>
      <c r="C487" s="2"/>
      <c r="D487" s="2"/>
      <c r="E487" s="2"/>
      <c r="F487" s="2"/>
      <c r="U487" s="2"/>
    </row>
    <row r="488" spans="1:21">
      <c r="A488" s="2"/>
      <c r="B488" s="2"/>
      <c r="C488" s="2"/>
      <c r="D488" s="2"/>
      <c r="E488" s="2"/>
      <c r="F488" s="2"/>
      <c r="U488" s="2"/>
    </row>
    <row r="489" spans="1:21">
      <c r="A489" s="2"/>
      <c r="B489" s="2"/>
      <c r="C489" s="2"/>
      <c r="D489" s="2"/>
      <c r="E489" s="2"/>
      <c r="F489" s="2"/>
      <c r="U489" s="2"/>
    </row>
    <row r="490" spans="1:21">
      <c r="A490" s="2"/>
      <c r="B490" s="2"/>
      <c r="C490" s="2"/>
      <c r="D490" s="2"/>
      <c r="E490" s="2"/>
      <c r="F490" s="2"/>
      <c r="U490" s="2"/>
    </row>
    <row r="491" spans="1:21">
      <c r="A491" s="2"/>
      <c r="B491" s="2"/>
      <c r="C491" s="2"/>
      <c r="D491" s="2"/>
      <c r="E491" s="2"/>
      <c r="F491" s="2"/>
      <c r="U491" s="2"/>
    </row>
    <row r="492" spans="1:21">
      <c r="A492" s="2"/>
      <c r="B492" s="2"/>
      <c r="C492" s="2"/>
      <c r="D492" s="2"/>
      <c r="E492" s="2"/>
      <c r="F492" s="2"/>
      <c r="U492" s="2"/>
    </row>
    <row r="493" spans="1:21">
      <c r="A493" s="2"/>
      <c r="B493" s="2"/>
      <c r="C493" s="2"/>
      <c r="D493" s="2"/>
      <c r="E493" s="2"/>
      <c r="F493" s="2"/>
      <c r="U493" s="2"/>
    </row>
    <row r="494" spans="1:21">
      <c r="A494" s="2"/>
      <c r="B494" s="2"/>
      <c r="C494" s="2"/>
      <c r="D494" s="2"/>
      <c r="E494" s="2"/>
      <c r="F494" s="2"/>
      <c r="U494" s="2"/>
    </row>
    <row r="495" spans="1:21">
      <c r="A495" s="2"/>
      <c r="B495" s="2"/>
      <c r="C495" s="2"/>
      <c r="D495" s="2"/>
      <c r="E495" s="2"/>
      <c r="F495" s="2"/>
      <c r="U495" s="2"/>
    </row>
    <row r="496" spans="1:21">
      <c r="A496" s="2"/>
      <c r="B496" s="2"/>
      <c r="C496" s="2"/>
      <c r="D496" s="2"/>
      <c r="E496" s="2"/>
      <c r="F496" s="2"/>
      <c r="U496" s="2"/>
    </row>
    <row r="497" spans="1:21">
      <c r="A497" s="2"/>
      <c r="B497" s="2"/>
      <c r="C497" s="2"/>
      <c r="D497" s="2"/>
      <c r="E497" s="2"/>
      <c r="F497" s="2"/>
      <c r="U497" s="2"/>
    </row>
    <row r="498" spans="1:21">
      <c r="A498" s="2"/>
      <c r="B498" s="2"/>
      <c r="C498" s="2"/>
      <c r="D498" s="2"/>
      <c r="E498" s="2"/>
      <c r="F498" s="2"/>
      <c r="U498" s="2"/>
    </row>
    <row r="499" spans="1:21">
      <c r="A499" s="2"/>
      <c r="B499" s="2"/>
      <c r="C499" s="2"/>
      <c r="D499" s="2"/>
      <c r="E499" s="2"/>
      <c r="F499" s="2"/>
      <c r="U499" s="2"/>
    </row>
    <row r="500" spans="1:21">
      <c r="A500" s="2"/>
      <c r="B500" s="2"/>
      <c r="C500" s="2"/>
      <c r="D500" s="2"/>
      <c r="E500" s="2"/>
      <c r="F500" s="2"/>
      <c r="U500" s="2"/>
    </row>
    <row r="501" spans="1:21">
      <c r="A501" s="2"/>
      <c r="B501" s="2"/>
      <c r="C501" s="2"/>
      <c r="D501" s="2"/>
      <c r="E501" s="2"/>
      <c r="F501" s="2"/>
      <c r="U501" s="2"/>
    </row>
    <row r="502" spans="1:21">
      <c r="A502" s="2"/>
      <c r="B502" s="2"/>
      <c r="C502" s="2"/>
      <c r="D502" s="2"/>
      <c r="E502" s="2"/>
      <c r="F502" s="2"/>
      <c r="U502" s="2"/>
    </row>
    <row r="503" spans="1:21">
      <c r="A503" s="2"/>
      <c r="B503" s="2"/>
      <c r="C503" s="2"/>
      <c r="D503" s="2"/>
      <c r="E503" s="2"/>
      <c r="F503" s="2"/>
      <c r="U503" s="2"/>
    </row>
    <row r="504" spans="1:21">
      <c r="A504" s="2"/>
      <c r="B504" s="2"/>
      <c r="C504" s="2"/>
      <c r="D504" s="2"/>
      <c r="E504" s="2"/>
      <c r="F504" s="2"/>
      <c r="U504" s="2"/>
    </row>
    <row r="505" spans="1:21">
      <c r="A505" s="2"/>
      <c r="B505" s="2"/>
      <c r="C505" s="2"/>
      <c r="D505" s="2"/>
      <c r="E505" s="2"/>
      <c r="F505" s="2"/>
      <c r="U505" s="2"/>
    </row>
    <row r="506" spans="1:21">
      <c r="A506" s="2"/>
      <c r="B506" s="2"/>
      <c r="C506" s="2"/>
      <c r="D506" s="2"/>
      <c r="E506" s="2"/>
      <c r="F506" s="2"/>
      <c r="U506" s="2"/>
    </row>
    <row r="507" spans="1:21">
      <c r="A507" s="2"/>
      <c r="B507" s="2"/>
      <c r="C507" s="2"/>
      <c r="D507" s="2"/>
      <c r="E507" s="2"/>
      <c r="F507" s="2"/>
      <c r="U507" s="2"/>
    </row>
    <row r="508" spans="1:21">
      <c r="A508" s="2"/>
      <c r="B508" s="2"/>
      <c r="C508" s="2"/>
      <c r="D508" s="2"/>
      <c r="E508" s="2"/>
      <c r="F508" s="2"/>
      <c r="U508" s="2"/>
    </row>
    <row r="509" spans="1:21">
      <c r="A509" s="2"/>
      <c r="B509" s="2"/>
      <c r="C509" s="2"/>
      <c r="D509" s="2"/>
      <c r="E509" s="2"/>
      <c r="F509" s="2"/>
      <c r="U509" s="2"/>
    </row>
    <row r="510" spans="1:21">
      <c r="A510" s="2"/>
      <c r="B510" s="2"/>
      <c r="C510" s="2"/>
      <c r="D510" s="2"/>
      <c r="E510" s="2"/>
      <c r="F510" s="2"/>
      <c r="U510" s="2"/>
    </row>
    <row r="511" spans="1:21">
      <c r="A511" s="2"/>
      <c r="B511" s="2"/>
      <c r="C511" s="2"/>
      <c r="D511" s="2"/>
      <c r="E511" s="2"/>
      <c r="F511" s="2"/>
      <c r="U511" s="2"/>
    </row>
    <row r="512" spans="1:21">
      <c r="A512" s="2"/>
      <c r="B512" s="2"/>
      <c r="C512" s="2"/>
      <c r="D512" s="2"/>
      <c r="E512" s="2"/>
      <c r="F512" s="2"/>
      <c r="U512" s="2"/>
    </row>
    <row r="513" spans="1:21">
      <c r="A513" s="2"/>
      <c r="B513" s="2"/>
      <c r="C513" s="2"/>
      <c r="D513" s="2"/>
      <c r="E513" s="2"/>
      <c r="F513" s="2"/>
      <c r="U513" s="2"/>
    </row>
    <row r="514" spans="1:21">
      <c r="A514" s="2"/>
      <c r="B514" s="2"/>
      <c r="C514" s="2"/>
      <c r="D514" s="2"/>
      <c r="E514" s="2"/>
      <c r="F514" s="2"/>
      <c r="U514" s="2"/>
    </row>
    <row r="515" spans="1:21">
      <c r="A515" s="2"/>
      <c r="B515" s="2"/>
      <c r="C515" s="2"/>
      <c r="D515" s="2"/>
      <c r="E515" s="2"/>
      <c r="F515" s="2"/>
      <c r="U515" s="2"/>
    </row>
    <row r="516" spans="1:21">
      <c r="A516" s="2"/>
      <c r="B516" s="2"/>
      <c r="C516" s="2"/>
      <c r="D516" s="2"/>
      <c r="E516" s="2"/>
      <c r="F516" s="2"/>
      <c r="U516" s="2"/>
    </row>
    <row r="517" spans="1:21">
      <c r="A517" s="2"/>
      <c r="B517" s="2"/>
      <c r="C517" s="2"/>
      <c r="D517" s="2"/>
      <c r="E517" s="2"/>
      <c r="F517" s="2"/>
      <c r="U517" s="2"/>
    </row>
    <row r="518" spans="1:21">
      <c r="A518" s="2"/>
      <c r="B518" s="2"/>
      <c r="C518" s="2"/>
      <c r="D518" s="2"/>
      <c r="E518" s="2"/>
      <c r="F518" s="2"/>
      <c r="U518" s="2"/>
    </row>
    <row r="519" spans="1:21">
      <c r="A519" s="2"/>
      <c r="B519" s="2"/>
      <c r="C519" s="2"/>
      <c r="D519" s="2"/>
      <c r="E519" s="2"/>
      <c r="F519" s="2"/>
      <c r="U519" s="2"/>
    </row>
    <row r="520" spans="1:21">
      <c r="A520" s="2"/>
      <c r="B520" s="2"/>
      <c r="C520" s="2"/>
      <c r="D520" s="2"/>
      <c r="E520" s="2"/>
      <c r="F520" s="2"/>
      <c r="U520" s="2"/>
    </row>
    <row r="521" spans="1:21">
      <c r="A521" s="2"/>
      <c r="B521" s="2"/>
      <c r="C521" s="2"/>
      <c r="D521" s="2"/>
      <c r="E521" s="2"/>
      <c r="F521" s="2"/>
      <c r="U521" s="2"/>
    </row>
    <row r="522" spans="1:21">
      <c r="A522" s="2"/>
      <c r="B522" s="2"/>
      <c r="C522" s="2"/>
      <c r="D522" s="2"/>
      <c r="E522" s="2"/>
      <c r="F522" s="2"/>
      <c r="U522" s="2"/>
    </row>
    <row r="523" spans="1:21">
      <c r="A523" s="2"/>
      <c r="B523" s="2"/>
      <c r="C523" s="2"/>
      <c r="D523" s="2"/>
      <c r="E523" s="2"/>
      <c r="F523" s="2"/>
      <c r="U523" s="2"/>
    </row>
    <row r="524" spans="1:21">
      <c r="A524" s="2"/>
      <c r="B524" s="2"/>
      <c r="C524" s="2"/>
      <c r="D524" s="2"/>
      <c r="E524" s="2"/>
      <c r="F524" s="2"/>
      <c r="U524" s="2"/>
    </row>
    <row r="525" spans="1:21">
      <c r="A525" s="2"/>
      <c r="B525" s="2"/>
      <c r="C525" s="2"/>
      <c r="D525" s="2"/>
      <c r="E525" s="2"/>
      <c r="F525" s="2"/>
      <c r="U525" s="2"/>
    </row>
    <row r="526" spans="1:21">
      <c r="A526" s="2"/>
      <c r="B526" s="2"/>
      <c r="C526" s="2"/>
      <c r="D526" s="2"/>
      <c r="E526" s="2"/>
      <c r="F526" s="2"/>
      <c r="U526" s="2"/>
    </row>
    <row r="527" spans="1:21">
      <c r="A527" s="2"/>
      <c r="B527" s="2"/>
      <c r="C527" s="2"/>
      <c r="D527" s="2"/>
      <c r="E527" s="2"/>
      <c r="F527" s="2"/>
      <c r="U527" s="2"/>
    </row>
    <row r="528" spans="1:21">
      <c r="A528" s="2"/>
      <c r="B528" s="2"/>
      <c r="C528" s="2"/>
      <c r="D528" s="2"/>
      <c r="E528" s="2"/>
      <c r="F528" s="2"/>
      <c r="U528" s="2"/>
    </row>
    <row r="529" spans="1:21">
      <c r="A529" s="2"/>
      <c r="B529" s="2"/>
      <c r="C529" s="2"/>
      <c r="D529" s="2"/>
      <c r="E529" s="2"/>
      <c r="F529" s="2"/>
      <c r="U529" s="2"/>
    </row>
    <row r="530" spans="1:21">
      <c r="A530" s="2"/>
      <c r="B530" s="2"/>
      <c r="C530" s="2"/>
      <c r="D530" s="2"/>
      <c r="E530" s="2"/>
      <c r="F530" s="2"/>
      <c r="U530" s="2"/>
    </row>
    <row r="531" spans="1:21">
      <c r="A531" s="2"/>
      <c r="B531" s="2"/>
      <c r="C531" s="2"/>
      <c r="D531" s="2"/>
      <c r="E531" s="2"/>
      <c r="F531" s="2"/>
      <c r="U531" s="2"/>
    </row>
    <row r="532" spans="1:21">
      <c r="A532" s="2"/>
      <c r="B532" s="2"/>
      <c r="C532" s="2"/>
      <c r="D532" s="2"/>
      <c r="E532" s="2"/>
      <c r="F532" s="2"/>
      <c r="U532" s="2"/>
    </row>
    <row r="533" spans="1:21">
      <c r="A533" s="2"/>
      <c r="B533" s="2"/>
      <c r="C533" s="2"/>
      <c r="D533" s="2"/>
      <c r="E533" s="2"/>
      <c r="F533" s="2"/>
      <c r="U533" s="2"/>
    </row>
    <row r="534" spans="1:21">
      <c r="A534" s="2"/>
      <c r="B534" s="2"/>
      <c r="C534" s="2"/>
      <c r="D534" s="2"/>
      <c r="E534" s="2"/>
      <c r="F534" s="2"/>
      <c r="U534" s="2"/>
    </row>
    <row r="535" spans="1:21">
      <c r="A535" s="2"/>
      <c r="B535" s="2"/>
      <c r="C535" s="2"/>
      <c r="D535" s="2"/>
      <c r="E535" s="2"/>
      <c r="F535" s="2"/>
      <c r="U535" s="2"/>
    </row>
    <row r="536" spans="1:21">
      <c r="A536" s="2"/>
      <c r="B536" s="2"/>
      <c r="C536" s="2"/>
      <c r="D536" s="2"/>
      <c r="E536" s="2"/>
      <c r="F536" s="2"/>
      <c r="U536" s="2"/>
    </row>
    <row r="537" spans="1:21">
      <c r="A537" s="2"/>
      <c r="B537" s="2"/>
      <c r="C537" s="2"/>
      <c r="D537" s="2"/>
      <c r="E537" s="2"/>
      <c r="F537" s="2"/>
      <c r="U537" s="2"/>
    </row>
    <row r="538" spans="1:21">
      <c r="A538" s="2"/>
      <c r="B538" s="2"/>
      <c r="C538" s="2"/>
      <c r="D538" s="2"/>
      <c r="E538" s="2"/>
      <c r="F538" s="2"/>
      <c r="U538" s="2"/>
    </row>
    <row r="539" spans="1:21">
      <c r="A539" s="2"/>
      <c r="B539" s="2"/>
      <c r="C539" s="2"/>
      <c r="D539" s="2"/>
      <c r="E539" s="2"/>
      <c r="F539" s="2"/>
      <c r="U539" s="2"/>
    </row>
    <row r="540" spans="1:21">
      <c r="A540" s="2"/>
      <c r="B540" s="2"/>
      <c r="C540" s="2"/>
      <c r="D540" s="2"/>
      <c r="E540" s="2"/>
      <c r="F540" s="2"/>
      <c r="U540" s="2"/>
    </row>
    <row r="541" spans="1:21">
      <c r="A541" s="2"/>
      <c r="B541" s="2"/>
      <c r="C541" s="2"/>
      <c r="D541" s="2"/>
      <c r="E541" s="2"/>
      <c r="F541" s="2"/>
      <c r="U541" s="2"/>
    </row>
    <row r="542" spans="1:21">
      <c r="A542" s="2"/>
      <c r="B542" s="2"/>
      <c r="C542" s="2"/>
      <c r="D542" s="2"/>
      <c r="E542" s="2"/>
      <c r="F542" s="2"/>
      <c r="U542" s="2"/>
    </row>
    <row r="543" spans="1:21">
      <c r="A543" s="2"/>
      <c r="B543" s="2"/>
      <c r="C543" s="2"/>
      <c r="D543" s="2"/>
      <c r="E543" s="2"/>
      <c r="F543" s="2"/>
      <c r="U543" s="2"/>
    </row>
    <row r="544" spans="1:21">
      <c r="A544" s="2"/>
      <c r="B544" s="2"/>
      <c r="C544" s="2"/>
      <c r="D544" s="2"/>
      <c r="E544" s="2"/>
      <c r="F544" s="2"/>
      <c r="U544" s="2"/>
    </row>
    <row r="545" spans="1:21">
      <c r="A545" s="2"/>
      <c r="B545" s="2"/>
      <c r="C545" s="2"/>
      <c r="D545" s="2"/>
      <c r="E545" s="2"/>
      <c r="F545" s="2"/>
      <c r="U545" s="2"/>
    </row>
    <row r="546" spans="1:21">
      <c r="A546" s="2"/>
      <c r="B546" s="2"/>
      <c r="C546" s="2"/>
      <c r="D546" s="2"/>
      <c r="E546" s="2"/>
      <c r="F546" s="2"/>
      <c r="U546" s="2"/>
    </row>
    <row r="547" spans="1:21">
      <c r="A547" s="2"/>
      <c r="B547" s="2"/>
      <c r="C547" s="2"/>
      <c r="D547" s="2"/>
      <c r="E547" s="2"/>
      <c r="F547" s="2"/>
      <c r="U547" s="2"/>
    </row>
    <row r="548" spans="1:21">
      <c r="A548" s="2"/>
      <c r="B548" s="2"/>
      <c r="C548" s="2"/>
      <c r="D548" s="2"/>
      <c r="E548" s="2"/>
      <c r="F548" s="2"/>
      <c r="U548" s="2"/>
    </row>
    <row r="549" spans="1:21">
      <c r="A549" s="2"/>
      <c r="B549" s="2"/>
      <c r="C549" s="2"/>
      <c r="D549" s="2"/>
      <c r="E549" s="2"/>
      <c r="F549" s="2"/>
      <c r="U549" s="2"/>
    </row>
    <row r="550" spans="1:21">
      <c r="A550" s="2"/>
      <c r="B550" s="2"/>
      <c r="C550" s="2"/>
      <c r="D550" s="2"/>
      <c r="E550" s="2"/>
      <c r="F550" s="2"/>
      <c r="U550" s="2"/>
    </row>
    <row r="551" spans="1:21">
      <c r="A551" s="2"/>
      <c r="B551" s="2"/>
      <c r="C551" s="2"/>
      <c r="D551" s="2"/>
      <c r="E551" s="2"/>
      <c r="F551" s="2"/>
      <c r="U551" s="2"/>
    </row>
    <row r="552" spans="1:21">
      <c r="A552" s="2"/>
      <c r="B552" s="2"/>
      <c r="C552" s="2"/>
      <c r="D552" s="2"/>
      <c r="E552" s="2"/>
      <c r="F552" s="2"/>
      <c r="U552" s="2"/>
    </row>
    <row r="553" spans="1:21">
      <c r="A553" s="2"/>
      <c r="B553" s="2"/>
      <c r="C553" s="2"/>
      <c r="D553" s="2"/>
      <c r="E553" s="2"/>
      <c r="F553" s="2"/>
      <c r="U553" s="2"/>
    </row>
    <row r="554" spans="1:21">
      <c r="A554" s="2"/>
      <c r="B554" s="2"/>
      <c r="C554" s="2"/>
      <c r="D554" s="2"/>
      <c r="E554" s="2"/>
      <c r="F554" s="2"/>
      <c r="U554" s="2"/>
    </row>
    <row r="555" spans="1:21">
      <c r="A555" s="2"/>
      <c r="B555" s="2"/>
      <c r="C555" s="2"/>
      <c r="D555" s="2"/>
      <c r="E555" s="2"/>
      <c r="F555" s="2"/>
      <c r="U555" s="2"/>
    </row>
    <row r="556" spans="1:21">
      <c r="A556" s="2"/>
      <c r="B556" s="2"/>
      <c r="C556" s="2"/>
      <c r="D556" s="2"/>
      <c r="E556" s="2"/>
      <c r="F556" s="2"/>
      <c r="U556" s="2"/>
    </row>
    <row r="557" spans="1:21">
      <c r="A557" s="2"/>
      <c r="B557" s="2"/>
      <c r="C557" s="2"/>
      <c r="D557" s="2"/>
      <c r="E557" s="2"/>
      <c r="F557" s="2"/>
      <c r="U557" s="2"/>
    </row>
    <row r="558" spans="1:21">
      <c r="A558" s="2"/>
      <c r="B558" s="2"/>
      <c r="C558" s="2"/>
      <c r="D558" s="2"/>
      <c r="E558" s="2"/>
      <c r="F558" s="2"/>
      <c r="U558" s="2"/>
    </row>
    <row r="559" spans="1:21">
      <c r="A559" s="2"/>
      <c r="B559" s="2"/>
      <c r="C559" s="2"/>
      <c r="D559" s="2"/>
      <c r="E559" s="2"/>
      <c r="F559" s="2"/>
      <c r="U559" s="2"/>
    </row>
    <row r="560" spans="1:21">
      <c r="A560" s="2"/>
      <c r="B560" s="2"/>
      <c r="C560" s="2"/>
      <c r="D560" s="2"/>
      <c r="E560" s="2"/>
      <c r="F560" s="2"/>
      <c r="U560" s="2"/>
    </row>
    <row r="561" spans="1:21">
      <c r="A561" s="2"/>
      <c r="B561" s="2"/>
      <c r="C561" s="2"/>
      <c r="D561" s="2"/>
      <c r="E561" s="2"/>
      <c r="F561" s="2"/>
      <c r="U561" s="2"/>
    </row>
    <row r="562" spans="1:21">
      <c r="A562" s="2"/>
      <c r="B562" s="2"/>
      <c r="C562" s="2"/>
      <c r="D562" s="2"/>
      <c r="E562" s="2"/>
      <c r="F562" s="2"/>
      <c r="U562" s="2"/>
    </row>
    <row r="563" spans="1:21">
      <c r="A563" s="2"/>
      <c r="B563" s="2"/>
      <c r="C563" s="2"/>
      <c r="D563" s="2"/>
      <c r="E563" s="2"/>
      <c r="F563" s="2"/>
      <c r="U563" s="2"/>
    </row>
    <row r="564" spans="1:21">
      <c r="A564" s="2"/>
      <c r="B564" s="2"/>
      <c r="C564" s="2"/>
      <c r="D564" s="2"/>
      <c r="E564" s="2"/>
      <c r="F564" s="2"/>
      <c r="U564" s="2"/>
    </row>
    <row r="565" spans="1:21">
      <c r="A565" s="2"/>
      <c r="B565" s="2"/>
      <c r="C565" s="2"/>
      <c r="D565" s="2"/>
      <c r="E565" s="2"/>
      <c r="F565" s="2"/>
      <c r="U565" s="2"/>
    </row>
    <row r="566" spans="1:21">
      <c r="A566" s="2"/>
      <c r="B566" s="2"/>
      <c r="C566" s="2"/>
      <c r="D566" s="2"/>
      <c r="E566" s="2"/>
      <c r="F566" s="2"/>
      <c r="U566" s="2"/>
    </row>
    <row r="567" spans="1:21">
      <c r="A567" s="2"/>
      <c r="B567" s="2"/>
      <c r="C567" s="2"/>
      <c r="D567" s="2"/>
      <c r="E567" s="2"/>
      <c r="F567" s="2"/>
      <c r="U567" s="2"/>
    </row>
    <row r="568" spans="1:21">
      <c r="A568" s="2"/>
      <c r="B568" s="2"/>
      <c r="C568" s="2"/>
      <c r="D568" s="2"/>
      <c r="E568" s="2"/>
      <c r="F568" s="2"/>
      <c r="U568" s="2"/>
    </row>
    <row r="569" spans="1:21">
      <c r="A569" s="2"/>
      <c r="B569" s="2"/>
      <c r="C569" s="2"/>
      <c r="D569" s="2"/>
      <c r="E569" s="2"/>
      <c r="F569" s="2"/>
      <c r="U569" s="2"/>
    </row>
    <row r="570" spans="1:21">
      <c r="A570" s="2"/>
      <c r="B570" s="2"/>
      <c r="C570" s="2"/>
      <c r="D570" s="2"/>
      <c r="E570" s="2"/>
      <c r="F570" s="2"/>
      <c r="U570" s="2"/>
    </row>
    <row r="571" spans="1:21">
      <c r="A571" s="2"/>
      <c r="B571" s="2"/>
      <c r="C571" s="2"/>
      <c r="D571" s="2"/>
      <c r="E571" s="2"/>
      <c r="F571" s="2"/>
      <c r="U571" s="2"/>
    </row>
    <row r="572" spans="1:21">
      <c r="A572" s="2"/>
      <c r="B572" s="2"/>
      <c r="C572" s="2"/>
      <c r="D572" s="2"/>
      <c r="E572" s="2"/>
      <c r="F572" s="2"/>
      <c r="U572" s="2"/>
    </row>
    <row r="573" spans="1:21">
      <c r="A573" s="2"/>
      <c r="B573" s="2"/>
      <c r="C573" s="2"/>
      <c r="D573" s="2"/>
      <c r="E573" s="2"/>
      <c r="F573" s="2"/>
      <c r="U573" s="2"/>
    </row>
    <row r="574" spans="1:21">
      <c r="A574" s="2"/>
      <c r="B574" s="2"/>
      <c r="C574" s="2"/>
      <c r="D574" s="2"/>
      <c r="E574" s="2"/>
      <c r="F574" s="2"/>
      <c r="U574" s="2"/>
    </row>
    <row r="575" spans="1:21">
      <c r="A575" s="2"/>
      <c r="B575" s="2"/>
      <c r="C575" s="2"/>
      <c r="D575" s="2"/>
      <c r="E575" s="2"/>
      <c r="F575" s="2"/>
      <c r="U575" s="2"/>
    </row>
    <row r="576" spans="1:21">
      <c r="A576" s="2"/>
      <c r="B576" s="2"/>
      <c r="C576" s="2"/>
      <c r="D576" s="2"/>
      <c r="E576" s="2"/>
      <c r="F576" s="2"/>
      <c r="U576" s="2"/>
    </row>
    <row r="577" spans="1:21">
      <c r="A577" s="2"/>
      <c r="B577" s="2"/>
      <c r="C577" s="2"/>
      <c r="D577" s="2"/>
      <c r="E577" s="2"/>
      <c r="F577" s="2"/>
      <c r="U577" s="2"/>
    </row>
    <row r="578" spans="1:21">
      <c r="A578" s="2"/>
      <c r="B578" s="2"/>
      <c r="C578" s="2"/>
      <c r="D578" s="2"/>
      <c r="E578" s="2"/>
      <c r="F578" s="2"/>
      <c r="U578" s="2"/>
    </row>
    <row r="579" spans="1:21">
      <c r="A579" s="2"/>
      <c r="B579" s="2"/>
      <c r="C579" s="2"/>
      <c r="D579" s="2"/>
      <c r="E579" s="2"/>
      <c r="F579" s="2"/>
      <c r="U579" s="2"/>
    </row>
    <row r="580" spans="1:21">
      <c r="A580" s="2"/>
      <c r="B580" s="2"/>
      <c r="C580" s="2"/>
      <c r="D580" s="2"/>
      <c r="E580" s="2"/>
      <c r="F580" s="2"/>
      <c r="U580" s="2"/>
    </row>
    <row r="581" spans="1:21">
      <c r="A581" s="2"/>
      <c r="B581" s="2"/>
      <c r="C581" s="2"/>
      <c r="D581" s="2"/>
      <c r="E581" s="2"/>
      <c r="F581" s="2"/>
      <c r="U581" s="2"/>
    </row>
    <row r="582" spans="1:21">
      <c r="A582" s="2"/>
      <c r="B582" s="2"/>
      <c r="C582" s="2"/>
      <c r="D582" s="2"/>
      <c r="E582" s="2"/>
      <c r="F582" s="2"/>
      <c r="U582" s="2"/>
    </row>
    <row r="583" spans="1:21">
      <c r="A583" s="2"/>
      <c r="B583" s="2"/>
      <c r="C583" s="2"/>
      <c r="D583" s="2"/>
      <c r="E583" s="2"/>
      <c r="F583" s="2"/>
      <c r="U583" s="2"/>
    </row>
    <row r="584" spans="1:21">
      <c r="A584" s="2"/>
      <c r="B584" s="2"/>
      <c r="C584" s="2"/>
      <c r="D584" s="2"/>
      <c r="E584" s="2"/>
      <c r="F584" s="2"/>
      <c r="U584" s="2"/>
    </row>
    <row r="585" spans="1:21">
      <c r="A585" s="2"/>
      <c r="B585" s="2"/>
      <c r="C585" s="2"/>
      <c r="D585" s="2"/>
      <c r="E585" s="2"/>
      <c r="F585" s="2"/>
      <c r="U585" s="2"/>
    </row>
    <row r="586" spans="1:21">
      <c r="A586" s="2"/>
      <c r="B586" s="2"/>
      <c r="C586" s="2"/>
      <c r="D586" s="2"/>
      <c r="E586" s="2"/>
      <c r="F586" s="2"/>
      <c r="U586" s="2"/>
    </row>
    <row r="587" spans="1:21">
      <c r="A587" s="2"/>
      <c r="B587" s="2"/>
      <c r="C587" s="2"/>
      <c r="D587" s="2"/>
      <c r="E587" s="2"/>
      <c r="F587" s="2"/>
      <c r="U587" s="2"/>
    </row>
    <row r="588" spans="1:21">
      <c r="A588" s="2"/>
      <c r="B588" s="2"/>
      <c r="C588" s="2"/>
      <c r="D588" s="2"/>
      <c r="E588" s="2"/>
      <c r="F588" s="2"/>
      <c r="U588" s="2"/>
    </row>
    <row r="589" spans="1:21">
      <c r="A589" s="2"/>
      <c r="B589" s="2"/>
      <c r="C589" s="2"/>
      <c r="D589" s="2"/>
      <c r="E589" s="2"/>
      <c r="F589" s="2"/>
      <c r="U589" s="2"/>
    </row>
    <row r="590" spans="1:21">
      <c r="A590" s="2"/>
      <c r="B590" s="2"/>
      <c r="C590" s="2"/>
      <c r="D590" s="2"/>
      <c r="E590" s="2"/>
      <c r="F590" s="2"/>
      <c r="U590" s="2"/>
    </row>
    <row r="591" spans="1:21">
      <c r="A591" s="2"/>
      <c r="B591" s="2"/>
      <c r="C591" s="2"/>
      <c r="D591" s="2"/>
      <c r="E591" s="2"/>
      <c r="F591" s="2"/>
      <c r="U591" s="2"/>
    </row>
    <row r="592" spans="1:21">
      <c r="A592" s="2"/>
      <c r="B592" s="2"/>
      <c r="C592" s="2"/>
      <c r="D592" s="2"/>
      <c r="E592" s="2"/>
      <c r="F592" s="2"/>
      <c r="U592" s="2"/>
    </row>
    <row r="593" spans="1:21">
      <c r="A593" s="2"/>
      <c r="B593" s="2"/>
      <c r="C593" s="2"/>
      <c r="D593" s="2"/>
      <c r="E593" s="2"/>
      <c r="F593" s="2"/>
      <c r="U593" s="2"/>
    </row>
    <row r="594" spans="1:21">
      <c r="A594" s="2"/>
      <c r="B594" s="2"/>
      <c r="C594" s="2"/>
      <c r="D594" s="2"/>
      <c r="E594" s="2"/>
      <c r="F594" s="2"/>
      <c r="U594" s="2"/>
    </row>
    <row r="595" spans="1:21">
      <c r="A595" s="2"/>
      <c r="B595" s="2"/>
      <c r="C595" s="2"/>
      <c r="D595" s="2"/>
      <c r="E595" s="2"/>
      <c r="F595" s="2"/>
      <c r="U595" s="2"/>
    </row>
    <row r="596" spans="1:21">
      <c r="A596" s="2"/>
      <c r="B596" s="2"/>
      <c r="C596" s="2"/>
      <c r="D596" s="2"/>
      <c r="E596" s="2"/>
      <c r="F596" s="2"/>
      <c r="U596" s="2"/>
    </row>
    <row r="597" spans="1:21">
      <c r="A597" s="2"/>
      <c r="B597" s="2"/>
      <c r="C597" s="2"/>
      <c r="D597" s="2"/>
      <c r="E597" s="2"/>
      <c r="F597" s="2"/>
      <c r="U597" s="2"/>
    </row>
    <row r="598" spans="1:21">
      <c r="A598" s="2"/>
      <c r="B598" s="2"/>
      <c r="C598" s="2"/>
      <c r="D598" s="2"/>
      <c r="E598" s="2"/>
      <c r="F598" s="2"/>
      <c r="U598" s="2"/>
    </row>
    <row r="599" spans="1:21">
      <c r="A599" s="2"/>
      <c r="B599" s="2"/>
      <c r="C599" s="2"/>
      <c r="D599" s="2"/>
      <c r="E599" s="2"/>
      <c r="F599" s="2"/>
      <c r="U599" s="2"/>
    </row>
    <row r="600" spans="1:21">
      <c r="A600" s="2"/>
      <c r="B600" s="2"/>
      <c r="C600" s="2"/>
      <c r="D600" s="2"/>
      <c r="E600" s="2"/>
      <c r="F600" s="2"/>
      <c r="U600" s="2"/>
    </row>
    <row r="601" spans="1:21">
      <c r="A601" s="2"/>
      <c r="B601" s="2"/>
      <c r="C601" s="2"/>
      <c r="D601" s="2"/>
      <c r="E601" s="2"/>
      <c r="F601" s="2"/>
      <c r="U601" s="2"/>
    </row>
    <row r="602" spans="1:21">
      <c r="A602" s="2"/>
      <c r="B602" s="2"/>
      <c r="C602" s="2"/>
      <c r="D602" s="2"/>
      <c r="E602" s="2"/>
      <c r="F602" s="2"/>
      <c r="U602" s="2"/>
    </row>
    <row r="603" spans="1:21">
      <c r="A603" s="2"/>
      <c r="B603" s="2"/>
      <c r="C603" s="2"/>
      <c r="D603" s="2"/>
      <c r="E603" s="2"/>
      <c r="F603" s="2"/>
      <c r="U603" s="2"/>
    </row>
    <row r="604" spans="1:21">
      <c r="A604" s="2"/>
      <c r="B604" s="2"/>
      <c r="C604" s="2"/>
      <c r="D604" s="2"/>
      <c r="E604" s="2"/>
      <c r="F604" s="2"/>
      <c r="U604" s="2"/>
    </row>
    <row r="605" spans="1:21">
      <c r="A605" s="2"/>
      <c r="B605" s="2"/>
      <c r="C605" s="2"/>
      <c r="D605" s="2"/>
      <c r="E605" s="2"/>
      <c r="F605" s="2"/>
      <c r="U605" s="2"/>
    </row>
    <row r="606" spans="1:21">
      <c r="A606" s="2"/>
      <c r="B606" s="2"/>
      <c r="C606" s="2"/>
      <c r="D606" s="2"/>
      <c r="E606" s="2"/>
      <c r="F606" s="2"/>
      <c r="U606" s="2"/>
    </row>
    <row r="607" spans="1:21">
      <c r="A607" s="2"/>
      <c r="B607" s="2"/>
      <c r="C607" s="2"/>
      <c r="D607" s="2"/>
      <c r="E607" s="2"/>
      <c r="F607" s="2"/>
      <c r="U607" s="2"/>
    </row>
    <row r="608" spans="1:21">
      <c r="A608" s="2"/>
      <c r="B608" s="2"/>
      <c r="C608" s="2"/>
      <c r="D608" s="2"/>
      <c r="E608" s="2"/>
      <c r="F608" s="2"/>
      <c r="U608" s="2"/>
    </row>
    <row r="609" spans="1:21">
      <c r="A609" s="2"/>
      <c r="B609" s="2"/>
      <c r="C609" s="2"/>
      <c r="D609" s="2"/>
      <c r="E609" s="2"/>
      <c r="F609" s="2"/>
      <c r="U609" s="2"/>
    </row>
    <row r="610" spans="1:21">
      <c r="A610" s="2"/>
      <c r="B610" s="2"/>
      <c r="C610" s="2"/>
      <c r="D610" s="2"/>
      <c r="E610" s="2"/>
      <c r="F610" s="2"/>
      <c r="U610" s="2"/>
    </row>
    <row r="611" spans="1:21">
      <c r="A611" s="2"/>
      <c r="B611" s="2"/>
      <c r="C611" s="2"/>
      <c r="D611" s="2"/>
      <c r="E611" s="2"/>
      <c r="F611" s="2"/>
      <c r="U611" s="2"/>
    </row>
    <row r="612" spans="1:21">
      <c r="A612" s="2"/>
      <c r="B612" s="2"/>
      <c r="C612" s="2"/>
      <c r="D612" s="2"/>
      <c r="E612" s="2"/>
      <c r="F612" s="2"/>
      <c r="U612" s="2"/>
    </row>
    <row r="613" spans="1:21">
      <c r="A613" s="2"/>
      <c r="B613" s="2"/>
      <c r="C613" s="2"/>
      <c r="D613" s="2"/>
      <c r="E613" s="2"/>
      <c r="F613" s="2"/>
      <c r="U613" s="2"/>
    </row>
    <row r="614" spans="1:21">
      <c r="A614" s="2"/>
      <c r="B614" s="2"/>
      <c r="C614" s="2"/>
      <c r="D614" s="2"/>
      <c r="E614" s="2"/>
      <c r="F614" s="2"/>
      <c r="U614" s="2"/>
    </row>
    <row r="615" spans="1:21">
      <c r="A615" s="2"/>
      <c r="B615" s="2"/>
      <c r="C615" s="2"/>
      <c r="D615" s="2"/>
      <c r="E615" s="2"/>
      <c r="F615" s="2"/>
      <c r="U615" s="2"/>
    </row>
    <row r="616" spans="1:21">
      <c r="A616" s="2"/>
      <c r="B616" s="2"/>
      <c r="C616" s="2"/>
      <c r="D616" s="2"/>
      <c r="E616" s="2"/>
      <c r="F616" s="2"/>
      <c r="U616" s="2"/>
    </row>
    <row r="617" spans="1:21">
      <c r="A617" s="2"/>
      <c r="B617" s="2"/>
      <c r="C617" s="2"/>
      <c r="D617" s="2"/>
      <c r="E617" s="2"/>
      <c r="F617" s="2"/>
      <c r="U617" s="2"/>
    </row>
    <row r="618" spans="1:21">
      <c r="A618" s="2"/>
      <c r="B618" s="2"/>
      <c r="C618" s="2"/>
      <c r="D618" s="2"/>
      <c r="E618" s="2"/>
      <c r="F618" s="2"/>
      <c r="U618" s="2"/>
    </row>
    <row r="619" spans="1:21">
      <c r="A619" s="2"/>
      <c r="B619" s="2"/>
      <c r="C619" s="2"/>
      <c r="D619" s="2"/>
      <c r="E619" s="2"/>
      <c r="F619" s="2"/>
      <c r="U619" s="2"/>
    </row>
    <row r="620" spans="1:21">
      <c r="A620" s="2"/>
      <c r="B620" s="2"/>
      <c r="C620" s="2"/>
      <c r="D620" s="2"/>
      <c r="E620" s="2"/>
      <c r="F620" s="2"/>
      <c r="U620" s="2"/>
    </row>
    <row r="621" spans="1:21">
      <c r="A621" s="2"/>
      <c r="B621" s="2"/>
      <c r="C621" s="2"/>
      <c r="D621" s="2"/>
      <c r="E621" s="2"/>
      <c r="F621" s="2"/>
      <c r="U621" s="2"/>
    </row>
    <row r="622" spans="1:21">
      <c r="A622" s="2"/>
      <c r="B622" s="2"/>
      <c r="C622" s="2"/>
      <c r="D622" s="2"/>
      <c r="E622" s="2"/>
      <c r="F622" s="2"/>
      <c r="U622" s="2"/>
    </row>
    <row r="623" spans="1:21">
      <c r="A623" s="2"/>
      <c r="B623" s="2"/>
      <c r="C623" s="2"/>
      <c r="D623" s="2"/>
      <c r="E623" s="2"/>
      <c r="F623" s="2"/>
      <c r="U623" s="2"/>
    </row>
    <row r="624" spans="1:21">
      <c r="A624" s="2"/>
      <c r="B624" s="2"/>
      <c r="C624" s="2"/>
      <c r="D624" s="2"/>
      <c r="E624" s="2"/>
      <c r="F624" s="2"/>
      <c r="U624" s="2"/>
    </row>
    <row r="625" spans="1:21">
      <c r="A625" s="2"/>
      <c r="B625" s="2"/>
      <c r="C625" s="2"/>
      <c r="D625" s="2"/>
      <c r="E625" s="2"/>
      <c r="F625" s="2"/>
      <c r="U625" s="2"/>
    </row>
    <row r="626" spans="1:21">
      <c r="A626" s="2"/>
      <c r="B626" s="2"/>
      <c r="C626" s="2"/>
      <c r="D626" s="2"/>
      <c r="E626" s="2"/>
      <c r="F626" s="2"/>
      <c r="U626" s="2"/>
    </row>
    <row r="627" spans="1:21">
      <c r="A627" s="2"/>
      <c r="B627" s="2"/>
      <c r="C627" s="2"/>
      <c r="D627" s="2"/>
      <c r="E627" s="2"/>
      <c r="F627" s="2"/>
      <c r="U627" s="2"/>
    </row>
    <row r="628" spans="1:21">
      <c r="A628" s="2"/>
      <c r="B628" s="2"/>
      <c r="C628" s="2"/>
      <c r="D628" s="2"/>
      <c r="E628" s="2"/>
      <c r="F628" s="2"/>
      <c r="U628" s="2"/>
    </row>
    <row r="629" spans="1:21">
      <c r="A629" s="2"/>
      <c r="B629" s="2"/>
      <c r="C629" s="2"/>
      <c r="D629" s="2"/>
      <c r="E629" s="2"/>
      <c r="F629" s="2"/>
      <c r="U629" s="2"/>
    </row>
    <row r="630" spans="1:21">
      <c r="A630" s="2"/>
      <c r="B630" s="2"/>
      <c r="C630" s="2"/>
      <c r="D630" s="2"/>
      <c r="E630" s="2"/>
      <c r="F630" s="2"/>
      <c r="U630" s="2"/>
    </row>
    <row r="631" spans="1:21">
      <c r="A631" s="2"/>
      <c r="B631" s="2"/>
      <c r="C631" s="2"/>
      <c r="D631" s="2"/>
      <c r="E631" s="2"/>
      <c r="F631" s="2"/>
      <c r="U631" s="2"/>
    </row>
    <row r="632" spans="1:21">
      <c r="A632" s="2"/>
      <c r="B632" s="2"/>
      <c r="C632" s="2"/>
      <c r="D632" s="2"/>
      <c r="E632" s="2"/>
      <c r="F632" s="2"/>
      <c r="U632" s="2"/>
    </row>
    <row r="633" spans="1:21">
      <c r="A633" s="2"/>
      <c r="B633" s="2"/>
      <c r="C633" s="2"/>
      <c r="D633" s="2"/>
      <c r="E633" s="2"/>
      <c r="F633" s="2"/>
      <c r="U633" s="2"/>
    </row>
    <row r="634" spans="1:21">
      <c r="A634" s="2"/>
      <c r="B634" s="2"/>
      <c r="C634" s="2"/>
      <c r="D634" s="2"/>
      <c r="E634" s="2"/>
      <c r="F634" s="2"/>
      <c r="U634" s="2"/>
    </row>
    <row r="635" spans="1:21">
      <c r="A635" s="2"/>
      <c r="B635" s="2"/>
      <c r="C635" s="2"/>
      <c r="D635" s="2"/>
      <c r="E635" s="2"/>
      <c r="F635" s="2"/>
      <c r="U635" s="2"/>
    </row>
    <row r="636" spans="1:21">
      <c r="A636" s="2"/>
      <c r="B636" s="2"/>
      <c r="C636" s="2"/>
      <c r="D636" s="2"/>
      <c r="E636" s="2"/>
      <c r="F636" s="2"/>
      <c r="U636" s="2"/>
    </row>
    <row r="637" spans="1:21">
      <c r="A637" s="2"/>
      <c r="B637" s="2"/>
      <c r="C637" s="2"/>
      <c r="D637" s="2"/>
      <c r="E637" s="2"/>
      <c r="F637" s="2"/>
      <c r="U637" s="2"/>
    </row>
    <row r="638" spans="1:21">
      <c r="A638" s="2"/>
      <c r="B638" s="2"/>
      <c r="C638" s="2"/>
      <c r="D638" s="2"/>
      <c r="E638" s="2"/>
      <c r="F638" s="2"/>
      <c r="U638" s="2"/>
    </row>
    <row r="639" spans="1:21">
      <c r="A639" s="2"/>
      <c r="B639" s="2"/>
      <c r="C639" s="2"/>
      <c r="D639" s="2"/>
      <c r="E639" s="2"/>
      <c r="F639" s="2"/>
      <c r="U639" s="2"/>
    </row>
    <row r="640" spans="1:21">
      <c r="A640" s="2"/>
      <c r="B640" s="2"/>
      <c r="C640" s="2"/>
      <c r="D640" s="2"/>
      <c r="E640" s="2"/>
      <c r="F640" s="2"/>
      <c r="U640" s="2"/>
    </row>
    <row r="641" spans="1:21">
      <c r="A641" s="2"/>
      <c r="B641" s="2"/>
      <c r="C641" s="2"/>
      <c r="D641" s="2"/>
      <c r="E641" s="2"/>
      <c r="F641" s="2"/>
      <c r="U641" s="2"/>
    </row>
    <row r="642" spans="1:21">
      <c r="A642" s="2"/>
      <c r="B642" s="2"/>
      <c r="C642" s="2"/>
      <c r="D642" s="2"/>
      <c r="E642" s="2"/>
      <c r="F642" s="2"/>
      <c r="U642" s="2"/>
    </row>
    <row r="643" spans="1:21">
      <c r="A643" s="2"/>
      <c r="B643" s="2"/>
      <c r="C643" s="2"/>
      <c r="D643" s="2"/>
      <c r="E643" s="2"/>
      <c r="F643" s="2"/>
      <c r="U643" s="2"/>
    </row>
    <row r="644" spans="1:21">
      <c r="A644" s="2"/>
      <c r="B644" s="2"/>
      <c r="C644" s="2"/>
      <c r="D644" s="2"/>
      <c r="E644" s="2"/>
      <c r="F644" s="2"/>
      <c r="U644" s="2"/>
    </row>
    <row r="645" spans="1:21">
      <c r="A645" s="2"/>
      <c r="B645" s="2"/>
      <c r="C645" s="2"/>
      <c r="D645" s="2"/>
      <c r="E645" s="2"/>
      <c r="F645" s="2"/>
      <c r="U645" s="2"/>
    </row>
    <row r="646" spans="1:21">
      <c r="A646" s="2"/>
      <c r="B646" s="2"/>
      <c r="C646" s="2"/>
      <c r="D646" s="2"/>
      <c r="E646" s="2"/>
      <c r="F646" s="2"/>
      <c r="U646" s="2"/>
    </row>
    <row r="647" spans="1:21">
      <c r="A647" s="2"/>
      <c r="B647" s="2"/>
      <c r="C647" s="2"/>
      <c r="D647" s="2"/>
      <c r="E647" s="2"/>
      <c r="F647" s="2"/>
      <c r="U647" s="2"/>
    </row>
    <row r="648" spans="1:21">
      <c r="A648" s="2"/>
      <c r="B648" s="2"/>
      <c r="C648" s="2"/>
      <c r="D648" s="2"/>
      <c r="E648" s="2"/>
      <c r="F648" s="2"/>
      <c r="U648" s="2"/>
    </row>
    <row r="649" spans="1:21">
      <c r="A649" s="2"/>
      <c r="B649" s="2"/>
      <c r="C649" s="2"/>
      <c r="D649" s="2"/>
      <c r="E649" s="2"/>
      <c r="F649" s="2"/>
      <c r="U649" s="2"/>
    </row>
    <row r="650" spans="1:21">
      <c r="A650" s="2"/>
      <c r="B650" s="2"/>
      <c r="C650" s="2"/>
      <c r="D650" s="2"/>
      <c r="E650" s="2"/>
      <c r="F650" s="2"/>
      <c r="U650" s="2"/>
    </row>
    <row r="651" spans="1:21">
      <c r="A651" s="2"/>
      <c r="B651" s="2"/>
      <c r="C651" s="2"/>
      <c r="D651" s="2"/>
      <c r="E651" s="2"/>
      <c r="F651" s="2"/>
      <c r="U651" s="2"/>
    </row>
    <row r="652" spans="1:21">
      <c r="A652" s="2"/>
      <c r="B652" s="2"/>
      <c r="C652" s="2"/>
      <c r="D652" s="2"/>
      <c r="E652" s="2"/>
      <c r="F652" s="2"/>
      <c r="U652" s="2"/>
    </row>
    <row r="653" spans="1:21">
      <c r="A653" s="2"/>
      <c r="B653" s="2"/>
      <c r="C653" s="2"/>
      <c r="D653" s="2"/>
      <c r="E653" s="2"/>
      <c r="F653" s="2"/>
      <c r="U653" s="2"/>
    </row>
    <row r="654" spans="1:21">
      <c r="A654" s="2"/>
      <c r="B654" s="2"/>
      <c r="C654" s="2"/>
      <c r="D654" s="2"/>
      <c r="E654" s="2"/>
      <c r="F654" s="2"/>
      <c r="U654" s="2"/>
    </row>
    <row r="655" spans="1:21">
      <c r="A655" s="2"/>
      <c r="B655" s="2"/>
      <c r="C655" s="2"/>
      <c r="D655" s="2"/>
      <c r="E655" s="2"/>
      <c r="F655" s="2"/>
      <c r="U655" s="2"/>
    </row>
    <row r="656" spans="1:21">
      <c r="A656" s="2"/>
      <c r="B656" s="2"/>
      <c r="C656" s="2"/>
      <c r="D656" s="2"/>
      <c r="E656" s="2"/>
      <c r="F656" s="2"/>
      <c r="U656" s="2"/>
    </row>
    <row r="657" spans="1:21">
      <c r="A657" s="2"/>
      <c r="B657" s="2"/>
      <c r="C657" s="2"/>
      <c r="D657" s="2"/>
      <c r="E657" s="2"/>
      <c r="F657" s="2"/>
      <c r="U657" s="2"/>
    </row>
    <row r="658" spans="1:21">
      <c r="A658" s="2"/>
      <c r="B658" s="2"/>
      <c r="C658" s="2"/>
      <c r="D658" s="2"/>
      <c r="E658" s="2"/>
      <c r="F658" s="2"/>
      <c r="U658" s="2"/>
    </row>
    <row r="659" spans="1:21">
      <c r="A659" s="2"/>
      <c r="B659" s="2"/>
      <c r="C659" s="2"/>
      <c r="D659" s="2"/>
      <c r="E659" s="2"/>
      <c r="F659" s="2"/>
      <c r="U659" s="2"/>
    </row>
    <row r="660" spans="1:21">
      <c r="A660" s="2"/>
      <c r="B660" s="2"/>
      <c r="C660" s="2"/>
      <c r="D660" s="2"/>
      <c r="E660" s="2"/>
      <c r="F660" s="2"/>
      <c r="U660" s="2"/>
    </row>
    <row r="661" spans="1:21">
      <c r="A661" s="2"/>
      <c r="B661" s="2"/>
      <c r="C661" s="2"/>
      <c r="D661" s="2"/>
      <c r="E661" s="2"/>
      <c r="F661" s="2"/>
      <c r="U661" s="2"/>
    </row>
    <row r="662" spans="1:21">
      <c r="A662" s="2"/>
      <c r="B662" s="2"/>
      <c r="C662" s="2"/>
      <c r="D662" s="2"/>
      <c r="E662" s="2"/>
      <c r="F662" s="2"/>
      <c r="U662" s="2"/>
    </row>
    <row r="663" spans="1:21">
      <c r="A663" s="2"/>
      <c r="B663" s="2"/>
      <c r="C663" s="2"/>
      <c r="D663" s="2"/>
      <c r="E663" s="2"/>
      <c r="F663" s="2"/>
      <c r="U663" s="2"/>
    </row>
    <row r="664" spans="1:21">
      <c r="A664" s="2"/>
      <c r="B664" s="2"/>
      <c r="C664" s="2"/>
      <c r="D664" s="2"/>
      <c r="E664" s="2"/>
      <c r="F664" s="2"/>
      <c r="U664" s="2"/>
    </row>
    <row r="665" spans="1:21">
      <c r="A665" s="2"/>
      <c r="B665" s="2"/>
      <c r="C665" s="2"/>
      <c r="D665" s="2"/>
      <c r="E665" s="2"/>
      <c r="F665" s="2"/>
      <c r="U665" s="2"/>
    </row>
    <row r="666" spans="1:21">
      <c r="A666" s="2"/>
      <c r="B666" s="2"/>
      <c r="C666" s="2"/>
      <c r="D666" s="2"/>
      <c r="E666" s="2"/>
      <c r="F666" s="2"/>
      <c r="U666" s="2"/>
    </row>
    <row r="667" spans="1:21">
      <c r="A667" s="2"/>
      <c r="B667" s="2"/>
      <c r="C667" s="2"/>
      <c r="D667" s="2"/>
      <c r="E667" s="2"/>
      <c r="F667" s="2"/>
      <c r="U667" s="2"/>
    </row>
    <row r="668" spans="1:21">
      <c r="A668" s="2"/>
      <c r="B668" s="2"/>
      <c r="C668" s="2"/>
      <c r="D668" s="2"/>
      <c r="E668" s="2"/>
      <c r="F668" s="2"/>
      <c r="U668" s="2"/>
    </row>
    <row r="669" spans="1:21">
      <c r="A669" s="2"/>
      <c r="B669" s="2"/>
      <c r="C669" s="2"/>
      <c r="D669" s="2"/>
      <c r="E669" s="2"/>
      <c r="F669" s="2"/>
      <c r="U669" s="2"/>
    </row>
    <row r="670" spans="1:21">
      <c r="A670" s="2"/>
      <c r="B670" s="2"/>
      <c r="C670" s="2"/>
      <c r="D670" s="2"/>
      <c r="E670" s="2"/>
      <c r="F670" s="2"/>
      <c r="U670" s="2"/>
    </row>
    <row r="671" spans="1:21">
      <c r="A671" s="2"/>
      <c r="B671" s="2"/>
      <c r="C671" s="2"/>
      <c r="D671" s="2"/>
      <c r="E671" s="2"/>
      <c r="F671" s="2"/>
      <c r="U671" s="2"/>
    </row>
    <row r="672" spans="1:21">
      <c r="A672" s="2"/>
      <c r="B672" s="2"/>
      <c r="C672" s="2"/>
      <c r="D672" s="2"/>
      <c r="E672" s="2"/>
      <c r="F672" s="2"/>
      <c r="U672" s="2"/>
    </row>
    <row r="673" spans="1:21">
      <c r="A673" s="2"/>
      <c r="B673" s="2"/>
      <c r="C673" s="2"/>
      <c r="D673" s="2"/>
      <c r="E673" s="2"/>
      <c r="F673" s="2"/>
      <c r="U673" s="2"/>
    </row>
    <row r="674" spans="1:21">
      <c r="A674" s="2"/>
      <c r="B674" s="2"/>
      <c r="C674" s="2"/>
      <c r="D674" s="2"/>
      <c r="E674" s="2"/>
      <c r="F674" s="2"/>
      <c r="U674" s="2"/>
    </row>
    <row r="675" spans="1:21">
      <c r="A675" s="2"/>
      <c r="B675" s="2"/>
      <c r="C675" s="2"/>
      <c r="D675" s="2"/>
      <c r="E675" s="2"/>
      <c r="F675" s="2"/>
      <c r="U675" s="2"/>
    </row>
    <row r="676" spans="1:21">
      <c r="A676" s="2"/>
      <c r="B676" s="2"/>
      <c r="C676" s="2"/>
      <c r="D676" s="2"/>
      <c r="E676" s="2"/>
      <c r="F676" s="2"/>
      <c r="U676" s="2"/>
    </row>
    <row r="677" spans="1:21">
      <c r="A677" s="2"/>
      <c r="B677" s="2"/>
      <c r="C677" s="2"/>
      <c r="D677" s="2"/>
      <c r="E677" s="2"/>
      <c r="F677" s="2"/>
      <c r="U677" s="2"/>
    </row>
    <row r="678" spans="1:21">
      <c r="A678" s="2"/>
      <c r="B678" s="2"/>
      <c r="C678" s="2"/>
      <c r="D678" s="2"/>
      <c r="E678" s="2"/>
      <c r="F678" s="2"/>
      <c r="U678" s="2"/>
    </row>
    <row r="679" spans="1:21">
      <c r="A679" s="2"/>
      <c r="B679" s="2"/>
      <c r="C679" s="2"/>
      <c r="D679" s="2"/>
      <c r="E679" s="2"/>
      <c r="F679" s="2"/>
      <c r="U679" s="2"/>
    </row>
    <row r="680" spans="1:21">
      <c r="A680" s="2"/>
      <c r="B680" s="2"/>
      <c r="C680" s="2"/>
      <c r="D680" s="2"/>
      <c r="E680" s="2"/>
      <c r="F680" s="2"/>
      <c r="U680" s="2"/>
    </row>
    <row r="681" spans="1:21">
      <c r="A681" s="2"/>
      <c r="B681" s="2"/>
      <c r="C681" s="2"/>
      <c r="D681" s="2"/>
      <c r="E681" s="2"/>
      <c r="F681" s="2"/>
      <c r="U681" s="2"/>
    </row>
    <row r="682" spans="1:21">
      <c r="A682" s="2"/>
      <c r="B682" s="2"/>
      <c r="C682" s="2"/>
      <c r="D682" s="2"/>
      <c r="E682" s="2"/>
      <c r="F682" s="2"/>
      <c r="U682" s="2"/>
    </row>
    <row r="683" spans="1:21">
      <c r="A683" s="2"/>
      <c r="B683" s="2"/>
      <c r="C683" s="2"/>
      <c r="D683" s="2"/>
      <c r="E683" s="2"/>
      <c r="F683" s="2"/>
      <c r="U683" s="2"/>
    </row>
    <row r="684" spans="1:21">
      <c r="A684" s="2"/>
      <c r="B684" s="2"/>
      <c r="C684" s="2"/>
      <c r="D684" s="2"/>
      <c r="E684" s="2"/>
      <c r="F684" s="2"/>
      <c r="U684" s="2"/>
    </row>
    <row r="685" spans="1:21">
      <c r="A685" s="2"/>
      <c r="B685" s="2"/>
      <c r="C685" s="2"/>
      <c r="D685" s="2"/>
      <c r="E685" s="2"/>
      <c r="F685" s="2"/>
      <c r="U685" s="2"/>
    </row>
    <row r="686" spans="1:21">
      <c r="A686" s="2"/>
      <c r="B686" s="2"/>
      <c r="C686" s="2"/>
      <c r="D686" s="2"/>
      <c r="E686" s="2"/>
      <c r="F686" s="2"/>
      <c r="U686" s="2"/>
    </row>
    <row r="687" spans="1:21">
      <c r="A687" s="2"/>
      <c r="B687" s="2"/>
      <c r="C687" s="2"/>
      <c r="D687" s="2"/>
      <c r="E687" s="2"/>
      <c r="F687" s="2"/>
      <c r="U687" s="2"/>
    </row>
    <row r="688" spans="1:21">
      <c r="A688" s="2"/>
      <c r="B688" s="2"/>
      <c r="C688" s="2"/>
      <c r="D688" s="2"/>
      <c r="E688" s="2"/>
      <c r="F688" s="2"/>
      <c r="U688" s="2"/>
    </row>
    <row r="689" spans="1:21">
      <c r="A689" s="2"/>
      <c r="B689" s="2"/>
      <c r="C689" s="2"/>
      <c r="D689" s="2"/>
      <c r="E689" s="2"/>
      <c r="F689" s="2"/>
      <c r="U689" s="2"/>
    </row>
    <row r="690" spans="1:21">
      <c r="A690" s="2"/>
      <c r="B690" s="2"/>
      <c r="C690" s="2"/>
      <c r="D690" s="2"/>
      <c r="E690" s="2"/>
      <c r="F690" s="2"/>
      <c r="U690" s="2"/>
    </row>
    <row r="691" spans="1:21">
      <c r="A691" s="2"/>
      <c r="B691" s="2"/>
      <c r="C691" s="2"/>
      <c r="D691" s="2"/>
      <c r="E691" s="2"/>
      <c r="F691" s="2"/>
      <c r="U691" s="2"/>
    </row>
    <row r="692" spans="1:21">
      <c r="A692" s="2"/>
      <c r="B692" s="2"/>
      <c r="C692" s="2"/>
      <c r="D692" s="2"/>
      <c r="E692" s="2"/>
      <c r="F692" s="2"/>
      <c r="U692" s="2"/>
    </row>
    <row r="693" spans="1:21">
      <c r="A693" s="2"/>
      <c r="B693" s="2"/>
      <c r="C693" s="2"/>
      <c r="D693" s="2"/>
      <c r="E693" s="2"/>
      <c r="F693" s="2"/>
      <c r="U693" s="2"/>
    </row>
    <row r="694" spans="1:21">
      <c r="A694" s="2"/>
      <c r="B694" s="2"/>
      <c r="C694" s="2"/>
      <c r="D694" s="2"/>
      <c r="E694" s="2"/>
      <c r="F694" s="2"/>
      <c r="U694" s="2"/>
    </row>
    <row r="695" spans="1:21">
      <c r="A695" s="2"/>
      <c r="B695" s="2"/>
      <c r="C695" s="2"/>
      <c r="D695" s="2"/>
      <c r="E695" s="2"/>
      <c r="F695" s="2"/>
      <c r="U695" s="2"/>
    </row>
    <row r="696" spans="1:21">
      <c r="A696" s="2"/>
      <c r="B696" s="2"/>
      <c r="C696" s="2"/>
      <c r="D696" s="2"/>
      <c r="E696" s="2"/>
      <c r="F696" s="2"/>
      <c r="U696" s="2"/>
    </row>
    <row r="697" spans="1:21">
      <c r="A697" s="2"/>
      <c r="B697" s="2"/>
      <c r="C697" s="2"/>
      <c r="D697" s="2"/>
      <c r="E697" s="2"/>
      <c r="F697" s="2"/>
      <c r="U697" s="2"/>
    </row>
    <row r="698" spans="1:21">
      <c r="A698" s="2"/>
      <c r="B698" s="2"/>
      <c r="C698" s="2"/>
      <c r="D698" s="2"/>
      <c r="E698" s="2"/>
      <c r="F698" s="2"/>
      <c r="U698" s="2"/>
    </row>
    <row r="699" spans="1:21">
      <c r="A699" s="2"/>
      <c r="B699" s="2"/>
      <c r="C699" s="2"/>
      <c r="D699" s="2"/>
      <c r="E699" s="2"/>
      <c r="F699" s="2"/>
      <c r="U699" s="2"/>
    </row>
    <row r="700" spans="1:21">
      <c r="A700" s="2"/>
      <c r="B700" s="2"/>
      <c r="C700" s="2"/>
      <c r="D700" s="2"/>
      <c r="E700" s="2"/>
      <c r="F700" s="2"/>
      <c r="U700" s="2"/>
    </row>
    <row r="701" spans="1:21">
      <c r="A701" s="2"/>
      <c r="B701" s="2"/>
      <c r="C701" s="2"/>
      <c r="D701" s="2"/>
      <c r="E701" s="2"/>
      <c r="F701" s="2"/>
      <c r="U701" s="2"/>
    </row>
    <row r="702" spans="1:21">
      <c r="A702" s="2"/>
      <c r="B702" s="2"/>
      <c r="C702" s="2"/>
      <c r="D702" s="2"/>
      <c r="E702" s="2"/>
      <c r="F702" s="2"/>
      <c r="U702" s="2"/>
    </row>
    <row r="703" spans="1:21">
      <c r="A703" s="2"/>
      <c r="B703" s="2"/>
      <c r="C703" s="2"/>
      <c r="D703" s="2"/>
      <c r="E703" s="2"/>
      <c r="F703" s="2"/>
      <c r="U703" s="2"/>
    </row>
    <row r="704" spans="1:21">
      <c r="A704" s="2"/>
      <c r="B704" s="2"/>
      <c r="C704" s="2"/>
      <c r="D704" s="2"/>
      <c r="E704" s="2"/>
      <c r="F704" s="2"/>
      <c r="U704" s="2"/>
    </row>
    <row r="705" spans="1:21">
      <c r="A705" s="2"/>
      <c r="B705" s="2"/>
      <c r="C705" s="2"/>
      <c r="D705" s="2"/>
      <c r="E705" s="2"/>
      <c r="F705" s="2"/>
      <c r="U705" s="2"/>
    </row>
    <row r="706" spans="1:21">
      <c r="A706" s="2"/>
      <c r="B706" s="2"/>
      <c r="C706" s="2"/>
      <c r="D706" s="2"/>
      <c r="E706" s="2"/>
      <c r="F706" s="2"/>
      <c r="U706" s="2"/>
    </row>
    <row r="707" spans="1:21">
      <c r="A707" s="2"/>
      <c r="B707" s="2"/>
      <c r="C707" s="2"/>
      <c r="D707" s="2"/>
      <c r="E707" s="2"/>
      <c r="F707" s="2"/>
      <c r="U707" s="2"/>
    </row>
    <row r="708" spans="1:21">
      <c r="A708" s="2"/>
      <c r="B708" s="2"/>
      <c r="C708" s="2"/>
      <c r="D708" s="2"/>
      <c r="E708" s="2"/>
      <c r="F708" s="2"/>
      <c r="U708" s="2"/>
    </row>
    <row r="709" spans="1:21">
      <c r="A709" s="2"/>
      <c r="B709" s="2"/>
      <c r="C709" s="2"/>
      <c r="D709" s="2"/>
      <c r="E709" s="2"/>
      <c r="F709" s="2"/>
      <c r="U709" s="2"/>
    </row>
    <row r="710" spans="1:21">
      <c r="A710" s="2"/>
      <c r="B710" s="2"/>
      <c r="C710" s="2"/>
      <c r="D710" s="2"/>
      <c r="E710" s="2"/>
      <c r="F710" s="2"/>
      <c r="U710" s="2"/>
    </row>
    <row r="711" spans="1:21">
      <c r="A711" s="2"/>
      <c r="B711" s="2"/>
      <c r="C711" s="2"/>
      <c r="D711" s="2"/>
      <c r="E711" s="2"/>
      <c r="F711" s="2"/>
      <c r="U711" s="2"/>
    </row>
    <row r="712" spans="1:21">
      <c r="A712" s="2"/>
      <c r="B712" s="2"/>
      <c r="C712" s="2"/>
      <c r="D712" s="2"/>
      <c r="E712" s="2"/>
      <c r="F712" s="2"/>
      <c r="U712" s="2"/>
    </row>
    <row r="713" spans="1:21">
      <c r="A713" s="2"/>
      <c r="B713" s="2"/>
      <c r="C713" s="2"/>
      <c r="D713" s="2"/>
      <c r="E713" s="2"/>
      <c r="F713" s="2"/>
      <c r="U713" s="2"/>
    </row>
    <row r="714" spans="1:21">
      <c r="A714" s="2"/>
      <c r="B714" s="2"/>
      <c r="C714" s="2"/>
      <c r="D714" s="2"/>
      <c r="E714" s="2"/>
      <c r="F714" s="2"/>
      <c r="U714" s="2"/>
    </row>
    <row r="715" spans="1:21">
      <c r="A715" s="2"/>
      <c r="B715" s="2"/>
      <c r="C715" s="2"/>
      <c r="D715" s="2"/>
      <c r="E715" s="2"/>
      <c r="F715" s="2"/>
      <c r="U715" s="2"/>
    </row>
    <row r="716" spans="1:21">
      <c r="A716" s="2"/>
      <c r="B716" s="2"/>
      <c r="C716" s="2"/>
      <c r="D716" s="2"/>
      <c r="E716" s="2"/>
      <c r="F716" s="2"/>
      <c r="U716" s="2"/>
    </row>
    <row r="717" spans="1:21">
      <c r="A717" s="2"/>
      <c r="B717" s="2"/>
      <c r="C717" s="2"/>
      <c r="D717" s="2"/>
      <c r="E717" s="2"/>
      <c r="F717" s="2"/>
      <c r="U717" s="2"/>
    </row>
    <row r="718" spans="1:21">
      <c r="A718" s="2"/>
      <c r="B718" s="2"/>
      <c r="C718" s="2"/>
      <c r="D718" s="2"/>
      <c r="E718" s="2"/>
      <c r="F718" s="2"/>
      <c r="U718" s="2"/>
    </row>
    <row r="719" spans="1:21">
      <c r="A719" s="2"/>
      <c r="B719" s="2"/>
      <c r="C719" s="2"/>
      <c r="D719" s="2"/>
      <c r="E719" s="2"/>
      <c r="F719" s="2"/>
      <c r="U719" s="2"/>
    </row>
    <row r="720" spans="1:21">
      <c r="A720" s="2"/>
      <c r="B720" s="2"/>
      <c r="C720" s="2"/>
      <c r="D720" s="2"/>
      <c r="E720" s="2"/>
      <c r="F720" s="2"/>
      <c r="U720" s="2"/>
    </row>
    <row r="721" spans="1:21">
      <c r="A721" s="2"/>
      <c r="B721" s="2"/>
      <c r="C721" s="2"/>
      <c r="D721" s="2"/>
      <c r="E721" s="2"/>
      <c r="F721" s="2"/>
      <c r="U721" s="2"/>
    </row>
    <row r="722" spans="1:21">
      <c r="A722" s="2"/>
      <c r="B722" s="2"/>
      <c r="C722" s="2"/>
      <c r="D722" s="2"/>
      <c r="E722" s="2"/>
      <c r="F722" s="2"/>
      <c r="U722" s="2"/>
    </row>
    <row r="723" spans="1:21">
      <c r="A723" s="2"/>
      <c r="B723" s="2"/>
      <c r="C723" s="2"/>
      <c r="D723" s="2"/>
      <c r="E723" s="2"/>
      <c r="F723" s="2"/>
      <c r="U723" s="2"/>
    </row>
    <row r="724" spans="1:21">
      <c r="A724" s="2"/>
      <c r="B724" s="2"/>
      <c r="C724" s="2"/>
      <c r="D724" s="2"/>
      <c r="E724" s="2"/>
      <c r="F724" s="2"/>
      <c r="U724" s="2"/>
    </row>
    <row r="725" spans="1:21">
      <c r="A725" s="2"/>
      <c r="B725" s="2"/>
      <c r="C725" s="2"/>
      <c r="D725" s="2"/>
      <c r="E725" s="2"/>
      <c r="F725" s="2"/>
      <c r="U725" s="2"/>
    </row>
    <row r="726" spans="1:21">
      <c r="A726" s="2"/>
      <c r="B726" s="2"/>
      <c r="C726" s="2"/>
      <c r="D726" s="2"/>
      <c r="E726" s="2"/>
      <c r="F726" s="2"/>
      <c r="U726" s="2"/>
    </row>
    <row r="727" spans="1:21">
      <c r="A727" s="2"/>
      <c r="B727" s="2"/>
      <c r="C727" s="2"/>
      <c r="D727" s="2"/>
      <c r="E727" s="2"/>
      <c r="F727" s="2"/>
      <c r="U727" s="2"/>
    </row>
    <row r="728" spans="1:21">
      <c r="A728" s="2"/>
      <c r="B728" s="2"/>
      <c r="C728" s="2"/>
      <c r="D728" s="2"/>
      <c r="E728" s="2"/>
      <c r="F728" s="2"/>
      <c r="U728" s="2"/>
    </row>
    <row r="729" spans="1:21">
      <c r="A729" s="2"/>
      <c r="B729" s="2"/>
      <c r="C729" s="2"/>
      <c r="D729" s="2"/>
      <c r="E729" s="2"/>
      <c r="F729" s="2"/>
      <c r="U729" s="2"/>
    </row>
    <row r="730" spans="1:21">
      <c r="A730" s="2"/>
      <c r="B730" s="2"/>
      <c r="C730" s="2"/>
      <c r="D730" s="2"/>
      <c r="E730" s="2"/>
      <c r="F730" s="2"/>
      <c r="U730" s="2"/>
    </row>
    <row r="731" spans="1:21">
      <c r="A731" s="2"/>
      <c r="B731" s="2"/>
      <c r="C731" s="2"/>
      <c r="D731" s="2"/>
      <c r="E731" s="2"/>
      <c r="F731" s="2"/>
      <c r="U731" s="2"/>
    </row>
    <row r="732" spans="1:21">
      <c r="A732" s="2"/>
      <c r="B732" s="2"/>
      <c r="C732" s="2"/>
      <c r="D732" s="2"/>
      <c r="E732" s="2"/>
      <c r="F732" s="2"/>
      <c r="U732" s="2"/>
    </row>
    <row r="733" spans="1:21">
      <c r="A733" s="2"/>
      <c r="B733" s="2"/>
      <c r="C733" s="2"/>
      <c r="D733" s="2"/>
      <c r="E733" s="2"/>
      <c r="F733" s="2"/>
      <c r="U733" s="2"/>
    </row>
    <row r="734" spans="1:21">
      <c r="A734" s="2"/>
      <c r="B734" s="2"/>
      <c r="C734" s="2"/>
      <c r="D734" s="2"/>
      <c r="E734" s="2"/>
      <c r="F734" s="2"/>
      <c r="U734" s="2"/>
    </row>
    <row r="735" spans="1:21">
      <c r="A735" s="2"/>
      <c r="B735" s="2"/>
      <c r="C735" s="2"/>
      <c r="D735" s="2"/>
      <c r="E735" s="2"/>
      <c r="F735" s="2"/>
      <c r="U735" s="2"/>
    </row>
    <row r="736" spans="1:21">
      <c r="A736" s="2"/>
      <c r="B736" s="2"/>
      <c r="C736" s="2"/>
      <c r="D736" s="2"/>
      <c r="E736" s="2"/>
      <c r="F736" s="2"/>
      <c r="U736" s="2"/>
    </row>
    <row r="737" spans="1:21">
      <c r="A737" s="2"/>
      <c r="B737" s="2"/>
      <c r="C737" s="2"/>
      <c r="D737" s="2"/>
      <c r="E737" s="2"/>
      <c r="F737" s="2"/>
      <c r="U737" s="2"/>
    </row>
    <row r="738" spans="1:21">
      <c r="A738" s="2"/>
      <c r="B738" s="2"/>
      <c r="C738" s="2"/>
      <c r="D738" s="2"/>
      <c r="E738" s="2"/>
      <c r="F738" s="2"/>
      <c r="U738" s="2"/>
    </row>
    <row r="739" spans="1:21">
      <c r="A739" s="2"/>
      <c r="B739" s="2"/>
      <c r="C739" s="2"/>
      <c r="D739" s="2"/>
      <c r="E739" s="2"/>
      <c r="F739" s="2"/>
      <c r="U739" s="2"/>
    </row>
    <row r="740" spans="1:21">
      <c r="A740" s="2"/>
      <c r="B740" s="2"/>
      <c r="C740" s="2"/>
      <c r="D740" s="2"/>
      <c r="E740" s="2"/>
      <c r="F740" s="2"/>
      <c r="U740" s="2"/>
    </row>
    <row r="741" spans="1:21">
      <c r="A741" s="2"/>
      <c r="B741" s="2"/>
      <c r="C741" s="2"/>
      <c r="D741" s="2"/>
      <c r="E741" s="2"/>
      <c r="F741" s="2"/>
      <c r="U741" s="2"/>
    </row>
    <row r="742" spans="1:21">
      <c r="A742" s="2"/>
      <c r="B742" s="2"/>
      <c r="C742" s="2"/>
      <c r="D742" s="2"/>
      <c r="E742" s="2"/>
      <c r="F742" s="2"/>
      <c r="U742" s="2"/>
    </row>
    <row r="743" spans="1:21">
      <c r="A743" s="2"/>
      <c r="B743" s="2"/>
      <c r="C743" s="2"/>
      <c r="D743" s="2"/>
      <c r="E743" s="2"/>
      <c r="F743" s="2"/>
      <c r="U743" s="2"/>
    </row>
    <row r="744" spans="1:21">
      <c r="A744" s="2"/>
      <c r="B744" s="2"/>
      <c r="C744" s="2"/>
      <c r="D744" s="2"/>
      <c r="E744" s="2"/>
      <c r="F744" s="2"/>
      <c r="U744" s="2"/>
    </row>
    <row r="745" spans="1:21">
      <c r="A745" s="2"/>
      <c r="B745" s="2"/>
      <c r="C745" s="2"/>
      <c r="D745" s="2"/>
      <c r="E745" s="2"/>
      <c r="F745" s="2"/>
      <c r="U745" s="2"/>
    </row>
    <row r="746" spans="1:21">
      <c r="A746" s="2"/>
      <c r="B746" s="2"/>
      <c r="C746" s="2"/>
      <c r="D746" s="2"/>
      <c r="E746" s="2"/>
      <c r="F746" s="2"/>
      <c r="U746" s="2"/>
    </row>
    <row r="747" spans="1:21">
      <c r="A747" s="2"/>
      <c r="B747" s="2"/>
      <c r="C747" s="2"/>
      <c r="D747" s="2"/>
      <c r="E747" s="2"/>
      <c r="F747" s="2"/>
      <c r="U747" s="2"/>
    </row>
    <row r="748" spans="1:21">
      <c r="A748" s="2"/>
      <c r="B748" s="2"/>
      <c r="C748" s="2"/>
      <c r="D748" s="2"/>
      <c r="E748" s="2"/>
      <c r="F748" s="2"/>
      <c r="U748" s="2"/>
    </row>
    <row r="749" spans="1:21">
      <c r="A749" s="2"/>
      <c r="B749" s="2"/>
      <c r="C749" s="2"/>
      <c r="D749" s="2"/>
      <c r="E749" s="2"/>
      <c r="F749" s="2"/>
      <c r="U749" s="2"/>
    </row>
    <row r="750" spans="1:21">
      <c r="A750" s="2"/>
      <c r="B750" s="2"/>
      <c r="C750" s="2"/>
      <c r="D750" s="2"/>
      <c r="E750" s="2"/>
      <c r="F750" s="2"/>
      <c r="U750" s="2"/>
    </row>
    <row r="751" spans="1:21">
      <c r="A751" s="2"/>
      <c r="B751" s="2"/>
      <c r="C751" s="2"/>
      <c r="D751" s="2"/>
      <c r="E751" s="2"/>
      <c r="F751" s="2"/>
      <c r="U751" s="2"/>
    </row>
    <row r="752" spans="1:21">
      <c r="A752" s="2"/>
      <c r="B752" s="2"/>
      <c r="C752" s="2"/>
      <c r="D752" s="2"/>
      <c r="E752" s="2"/>
      <c r="F752" s="2"/>
      <c r="U752" s="2"/>
    </row>
    <row r="753" spans="1:21">
      <c r="A753" s="2"/>
      <c r="B753" s="2"/>
      <c r="C753" s="2"/>
      <c r="D753" s="2"/>
      <c r="E753" s="2"/>
      <c r="F753" s="2"/>
      <c r="U753" s="2"/>
    </row>
    <row r="754" spans="1:21">
      <c r="A754" s="2"/>
      <c r="B754" s="2"/>
      <c r="C754" s="2"/>
      <c r="D754" s="2"/>
      <c r="E754" s="2"/>
      <c r="F754" s="2"/>
      <c r="U754" s="2"/>
    </row>
    <row r="755" spans="1:21">
      <c r="A755" s="2"/>
      <c r="B755" s="2"/>
      <c r="C755" s="2"/>
      <c r="D755" s="2"/>
      <c r="E755" s="2"/>
      <c r="F755" s="2"/>
      <c r="U755" s="2"/>
    </row>
    <row r="756" spans="1:21">
      <c r="A756" s="2"/>
      <c r="B756" s="2"/>
      <c r="C756" s="2"/>
      <c r="D756" s="2"/>
      <c r="E756" s="2"/>
      <c r="F756" s="2"/>
      <c r="U756" s="2"/>
    </row>
    <row r="757" spans="1:21">
      <c r="A757" s="2"/>
      <c r="B757" s="2"/>
      <c r="C757" s="2"/>
      <c r="D757" s="2"/>
      <c r="E757" s="2"/>
      <c r="F757" s="2"/>
      <c r="U757" s="2"/>
    </row>
    <row r="758" spans="1:21">
      <c r="A758" s="2"/>
      <c r="B758" s="2"/>
      <c r="C758" s="2"/>
      <c r="D758" s="2"/>
      <c r="E758" s="2"/>
      <c r="F758" s="2"/>
      <c r="U758" s="2"/>
    </row>
    <row r="759" spans="1:21">
      <c r="A759" s="2"/>
      <c r="B759" s="2"/>
      <c r="C759" s="2"/>
      <c r="D759" s="2"/>
      <c r="E759" s="2"/>
      <c r="F759" s="2"/>
      <c r="U759" s="2"/>
    </row>
    <row r="760" spans="1:21">
      <c r="A760" s="2"/>
      <c r="B760" s="2"/>
      <c r="C760" s="2"/>
      <c r="D760" s="2"/>
      <c r="E760" s="2"/>
      <c r="F760" s="2"/>
      <c r="U760" s="2"/>
    </row>
    <row r="761" spans="1:21">
      <c r="A761" s="2"/>
      <c r="B761" s="2"/>
      <c r="C761" s="2"/>
      <c r="D761" s="2"/>
      <c r="E761" s="2"/>
      <c r="F761" s="2"/>
      <c r="U761" s="2"/>
    </row>
    <row r="762" spans="1:21">
      <c r="A762" s="2"/>
      <c r="B762" s="2"/>
      <c r="C762" s="2"/>
      <c r="D762" s="2"/>
      <c r="E762" s="2"/>
      <c r="F762" s="2"/>
      <c r="U762" s="2"/>
    </row>
    <row r="763" spans="1:21">
      <c r="A763" s="2"/>
      <c r="B763" s="2"/>
      <c r="C763" s="2"/>
      <c r="D763" s="2"/>
      <c r="E763" s="2"/>
      <c r="F763" s="2"/>
      <c r="U763" s="2"/>
    </row>
    <row r="764" spans="1:21">
      <c r="A764" s="2"/>
      <c r="B764" s="2"/>
      <c r="C764" s="2"/>
      <c r="D764" s="2"/>
      <c r="E764" s="2"/>
      <c r="F764" s="2"/>
      <c r="U764" s="2"/>
    </row>
    <row r="765" spans="1:21">
      <c r="A765" s="2"/>
      <c r="B765" s="2"/>
      <c r="C765" s="2"/>
      <c r="D765" s="2"/>
      <c r="E765" s="2"/>
      <c r="F765" s="2"/>
      <c r="U765" s="2"/>
    </row>
    <row r="766" spans="1:21">
      <c r="A766" s="2"/>
      <c r="B766" s="2"/>
      <c r="C766" s="2"/>
      <c r="D766" s="2"/>
      <c r="E766" s="2"/>
      <c r="F766" s="2"/>
      <c r="U766" s="2"/>
    </row>
    <row r="767" spans="1:21">
      <c r="A767" s="2"/>
      <c r="B767" s="2"/>
      <c r="C767" s="2"/>
      <c r="D767" s="2"/>
      <c r="E767" s="2"/>
      <c r="F767" s="2"/>
      <c r="U767" s="2"/>
    </row>
    <row r="768" spans="1:21">
      <c r="A768" s="2"/>
      <c r="B768" s="2"/>
      <c r="C768" s="2"/>
      <c r="D768" s="2"/>
      <c r="E768" s="2"/>
      <c r="F768" s="2"/>
      <c r="U768" s="2"/>
    </row>
    <row r="769" spans="1:21">
      <c r="A769" s="2"/>
      <c r="B769" s="2"/>
      <c r="C769" s="2"/>
      <c r="D769" s="2"/>
      <c r="E769" s="2"/>
      <c r="F769" s="2"/>
      <c r="U769" s="2"/>
    </row>
    <row r="770" spans="1:21">
      <c r="A770" s="2"/>
      <c r="B770" s="2"/>
      <c r="C770" s="2"/>
      <c r="D770" s="2"/>
      <c r="E770" s="2"/>
      <c r="F770" s="2"/>
      <c r="U770" s="2"/>
    </row>
    <row r="771" spans="1:21">
      <c r="A771" s="2"/>
      <c r="B771" s="2"/>
      <c r="C771" s="2"/>
      <c r="D771" s="2"/>
      <c r="E771" s="2"/>
      <c r="F771" s="2"/>
      <c r="U771" s="2"/>
    </row>
    <row r="772" spans="1:21">
      <c r="A772" s="2"/>
      <c r="B772" s="2"/>
      <c r="C772" s="2"/>
      <c r="D772" s="2"/>
      <c r="E772" s="2"/>
      <c r="F772" s="2"/>
      <c r="U772" s="2"/>
    </row>
    <row r="773" spans="1:21">
      <c r="A773" s="2"/>
      <c r="B773" s="2"/>
      <c r="C773" s="2"/>
      <c r="D773" s="2"/>
      <c r="E773" s="2"/>
      <c r="F773" s="2"/>
      <c r="U773" s="2"/>
    </row>
    <row r="774" spans="1:21">
      <c r="A774" s="2"/>
      <c r="B774" s="2"/>
      <c r="C774" s="2"/>
      <c r="D774" s="2"/>
      <c r="E774" s="2"/>
      <c r="F774" s="2"/>
      <c r="U774" s="2"/>
    </row>
    <row r="775" spans="1:21">
      <c r="A775" s="2"/>
      <c r="B775" s="2"/>
      <c r="C775" s="2"/>
      <c r="D775" s="2"/>
      <c r="E775" s="2"/>
      <c r="F775" s="2"/>
      <c r="U775" s="2"/>
    </row>
    <row r="776" spans="1:21">
      <c r="A776" s="2"/>
      <c r="B776" s="2"/>
      <c r="C776" s="2"/>
      <c r="D776" s="2"/>
      <c r="E776" s="2"/>
      <c r="F776" s="2"/>
      <c r="U776" s="2"/>
    </row>
    <row r="777" spans="1:21">
      <c r="A777" s="2"/>
      <c r="B777" s="2"/>
      <c r="C777" s="2"/>
      <c r="D777" s="2"/>
      <c r="E777" s="2"/>
      <c r="F777" s="2"/>
      <c r="U777" s="2"/>
    </row>
    <row r="778" spans="1:21">
      <c r="A778" s="2"/>
      <c r="B778" s="2"/>
      <c r="C778" s="2"/>
      <c r="D778" s="2"/>
      <c r="E778" s="2"/>
      <c r="F778" s="2"/>
      <c r="U778" s="2"/>
    </row>
    <row r="779" spans="1:21">
      <c r="A779" s="2"/>
      <c r="B779" s="2"/>
      <c r="C779" s="2"/>
      <c r="D779" s="2"/>
      <c r="E779" s="2"/>
      <c r="F779" s="2"/>
      <c r="U779" s="2"/>
    </row>
    <row r="780" spans="1:21">
      <c r="A780" s="2"/>
      <c r="B780" s="2"/>
      <c r="C780" s="2"/>
      <c r="D780" s="2"/>
      <c r="E780" s="2"/>
      <c r="F780" s="2"/>
      <c r="U780" s="2"/>
    </row>
    <row r="781" spans="1:21">
      <c r="A781" s="2"/>
      <c r="B781" s="2"/>
      <c r="C781" s="2"/>
      <c r="D781" s="2"/>
      <c r="E781" s="2"/>
      <c r="F781" s="2"/>
      <c r="U781" s="2"/>
    </row>
    <row r="782" spans="1:21">
      <c r="A782" s="2"/>
      <c r="B782" s="2"/>
      <c r="C782" s="2"/>
      <c r="D782" s="2"/>
      <c r="E782" s="2"/>
      <c r="F782" s="2"/>
      <c r="U782" s="2"/>
    </row>
    <row r="783" spans="1:21">
      <c r="A783" s="2"/>
      <c r="B783" s="2"/>
      <c r="C783" s="2"/>
      <c r="D783" s="2"/>
      <c r="E783" s="2"/>
      <c r="F783" s="2"/>
      <c r="U783" s="2"/>
    </row>
    <row r="784" spans="1:21">
      <c r="A784" s="2"/>
      <c r="B784" s="2"/>
      <c r="C784" s="2"/>
      <c r="D784" s="2"/>
      <c r="E784" s="2"/>
      <c r="F784" s="2"/>
      <c r="U784" s="2"/>
    </row>
    <row r="785" spans="1:21">
      <c r="A785" s="2"/>
      <c r="B785" s="2"/>
      <c r="C785" s="2"/>
      <c r="D785" s="2"/>
      <c r="E785" s="2"/>
      <c r="F785" s="2"/>
      <c r="U785" s="2"/>
    </row>
    <row r="786" spans="1:21">
      <c r="A786" s="2"/>
      <c r="B786" s="2"/>
      <c r="C786" s="2"/>
      <c r="D786" s="2"/>
      <c r="E786" s="2"/>
      <c r="F786" s="2"/>
      <c r="U786" s="2"/>
    </row>
    <row r="787" spans="1:21">
      <c r="A787" s="2"/>
      <c r="B787" s="2"/>
      <c r="C787" s="2"/>
      <c r="D787" s="2"/>
      <c r="E787" s="2"/>
      <c r="F787" s="2"/>
      <c r="U787" s="2"/>
    </row>
    <row r="788" spans="1:21">
      <c r="A788" s="2"/>
      <c r="B788" s="2"/>
      <c r="C788" s="2"/>
      <c r="D788" s="2"/>
      <c r="E788" s="2"/>
      <c r="F788" s="2"/>
      <c r="U788" s="2"/>
    </row>
    <row r="789" spans="1:21">
      <c r="A789" s="2"/>
      <c r="B789" s="2"/>
      <c r="C789" s="2"/>
      <c r="D789" s="2"/>
      <c r="E789" s="2"/>
      <c r="F789" s="2"/>
      <c r="U789" s="2"/>
    </row>
    <row r="790" spans="1:21">
      <c r="A790" s="2"/>
      <c r="B790" s="2"/>
      <c r="C790" s="2"/>
      <c r="D790" s="2"/>
      <c r="E790" s="2"/>
      <c r="F790" s="2"/>
      <c r="U790" s="2"/>
    </row>
    <row r="791" spans="1:21">
      <c r="A791" s="2"/>
      <c r="B791" s="2"/>
      <c r="C791" s="2"/>
      <c r="D791" s="2"/>
      <c r="E791" s="2"/>
      <c r="F791" s="2"/>
      <c r="U791" s="2"/>
    </row>
    <row r="792" spans="1:21">
      <c r="A792" s="2"/>
      <c r="B792" s="2"/>
      <c r="C792" s="2"/>
      <c r="D792" s="2"/>
      <c r="E792" s="2"/>
      <c r="F792" s="2"/>
      <c r="U792" s="2"/>
    </row>
    <row r="793" spans="1:21">
      <c r="A793" s="2"/>
      <c r="B793" s="2"/>
      <c r="C793" s="2"/>
      <c r="D793" s="2"/>
      <c r="E793" s="2"/>
      <c r="F793" s="2"/>
      <c r="U793" s="2"/>
    </row>
    <row r="794" spans="1:21">
      <c r="A794" s="2"/>
      <c r="B794" s="2"/>
      <c r="C794" s="2"/>
      <c r="D794" s="2"/>
      <c r="E794" s="2"/>
      <c r="F794" s="2"/>
      <c r="U794" s="2"/>
    </row>
    <row r="795" spans="1:21">
      <c r="A795" s="2"/>
      <c r="B795" s="2"/>
      <c r="C795" s="2"/>
      <c r="D795" s="2"/>
      <c r="E795" s="2"/>
      <c r="F795" s="2"/>
      <c r="U795" s="2"/>
    </row>
    <row r="796" spans="1:21">
      <c r="A796" s="2"/>
      <c r="B796" s="2"/>
      <c r="C796" s="2"/>
      <c r="D796" s="2"/>
      <c r="E796" s="2"/>
      <c r="F796" s="2"/>
      <c r="U796" s="2"/>
    </row>
    <row r="797" spans="1:21">
      <c r="A797" s="2"/>
      <c r="B797" s="2"/>
      <c r="C797" s="2"/>
      <c r="D797" s="2"/>
      <c r="E797" s="2"/>
      <c r="F797" s="2"/>
      <c r="U797" s="2"/>
    </row>
    <row r="798" spans="1:21">
      <c r="A798" s="2"/>
      <c r="B798" s="2"/>
      <c r="C798" s="2"/>
      <c r="D798" s="2"/>
      <c r="E798" s="2"/>
      <c r="F798" s="2"/>
      <c r="U798" s="2"/>
    </row>
    <row r="799" spans="1:21">
      <c r="A799" s="2"/>
      <c r="B799" s="2"/>
      <c r="C799" s="2"/>
      <c r="D799" s="2"/>
      <c r="E799" s="2"/>
      <c r="F799" s="2"/>
      <c r="U799" s="2"/>
    </row>
    <row r="800" spans="1:21">
      <c r="A800" s="2"/>
      <c r="B800" s="2"/>
      <c r="C800" s="2"/>
      <c r="D800" s="2"/>
      <c r="E800" s="2"/>
      <c r="F800" s="2"/>
      <c r="U800" s="2"/>
    </row>
    <row r="801" spans="1:21">
      <c r="A801" s="2"/>
      <c r="B801" s="2"/>
      <c r="C801" s="2"/>
      <c r="D801" s="2"/>
      <c r="E801" s="2"/>
      <c r="F801" s="2"/>
      <c r="U801" s="2"/>
    </row>
    <row r="802" spans="1:21">
      <c r="A802" s="2"/>
      <c r="B802" s="2"/>
      <c r="C802" s="2"/>
      <c r="D802" s="2"/>
      <c r="E802" s="2"/>
      <c r="F802" s="2"/>
      <c r="U802" s="2"/>
    </row>
    <row r="803" spans="1:21">
      <c r="A803" s="2"/>
      <c r="B803" s="2"/>
      <c r="C803" s="2"/>
      <c r="D803" s="2"/>
      <c r="E803" s="2"/>
      <c r="F803" s="2"/>
      <c r="U803" s="2"/>
    </row>
    <row r="804" spans="1:21">
      <c r="A804" s="2"/>
      <c r="B804" s="2"/>
      <c r="C804" s="2"/>
      <c r="D804" s="2"/>
      <c r="E804" s="2"/>
      <c r="F804" s="2"/>
      <c r="U804" s="2"/>
    </row>
    <row r="805" spans="1:21">
      <c r="A805" s="2"/>
      <c r="B805" s="2"/>
      <c r="C805" s="2"/>
      <c r="D805" s="2"/>
      <c r="E805" s="2"/>
      <c r="F805" s="2"/>
      <c r="U805" s="2"/>
    </row>
    <row r="806" spans="1:21">
      <c r="A806" s="2"/>
      <c r="B806" s="2"/>
      <c r="C806" s="2"/>
      <c r="D806" s="2"/>
      <c r="E806" s="2"/>
      <c r="F806" s="2"/>
      <c r="U806" s="2"/>
    </row>
    <row r="807" spans="1:21">
      <c r="A807" s="2"/>
      <c r="B807" s="2"/>
      <c r="C807" s="2"/>
      <c r="D807" s="2"/>
      <c r="E807" s="2"/>
      <c r="F807" s="2"/>
      <c r="U807" s="2"/>
    </row>
    <row r="808" spans="1:21">
      <c r="A808" s="2"/>
      <c r="B808" s="2"/>
      <c r="C808" s="2"/>
      <c r="D808" s="2"/>
      <c r="E808" s="2"/>
      <c r="F808" s="2"/>
      <c r="U808" s="2"/>
    </row>
    <row r="809" spans="1:21">
      <c r="A809" s="2"/>
      <c r="B809" s="2"/>
      <c r="C809" s="2"/>
      <c r="D809" s="2"/>
      <c r="E809" s="2"/>
      <c r="F809" s="2"/>
      <c r="U809" s="2"/>
    </row>
    <row r="810" spans="1:21">
      <c r="A810" s="2"/>
      <c r="B810" s="2"/>
      <c r="C810" s="2"/>
      <c r="D810" s="2"/>
      <c r="E810" s="2"/>
      <c r="F810" s="2"/>
      <c r="U810" s="2"/>
    </row>
    <row r="811" spans="1:21">
      <c r="A811" s="2"/>
      <c r="B811" s="2"/>
      <c r="C811" s="2"/>
      <c r="D811" s="2"/>
      <c r="E811" s="2"/>
      <c r="F811" s="2"/>
      <c r="U811" s="2"/>
    </row>
    <row r="812" spans="1:21">
      <c r="A812" s="2"/>
      <c r="B812" s="2"/>
      <c r="C812" s="2"/>
      <c r="D812" s="2"/>
      <c r="E812" s="2"/>
      <c r="F812" s="2"/>
      <c r="U812" s="2"/>
    </row>
    <row r="813" spans="1:21">
      <c r="A813" s="2"/>
      <c r="B813" s="2"/>
      <c r="C813" s="2"/>
      <c r="D813" s="2"/>
      <c r="E813" s="2"/>
      <c r="F813" s="2"/>
      <c r="U813" s="2"/>
    </row>
    <row r="814" spans="1:21">
      <c r="A814" s="2"/>
      <c r="B814" s="2"/>
      <c r="C814" s="2"/>
      <c r="D814" s="2"/>
      <c r="E814" s="2"/>
      <c r="F814" s="2"/>
      <c r="U814" s="2"/>
    </row>
    <row r="815" spans="1:21">
      <c r="A815" s="2"/>
      <c r="B815" s="2"/>
      <c r="C815" s="2"/>
      <c r="D815" s="2"/>
      <c r="E815" s="2"/>
      <c r="F815" s="2"/>
      <c r="U815" s="2"/>
    </row>
    <row r="816" spans="1:21">
      <c r="A816" s="2"/>
      <c r="B816" s="2"/>
      <c r="C816" s="2"/>
      <c r="D816" s="2"/>
      <c r="E816" s="2"/>
      <c r="F816" s="2"/>
      <c r="U816" s="2"/>
    </row>
    <row r="817" spans="1:21">
      <c r="A817" s="2"/>
      <c r="B817" s="2"/>
      <c r="C817" s="2"/>
      <c r="D817" s="2"/>
      <c r="E817" s="2"/>
      <c r="F817" s="2"/>
      <c r="U817" s="2"/>
    </row>
    <row r="818" spans="1:21">
      <c r="A818" s="2"/>
      <c r="B818" s="2"/>
      <c r="C818" s="2"/>
      <c r="D818" s="2"/>
      <c r="E818" s="2"/>
      <c r="F818" s="2"/>
      <c r="U818" s="2"/>
    </row>
    <row r="819" spans="1:21">
      <c r="A819" s="2"/>
      <c r="B819" s="2"/>
      <c r="C819" s="2"/>
      <c r="D819" s="2"/>
      <c r="E819" s="2"/>
      <c r="F819" s="2"/>
      <c r="U819" s="2"/>
    </row>
    <row r="820" spans="1:21">
      <c r="A820" s="2"/>
      <c r="B820" s="2"/>
      <c r="C820" s="2"/>
      <c r="D820" s="2"/>
      <c r="E820" s="2"/>
      <c r="F820" s="2"/>
      <c r="U820" s="2"/>
    </row>
    <row r="821" spans="1:21">
      <c r="A821" s="2"/>
      <c r="B821" s="2"/>
      <c r="C821" s="2"/>
      <c r="D821" s="2"/>
      <c r="E821" s="2"/>
      <c r="F821" s="2"/>
      <c r="U821" s="2"/>
    </row>
    <row r="822" spans="1:21">
      <c r="A822" s="2"/>
      <c r="B822" s="2"/>
      <c r="C822" s="2"/>
      <c r="D822" s="2"/>
      <c r="E822" s="2"/>
      <c r="F822" s="2"/>
      <c r="U822" s="2"/>
    </row>
    <row r="823" spans="1:21">
      <c r="A823" s="2"/>
      <c r="B823" s="2"/>
      <c r="C823" s="2"/>
      <c r="D823" s="2"/>
      <c r="E823" s="2"/>
      <c r="F823" s="2"/>
      <c r="U823" s="2"/>
    </row>
    <row r="824" spans="1:21">
      <c r="A824" s="2"/>
      <c r="B824" s="2"/>
      <c r="C824" s="2"/>
      <c r="D824" s="2"/>
      <c r="E824" s="2"/>
      <c r="F824" s="2"/>
      <c r="U824" s="2"/>
    </row>
    <row r="825" spans="1:21">
      <c r="A825" s="2"/>
      <c r="B825" s="2"/>
      <c r="C825" s="2"/>
      <c r="D825" s="2"/>
      <c r="E825" s="2"/>
      <c r="F825" s="2"/>
      <c r="U825" s="2"/>
    </row>
    <row r="826" spans="1:21">
      <c r="A826" s="2"/>
      <c r="B826" s="2"/>
      <c r="C826" s="2"/>
      <c r="D826" s="2"/>
      <c r="E826" s="2"/>
      <c r="F826" s="2"/>
      <c r="U826" s="2"/>
    </row>
    <row r="827" spans="1:21">
      <c r="A827" s="2"/>
      <c r="B827" s="2"/>
      <c r="C827" s="2"/>
      <c r="D827" s="2"/>
      <c r="E827" s="2"/>
      <c r="F827" s="2"/>
      <c r="U827" s="2"/>
    </row>
    <row r="828" spans="1:21">
      <c r="A828" s="2"/>
      <c r="B828" s="2"/>
      <c r="C828" s="2"/>
      <c r="D828" s="2"/>
      <c r="E828" s="2"/>
      <c r="F828" s="2"/>
      <c r="U828" s="2"/>
    </row>
    <row r="829" spans="1:21">
      <c r="A829" s="2"/>
      <c r="B829" s="2"/>
      <c r="C829" s="2"/>
      <c r="D829" s="2"/>
      <c r="E829" s="2"/>
      <c r="F829" s="2"/>
      <c r="U829" s="2"/>
    </row>
    <row r="830" spans="1:21">
      <c r="A830" s="2"/>
      <c r="B830" s="2"/>
      <c r="C830" s="2"/>
      <c r="D830" s="2"/>
      <c r="E830" s="2"/>
      <c r="F830" s="2"/>
      <c r="U830" s="2"/>
    </row>
    <row r="831" spans="1:21">
      <c r="A831" s="2"/>
      <c r="B831" s="2"/>
      <c r="C831" s="2"/>
      <c r="D831" s="2"/>
      <c r="E831" s="2"/>
      <c r="F831" s="2"/>
      <c r="U831" s="2"/>
    </row>
    <row r="832" spans="1:21">
      <c r="A832" s="2"/>
      <c r="B832" s="2"/>
      <c r="C832" s="2"/>
      <c r="D832" s="2"/>
      <c r="E832" s="2"/>
      <c r="F832" s="2"/>
      <c r="U832" s="2"/>
    </row>
    <row r="833" spans="1:21">
      <c r="A833" s="2"/>
      <c r="B833" s="2"/>
      <c r="C833" s="2"/>
      <c r="D833" s="2"/>
      <c r="E833" s="2"/>
      <c r="F833" s="2"/>
      <c r="U833" s="2"/>
    </row>
    <row r="834" spans="1:21">
      <c r="A834" s="2"/>
      <c r="B834" s="2"/>
      <c r="C834" s="2"/>
      <c r="D834" s="2"/>
      <c r="E834" s="2"/>
      <c r="F834" s="2"/>
      <c r="U834" s="2"/>
    </row>
    <row r="835" spans="1:21">
      <c r="A835" s="2"/>
      <c r="B835" s="2"/>
      <c r="C835" s="2"/>
      <c r="D835" s="2"/>
      <c r="E835" s="2"/>
      <c r="F835" s="2"/>
      <c r="U835" s="2"/>
    </row>
    <row r="836" spans="1:21">
      <c r="A836" s="2"/>
      <c r="B836" s="2"/>
      <c r="C836" s="2"/>
      <c r="D836" s="2"/>
      <c r="E836" s="2"/>
      <c r="F836" s="2"/>
      <c r="U836" s="2"/>
    </row>
    <row r="837" spans="1:21">
      <c r="A837" s="2"/>
      <c r="B837" s="2"/>
      <c r="C837" s="2"/>
      <c r="D837" s="2"/>
      <c r="E837" s="2"/>
      <c r="F837" s="2"/>
      <c r="U837" s="2"/>
    </row>
    <row r="838" spans="1:21">
      <c r="A838" s="2"/>
      <c r="B838" s="2"/>
      <c r="C838" s="2"/>
      <c r="D838" s="2"/>
      <c r="E838" s="2"/>
      <c r="F838" s="2"/>
      <c r="U838" s="2"/>
    </row>
    <row r="839" spans="1:21">
      <c r="A839" s="2"/>
      <c r="B839" s="2"/>
      <c r="C839" s="2"/>
      <c r="D839" s="2"/>
      <c r="E839" s="2"/>
      <c r="F839" s="2"/>
      <c r="U839" s="2"/>
    </row>
    <row r="840" spans="1:21">
      <c r="A840" s="2"/>
      <c r="B840" s="2"/>
      <c r="C840" s="2"/>
      <c r="D840" s="2"/>
      <c r="E840" s="2"/>
      <c r="F840" s="2"/>
      <c r="U840" s="2"/>
    </row>
    <row r="841" spans="1:21">
      <c r="A841" s="2"/>
      <c r="B841" s="2"/>
      <c r="C841" s="2"/>
      <c r="D841" s="2"/>
      <c r="E841" s="2"/>
      <c r="F841" s="2"/>
      <c r="U841" s="2"/>
    </row>
    <row r="842" spans="1:21">
      <c r="A842" s="2"/>
      <c r="B842" s="2"/>
      <c r="C842" s="2"/>
      <c r="D842" s="2"/>
      <c r="E842" s="2"/>
      <c r="F842" s="2"/>
      <c r="U842" s="2"/>
    </row>
    <row r="843" spans="1:21">
      <c r="A843" s="2"/>
      <c r="B843" s="2"/>
      <c r="C843" s="2"/>
      <c r="D843" s="2"/>
      <c r="E843" s="2"/>
      <c r="F843" s="2"/>
      <c r="U843" s="2"/>
    </row>
    <row r="844" spans="1:21">
      <c r="A844" s="2"/>
      <c r="B844" s="2"/>
      <c r="C844" s="2"/>
      <c r="D844" s="2"/>
      <c r="E844" s="2"/>
      <c r="F844" s="2"/>
      <c r="U844" s="2"/>
    </row>
    <row r="845" spans="1:21">
      <c r="A845" s="2"/>
      <c r="B845" s="2"/>
      <c r="C845" s="2"/>
      <c r="D845" s="2"/>
      <c r="E845" s="2"/>
      <c r="F845" s="2"/>
      <c r="U845" s="2"/>
    </row>
    <row r="846" spans="1:21">
      <c r="A846" s="2"/>
      <c r="B846" s="2"/>
      <c r="C846" s="2"/>
      <c r="D846" s="2"/>
      <c r="E846" s="2"/>
      <c r="F846" s="2"/>
      <c r="U846" s="2"/>
    </row>
    <row r="847" spans="1:21">
      <c r="A847" s="2"/>
      <c r="B847" s="2"/>
      <c r="C847" s="2"/>
      <c r="D847" s="2"/>
      <c r="E847" s="2"/>
      <c r="F847" s="2"/>
      <c r="U847" s="2"/>
    </row>
    <row r="848" spans="1:21">
      <c r="A848" s="2"/>
      <c r="B848" s="2"/>
      <c r="C848" s="2"/>
      <c r="D848" s="2"/>
      <c r="E848" s="2"/>
      <c r="F848" s="2"/>
      <c r="U848" s="2"/>
    </row>
    <row r="849" spans="1:21">
      <c r="A849" s="2"/>
      <c r="B849" s="2"/>
      <c r="C849" s="2"/>
      <c r="D849" s="2"/>
      <c r="E849" s="2"/>
      <c r="F849" s="2"/>
      <c r="U849" s="2"/>
    </row>
    <row r="850" spans="1:21">
      <c r="A850" s="2"/>
      <c r="B850" s="2"/>
      <c r="C850" s="2"/>
      <c r="D850" s="2"/>
      <c r="E850" s="2"/>
      <c r="F850" s="2"/>
      <c r="U850" s="2"/>
    </row>
    <row r="851" spans="1:21">
      <c r="A851" s="2"/>
      <c r="B851" s="2"/>
      <c r="C851" s="2"/>
      <c r="D851" s="2"/>
      <c r="E851" s="2"/>
      <c r="F851" s="2"/>
      <c r="U851" s="2"/>
    </row>
    <row r="852" spans="1:21">
      <c r="A852" s="2"/>
      <c r="B852" s="2"/>
      <c r="C852" s="2"/>
      <c r="D852" s="2"/>
      <c r="E852" s="2"/>
      <c r="F852" s="2"/>
      <c r="U852" s="2"/>
    </row>
    <row r="853" spans="1:21">
      <c r="A853" s="2"/>
      <c r="B853" s="2"/>
      <c r="C853" s="2"/>
      <c r="D853" s="2"/>
      <c r="E853" s="2"/>
      <c r="F853" s="2"/>
      <c r="U853" s="2"/>
    </row>
    <row r="854" spans="1:21">
      <c r="A854" s="2"/>
      <c r="B854" s="2"/>
      <c r="C854" s="2"/>
      <c r="D854" s="2"/>
      <c r="E854" s="2"/>
      <c r="F854" s="2"/>
      <c r="U854" s="2"/>
    </row>
    <row r="855" spans="1:21">
      <c r="A855" s="2"/>
      <c r="B855" s="2"/>
      <c r="C855" s="2"/>
      <c r="D855" s="2"/>
      <c r="E855" s="2"/>
      <c r="F855" s="2"/>
      <c r="U855" s="2"/>
    </row>
    <row r="856" spans="1:21">
      <c r="A856" s="2"/>
      <c r="B856" s="2"/>
      <c r="C856" s="2"/>
      <c r="D856" s="2"/>
      <c r="E856" s="2"/>
      <c r="F856" s="2"/>
      <c r="U856" s="2"/>
    </row>
    <row r="857" spans="1:21">
      <c r="A857" s="2"/>
      <c r="B857" s="2"/>
      <c r="C857" s="2"/>
      <c r="D857" s="2"/>
      <c r="E857" s="2"/>
      <c r="F857" s="2"/>
      <c r="U857" s="2"/>
    </row>
    <row r="858" spans="1:21">
      <c r="A858" s="2"/>
      <c r="B858" s="2"/>
      <c r="C858" s="2"/>
      <c r="D858" s="2"/>
      <c r="E858" s="2"/>
      <c r="F858" s="2"/>
      <c r="U858" s="2"/>
    </row>
    <row r="859" spans="1:21">
      <c r="A859" s="2"/>
      <c r="B859" s="2"/>
      <c r="C859" s="2"/>
      <c r="D859" s="2"/>
      <c r="E859" s="2"/>
      <c r="F859" s="2"/>
      <c r="U859" s="2"/>
    </row>
    <row r="860" spans="1:21">
      <c r="A860" s="2"/>
      <c r="B860" s="2"/>
      <c r="C860" s="2"/>
      <c r="D860" s="2"/>
      <c r="E860" s="2"/>
      <c r="F860" s="2"/>
      <c r="U860" s="2"/>
    </row>
    <row r="861" spans="1:21">
      <c r="A861" s="2"/>
      <c r="B861" s="2"/>
      <c r="C861" s="2"/>
      <c r="D861" s="2"/>
      <c r="E861" s="2"/>
      <c r="F861" s="2"/>
      <c r="U861" s="2"/>
    </row>
    <row r="862" spans="1:21">
      <c r="A862" s="2"/>
      <c r="B862" s="2"/>
      <c r="C862" s="2"/>
      <c r="D862" s="2"/>
      <c r="E862" s="2"/>
      <c r="F862" s="2"/>
      <c r="U862" s="2"/>
    </row>
    <row r="863" spans="1:21">
      <c r="A863" s="2"/>
      <c r="B863" s="2"/>
      <c r="C863" s="2"/>
      <c r="D863" s="2"/>
      <c r="E863" s="2"/>
      <c r="F863" s="2"/>
      <c r="U863" s="2"/>
    </row>
    <row r="864" spans="1:21">
      <c r="A864" s="2"/>
      <c r="B864" s="2"/>
      <c r="C864" s="2"/>
      <c r="D864" s="2"/>
      <c r="E864" s="2"/>
      <c r="F864" s="2"/>
      <c r="U864" s="2"/>
    </row>
    <row r="865" spans="1:21">
      <c r="A865" s="2"/>
      <c r="B865" s="2"/>
      <c r="C865" s="2"/>
      <c r="D865" s="2"/>
      <c r="E865" s="2"/>
      <c r="F865" s="2"/>
      <c r="U865" s="2"/>
    </row>
    <row r="866" spans="1:21">
      <c r="A866" s="2"/>
      <c r="B866" s="2"/>
      <c r="C866" s="2"/>
      <c r="D866" s="2"/>
      <c r="E866" s="2"/>
      <c r="F866" s="2"/>
      <c r="U866" s="2"/>
    </row>
    <row r="867" spans="1:21">
      <c r="A867" s="2"/>
      <c r="B867" s="2"/>
      <c r="C867" s="2"/>
      <c r="D867" s="2"/>
      <c r="E867" s="2"/>
      <c r="F867" s="2"/>
      <c r="U867" s="2"/>
    </row>
    <row r="868" spans="1:21">
      <c r="A868" s="2"/>
      <c r="B868" s="2"/>
      <c r="C868" s="2"/>
      <c r="D868" s="2"/>
      <c r="E868" s="2"/>
      <c r="F868" s="2"/>
      <c r="U868" s="2"/>
    </row>
    <row r="869" spans="1:21">
      <c r="A869" s="2"/>
      <c r="B869" s="2"/>
      <c r="C869" s="2"/>
      <c r="D869" s="2"/>
      <c r="E869" s="2"/>
      <c r="F869" s="2"/>
      <c r="U869" s="2"/>
    </row>
    <row r="870" spans="1:21">
      <c r="A870" s="2"/>
      <c r="B870" s="2"/>
      <c r="C870" s="2"/>
      <c r="D870" s="2"/>
      <c r="E870" s="2"/>
      <c r="F870" s="2"/>
      <c r="U870" s="2"/>
    </row>
    <row r="871" spans="1:21">
      <c r="A871" s="2"/>
      <c r="B871" s="2"/>
      <c r="C871" s="2"/>
      <c r="D871" s="2"/>
      <c r="E871" s="2"/>
      <c r="F871" s="2"/>
      <c r="U871" s="2"/>
    </row>
    <row r="872" spans="1:21">
      <c r="A872" s="2"/>
      <c r="B872" s="2"/>
      <c r="C872" s="2"/>
      <c r="D872" s="2"/>
      <c r="E872" s="2"/>
      <c r="F872" s="2"/>
      <c r="U872" s="2"/>
    </row>
    <row r="873" spans="1:21">
      <c r="A873" s="2"/>
      <c r="B873" s="2"/>
      <c r="C873" s="2"/>
      <c r="D873" s="2"/>
      <c r="E873" s="2"/>
      <c r="F873" s="2"/>
      <c r="U873" s="2"/>
    </row>
    <row r="874" spans="1:21">
      <c r="A874" s="2"/>
      <c r="B874" s="2"/>
      <c r="C874" s="2"/>
      <c r="D874" s="2"/>
      <c r="E874" s="2"/>
      <c r="F874" s="2"/>
      <c r="U874" s="2"/>
    </row>
    <row r="875" spans="1:21">
      <c r="A875" s="2"/>
      <c r="B875" s="2"/>
      <c r="C875" s="2"/>
      <c r="D875" s="2"/>
      <c r="E875" s="2"/>
      <c r="F875" s="2"/>
      <c r="U875" s="2"/>
    </row>
    <row r="876" spans="1:21">
      <c r="A876" s="2"/>
      <c r="B876" s="2"/>
      <c r="C876" s="2"/>
      <c r="D876" s="2"/>
      <c r="E876" s="2"/>
      <c r="F876" s="2"/>
      <c r="U876" s="2"/>
    </row>
    <row r="877" spans="1:21">
      <c r="A877" s="2"/>
      <c r="B877" s="2"/>
      <c r="C877" s="2"/>
      <c r="D877" s="2"/>
      <c r="E877" s="2"/>
      <c r="F877" s="2"/>
      <c r="U877" s="2"/>
    </row>
    <row r="878" spans="1:21">
      <c r="A878" s="2"/>
      <c r="B878" s="2"/>
      <c r="C878" s="2"/>
      <c r="D878" s="2"/>
      <c r="E878" s="2"/>
      <c r="F878" s="2"/>
      <c r="U878" s="2"/>
    </row>
    <row r="879" spans="1:21">
      <c r="A879" s="2"/>
      <c r="B879" s="2"/>
      <c r="C879" s="2"/>
      <c r="D879" s="2"/>
      <c r="E879" s="2"/>
      <c r="F879" s="2"/>
      <c r="U879" s="2"/>
    </row>
    <row r="880" spans="1:21">
      <c r="A880" s="2"/>
      <c r="B880" s="2"/>
      <c r="C880" s="2"/>
      <c r="D880" s="2"/>
      <c r="E880" s="2"/>
      <c r="F880" s="2"/>
      <c r="U880" s="2"/>
    </row>
    <row r="881" spans="1:21">
      <c r="A881" s="2"/>
      <c r="B881" s="2"/>
      <c r="C881" s="2"/>
      <c r="D881" s="2"/>
      <c r="E881" s="2"/>
      <c r="F881" s="2"/>
      <c r="U881" s="2"/>
    </row>
    <row r="882" spans="1:21">
      <c r="A882" s="2"/>
      <c r="B882" s="2"/>
      <c r="C882" s="2"/>
      <c r="D882" s="2"/>
      <c r="E882" s="2"/>
      <c r="F882" s="2"/>
      <c r="U882" s="2"/>
    </row>
    <row r="883" spans="1:21">
      <c r="A883" s="2"/>
      <c r="B883" s="2"/>
      <c r="C883" s="2"/>
      <c r="D883" s="2"/>
      <c r="E883" s="2"/>
      <c r="F883" s="2"/>
      <c r="U883" s="2"/>
    </row>
    <row r="884" spans="1:21">
      <c r="A884" s="2"/>
      <c r="B884" s="2"/>
      <c r="C884" s="2"/>
      <c r="D884" s="2"/>
      <c r="E884" s="2"/>
      <c r="F884" s="2"/>
      <c r="U884" s="2"/>
    </row>
    <row r="885" spans="1:21">
      <c r="A885" s="2"/>
      <c r="B885" s="2"/>
      <c r="C885" s="2"/>
      <c r="D885" s="2"/>
      <c r="E885" s="2"/>
      <c r="F885" s="2"/>
      <c r="U885" s="2"/>
    </row>
    <row r="886" spans="1:21">
      <c r="A886" s="2"/>
      <c r="B886" s="2"/>
      <c r="C886" s="2"/>
      <c r="D886" s="2"/>
      <c r="E886" s="2"/>
      <c r="F886" s="2"/>
      <c r="U886" s="2"/>
    </row>
    <row r="887" spans="1:21">
      <c r="A887" s="2"/>
      <c r="B887" s="2"/>
      <c r="C887" s="2"/>
      <c r="D887" s="2"/>
      <c r="E887" s="2"/>
      <c r="F887" s="2"/>
      <c r="U887" s="2"/>
    </row>
    <row r="888" spans="1:21">
      <c r="A888" s="2"/>
      <c r="B888" s="2"/>
      <c r="C888" s="2"/>
      <c r="D888" s="2"/>
      <c r="E888" s="2"/>
      <c r="F888" s="2"/>
      <c r="U888" s="2"/>
    </row>
    <row r="889" spans="1:21">
      <c r="A889" s="2"/>
      <c r="B889" s="2"/>
      <c r="C889" s="2"/>
      <c r="D889" s="2"/>
      <c r="E889" s="2"/>
      <c r="F889" s="2"/>
      <c r="U889" s="2"/>
    </row>
    <row r="890" spans="1:21">
      <c r="A890" s="2"/>
      <c r="B890" s="2"/>
      <c r="C890" s="2"/>
      <c r="D890" s="2"/>
      <c r="E890" s="2"/>
      <c r="F890" s="2"/>
      <c r="U890" s="2"/>
    </row>
    <row r="891" spans="1:21">
      <c r="A891" s="2"/>
      <c r="B891" s="2"/>
      <c r="C891" s="2"/>
      <c r="D891" s="2"/>
      <c r="E891" s="2"/>
      <c r="F891" s="2"/>
      <c r="U891" s="2"/>
    </row>
    <row r="892" spans="1:21">
      <c r="A892" s="2"/>
      <c r="B892" s="2"/>
      <c r="C892" s="2"/>
      <c r="D892" s="2"/>
      <c r="E892" s="2"/>
      <c r="F892" s="2"/>
      <c r="U892" s="2"/>
    </row>
    <row r="893" spans="1:21">
      <c r="A893" s="2"/>
      <c r="B893" s="2"/>
      <c r="C893" s="2"/>
      <c r="D893" s="2"/>
      <c r="E893" s="2"/>
      <c r="F893" s="2"/>
      <c r="U893" s="2"/>
    </row>
    <row r="894" spans="1:21">
      <c r="A894" s="2"/>
      <c r="B894" s="2"/>
      <c r="C894" s="2"/>
      <c r="D894" s="2"/>
      <c r="E894" s="2"/>
      <c r="F894" s="2"/>
      <c r="U894" s="2"/>
    </row>
    <row r="895" spans="1:21">
      <c r="A895" s="2"/>
      <c r="B895" s="2"/>
      <c r="C895" s="2"/>
      <c r="D895" s="2"/>
      <c r="E895" s="2"/>
      <c r="F895" s="2"/>
      <c r="U895" s="2"/>
    </row>
    <row r="896" spans="1:21">
      <c r="A896" s="2"/>
      <c r="B896" s="2"/>
      <c r="C896" s="2"/>
      <c r="D896" s="2"/>
      <c r="E896" s="2"/>
      <c r="F896" s="2"/>
      <c r="U896" s="2"/>
    </row>
    <row r="897" spans="1:21">
      <c r="A897" s="2"/>
      <c r="B897" s="2"/>
      <c r="C897" s="2"/>
      <c r="D897" s="2"/>
      <c r="E897" s="2"/>
      <c r="F897" s="2"/>
      <c r="U897" s="2"/>
    </row>
    <row r="898" spans="1:21">
      <c r="A898" s="2"/>
      <c r="B898" s="2"/>
      <c r="C898" s="2"/>
      <c r="D898" s="2"/>
      <c r="E898" s="2"/>
      <c r="F898" s="2"/>
      <c r="U898" s="2"/>
    </row>
    <row r="899" spans="1:21">
      <c r="A899" s="2"/>
      <c r="B899" s="2"/>
      <c r="C899" s="2"/>
      <c r="D899" s="2"/>
      <c r="E899" s="2"/>
      <c r="F899" s="2"/>
      <c r="U899" s="2"/>
    </row>
    <row r="900" spans="1:21">
      <c r="A900" s="2"/>
      <c r="B900" s="2"/>
      <c r="C900" s="2"/>
      <c r="D900" s="2"/>
      <c r="E900" s="2"/>
      <c r="F900" s="2"/>
      <c r="U900" s="2"/>
    </row>
    <row r="901" spans="1:21">
      <c r="A901" s="2"/>
      <c r="B901" s="2"/>
      <c r="C901" s="2"/>
      <c r="D901" s="2"/>
      <c r="E901" s="2"/>
      <c r="F901" s="2"/>
      <c r="U901" s="2"/>
    </row>
    <row r="902" spans="1:21">
      <c r="A902" s="2"/>
      <c r="B902" s="2"/>
      <c r="C902" s="2"/>
      <c r="D902" s="2"/>
      <c r="E902" s="2"/>
      <c r="F902" s="2"/>
      <c r="U902" s="2"/>
    </row>
    <row r="903" spans="1:21">
      <c r="A903" s="2"/>
      <c r="B903" s="2"/>
      <c r="C903" s="2"/>
      <c r="D903" s="2"/>
      <c r="E903" s="2"/>
      <c r="F903" s="2"/>
      <c r="U903" s="2"/>
    </row>
    <row r="904" spans="1:21">
      <c r="A904" s="2"/>
      <c r="B904" s="2"/>
      <c r="C904" s="2"/>
      <c r="D904" s="2"/>
      <c r="E904" s="2"/>
      <c r="F904" s="2"/>
      <c r="U904" s="2"/>
    </row>
    <row r="905" spans="1:21">
      <c r="A905" s="2"/>
      <c r="B905" s="2"/>
      <c r="C905" s="2"/>
      <c r="D905" s="2"/>
      <c r="E905" s="2"/>
      <c r="F905" s="2"/>
      <c r="U905" s="2"/>
    </row>
    <row r="906" spans="1:21">
      <c r="A906" s="2"/>
      <c r="B906" s="2"/>
      <c r="C906" s="2"/>
      <c r="D906" s="2"/>
      <c r="E906" s="2"/>
      <c r="F906" s="2"/>
      <c r="U906" s="2"/>
    </row>
    <row r="907" spans="1:21">
      <c r="A907" s="2"/>
      <c r="B907" s="2"/>
      <c r="C907" s="2"/>
      <c r="D907" s="2"/>
      <c r="E907" s="2"/>
      <c r="F907" s="2"/>
      <c r="U907" s="2"/>
    </row>
    <row r="908" spans="1:21">
      <c r="A908" s="2"/>
      <c r="B908" s="2"/>
      <c r="C908" s="2"/>
      <c r="D908" s="2"/>
      <c r="E908" s="2"/>
      <c r="F908" s="2"/>
      <c r="U908" s="2"/>
    </row>
    <row r="909" spans="1:21">
      <c r="A909" s="2"/>
      <c r="B909" s="2"/>
      <c r="C909" s="2"/>
      <c r="D909" s="2"/>
      <c r="E909" s="2"/>
      <c r="F909" s="2"/>
      <c r="U909" s="2"/>
    </row>
    <row r="910" spans="1:21">
      <c r="A910" s="2"/>
      <c r="B910" s="2"/>
      <c r="C910" s="2"/>
      <c r="D910" s="2"/>
      <c r="E910" s="2"/>
      <c r="F910" s="2"/>
      <c r="U910" s="2"/>
    </row>
    <row r="911" spans="1:21">
      <c r="A911" s="2"/>
      <c r="B911" s="2"/>
      <c r="C911" s="2"/>
      <c r="D911" s="2"/>
      <c r="E911" s="2"/>
      <c r="F911" s="2"/>
      <c r="U911" s="2"/>
    </row>
    <row r="912" spans="1:21">
      <c r="A912" s="2"/>
      <c r="B912" s="2"/>
      <c r="C912" s="2"/>
      <c r="D912" s="2"/>
      <c r="E912" s="2"/>
      <c r="F912" s="2"/>
      <c r="U912" s="2"/>
    </row>
    <row r="913" spans="1:21">
      <c r="A913" s="2"/>
      <c r="B913" s="2"/>
      <c r="C913" s="2"/>
      <c r="D913" s="2"/>
      <c r="E913" s="2"/>
      <c r="F913" s="2"/>
      <c r="U913" s="2"/>
    </row>
    <row r="914" spans="1:21">
      <c r="A914" s="2"/>
      <c r="B914" s="2"/>
      <c r="C914" s="2"/>
      <c r="D914" s="2"/>
      <c r="E914" s="2"/>
      <c r="F914" s="2"/>
      <c r="U914" s="2"/>
    </row>
    <row r="915" spans="1:21">
      <c r="A915" s="2"/>
      <c r="B915" s="2"/>
      <c r="C915" s="2"/>
      <c r="D915" s="2"/>
      <c r="E915" s="2"/>
      <c r="F915" s="2"/>
      <c r="U915" s="2"/>
    </row>
    <row r="916" spans="1:21">
      <c r="A916" s="2"/>
      <c r="B916" s="2"/>
      <c r="C916" s="2"/>
      <c r="D916" s="2"/>
      <c r="E916" s="2"/>
      <c r="F916" s="2"/>
      <c r="U916" s="2"/>
    </row>
    <row r="917" spans="1:21">
      <c r="A917" s="2"/>
      <c r="B917" s="2"/>
      <c r="C917" s="2"/>
      <c r="D917" s="2"/>
      <c r="E917" s="2"/>
      <c r="F917" s="2"/>
      <c r="U917" s="2"/>
    </row>
    <row r="918" spans="1:21">
      <c r="A918" s="2"/>
      <c r="B918" s="2"/>
      <c r="C918" s="2"/>
      <c r="D918" s="2"/>
      <c r="E918" s="2"/>
      <c r="F918" s="2"/>
      <c r="U918" s="2"/>
    </row>
    <row r="919" spans="1:21">
      <c r="A919" s="2"/>
      <c r="B919" s="2"/>
      <c r="C919" s="2"/>
      <c r="D919" s="2"/>
      <c r="E919" s="2"/>
      <c r="F919" s="2"/>
      <c r="U919" s="2"/>
    </row>
    <row r="920" spans="1:21">
      <c r="A920" s="2"/>
      <c r="B920" s="2"/>
      <c r="C920" s="2"/>
      <c r="D920" s="2"/>
      <c r="E920" s="2"/>
      <c r="F920" s="2"/>
      <c r="U920" s="2"/>
    </row>
    <row r="921" spans="1:21">
      <c r="A921" s="2"/>
      <c r="B921" s="2"/>
      <c r="C921" s="2"/>
      <c r="D921" s="2"/>
      <c r="E921" s="2"/>
      <c r="F921" s="2"/>
      <c r="U921" s="2"/>
    </row>
    <row r="922" spans="1:21">
      <c r="A922" s="2"/>
      <c r="B922" s="2"/>
      <c r="C922" s="2"/>
      <c r="D922" s="2"/>
      <c r="E922" s="2"/>
      <c r="F922" s="2"/>
      <c r="U922" s="2"/>
    </row>
    <row r="923" spans="1:21">
      <c r="A923" s="2"/>
      <c r="B923" s="2"/>
      <c r="C923" s="2"/>
      <c r="D923" s="2"/>
      <c r="E923" s="2"/>
      <c r="F923" s="2"/>
      <c r="U923" s="2"/>
    </row>
    <row r="924" spans="1:21">
      <c r="A924" s="2"/>
      <c r="B924" s="2"/>
      <c r="C924" s="2"/>
      <c r="D924" s="2"/>
      <c r="E924" s="2"/>
      <c r="F924" s="2"/>
      <c r="U924" s="2"/>
    </row>
    <row r="925" spans="1:21">
      <c r="A925" s="2"/>
      <c r="B925" s="2"/>
      <c r="C925" s="2"/>
      <c r="D925" s="2"/>
      <c r="E925" s="2"/>
      <c r="F925" s="2"/>
      <c r="U925" s="2"/>
    </row>
    <row r="926" spans="1:21">
      <c r="A926" s="2"/>
      <c r="B926" s="2"/>
      <c r="C926" s="2"/>
      <c r="D926" s="2"/>
      <c r="E926" s="2"/>
      <c r="F926" s="2"/>
      <c r="U926" s="2"/>
    </row>
    <row r="927" spans="1:21">
      <c r="A927" s="2"/>
      <c r="B927" s="2"/>
      <c r="C927" s="2"/>
      <c r="D927" s="2"/>
      <c r="E927" s="2"/>
      <c r="F927" s="2"/>
      <c r="U927" s="2"/>
    </row>
    <row r="928" spans="1:21">
      <c r="A928" s="2"/>
      <c r="B928" s="2"/>
      <c r="C928" s="2"/>
      <c r="D928" s="2"/>
      <c r="E928" s="2"/>
      <c r="F928" s="2"/>
      <c r="U928" s="2"/>
    </row>
    <row r="929" spans="1:21">
      <c r="A929" s="2"/>
      <c r="B929" s="2"/>
      <c r="C929" s="2"/>
      <c r="D929" s="2"/>
      <c r="E929" s="2"/>
      <c r="F929" s="2"/>
      <c r="U929" s="2"/>
    </row>
    <row r="930" spans="1:21">
      <c r="A930" s="2"/>
      <c r="B930" s="2"/>
      <c r="C930" s="2"/>
      <c r="D930" s="2"/>
      <c r="E930" s="2"/>
      <c r="F930" s="2"/>
      <c r="U930" s="2"/>
    </row>
    <row r="931" spans="1:21">
      <c r="A931" s="2"/>
      <c r="B931" s="2"/>
      <c r="C931" s="2"/>
      <c r="D931" s="2"/>
      <c r="E931" s="2"/>
      <c r="F931" s="2"/>
      <c r="U931" s="2"/>
    </row>
    <row r="932" spans="1:21">
      <c r="A932" s="2"/>
      <c r="B932" s="2"/>
      <c r="C932" s="2"/>
      <c r="D932" s="2"/>
      <c r="E932" s="2"/>
      <c r="F932" s="2"/>
      <c r="U932" s="2"/>
    </row>
    <row r="933" spans="1:21">
      <c r="A933" s="2"/>
      <c r="B933" s="2"/>
      <c r="C933" s="2"/>
      <c r="D933" s="2"/>
      <c r="E933" s="2"/>
      <c r="F933" s="2"/>
      <c r="U933" s="2"/>
    </row>
    <row r="934" spans="1:21">
      <c r="A934" s="2"/>
      <c r="B934" s="2"/>
      <c r="C934" s="2"/>
      <c r="D934" s="2"/>
      <c r="E934" s="2"/>
      <c r="F934" s="2"/>
      <c r="U934" s="2"/>
    </row>
    <row r="935" spans="1:21">
      <c r="A935" s="2"/>
      <c r="B935" s="2"/>
      <c r="C935" s="2"/>
      <c r="D935" s="2"/>
      <c r="E935" s="2"/>
      <c r="F935" s="2"/>
      <c r="U935" s="2"/>
    </row>
    <row r="936" spans="1:21">
      <c r="A936" s="2"/>
      <c r="B936" s="2"/>
      <c r="C936" s="2"/>
      <c r="D936" s="2"/>
      <c r="E936" s="2"/>
      <c r="F936" s="2"/>
      <c r="U936" s="2"/>
    </row>
    <row r="937" spans="1:21">
      <c r="A937" s="2"/>
      <c r="B937" s="2"/>
      <c r="C937" s="2"/>
      <c r="D937" s="2"/>
      <c r="E937" s="2"/>
      <c r="F937" s="2"/>
      <c r="U937" s="2"/>
    </row>
    <row r="938" spans="1:21">
      <c r="A938" s="2"/>
      <c r="B938" s="2"/>
      <c r="C938" s="2"/>
      <c r="D938" s="2"/>
      <c r="E938" s="2"/>
      <c r="F938" s="2"/>
      <c r="U938" s="2"/>
    </row>
    <row r="939" spans="1:21">
      <c r="A939" s="2"/>
      <c r="B939" s="2"/>
      <c r="C939" s="2"/>
      <c r="D939" s="2"/>
      <c r="E939" s="2"/>
      <c r="F939" s="2"/>
      <c r="U939" s="2"/>
    </row>
    <row r="940" spans="1:21">
      <c r="A940" s="2"/>
      <c r="B940" s="2"/>
      <c r="C940" s="2"/>
      <c r="D940" s="2"/>
      <c r="E940" s="2"/>
      <c r="F940" s="2"/>
      <c r="U940" s="2"/>
    </row>
    <row r="941" spans="1:21">
      <c r="A941" s="2"/>
      <c r="B941" s="2"/>
      <c r="C941" s="2"/>
      <c r="D941" s="2"/>
      <c r="E941" s="2"/>
      <c r="F941" s="2"/>
      <c r="U941" s="2"/>
    </row>
    <row r="942" spans="1:21">
      <c r="A942" s="2"/>
      <c r="B942" s="2"/>
      <c r="C942" s="2"/>
      <c r="D942" s="2"/>
      <c r="E942" s="2"/>
      <c r="F942" s="2"/>
      <c r="U942" s="2"/>
    </row>
    <row r="943" spans="1:21">
      <c r="A943" s="2"/>
      <c r="B943" s="2"/>
      <c r="C943" s="2"/>
      <c r="D943" s="2"/>
      <c r="E943" s="2"/>
      <c r="F943" s="2"/>
      <c r="U943" s="2"/>
    </row>
    <row r="944" spans="1:21">
      <c r="A944" s="2"/>
      <c r="B944" s="2"/>
      <c r="C944" s="2"/>
      <c r="D944" s="2"/>
      <c r="E944" s="2"/>
      <c r="F944" s="2"/>
      <c r="U944" s="2"/>
    </row>
    <row r="945" spans="1:21">
      <c r="A945" s="2"/>
      <c r="B945" s="2"/>
      <c r="C945" s="2"/>
      <c r="D945" s="2"/>
      <c r="E945" s="2"/>
      <c r="F945" s="2"/>
      <c r="U945" s="2"/>
    </row>
    <row r="946" spans="1:21">
      <c r="A946" s="2"/>
      <c r="B946" s="2"/>
      <c r="C946" s="2"/>
      <c r="D946" s="2"/>
      <c r="E946" s="2"/>
      <c r="F946" s="2"/>
      <c r="U946" s="2"/>
    </row>
    <row r="947" spans="1:21">
      <c r="A947" s="2"/>
      <c r="B947" s="2"/>
      <c r="C947" s="2"/>
      <c r="D947" s="2"/>
      <c r="E947" s="2"/>
      <c r="F947" s="2"/>
      <c r="U947" s="2"/>
    </row>
    <row r="948" spans="1:21">
      <c r="A948" s="2"/>
      <c r="B948" s="2"/>
      <c r="C948" s="2"/>
      <c r="D948" s="2"/>
      <c r="E948" s="2"/>
      <c r="F948" s="2"/>
      <c r="U948" s="2"/>
    </row>
    <row r="949" spans="1:21">
      <c r="A949" s="2"/>
      <c r="B949" s="2"/>
      <c r="C949" s="2"/>
      <c r="D949" s="2"/>
      <c r="E949" s="2"/>
      <c r="F949" s="2"/>
      <c r="U949" s="2"/>
    </row>
    <row r="950" spans="1:21">
      <c r="A950" s="2"/>
      <c r="B950" s="2"/>
      <c r="C950" s="2"/>
      <c r="D950" s="2"/>
      <c r="E950" s="2"/>
      <c r="F950" s="2"/>
      <c r="U950" s="2"/>
    </row>
    <row r="951" spans="1:21">
      <c r="A951" s="2"/>
      <c r="B951" s="2"/>
      <c r="C951" s="2"/>
      <c r="D951" s="2"/>
      <c r="E951" s="2"/>
      <c r="F951" s="2"/>
      <c r="U951" s="2"/>
    </row>
    <row r="952" spans="1:21">
      <c r="A952" s="2"/>
      <c r="B952" s="2"/>
      <c r="C952" s="2"/>
      <c r="D952" s="2"/>
      <c r="E952" s="2"/>
      <c r="F952" s="2"/>
      <c r="U952" s="2"/>
    </row>
    <row r="953" spans="1:21">
      <c r="A953" s="2"/>
      <c r="B953" s="2"/>
      <c r="C953" s="2"/>
      <c r="D953" s="2"/>
      <c r="E953" s="2"/>
      <c r="F953" s="2"/>
      <c r="U953" s="2"/>
    </row>
    <row r="954" spans="1:21">
      <c r="A954" s="2"/>
      <c r="B954" s="2"/>
      <c r="C954" s="2"/>
      <c r="D954" s="2"/>
      <c r="E954" s="2"/>
      <c r="F954" s="2"/>
      <c r="U954" s="2"/>
    </row>
    <row r="955" spans="1:21">
      <c r="A955" s="2"/>
      <c r="B955" s="2"/>
      <c r="C955" s="2"/>
      <c r="D955" s="2"/>
      <c r="E955" s="2"/>
      <c r="F955" s="2"/>
      <c r="U955" s="2"/>
    </row>
    <row r="956" spans="1:21">
      <c r="A956" s="2"/>
      <c r="B956" s="2"/>
      <c r="C956" s="2"/>
      <c r="D956" s="2"/>
      <c r="E956" s="2"/>
      <c r="F956" s="2"/>
      <c r="U956" s="2"/>
    </row>
    <row r="957" spans="1:21">
      <c r="A957" s="2"/>
      <c r="B957" s="2"/>
      <c r="C957" s="2"/>
      <c r="D957" s="2"/>
      <c r="E957" s="2"/>
      <c r="F957" s="2"/>
      <c r="U957" s="2"/>
    </row>
    <row r="958" spans="1:21">
      <c r="A958" s="2"/>
      <c r="B958" s="2"/>
      <c r="C958" s="2"/>
      <c r="D958" s="2"/>
      <c r="E958" s="2"/>
      <c r="F958" s="2"/>
      <c r="U958" s="2"/>
    </row>
    <row r="959" spans="1:21">
      <c r="A959" s="2"/>
      <c r="B959" s="2"/>
      <c r="C959" s="2"/>
      <c r="D959" s="2"/>
      <c r="E959" s="2"/>
      <c r="F959" s="2"/>
      <c r="U959" s="2"/>
    </row>
    <row r="960" spans="1:21">
      <c r="A960" s="2"/>
      <c r="B960" s="2"/>
      <c r="C960" s="2"/>
      <c r="D960" s="2"/>
      <c r="E960" s="2"/>
      <c r="F960" s="2"/>
      <c r="U960" s="2"/>
    </row>
    <row r="961" spans="1:21">
      <c r="A961" s="2"/>
      <c r="B961" s="2"/>
      <c r="C961" s="2"/>
      <c r="D961" s="2"/>
      <c r="E961" s="2"/>
      <c r="F961" s="2"/>
      <c r="U961" s="2"/>
    </row>
    <row r="962" spans="1:21">
      <c r="A962" s="2"/>
      <c r="B962" s="2"/>
      <c r="C962" s="2"/>
      <c r="D962" s="2"/>
      <c r="E962" s="2"/>
      <c r="F962" s="2"/>
      <c r="U962" s="2"/>
    </row>
    <row r="963" spans="1:21">
      <c r="A963" s="2"/>
      <c r="B963" s="2"/>
      <c r="C963" s="2"/>
      <c r="D963" s="2"/>
      <c r="E963" s="2"/>
      <c r="F963" s="2"/>
      <c r="U963" s="2"/>
    </row>
    <row r="964" spans="1:21">
      <c r="A964" s="2"/>
      <c r="B964" s="2"/>
      <c r="C964" s="2"/>
      <c r="D964" s="2"/>
      <c r="E964" s="2"/>
      <c r="F964" s="2"/>
      <c r="U964" s="2"/>
    </row>
    <row r="965" spans="1:21">
      <c r="A965" s="2"/>
      <c r="B965" s="2"/>
      <c r="C965" s="2"/>
      <c r="D965" s="2"/>
      <c r="E965" s="2"/>
      <c r="F965" s="2"/>
      <c r="U965" s="2"/>
    </row>
    <row r="966" spans="1:21">
      <c r="A966" s="2"/>
      <c r="B966" s="2"/>
      <c r="C966" s="2"/>
      <c r="D966" s="2"/>
      <c r="E966" s="2"/>
      <c r="F966" s="2"/>
      <c r="U966" s="2"/>
    </row>
    <row r="967" spans="1:21">
      <c r="A967" s="2"/>
      <c r="B967" s="2"/>
      <c r="C967" s="2"/>
      <c r="D967" s="2"/>
      <c r="E967" s="2"/>
      <c r="F967" s="2"/>
      <c r="U967" s="2"/>
    </row>
    <row r="968" spans="1:21">
      <c r="A968" s="2"/>
      <c r="B968" s="2"/>
      <c r="C968" s="2"/>
      <c r="D968" s="2"/>
      <c r="E968" s="2"/>
      <c r="F968" s="2"/>
      <c r="U968" s="2"/>
    </row>
    <row r="969" spans="1:21">
      <c r="A969" s="2"/>
      <c r="B969" s="2"/>
      <c r="C969" s="2"/>
      <c r="D969" s="2"/>
      <c r="E969" s="2"/>
      <c r="F969" s="2"/>
      <c r="U969" s="2"/>
    </row>
    <row r="970" spans="1:21">
      <c r="A970" s="2"/>
      <c r="B970" s="2"/>
      <c r="C970" s="2"/>
      <c r="D970" s="2"/>
      <c r="E970" s="2"/>
      <c r="F970" s="2"/>
      <c r="U970" s="2"/>
    </row>
    <row r="971" spans="1:21">
      <c r="A971" s="2"/>
      <c r="B971" s="2"/>
      <c r="C971" s="2"/>
      <c r="D971" s="2"/>
      <c r="E971" s="2"/>
      <c r="F971" s="2"/>
      <c r="U971" s="2"/>
    </row>
    <row r="972" spans="1:21">
      <c r="A972" s="2"/>
      <c r="B972" s="2"/>
      <c r="C972" s="2"/>
      <c r="D972" s="2"/>
      <c r="E972" s="2"/>
      <c r="F972" s="2"/>
      <c r="U972" s="2"/>
    </row>
    <row r="973" spans="1:21">
      <c r="A973" s="2"/>
      <c r="B973" s="2"/>
      <c r="C973" s="2"/>
      <c r="D973" s="2"/>
      <c r="E973" s="2"/>
      <c r="F973" s="2"/>
      <c r="U973" s="2"/>
    </row>
    <row r="974" spans="1:21">
      <c r="A974" s="2"/>
      <c r="B974" s="2"/>
      <c r="C974" s="2"/>
      <c r="D974" s="2"/>
      <c r="E974" s="2"/>
      <c r="F974" s="2"/>
      <c r="U974" s="2"/>
    </row>
    <row r="975" spans="1:21">
      <c r="A975" s="2"/>
      <c r="B975" s="2"/>
      <c r="C975" s="2"/>
      <c r="D975" s="2"/>
      <c r="E975" s="2"/>
      <c r="F975" s="2"/>
      <c r="U975" s="2"/>
    </row>
    <row r="976" spans="1:21">
      <c r="A976" s="2"/>
      <c r="B976" s="2"/>
      <c r="C976" s="2"/>
      <c r="D976" s="2"/>
      <c r="E976" s="2"/>
      <c r="F976" s="2"/>
      <c r="U976" s="2"/>
    </row>
    <row r="977" spans="1:21">
      <c r="A977" s="2"/>
      <c r="B977" s="2"/>
      <c r="C977" s="2"/>
      <c r="D977" s="2"/>
      <c r="E977" s="2"/>
      <c r="F977" s="2"/>
      <c r="U977" s="2"/>
    </row>
    <row r="978" spans="1:21">
      <c r="A978" s="2"/>
      <c r="B978" s="2"/>
      <c r="C978" s="2"/>
      <c r="D978" s="2"/>
      <c r="E978" s="2"/>
      <c r="F978" s="2"/>
      <c r="U978" s="2"/>
    </row>
    <row r="979" spans="1:21">
      <c r="A979" s="2"/>
      <c r="B979" s="2"/>
      <c r="C979" s="2"/>
      <c r="D979" s="2"/>
      <c r="E979" s="2"/>
      <c r="F979" s="2"/>
      <c r="U979" s="2"/>
    </row>
    <row r="980" spans="1:21">
      <c r="A980" s="2"/>
      <c r="B980" s="2"/>
      <c r="C980" s="2"/>
      <c r="D980" s="2"/>
      <c r="E980" s="2"/>
      <c r="F980" s="2"/>
      <c r="U980" s="2"/>
    </row>
    <row r="981" spans="1:21">
      <c r="A981" s="2"/>
      <c r="B981" s="2"/>
      <c r="C981" s="2"/>
      <c r="D981" s="2"/>
      <c r="E981" s="2"/>
      <c r="F981" s="2"/>
      <c r="U981" s="2"/>
    </row>
    <row r="982" spans="1:21">
      <c r="A982" s="2"/>
      <c r="B982" s="2"/>
      <c r="C982" s="2"/>
      <c r="D982" s="2"/>
      <c r="E982" s="2"/>
      <c r="F982" s="2"/>
      <c r="U982" s="2"/>
    </row>
    <row r="983" spans="1:21">
      <c r="A983" s="2"/>
      <c r="B983" s="2"/>
      <c r="C983" s="2"/>
      <c r="D983" s="2"/>
      <c r="E983" s="2"/>
      <c r="F983" s="2"/>
      <c r="U983" s="2"/>
    </row>
    <row r="984" spans="1:21">
      <c r="A984" s="2"/>
      <c r="B984" s="2"/>
      <c r="C984" s="2"/>
      <c r="D984" s="2"/>
      <c r="E984" s="2"/>
      <c r="F984" s="2"/>
      <c r="U984" s="2"/>
    </row>
    <row r="985" spans="1:21">
      <c r="A985" s="2"/>
      <c r="B985" s="2"/>
      <c r="C985" s="2"/>
      <c r="D985" s="2"/>
      <c r="E985" s="2"/>
      <c r="F985" s="2"/>
      <c r="U985" s="2"/>
    </row>
    <row r="986" spans="1:21">
      <c r="A986" s="2"/>
      <c r="B986" s="2"/>
      <c r="C986" s="2"/>
      <c r="D986" s="2"/>
      <c r="E986" s="2"/>
      <c r="F986" s="2"/>
      <c r="U986" s="2"/>
    </row>
    <row r="987" spans="1:21">
      <c r="A987" s="2"/>
      <c r="B987" s="2"/>
      <c r="C987" s="2"/>
      <c r="D987" s="2"/>
      <c r="E987" s="2"/>
      <c r="F987" s="2"/>
      <c r="U987" s="2"/>
    </row>
    <row r="988" spans="1:21">
      <c r="A988" s="2"/>
      <c r="B988" s="2"/>
      <c r="C988" s="2"/>
      <c r="D988" s="2"/>
      <c r="E988" s="2"/>
      <c r="F988" s="2"/>
      <c r="U988" s="2"/>
    </row>
    <row r="989" spans="1:21">
      <c r="A989" s="2"/>
      <c r="B989" s="2"/>
      <c r="C989" s="2"/>
      <c r="D989" s="2"/>
      <c r="E989" s="2"/>
      <c r="F989" s="2"/>
      <c r="U989" s="2"/>
    </row>
    <row r="990" spans="1:21">
      <c r="A990" s="2"/>
      <c r="B990" s="2"/>
      <c r="C990" s="2"/>
      <c r="D990" s="2"/>
      <c r="E990" s="2"/>
      <c r="F990" s="2"/>
      <c r="U990" s="2"/>
    </row>
    <row r="991" spans="1:21">
      <c r="A991" s="2"/>
      <c r="B991" s="2"/>
      <c r="C991" s="2"/>
      <c r="D991" s="2"/>
      <c r="E991" s="2"/>
      <c r="F991" s="2"/>
      <c r="U991" s="2"/>
    </row>
    <row r="992" spans="1:21">
      <c r="A992" s="2"/>
      <c r="B992" s="2"/>
      <c r="C992" s="2"/>
      <c r="D992" s="2"/>
      <c r="E992" s="2"/>
      <c r="F992" s="2"/>
      <c r="U992" s="2"/>
    </row>
    <row r="993" spans="1:21">
      <c r="A993" s="2"/>
      <c r="B993" s="2"/>
      <c r="C993" s="2"/>
      <c r="D993" s="2"/>
      <c r="E993" s="2"/>
      <c r="F993" s="2"/>
      <c r="U993" s="2"/>
    </row>
    <row r="994" spans="1:21">
      <c r="A994" s="2"/>
      <c r="B994" s="2"/>
      <c r="C994" s="2"/>
      <c r="D994" s="2"/>
      <c r="E994" s="2"/>
      <c r="F994" s="2"/>
      <c r="U994" s="2"/>
    </row>
    <row r="995" spans="1:21">
      <c r="A995" s="2"/>
      <c r="B995" s="2"/>
      <c r="C995" s="2"/>
      <c r="D995" s="2"/>
      <c r="E995" s="2"/>
      <c r="F995" s="2"/>
      <c r="U995" s="2"/>
    </row>
    <row r="996" spans="1:21">
      <c r="A996" s="2"/>
      <c r="B996" s="2"/>
      <c r="C996" s="2"/>
      <c r="D996" s="2"/>
      <c r="E996" s="2"/>
      <c r="F996" s="2"/>
      <c r="U996" s="2"/>
    </row>
    <row r="997" spans="1:21">
      <c r="A997" s="2"/>
      <c r="B997" s="2"/>
      <c r="C997" s="2"/>
      <c r="D997" s="2"/>
      <c r="E997" s="2"/>
      <c r="F997" s="2"/>
      <c r="U997" s="2"/>
    </row>
    <row r="998" spans="1:21">
      <c r="A998" s="2"/>
      <c r="B998" s="2"/>
      <c r="C998" s="2"/>
      <c r="D998" s="2"/>
      <c r="E998" s="2"/>
      <c r="F998" s="2"/>
      <c r="U998" s="2"/>
    </row>
    <row r="999" spans="1:21">
      <c r="A999" s="2"/>
      <c r="B999" s="2"/>
      <c r="C999" s="2"/>
      <c r="D999" s="2"/>
      <c r="E999" s="2"/>
      <c r="F999" s="2"/>
      <c r="U999" s="2"/>
    </row>
    <row r="1000" spans="1:21">
      <c r="A1000" s="2"/>
      <c r="B1000" s="2"/>
      <c r="C1000" s="2"/>
      <c r="D1000" s="2"/>
      <c r="E1000" s="2"/>
      <c r="F1000" s="2"/>
      <c r="U1000" s="2"/>
    </row>
    <row r="1001" spans="1:21">
      <c r="A1001" s="2"/>
      <c r="B1001" s="2"/>
      <c r="C1001" s="2"/>
      <c r="D1001" s="2"/>
      <c r="E1001" s="2"/>
      <c r="F1001" s="2"/>
      <c r="U1001" s="2"/>
    </row>
    <row r="1002" spans="1:21">
      <c r="A1002" s="2"/>
      <c r="B1002" s="2"/>
      <c r="C1002" s="2"/>
      <c r="D1002" s="2"/>
      <c r="E1002" s="2"/>
      <c r="F1002" s="2"/>
      <c r="U1002" s="2"/>
    </row>
    <row r="1003" spans="1:21">
      <c r="A1003" s="2"/>
      <c r="B1003" s="2"/>
      <c r="C1003" s="2"/>
      <c r="D1003" s="2"/>
      <c r="E1003" s="2"/>
      <c r="F1003" s="2"/>
      <c r="U1003" s="2"/>
    </row>
    <row r="1004" spans="1:21">
      <c r="A1004" s="2"/>
      <c r="B1004" s="2"/>
      <c r="C1004" s="2"/>
      <c r="D1004" s="2"/>
      <c r="E1004" s="2"/>
      <c r="F1004" s="2"/>
      <c r="U1004" s="2"/>
    </row>
    <row r="1005" spans="1:21">
      <c r="A1005" s="2"/>
      <c r="B1005" s="2"/>
      <c r="C1005" s="2"/>
      <c r="D1005" s="2"/>
      <c r="E1005" s="2"/>
      <c r="F1005" s="2"/>
      <c r="U1005" s="2"/>
    </row>
    <row r="1006" spans="1:21">
      <c r="A1006" s="2"/>
      <c r="B1006" s="2"/>
      <c r="C1006" s="2"/>
      <c r="D1006" s="2"/>
      <c r="E1006" s="2"/>
      <c r="F1006" s="2"/>
      <c r="U1006" s="2"/>
    </row>
    <row r="1007" spans="1:21">
      <c r="A1007" s="2"/>
      <c r="B1007" s="2"/>
      <c r="C1007" s="2"/>
      <c r="D1007" s="2"/>
      <c r="E1007" s="2"/>
      <c r="F1007" s="2"/>
      <c r="U1007" s="2"/>
    </row>
    <row r="1008" spans="1:21">
      <c r="A1008" s="2"/>
      <c r="B1008" s="2"/>
      <c r="C1008" s="2"/>
      <c r="D1008" s="2"/>
      <c r="E1008" s="2"/>
      <c r="F1008" s="2"/>
      <c r="U1008" s="2"/>
    </row>
    <row r="1009" spans="1:21">
      <c r="A1009" s="2"/>
      <c r="B1009" s="2"/>
      <c r="C1009" s="2"/>
      <c r="D1009" s="2"/>
      <c r="E1009" s="2"/>
      <c r="F1009" s="2"/>
      <c r="U1009" s="2"/>
    </row>
    <row r="1010" spans="1:21">
      <c r="A1010" s="2"/>
      <c r="B1010" s="2"/>
      <c r="C1010" s="2"/>
      <c r="D1010" s="2"/>
      <c r="E1010" s="2"/>
      <c r="F1010" s="2"/>
      <c r="U1010" s="2"/>
    </row>
    <row r="1011" spans="1:21">
      <c r="A1011" s="2"/>
      <c r="B1011" s="2"/>
      <c r="C1011" s="2"/>
      <c r="D1011" s="2"/>
      <c r="E1011" s="2"/>
      <c r="F1011" s="2"/>
      <c r="U1011" s="2"/>
    </row>
    <row r="1012" spans="1:21">
      <c r="A1012" s="2"/>
      <c r="B1012" s="2"/>
      <c r="C1012" s="2"/>
      <c r="D1012" s="2"/>
      <c r="E1012" s="2"/>
      <c r="F1012" s="2"/>
      <c r="U1012" s="2"/>
    </row>
    <row r="1013" spans="1:21">
      <c r="A1013" s="2"/>
      <c r="B1013" s="2"/>
      <c r="C1013" s="2"/>
      <c r="D1013" s="2"/>
      <c r="E1013" s="2"/>
      <c r="F1013" s="2"/>
      <c r="U1013" s="2"/>
    </row>
    <row r="1014" spans="1:21">
      <c r="A1014" s="2"/>
      <c r="B1014" s="2"/>
      <c r="C1014" s="2"/>
      <c r="D1014" s="2"/>
      <c r="E1014" s="2"/>
      <c r="F1014" s="2"/>
      <c r="U1014" s="2"/>
    </row>
    <row r="1015" spans="1:21">
      <c r="A1015" s="2"/>
      <c r="B1015" s="2"/>
      <c r="C1015" s="2"/>
      <c r="D1015" s="2"/>
      <c r="E1015" s="2"/>
      <c r="F1015" s="2"/>
      <c r="U1015" s="2"/>
    </row>
    <row r="1016" spans="1:21">
      <c r="A1016" s="2"/>
      <c r="B1016" s="2"/>
      <c r="C1016" s="2"/>
      <c r="D1016" s="2"/>
      <c r="E1016" s="2"/>
      <c r="F1016" s="2"/>
      <c r="U1016" s="2"/>
    </row>
    <row r="1017" spans="1:21">
      <c r="A1017" s="2"/>
      <c r="B1017" s="2"/>
      <c r="C1017" s="2"/>
      <c r="D1017" s="2"/>
      <c r="E1017" s="2"/>
      <c r="F1017" s="2"/>
      <c r="U1017" s="2"/>
    </row>
    <row r="1018" spans="1:21">
      <c r="A1018" s="2"/>
      <c r="B1018" s="2"/>
      <c r="C1018" s="2"/>
      <c r="D1018" s="2"/>
      <c r="E1018" s="2"/>
      <c r="F1018" s="2"/>
      <c r="U1018" s="2"/>
    </row>
    <row r="1019" spans="1:21">
      <c r="A1019" s="2"/>
      <c r="B1019" s="2"/>
      <c r="C1019" s="2"/>
      <c r="D1019" s="2"/>
      <c r="E1019" s="2"/>
      <c r="F1019" s="2"/>
      <c r="U1019" s="2"/>
    </row>
    <row r="1020" spans="1:21">
      <c r="A1020" s="2"/>
      <c r="B1020" s="2"/>
      <c r="C1020" s="2"/>
      <c r="D1020" s="2"/>
      <c r="E1020" s="2"/>
      <c r="F1020" s="2"/>
      <c r="U1020" s="2"/>
    </row>
    <row r="1021" spans="1:21">
      <c r="A1021" s="2"/>
      <c r="B1021" s="2"/>
      <c r="C1021" s="2"/>
      <c r="D1021" s="2"/>
      <c r="E1021" s="2"/>
      <c r="F1021" s="2"/>
      <c r="U1021" s="2"/>
    </row>
    <row r="1022" spans="1:21">
      <c r="A1022" s="2"/>
      <c r="B1022" s="2"/>
      <c r="C1022" s="2"/>
      <c r="D1022" s="2"/>
      <c r="E1022" s="2"/>
      <c r="F1022" s="2"/>
      <c r="U1022" s="2"/>
    </row>
    <row r="1023" spans="1:21">
      <c r="A1023" s="2"/>
      <c r="B1023" s="2"/>
      <c r="C1023" s="2"/>
      <c r="D1023" s="2"/>
      <c r="E1023" s="2"/>
      <c r="F1023" s="2"/>
      <c r="U1023" s="2"/>
    </row>
    <row r="1024" spans="1:21">
      <c r="A1024" s="2"/>
      <c r="B1024" s="2"/>
      <c r="C1024" s="2"/>
      <c r="D1024" s="2"/>
      <c r="E1024" s="2"/>
      <c r="F1024" s="2"/>
      <c r="U1024" s="2"/>
    </row>
    <row r="1025" spans="1:21">
      <c r="A1025" s="2"/>
      <c r="B1025" s="2"/>
      <c r="C1025" s="2"/>
      <c r="D1025" s="2"/>
      <c r="E1025" s="2"/>
      <c r="F1025" s="2"/>
      <c r="U1025" s="2"/>
    </row>
    <row r="1026" spans="1:21">
      <c r="A1026" s="2"/>
      <c r="B1026" s="2"/>
      <c r="C1026" s="2"/>
      <c r="D1026" s="2"/>
      <c r="E1026" s="2"/>
      <c r="F1026" s="2"/>
      <c r="U1026" s="2"/>
    </row>
    <row r="1027" spans="1:21">
      <c r="A1027" s="2"/>
      <c r="B1027" s="2"/>
      <c r="C1027" s="2"/>
      <c r="D1027" s="2"/>
      <c r="E1027" s="2"/>
      <c r="F1027" s="2"/>
      <c r="U1027" s="2"/>
    </row>
    <row r="1028" spans="1:21">
      <c r="A1028" s="2"/>
      <c r="B1028" s="2"/>
      <c r="C1028" s="2"/>
      <c r="D1028" s="2"/>
      <c r="E1028" s="2"/>
      <c r="F1028" s="2"/>
      <c r="U1028" s="2"/>
    </row>
    <row r="1029" spans="1:21">
      <c r="A1029" s="2"/>
      <c r="B1029" s="2"/>
      <c r="C1029" s="2"/>
      <c r="D1029" s="2"/>
      <c r="E1029" s="2"/>
      <c r="F1029" s="2"/>
      <c r="U1029" s="2"/>
    </row>
    <row r="1030" spans="1:21">
      <c r="A1030" s="2"/>
      <c r="B1030" s="2"/>
      <c r="C1030" s="2"/>
      <c r="D1030" s="2"/>
      <c r="E1030" s="2"/>
      <c r="F1030" s="2"/>
      <c r="U1030" s="2"/>
    </row>
    <row r="1031" spans="1:21">
      <c r="A1031" s="2"/>
      <c r="B1031" s="2"/>
      <c r="C1031" s="2"/>
      <c r="D1031" s="2"/>
      <c r="E1031" s="2"/>
      <c r="F1031" s="2"/>
      <c r="U1031" s="2"/>
    </row>
    <row r="1032" spans="1:21">
      <c r="A1032" s="2"/>
      <c r="B1032" s="2"/>
      <c r="C1032" s="2"/>
      <c r="D1032" s="2"/>
      <c r="E1032" s="2"/>
      <c r="F1032" s="2"/>
      <c r="U1032" s="2"/>
    </row>
    <row r="1033" spans="1:21">
      <c r="A1033" s="2"/>
      <c r="B1033" s="2"/>
      <c r="C1033" s="2"/>
      <c r="D1033" s="2"/>
      <c r="E1033" s="2"/>
      <c r="F1033" s="2"/>
      <c r="U1033" s="2"/>
    </row>
    <row r="1034" spans="1:21">
      <c r="A1034" s="2"/>
      <c r="B1034" s="2"/>
      <c r="C1034" s="2"/>
      <c r="D1034" s="2"/>
      <c r="E1034" s="2"/>
      <c r="F1034" s="2"/>
      <c r="U1034" s="2"/>
    </row>
    <row r="1035" spans="1:21">
      <c r="A1035" s="2"/>
      <c r="B1035" s="2"/>
      <c r="C1035" s="2"/>
      <c r="D1035" s="2"/>
      <c r="E1035" s="2"/>
      <c r="F1035" s="2"/>
      <c r="U1035" s="2"/>
    </row>
    <row r="1036" spans="1:21">
      <c r="A1036" s="2"/>
      <c r="B1036" s="2"/>
      <c r="C1036" s="2"/>
      <c r="D1036" s="2"/>
      <c r="E1036" s="2"/>
      <c r="F1036" s="2"/>
      <c r="U1036" s="2"/>
    </row>
    <row r="1037" spans="1:21">
      <c r="A1037" s="2"/>
      <c r="B1037" s="2"/>
      <c r="C1037" s="2"/>
      <c r="D1037" s="2"/>
      <c r="E1037" s="2"/>
      <c r="F1037" s="2"/>
      <c r="U1037" s="2"/>
    </row>
    <row r="1038" spans="1:21">
      <c r="A1038" s="2"/>
      <c r="B1038" s="2"/>
      <c r="C1038" s="2"/>
      <c r="D1038" s="2"/>
      <c r="E1038" s="2"/>
      <c r="F1038" s="2"/>
      <c r="U1038" s="2"/>
    </row>
    <row r="1039" spans="1:21">
      <c r="A1039" s="2"/>
      <c r="B1039" s="2"/>
      <c r="C1039" s="2"/>
      <c r="D1039" s="2"/>
      <c r="E1039" s="2"/>
      <c r="F1039" s="2"/>
      <c r="U1039" s="2"/>
    </row>
    <row r="1040" spans="1:21">
      <c r="A1040" s="2"/>
      <c r="B1040" s="2"/>
      <c r="C1040" s="2"/>
      <c r="D1040" s="2"/>
      <c r="E1040" s="2"/>
      <c r="F1040" s="2"/>
      <c r="U1040" s="2"/>
    </row>
    <row r="1041" spans="1:21">
      <c r="A1041" s="2"/>
      <c r="B1041" s="2"/>
      <c r="C1041" s="2"/>
      <c r="D1041" s="2"/>
      <c r="E1041" s="2"/>
      <c r="F1041" s="2"/>
      <c r="U1041" s="2"/>
    </row>
    <row r="1042" spans="1:21">
      <c r="A1042" s="2"/>
      <c r="B1042" s="2"/>
      <c r="C1042" s="2"/>
      <c r="D1042" s="2"/>
      <c r="E1042" s="2"/>
      <c r="F1042" s="2"/>
      <c r="U1042" s="2"/>
    </row>
    <row r="1043" spans="1:21">
      <c r="A1043" s="2"/>
      <c r="B1043" s="2"/>
      <c r="C1043" s="2"/>
      <c r="D1043" s="2"/>
      <c r="E1043" s="2"/>
      <c r="F1043" s="2"/>
      <c r="U1043" s="2"/>
    </row>
    <row r="1044" spans="1:21">
      <c r="A1044" s="2"/>
      <c r="B1044" s="2"/>
      <c r="C1044" s="2"/>
      <c r="D1044" s="2"/>
      <c r="E1044" s="2"/>
      <c r="F1044" s="2"/>
      <c r="U1044" s="2"/>
    </row>
    <row r="1045" spans="1:21">
      <c r="A1045" s="2"/>
      <c r="B1045" s="2"/>
      <c r="C1045" s="2"/>
      <c r="D1045" s="2"/>
      <c r="E1045" s="2"/>
      <c r="F1045" s="2"/>
      <c r="U1045" s="2"/>
    </row>
    <row r="1046" spans="1:21">
      <c r="A1046" s="2"/>
      <c r="B1046" s="2"/>
      <c r="C1046" s="2"/>
      <c r="D1046" s="2"/>
      <c r="E1046" s="2"/>
      <c r="F1046" s="2"/>
      <c r="U1046" s="2"/>
    </row>
    <row r="1047" spans="1:21">
      <c r="A1047" s="2"/>
      <c r="B1047" s="2"/>
      <c r="C1047" s="2"/>
      <c r="D1047" s="2"/>
      <c r="E1047" s="2"/>
      <c r="F1047" s="2"/>
      <c r="U1047" s="2"/>
    </row>
    <row r="1048" spans="1:21">
      <c r="A1048" s="2"/>
      <c r="B1048" s="2"/>
      <c r="C1048" s="2"/>
      <c r="D1048" s="2"/>
      <c r="E1048" s="2"/>
      <c r="F1048" s="2"/>
      <c r="U1048" s="2"/>
    </row>
    <row r="1049" spans="1:21">
      <c r="A1049" s="2"/>
      <c r="B1049" s="2"/>
      <c r="C1049" s="2"/>
      <c r="D1049" s="2"/>
      <c r="E1049" s="2"/>
      <c r="F1049" s="2"/>
      <c r="U1049" s="2"/>
    </row>
    <row r="1050" spans="1:21">
      <c r="A1050" s="2"/>
      <c r="B1050" s="2"/>
      <c r="C1050" s="2"/>
      <c r="D1050" s="2"/>
      <c r="E1050" s="2"/>
      <c r="F1050" s="2"/>
      <c r="U1050" s="2"/>
    </row>
    <row r="1051" spans="1:21">
      <c r="A1051" s="2"/>
      <c r="B1051" s="2"/>
      <c r="C1051" s="2"/>
      <c r="D1051" s="2"/>
      <c r="E1051" s="2"/>
      <c r="F1051" s="2"/>
      <c r="U1051" s="2"/>
    </row>
    <row r="1052" spans="1:21">
      <c r="A1052" s="2"/>
      <c r="B1052" s="2"/>
      <c r="C1052" s="2"/>
      <c r="D1052" s="2"/>
      <c r="E1052" s="2"/>
      <c r="F1052" s="2"/>
      <c r="U1052" s="2"/>
    </row>
    <row r="1053" spans="1:21">
      <c r="A1053" s="2"/>
      <c r="B1053" s="2"/>
      <c r="C1053" s="2"/>
      <c r="D1053" s="2"/>
      <c r="E1053" s="2"/>
      <c r="F1053" s="2"/>
      <c r="U1053" s="2"/>
    </row>
    <row r="1054" spans="1:21">
      <c r="A1054" s="2"/>
      <c r="B1054" s="2"/>
      <c r="C1054" s="2"/>
      <c r="D1054" s="2"/>
      <c r="E1054" s="2"/>
      <c r="F1054" s="2"/>
      <c r="U1054" s="2"/>
    </row>
    <row r="1055" spans="1:21">
      <c r="A1055" s="2"/>
      <c r="B1055" s="2"/>
      <c r="C1055" s="2"/>
      <c r="D1055" s="2"/>
      <c r="E1055" s="2"/>
      <c r="F1055" s="2"/>
      <c r="U1055" s="2"/>
    </row>
    <row r="1056" spans="1:21">
      <c r="A1056" s="2"/>
      <c r="B1056" s="2"/>
      <c r="C1056" s="2"/>
      <c r="D1056" s="2"/>
      <c r="E1056" s="2"/>
      <c r="F1056" s="2"/>
      <c r="U1056" s="2"/>
    </row>
    <row r="1057" spans="1:21">
      <c r="A1057" s="2"/>
      <c r="B1057" s="2"/>
      <c r="C1057" s="2"/>
      <c r="D1057" s="2"/>
      <c r="E1057" s="2"/>
      <c r="F1057" s="2"/>
      <c r="U1057" s="2"/>
    </row>
    <row r="1058" spans="1:21">
      <c r="A1058" s="2"/>
      <c r="B1058" s="2"/>
      <c r="C1058" s="2"/>
      <c r="D1058" s="2"/>
      <c r="E1058" s="2"/>
      <c r="F1058" s="2"/>
      <c r="U1058" s="2"/>
    </row>
    <row r="1059" spans="1:21">
      <c r="A1059" s="2"/>
      <c r="B1059" s="2"/>
      <c r="C1059" s="2"/>
      <c r="D1059" s="2"/>
      <c r="E1059" s="2"/>
      <c r="F1059" s="2"/>
      <c r="U1059" s="2"/>
    </row>
    <row r="1060" spans="1:21">
      <c r="A1060" s="2"/>
      <c r="B1060" s="2"/>
      <c r="C1060" s="2"/>
      <c r="D1060" s="2"/>
      <c r="E1060" s="2"/>
      <c r="F1060" s="2"/>
      <c r="U1060" s="2"/>
    </row>
    <row r="1061" spans="1:21">
      <c r="A1061" s="2"/>
      <c r="B1061" s="2"/>
      <c r="C1061" s="2"/>
      <c r="D1061" s="2"/>
      <c r="E1061" s="2"/>
      <c r="F1061" s="2"/>
      <c r="U1061" s="2"/>
    </row>
    <row r="1062" spans="1:21">
      <c r="A1062" s="2"/>
      <c r="B1062" s="2"/>
      <c r="C1062" s="2"/>
      <c r="D1062" s="2"/>
      <c r="E1062" s="2"/>
      <c r="F1062" s="2"/>
      <c r="U1062" s="2"/>
    </row>
    <row r="1063" spans="1:21">
      <c r="A1063" s="2"/>
      <c r="B1063" s="2"/>
      <c r="C1063" s="2"/>
      <c r="D1063" s="2"/>
      <c r="E1063" s="2"/>
      <c r="F1063" s="2"/>
      <c r="U1063" s="2"/>
    </row>
    <row r="1064" spans="1:21">
      <c r="A1064" s="2"/>
      <c r="B1064" s="2"/>
      <c r="C1064" s="2"/>
      <c r="D1064" s="2"/>
      <c r="E1064" s="2"/>
      <c r="F1064" s="2"/>
      <c r="U1064" s="2"/>
    </row>
    <row r="1065" spans="1:21">
      <c r="A1065" s="2"/>
      <c r="B1065" s="2"/>
      <c r="C1065" s="2"/>
      <c r="D1065" s="2"/>
      <c r="E1065" s="2"/>
      <c r="F1065" s="2"/>
      <c r="U1065" s="2"/>
    </row>
    <row r="1066" spans="1:21">
      <c r="A1066" s="2"/>
      <c r="B1066" s="2"/>
      <c r="C1066" s="2"/>
      <c r="D1066" s="2"/>
      <c r="E1066" s="2"/>
      <c r="F1066" s="2"/>
      <c r="U1066" s="2"/>
    </row>
    <row r="1067" spans="1:21">
      <c r="A1067" s="2"/>
      <c r="B1067" s="2"/>
      <c r="C1067" s="2"/>
      <c r="D1067" s="2"/>
      <c r="E1067" s="2"/>
      <c r="F1067" s="2"/>
      <c r="U1067" s="2"/>
    </row>
    <row r="1068" spans="1:21">
      <c r="A1068" s="2"/>
      <c r="B1068" s="2"/>
      <c r="C1068" s="2"/>
      <c r="D1068" s="2"/>
      <c r="E1068" s="2"/>
      <c r="F1068" s="2"/>
      <c r="U1068" s="2"/>
    </row>
    <row r="1069" spans="1:21">
      <c r="A1069" s="2"/>
      <c r="B1069" s="2"/>
      <c r="C1069" s="2"/>
      <c r="D1069" s="2"/>
      <c r="E1069" s="2"/>
      <c r="F1069" s="2"/>
      <c r="U1069" s="2"/>
    </row>
    <row r="1070" spans="1:21">
      <c r="A1070" s="2"/>
      <c r="B1070" s="2"/>
      <c r="C1070" s="2"/>
      <c r="D1070" s="2"/>
      <c r="E1070" s="2"/>
      <c r="F1070" s="2"/>
      <c r="U1070" s="2"/>
    </row>
    <row r="1071" spans="1:21">
      <c r="A1071" s="2"/>
      <c r="B1071" s="2"/>
      <c r="C1071" s="2"/>
      <c r="D1071" s="2"/>
      <c r="E1071" s="2"/>
      <c r="F1071" s="2"/>
      <c r="U1071" s="2"/>
    </row>
    <row r="1072" spans="1:21">
      <c r="A1072" s="2"/>
      <c r="B1072" s="2"/>
      <c r="C1072" s="2"/>
      <c r="D1072" s="2"/>
      <c r="E1072" s="2"/>
      <c r="F1072" s="2"/>
      <c r="U1072" s="2"/>
    </row>
    <row r="1073" spans="1:21">
      <c r="A1073" s="2"/>
      <c r="B1073" s="2"/>
      <c r="C1073" s="2"/>
      <c r="D1073" s="2"/>
      <c r="E1073" s="2"/>
      <c r="F1073" s="2"/>
      <c r="U1073" s="2"/>
    </row>
    <row r="1074" spans="1:21">
      <c r="A1074" s="2"/>
      <c r="B1074" s="2"/>
      <c r="C1074" s="2"/>
      <c r="D1074" s="2"/>
      <c r="E1074" s="2"/>
      <c r="F1074" s="2"/>
      <c r="U1074" s="2"/>
    </row>
    <row r="1075" spans="1:21">
      <c r="A1075" s="2"/>
      <c r="B1075" s="2"/>
      <c r="C1075" s="2"/>
      <c r="D1075" s="2"/>
      <c r="E1075" s="2"/>
      <c r="F1075" s="2"/>
      <c r="U1075" s="2"/>
    </row>
    <row r="1076" spans="1:21">
      <c r="A1076" s="2"/>
      <c r="B1076" s="2"/>
      <c r="C1076" s="2"/>
      <c r="D1076" s="2"/>
      <c r="E1076" s="2"/>
      <c r="F1076" s="2"/>
      <c r="U1076" s="2"/>
    </row>
    <row r="1077" spans="1:21">
      <c r="A1077" s="2"/>
      <c r="B1077" s="2"/>
      <c r="C1077" s="2"/>
      <c r="D1077" s="2"/>
      <c r="E1077" s="2"/>
      <c r="F1077" s="2"/>
      <c r="U1077" s="2"/>
    </row>
    <row r="1078" spans="1:21">
      <c r="A1078" s="2"/>
      <c r="B1078" s="2"/>
      <c r="C1078" s="2"/>
      <c r="D1078" s="2"/>
      <c r="E1078" s="2"/>
      <c r="F1078" s="2"/>
      <c r="U1078" s="2"/>
    </row>
    <row r="1079" spans="1:21">
      <c r="A1079" s="2"/>
      <c r="B1079" s="2"/>
      <c r="C1079" s="2"/>
      <c r="D1079" s="2"/>
      <c r="E1079" s="2"/>
      <c r="F1079" s="2"/>
      <c r="U1079" s="2"/>
    </row>
    <row r="1080" spans="1:21">
      <c r="A1080" s="2"/>
      <c r="B1080" s="2"/>
      <c r="C1080" s="2"/>
      <c r="D1080" s="2"/>
      <c r="E1080" s="2"/>
      <c r="F1080" s="2"/>
      <c r="U1080" s="2"/>
    </row>
    <row r="1081" spans="1:21">
      <c r="A1081" s="2"/>
      <c r="B1081" s="2"/>
      <c r="C1081" s="2"/>
      <c r="D1081" s="2"/>
      <c r="E1081" s="2"/>
      <c r="F1081" s="2"/>
      <c r="U1081" s="2"/>
    </row>
    <row r="1082" spans="1:21">
      <c r="A1082" s="2"/>
      <c r="B1082" s="2"/>
      <c r="C1082" s="2"/>
      <c r="D1082" s="2"/>
      <c r="E1082" s="2"/>
      <c r="F1082" s="2"/>
      <c r="U1082" s="2"/>
    </row>
    <row r="1083" spans="1:21">
      <c r="A1083" s="2"/>
      <c r="B1083" s="2"/>
      <c r="C1083" s="2"/>
      <c r="D1083" s="2"/>
      <c r="E1083" s="2"/>
      <c r="F1083" s="2"/>
      <c r="U1083" s="2"/>
    </row>
    <row r="1084" spans="1:21">
      <c r="A1084" s="2"/>
      <c r="B1084" s="2"/>
      <c r="C1084" s="2"/>
      <c r="D1084" s="2"/>
      <c r="E1084" s="2"/>
      <c r="F1084" s="2"/>
      <c r="U1084" s="2"/>
    </row>
    <row r="1085" spans="1:21">
      <c r="A1085" s="2"/>
      <c r="B1085" s="2"/>
      <c r="C1085" s="2"/>
      <c r="D1085" s="2"/>
      <c r="E1085" s="2"/>
      <c r="F1085" s="2"/>
      <c r="U1085" s="2"/>
    </row>
    <row r="1086" spans="1:21">
      <c r="A1086" s="2"/>
      <c r="B1086" s="2"/>
      <c r="C1086" s="2"/>
      <c r="D1086" s="2"/>
      <c r="E1086" s="2"/>
      <c r="F1086" s="2"/>
      <c r="U1086" s="2"/>
    </row>
    <row r="1087" spans="1:21">
      <c r="A1087" s="2"/>
      <c r="B1087" s="2"/>
      <c r="C1087" s="2"/>
      <c r="D1087" s="2"/>
      <c r="E1087" s="2"/>
      <c r="F1087" s="2"/>
      <c r="U1087" s="2"/>
    </row>
    <row r="1088" spans="1:21">
      <c r="A1088" s="2"/>
      <c r="B1088" s="2"/>
      <c r="C1088" s="2"/>
      <c r="D1088" s="2"/>
      <c r="E1088" s="2"/>
      <c r="F1088" s="2"/>
      <c r="U1088" s="2"/>
    </row>
    <row r="1089" spans="1:21">
      <c r="A1089" s="2"/>
      <c r="B1089" s="2"/>
      <c r="C1089" s="2"/>
      <c r="D1089" s="2"/>
      <c r="E1089" s="2"/>
      <c r="F1089" s="2"/>
      <c r="U1089" s="2"/>
    </row>
    <row r="1090" spans="1:21">
      <c r="A1090" s="2"/>
      <c r="B1090" s="2"/>
      <c r="C1090" s="2"/>
      <c r="D1090" s="2"/>
      <c r="E1090" s="2"/>
      <c r="F1090" s="2"/>
      <c r="U1090" s="2"/>
    </row>
    <row r="1091" spans="1:21">
      <c r="A1091" s="2"/>
      <c r="B1091" s="2"/>
      <c r="C1091" s="2"/>
      <c r="D1091" s="2"/>
      <c r="E1091" s="2"/>
      <c r="F1091" s="2"/>
      <c r="U1091" s="2"/>
    </row>
    <row r="1092" spans="1:21">
      <c r="A1092" s="2"/>
      <c r="B1092" s="2"/>
      <c r="C1092" s="2"/>
      <c r="D1092" s="2"/>
      <c r="E1092" s="2"/>
      <c r="F1092" s="2"/>
      <c r="U1092" s="2"/>
    </row>
    <row r="1093" spans="1:21">
      <c r="A1093" s="2"/>
      <c r="B1093" s="2"/>
      <c r="C1093" s="2"/>
      <c r="D1093" s="2"/>
      <c r="E1093" s="2"/>
      <c r="F1093" s="2"/>
      <c r="U1093" s="2"/>
    </row>
    <row r="1094" spans="1:21">
      <c r="A1094" s="2"/>
      <c r="B1094" s="2"/>
      <c r="C1094" s="2"/>
      <c r="D1094" s="2"/>
      <c r="E1094" s="2"/>
      <c r="F1094" s="2"/>
      <c r="U1094" s="2"/>
    </row>
    <row r="1095" spans="1:21">
      <c r="A1095" s="2"/>
      <c r="B1095" s="2"/>
      <c r="C1095" s="2"/>
      <c r="D1095" s="2"/>
      <c r="E1095" s="2"/>
      <c r="F1095" s="2"/>
      <c r="U1095" s="2"/>
    </row>
    <row r="1096" spans="1:21">
      <c r="A1096" s="2"/>
      <c r="B1096" s="2"/>
      <c r="C1096" s="2"/>
      <c r="D1096" s="2"/>
      <c r="E1096" s="2"/>
      <c r="F1096" s="2"/>
      <c r="U1096" s="2"/>
    </row>
    <row r="1097" spans="1:21">
      <c r="A1097" s="2"/>
      <c r="B1097" s="2"/>
      <c r="C1097" s="2"/>
      <c r="D1097" s="2"/>
      <c r="E1097" s="2"/>
      <c r="F1097" s="2"/>
      <c r="U1097" s="2"/>
    </row>
    <row r="1098" spans="1:21">
      <c r="A1098" s="2"/>
      <c r="B1098" s="2"/>
      <c r="C1098" s="2"/>
      <c r="D1098" s="2"/>
      <c r="E1098" s="2"/>
      <c r="F1098" s="2"/>
      <c r="U1098" s="2"/>
    </row>
    <row r="1099" spans="1:21">
      <c r="A1099" s="2"/>
      <c r="B1099" s="2"/>
      <c r="C1099" s="2"/>
      <c r="D1099" s="2"/>
      <c r="E1099" s="2"/>
      <c r="F1099" s="2"/>
      <c r="U1099" s="2"/>
    </row>
    <row r="1100" spans="1:21">
      <c r="A1100" s="2"/>
      <c r="B1100" s="2"/>
      <c r="C1100" s="2"/>
      <c r="D1100" s="2"/>
      <c r="E1100" s="2"/>
      <c r="F1100" s="2"/>
      <c r="U1100" s="2"/>
    </row>
  </sheetData>
  <mergeCells count="29">
    <mergeCell ref="N227:S227"/>
    <mergeCell ref="N222:S222"/>
    <mergeCell ref="N223:S223"/>
    <mergeCell ref="N224:S224"/>
    <mergeCell ref="N225:S225"/>
    <mergeCell ref="N226:S226"/>
    <mergeCell ref="X11:Y11"/>
    <mergeCell ref="L218:Q218"/>
    <mergeCell ref="N219:S219"/>
    <mergeCell ref="N220:S220"/>
    <mergeCell ref="N221:S221"/>
    <mergeCell ref="A120:A121"/>
    <mergeCell ref="A151:A152"/>
    <mergeCell ref="F114:H115"/>
    <mergeCell ref="L55:L56"/>
    <mergeCell ref="M55:T56"/>
    <mergeCell ref="V8:V10"/>
    <mergeCell ref="V32:V46"/>
    <mergeCell ref="V55:V57"/>
    <mergeCell ref="V75:V83"/>
    <mergeCell ref="A54:U54"/>
    <mergeCell ref="U55:U57"/>
    <mergeCell ref="J55:J56"/>
    <mergeCell ref="A5:U5"/>
    <mergeCell ref="A7:U7"/>
    <mergeCell ref="U8:U10"/>
    <mergeCell ref="J8:J9"/>
    <mergeCell ref="L8:L9"/>
    <mergeCell ref="M8:T9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65" firstPageNumber="23" orientation="landscape" useFirstPageNumber="1" r:id="rId1"/>
  <headerFooter alignWithMargins="0">
    <oddHeader>&amp;C&amp;"Arial,Kursywa"Wieloletnia prognoza finansowa Województwa Zachodniopomorskiego na lata 2016 - 2038 
____________________________________________________________________________________________________________________</oddHeader>
    <oddFooter>&amp;C&amp;8&amp;P</oddFooter>
  </headerFooter>
  <rowBreaks count="2" manualBreakCount="2">
    <brk id="53" max="15" man="1"/>
    <brk id="93" max="1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473"/>
  <sheetViews>
    <sheetView showGridLines="0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1.25"/>
  <cols>
    <col min="1" max="1" width="2.85546875" style="2292" customWidth="1"/>
    <col min="2" max="2" width="60.42578125" style="2293" customWidth="1"/>
    <col min="3" max="3" width="10.5703125" style="2293" customWidth="1"/>
    <col min="4" max="4" width="14.42578125" style="2293" customWidth="1"/>
    <col min="5" max="5" width="10.140625" style="2293" hidden="1" customWidth="1"/>
    <col min="6" max="8" width="11.5703125" style="2293" hidden="1" customWidth="1"/>
    <col min="9" max="9" width="6" style="2293" hidden="1" customWidth="1"/>
    <col min="10" max="10" width="9.5703125" style="2293" hidden="1" customWidth="1"/>
    <col min="11" max="11" width="9.85546875" style="2293" hidden="1" customWidth="1"/>
    <col min="12" max="12" width="9.7109375" style="2293" hidden="1" customWidth="1"/>
    <col min="13" max="13" width="11.5703125" style="2293" customWidth="1"/>
    <col min="14" max="14" width="9.5703125" style="2293" hidden="1" customWidth="1"/>
    <col min="15" max="15" width="11.140625" style="2293" customWidth="1"/>
    <col min="16" max="16" width="9.28515625" style="2452" customWidth="1"/>
    <col min="17" max="17" width="9.28515625" style="2293" customWidth="1"/>
    <col min="18" max="18" width="8" style="2293" customWidth="1"/>
    <col min="19" max="19" width="7.85546875" style="2293" customWidth="1"/>
    <col min="20" max="21" width="8.7109375" style="2293" customWidth="1"/>
    <col min="22" max="23" width="7" style="2293" bestFit="1" customWidth="1"/>
    <col min="24" max="24" width="11.42578125" style="2293" customWidth="1"/>
    <col min="25" max="25" width="15.28515625" style="2451" customWidth="1"/>
    <col min="26" max="26" width="11.85546875" style="2293" customWidth="1"/>
    <col min="27" max="261" width="9.140625" style="2293"/>
    <col min="262" max="262" width="2.85546875" style="2293" customWidth="1"/>
    <col min="263" max="263" width="50.7109375" style="2293" customWidth="1"/>
    <col min="264" max="264" width="9.42578125" style="2293" customWidth="1"/>
    <col min="265" max="265" width="11.85546875" style="2293" customWidth="1"/>
    <col min="266" max="266" width="8.42578125" style="2293" bestFit="1" customWidth="1"/>
    <col min="267" max="269" width="0" style="2293" hidden="1" customWidth="1"/>
    <col min="270" max="270" width="6" style="2293" bestFit="1" customWidth="1"/>
    <col min="271" max="271" width="9.5703125" style="2293" customWidth="1"/>
    <col min="272" max="272" width="9.85546875" style="2293" customWidth="1"/>
    <col min="273" max="273" width="9.7109375" style="2293" customWidth="1"/>
    <col min="274" max="274" width="9.5703125" style="2293" customWidth="1"/>
    <col min="275" max="275" width="9.85546875" style="2293" customWidth="1"/>
    <col min="276" max="276" width="6.5703125" style="2293" customWidth="1"/>
    <col min="277" max="277" width="6" style="2293" bestFit="1" customWidth="1"/>
    <col min="278" max="278" width="6.28515625" style="2293" customWidth="1"/>
    <col min="279" max="279" width="11.7109375" style="2293" customWidth="1"/>
    <col min="280" max="280" width="0" style="2293" hidden="1" customWidth="1"/>
    <col min="281" max="281" width="14.5703125" style="2293" customWidth="1"/>
    <col min="282" max="282" width="11.85546875" style="2293" customWidth="1"/>
    <col min="283" max="517" width="9.140625" style="2293"/>
    <col min="518" max="518" width="2.85546875" style="2293" customWidth="1"/>
    <col min="519" max="519" width="50.7109375" style="2293" customWidth="1"/>
    <col min="520" max="520" width="9.42578125" style="2293" customWidth="1"/>
    <col min="521" max="521" width="11.85546875" style="2293" customWidth="1"/>
    <col min="522" max="522" width="8.42578125" style="2293" bestFit="1" customWidth="1"/>
    <col min="523" max="525" width="0" style="2293" hidden="1" customWidth="1"/>
    <col min="526" max="526" width="6" style="2293" bestFit="1" customWidth="1"/>
    <col min="527" max="527" width="9.5703125" style="2293" customWidth="1"/>
    <col min="528" max="528" width="9.85546875" style="2293" customWidth="1"/>
    <col min="529" max="529" width="9.7109375" style="2293" customWidth="1"/>
    <col min="530" max="530" width="9.5703125" style="2293" customWidth="1"/>
    <col min="531" max="531" width="9.85546875" style="2293" customWidth="1"/>
    <col min="532" max="532" width="6.5703125" style="2293" customWidth="1"/>
    <col min="533" max="533" width="6" style="2293" bestFit="1" customWidth="1"/>
    <col min="534" max="534" width="6.28515625" style="2293" customWidth="1"/>
    <col min="535" max="535" width="11.7109375" style="2293" customWidth="1"/>
    <col min="536" max="536" width="0" style="2293" hidden="1" customWidth="1"/>
    <col min="537" max="537" width="14.5703125" style="2293" customWidth="1"/>
    <col min="538" max="538" width="11.85546875" style="2293" customWidth="1"/>
    <col min="539" max="773" width="9.140625" style="2293"/>
    <col min="774" max="774" width="2.85546875" style="2293" customWidth="1"/>
    <col min="775" max="775" width="50.7109375" style="2293" customWidth="1"/>
    <col min="776" max="776" width="9.42578125" style="2293" customWidth="1"/>
    <col min="777" max="777" width="11.85546875" style="2293" customWidth="1"/>
    <col min="778" max="778" width="8.42578125" style="2293" bestFit="1" customWidth="1"/>
    <col min="779" max="781" width="0" style="2293" hidden="1" customWidth="1"/>
    <col min="782" max="782" width="6" style="2293" bestFit="1" customWidth="1"/>
    <col min="783" max="783" width="9.5703125" style="2293" customWidth="1"/>
    <col min="784" max="784" width="9.85546875" style="2293" customWidth="1"/>
    <col min="785" max="785" width="9.7109375" style="2293" customWidth="1"/>
    <col min="786" max="786" width="9.5703125" style="2293" customWidth="1"/>
    <col min="787" max="787" width="9.85546875" style="2293" customWidth="1"/>
    <col min="788" max="788" width="6.5703125" style="2293" customWidth="1"/>
    <col min="789" max="789" width="6" style="2293" bestFit="1" customWidth="1"/>
    <col min="790" max="790" width="6.28515625" style="2293" customWidth="1"/>
    <col min="791" max="791" width="11.7109375" style="2293" customWidth="1"/>
    <col min="792" max="792" width="0" style="2293" hidden="1" customWidth="1"/>
    <col min="793" max="793" width="14.5703125" style="2293" customWidth="1"/>
    <col min="794" max="794" width="11.85546875" style="2293" customWidth="1"/>
    <col min="795" max="1029" width="9.140625" style="2293"/>
    <col min="1030" max="1030" width="2.85546875" style="2293" customWidth="1"/>
    <col min="1031" max="1031" width="50.7109375" style="2293" customWidth="1"/>
    <col min="1032" max="1032" width="9.42578125" style="2293" customWidth="1"/>
    <col min="1033" max="1033" width="11.85546875" style="2293" customWidth="1"/>
    <col min="1034" max="1034" width="8.42578125" style="2293" bestFit="1" customWidth="1"/>
    <col min="1035" max="1037" width="0" style="2293" hidden="1" customWidth="1"/>
    <col min="1038" max="1038" width="6" style="2293" bestFit="1" customWidth="1"/>
    <col min="1039" max="1039" width="9.5703125" style="2293" customWidth="1"/>
    <col min="1040" max="1040" width="9.85546875" style="2293" customWidth="1"/>
    <col min="1041" max="1041" width="9.7109375" style="2293" customWidth="1"/>
    <col min="1042" max="1042" width="9.5703125" style="2293" customWidth="1"/>
    <col min="1043" max="1043" width="9.85546875" style="2293" customWidth="1"/>
    <col min="1044" max="1044" width="6.5703125" style="2293" customWidth="1"/>
    <col min="1045" max="1045" width="6" style="2293" bestFit="1" customWidth="1"/>
    <col min="1046" max="1046" width="6.28515625" style="2293" customWidth="1"/>
    <col min="1047" max="1047" width="11.7109375" style="2293" customWidth="1"/>
    <col min="1048" max="1048" width="0" style="2293" hidden="1" customWidth="1"/>
    <col min="1049" max="1049" width="14.5703125" style="2293" customWidth="1"/>
    <col min="1050" max="1050" width="11.85546875" style="2293" customWidth="1"/>
    <col min="1051" max="1285" width="9.140625" style="2293"/>
    <col min="1286" max="1286" width="2.85546875" style="2293" customWidth="1"/>
    <col min="1287" max="1287" width="50.7109375" style="2293" customWidth="1"/>
    <col min="1288" max="1288" width="9.42578125" style="2293" customWidth="1"/>
    <col min="1289" max="1289" width="11.85546875" style="2293" customWidth="1"/>
    <col min="1290" max="1290" width="8.42578125" style="2293" bestFit="1" customWidth="1"/>
    <col min="1291" max="1293" width="0" style="2293" hidden="1" customWidth="1"/>
    <col min="1294" max="1294" width="6" style="2293" bestFit="1" customWidth="1"/>
    <col min="1295" max="1295" width="9.5703125" style="2293" customWidth="1"/>
    <col min="1296" max="1296" width="9.85546875" style="2293" customWidth="1"/>
    <col min="1297" max="1297" width="9.7109375" style="2293" customWidth="1"/>
    <col min="1298" max="1298" width="9.5703125" style="2293" customWidth="1"/>
    <col min="1299" max="1299" width="9.85546875" style="2293" customWidth="1"/>
    <col min="1300" max="1300" width="6.5703125" style="2293" customWidth="1"/>
    <col min="1301" max="1301" width="6" style="2293" bestFit="1" customWidth="1"/>
    <col min="1302" max="1302" width="6.28515625" style="2293" customWidth="1"/>
    <col min="1303" max="1303" width="11.7109375" style="2293" customWidth="1"/>
    <col min="1304" max="1304" width="0" style="2293" hidden="1" customWidth="1"/>
    <col min="1305" max="1305" width="14.5703125" style="2293" customWidth="1"/>
    <col min="1306" max="1306" width="11.85546875" style="2293" customWidth="1"/>
    <col min="1307" max="1541" width="9.140625" style="2293"/>
    <col min="1542" max="1542" width="2.85546875" style="2293" customWidth="1"/>
    <col min="1543" max="1543" width="50.7109375" style="2293" customWidth="1"/>
    <col min="1544" max="1544" width="9.42578125" style="2293" customWidth="1"/>
    <col min="1545" max="1545" width="11.85546875" style="2293" customWidth="1"/>
    <col min="1546" max="1546" width="8.42578125" style="2293" bestFit="1" customWidth="1"/>
    <col min="1547" max="1549" width="0" style="2293" hidden="1" customWidth="1"/>
    <col min="1550" max="1550" width="6" style="2293" bestFit="1" customWidth="1"/>
    <col min="1551" max="1551" width="9.5703125" style="2293" customWidth="1"/>
    <col min="1552" max="1552" width="9.85546875" style="2293" customWidth="1"/>
    <col min="1553" max="1553" width="9.7109375" style="2293" customWidth="1"/>
    <col min="1554" max="1554" width="9.5703125" style="2293" customWidth="1"/>
    <col min="1555" max="1555" width="9.85546875" style="2293" customWidth="1"/>
    <col min="1556" max="1556" width="6.5703125" style="2293" customWidth="1"/>
    <col min="1557" max="1557" width="6" style="2293" bestFit="1" customWidth="1"/>
    <col min="1558" max="1558" width="6.28515625" style="2293" customWidth="1"/>
    <col min="1559" max="1559" width="11.7109375" style="2293" customWidth="1"/>
    <col min="1560" max="1560" width="0" style="2293" hidden="1" customWidth="1"/>
    <col min="1561" max="1561" width="14.5703125" style="2293" customWidth="1"/>
    <col min="1562" max="1562" width="11.85546875" style="2293" customWidth="1"/>
    <col min="1563" max="1797" width="9.140625" style="2293"/>
    <col min="1798" max="1798" width="2.85546875" style="2293" customWidth="1"/>
    <col min="1799" max="1799" width="50.7109375" style="2293" customWidth="1"/>
    <col min="1800" max="1800" width="9.42578125" style="2293" customWidth="1"/>
    <col min="1801" max="1801" width="11.85546875" style="2293" customWidth="1"/>
    <col min="1802" max="1802" width="8.42578125" style="2293" bestFit="1" customWidth="1"/>
    <col min="1803" max="1805" width="0" style="2293" hidden="1" customWidth="1"/>
    <col min="1806" max="1806" width="6" style="2293" bestFit="1" customWidth="1"/>
    <col min="1807" max="1807" width="9.5703125" style="2293" customWidth="1"/>
    <col min="1808" max="1808" width="9.85546875" style="2293" customWidth="1"/>
    <col min="1809" max="1809" width="9.7109375" style="2293" customWidth="1"/>
    <col min="1810" max="1810" width="9.5703125" style="2293" customWidth="1"/>
    <col min="1811" max="1811" width="9.85546875" style="2293" customWidth="1"/>
    <col min="1812" max="1812" width="6.5703125" style="2293" customWidth="1"/>
    <col min="1813" max="1813" width="6" style="2293" bestFit="1" customWidth="1"/>
    <col min="1814" max="1814" width="6.28515625" style="2293" customWidth="1"/>
    <col min="1815" max="1815" width="11.7109375" style="2293" customWidth="1"/>
    <col min="1816" max="1816" width="0" style="2293" hidden="1" customWidth="1"/>
    <col min="1817" max="1817" width="14.5703125" style="2293" customWidth="1"/>
    <col min="1818" max="1818" width="11.85546875" style="2293" customWidth="1"/>
    <col min="1819" max="2053" width="9.140625" style="2293"/>
    <col min="2054" max="2054" width="2.85546875" style="2293" customWidth="1"/>
    <col min="2055" max="2055" width="50.7109375" style="2293" customWidth="1"/>
    <col min="2056" max="2056" width="9.42578125" style="2293" customWidth="1"/>
    <col min="2057" max="2057" width="11.85546875" style="2293" customWidth="1"/>
    <col min="2058" max="2058" width="8.42578125" style="2293" bestFit="1" customWidth="1"/>
    <col min="2059" max="2061" width="0" style="2293" hidden="1" customWidth="1"/>
    <col min="2062" max="2062" width="6" style="2293" bestFit="1" customWidth="1"/>
    <col min="2063" max="2063" width="9.5703125" style="2293" customWidth="1"/>
    <col min="2064" max="2064" width="9.85546875" style="2293" customWidth="1"/>
    <col min="2065" max="2065" width="9.7109375" style="2293" customWidth="1"/>
    <col min="2066" max="2066" width="9.5703125" style="2293" customWidth="1"/>
    <col min="2067" max="2067" width="9.85546875" style="2293" customWidth="1"/>
    <col min="2068" max="2068" width="6.5703125" style="2293" customWidth="1"/>
    <col min="2069" max="2069" width="6" style="2293" bestFit="1" customWidth="1"/>
    <col min="2070" max="2070" width="6.28515625" style="2293" customWidth="1"/>
    <col min="2071" max="2071" width="11.7109375" style="2293" customWidth="1"/>
    <col min="2072" max="2072" width="0" style="2293" hidden="1" customWidth="1"/>
    <col min="2073" max="2073" width="14.5703125" style="2293" customWidth="1"/>
    <col min="2074" max="2074" width="11.85546875" style="2293" customWidth="1"/>
    <col min="2075" max="2309" width="9.140625" style="2293"/>
    <col min="2310" max="2310" width="2.85546875" style="2293" customWidth="1"/>
    <col min="2311" max="2311" width="50.7109375" style="2293" customWidth="1"/>
    <col min="2312" max="2312" width="9.42578125" style="2293" customWidth="1"/>
    <col min="2313" max="2313" width="11.85546875" style="2293" customWidth="1"/>
    <col min="2314" max="2314" width="8.42578125" style="2293" bestFit="1" customWidth="1"/>
    <col min="2315" max="2317" width="0" style="2293" hidden="1" customWidth="1"/>
    <col min="2318" max="2318" width="6" style="2293" bestFit="1" customWidth="1"/>
    <col min="2319" max="2319" width="9.5703125" style="2293" customWidth="1"/>
    <col min="2320" max="2320" width="9.85546875" style="2293" customWidth="1"/>
    <col min="2321" max="2321" width="9.7109375" style="2293" customWidth="1"/>
    <col min="2322" max="2322" width="9.5703125" style="2293" customWidth="1"/>
    <col min="2323" max="2323" width="9.85546875" style="2293" customWidth="1"/>
    <col min="2324" max="2324" width="6.5703125" style="2293" customWidth="1"/>
    <col min="2325" max="2325" width="6" style="2293" bestFit="1" customWidth="1"/>
    <col min="2326" max="2326" width="6.28515625" style="2293" customWidth="1"/>
    <col min="2327" max="2327" width="11.7109375" style="2293" customWidth="1"/>
    <col min="2328" max="2328" width="0" style="2293" hidden="1" customWidth="1"/>
    <col min="2329" max="2329" width="14.5703125" style="2293" customWidth="1"/>
    <col min="2330" max="2330" width="11.85546875" style="2293" customWidth="1"/>
    <col min="2331" max="2565" width="9.140625" style="2293"/>
    <col min="2566" max="2566" width="2.85546875" style="2293" customWidth="1"/>
    <col min="2567" max="2567" width="50.7109375" style="2293" customWidth="1"/>
    <col min="2568" max="2568" width="9.42578125" style="2293" customWidth="1"/>
    <col min="2569" max="2569" width="11.85546875" style="2293" customWidth="1"/>
    <col min="2570" max="2570" width="8.42578125" style="2293" bestFit="1" customWidth="1"/>
    <col min="2571" max="2573" width="0" style="2293" hidden="1" customWidth="1"/>
    <col min="2574" max="2574" width="6" style="2293" bestFit="1" customWidth="1"/>
    <col min="2575" max="2575" width="9.5703125" style="2293" customWidth="1"/>
    <col min="2576" max="2576" width="9.85546875" style="2293" customWidth="1"/>
    <col min="2577" max="2577" width="9.7109375" style="2293" customWidth="1"/>
    <col min="2578" max="2578" width="9.5703125" style="2293" customWidth="1"/>
    <col min="2579" max="2579" width="9.85546875" style="2293" customWidth="1"/>
    <col min="2580" max="2580" width="6.5703125" style="2293" customWidth="1"/>
    <col min="2581" max="2581" width="6" style="2293" bestFit="1" customWidth="1"/>
    <col min="2582" max="2582" width="6.28515625" style="2293" customWidth="1"/>
    <col min="2583" max="2583" width="11.7109375" style="2293" customWidth="1"/>
    <col min="2584" max="2584" width="0" style="2293" hidden="1" customWidth="1"/>
    <col min="2585" max="2585" width="14.5703125" style="2293" customWidth="1"/>
    <col min="2586" max="2586" width="11.85546875" style="2293" customWidth="1"/>
    <col min="2587" max="2821" width="9.140625" style="2293"/>
    <col min="2822" max="2822" width="2.85546875" style="2293" customWidth="1"/>
    <col min="2823" max="2823" width="50.7109375" style="2293" customWidth="1"/>
    <col min="2824" max="2824" width="9.42578125" style="2293" customWidth="1"/>
    <col min="2825" max="2825" width="11.85546875" style="2293" customWidth="1"/>
    <col min="2826" max="2826" width="8.42578125" style="2293" bestFit="1" customWidth="1"/>
    <col min="2827" max="2829" width="0" style="2293" hidden="1" customWidth="1"/>
    <col min="2830" max="2830" width="6" style="2293" bestFit="1" customWidth="1"/>
    <col min="2831" max="2831" width="9.5703125" style="2293" customWidth="1"/>
    <col min="2832" max="2832" width="9.85546875" style="2293" customWidth="1"/>
    <col min="2833" max="2833" width="9.7109375" style="2293" customWidth="1"/>
    <col min="2834" max="2834" width="9.5703125" style="2293" customWidth="1"/>
    <col min="2835" max="2835" width="9.85546875" style="2293" customWidth="1"/>
    <col min="2836" max="2836" width="6.5703125" style="2293" customWidth="1"/>
    <col min="2837" max="2837" width="6" style="2293" bestFit="1" customWidth="1"/>
    <col min="2838" max="2838" width="6.28515625" style="2293" customWidth="1"/>
    <col min="2839" max="2839" width="11.7109375" style="2293" customWidth="1"/>
    <col min="2840" max="2840" width="0" style="2293" hidden="1" customWidth="1"/>
    <col min="2841" max="2841" width="14.5703125" style="2293" customWidth="1"/>
    <col min="2842" max="2842" width="11.85546875" style="2293" customWidth="1"/>
    <col min="2843" max="3077" width="9.140625" style="2293"/>
    <col min="3078" max="3078" width="2.85546875" style="2293" customWidth="1"/>
    <col min="3079" max="3079" width="50.7109375" style="2293" customWidth="1"/>
    <col min="3080" max="3080" width="9.42578125" style="2293" customWidth="1"/>
    <col min="3081" max="3081" width="11.85546875" style="2293" customWidth="1"/>
    <col min="3082" max="3082" width="8.42578125" style="2293" bestFit="1" customWidth="1"/>
    <col min="3083" max="3085" width="0" style="2293" hidden="1" customWidth="1"/>
    <col min="3086" max="3086" width="6" style="2293" bestFit="1" customWidth="1"/>
    <col min="3087" max="3087" width="9.5703125" style="2293" customWidth="1"/>
    <col min="3088" max="3088" width="9.85546875" style="2293" customWidth="1"/>
    <col min="3089" max="3089" width="9.7109375" style="2293" customWidth="1"/>
    <col min="3090" max="3090" width="9.5703125" style="2293" customWidth="1"/>
    <col min="3091" max="3091" width="9.85546875" style="2293" customWidth="1"/>
    <col min="3092" max="3092" width="6.5703125" style="2293" customWidth="1"/>
    <col min="3093" max="3093" width="6" style="2293" bestFit="1" customWidth="1"/>
    <col min="3094" max="3094" width="6.28515625" style="2293" customWidth="1"/>
    <col min="3095" max="3095" width="11.7109375" style="2293" customWidth="1"/>
    <col min="3096" max="3096" width="0" style="2293" hidden="1" customWidth="1"/>
    <col min="3097" max="3097" width="14.5703125" style="2293" customWidth="1"/>
    <col min="3098" max="3098" width="11.85546875" style="2293" customWidth="1"/>
    <col min="3099" max="3333" width="9.140625" style="2293"/>
    <col min="3334" max="3334" width="2.85546875" style="2293" customWidth="1"/>
    <col min="3335" max="3335" width="50.7109375" style="2293" customWidth="1"/>
    <col min="3336" max="3336" width="9.42578125" style="2293" customWidth="1"/>
    <col min="3337" max="3337" width="11.85546875" style="2293" customWidth="1"/>
    <col min="3338" max="3338" width="8.42578125" style="2293" bestFit="1" customWidth="1"/>
    <col min="3339" max="3341" width="0" style="2293" hidden="1" customWidth="1"/>
    <col min="3342" max="3342" width="6" style="2293" bestFit="1" customWidth="1"/>
    <col min="3343" max="3343" width="9.5703125" style="2293" customWidth="1"/>
    <col min="3344" max="3344" width="9.85546875" style="2293" customWidth="1"/>
    <col min="3345" max="3345" width="9.7109375" style="2293" customWidth="1"/>
    <col min="3346" max="3346" width="9.5703125" style="2293" customWidth="1"/>
    <col min="3347" max="3347" width="9.85546875" style="2293" customWidth="1"/>
    <col min="3348" max="3348" width="6.5703125" style="2293" customWidth="1"/>
    <col min="3349" max="3349" width="6" style="2293" bestFit="1" customWidth="1"/>
    <col min="3350" max="3350" width="6.28515625" style="2293" customWidth="1"/>
    <col min="3351" max="3351" width="11.7109375" style="2293" customWidth="1"/>
    <col min="3352" max="3352" width="0" style="2293" hidden="1" customWidth="1"/>
    <col min="3353" max="3353" width="14.5703125" style="2293" customWidth="1"/>
    <col min="3354" max="3354" width="11.85546875" style="2293" customWidth="1"/>
    <col min="3355" max="3589" width="9.140625" style="2293"/>
    <col min="3590" max="3590" width="2.85546875" style="2293" customWidth="1"/>
    <col min="3591" max="3591" width="50.7109375" style="2293" customWidth="1"/>
    <col min="3592" max="3592" width="9.42578125" style="2293" customWidth="1"/>
    <col min="3593" max="3593" width="11.85546875" style="2293" customWidth="1"/>
    <col min="3594" max="3594" width="8.42578125" style="2293" bestFit="1" customWidth="1"/>
    <col min="3595" max="3597" width="0" style="2293" hidden="1" customWidth="1"/>
    <col min="3598" max="3598" width="6" style="2293" bestFit="1" customWidth="1"/>
    <col min="3599" max="3599" width="9.5703125" style="2293" customWidth="1"/>
    <col min="3600" max="3600" width="9.85546875" style="2293" customWidth="1"/>
    <col min="3601" max="3601" width="9.7109375" style="2293" customWidth="1"/>
    <col min="3602" max="3602" width="9.5703125" style="2293" customWidth="1"/>
    <col min="3603" max="3603" width="9.85546875" style="2293" customWidth="1"/>
    <col min="3604" max="3604" width="6.5703125" style="2293" customWidth="1"/>
    <col min="3605" max="3605" width="6" style="2293" bestFit="1" customWidth="1"/>
    <col min="3606" max="3606" width="6.28515625" style="2293" customWidth="1"/>
    <col min="3607" max="3607" width="11.7109375" style="2293" customWidth="1"/>
    <col min="3608" max="3608" width="0" style="2293" hidden="1" customWidth="1"/>
    <col min="3609" max="3609" width="14.5703125" style="2293" customWidth="1"/>
    <col min="3610" max="3610" width="11.85546875" style="2293" customWidth="1"/>
    <col min="3611" max="3845" width="9.140625" style="2293"/>
    <col min="3846" max="3846" width="2.85546875" style="2293" customWidth="1"/>
    <col min="3847" max="3847" width="50.7109375" style="2293" customWidth="1"/>
    <col min="3848" max="3848" width="9.42578125" style="2293" customWidth="1"/>
    <col min="3849" max="3849" width="11.85546875" style="2293" customWidth="1"/>
    <col min="3850" max="3850" width="8.42578125" style="2293" bestFit="1" customWidth="1"/>
    <col min="3851" max="3853" width="0" style="2293" hidden="1" customWidth="1"/>
    <col min="3854" max="3854" width="6" style="2293" bestFit="1" customWidth="1"/>
    <col min="3855" max="3855" width="9.5703125" style="2293" customWidth="1"/>
    <col min="3856" max="3856" width="9.85546875" style="2293" customWidth="1"/>
    <col min="3857" max="3857" width="9.7109375" style="2293" customWidth="1"/>
    <col min="3858" max="3858" width="9.5703125" style="2293" customWidth="1"/>
    <col min="3859" max="3859" width="9.85546875" style="2293" customWidth="1"/>
    <col min="3860" max="3860" width="6.5703125" style="2293" customWidth="1"/>
    <col min="3861" max="3861" width="6" style="2293" bestFit="1" customWidth="1"/>
    <col min="3862" max="3862" width="6.28515625" style="2293" customWidth="1"/>
    <col min="3863" max="3863" width="11.7109375" style="2293" customWidth="1"/>
    <col min="3864" max="3864" width="0" style="2293" hidden="1" customWidth="1"/>
    <col min="3865" max="3865" width="14.5703125" style="2293" customWidth="1"/>
    <col min="3866" max="3866" width="11.85546875" style="2293" customWidth="1"/>
    <col min="3867" max="4101" width="9.140625" style="2293"/>
    <col min="4102" max="4102" width="2.85546875" style="2293" customWidth="1"/>
    <col min="4103" max="4103" width="50.7109375" style="2293" customWidth="1"/>
    <col min="4104" max="4104" width="9.42578125" style="2293" customWidth="1"/>
    <col min="4105" max="4105" width="11.85546875" style="2293" customWidth="1"/>
    <col min="4106" max="4106" width="8.42578125" style="2293" bestFit="1" customWidth="1"/>
    <col min="4107" max="4109" width="0" style="2293" hidden="1" customWidth="1"/>
    <col min="4110" max="4110" width="6" style="2293" bestFit="1" customWidth="1"/>
    <col min="4111" max="4111" width="9.5703125" style="2293" customWidth="1"/>
    <col min="4112" max="4112" width="9.85546875" style="2293" customWidth="1"/>
    <col min="4113" max="4113" width="9.7109375" style="2293" customWidth="1"/>
    <col min="4114" max="4114" width="9.5703125" style="2293" customWidth="1"/>
    <col min="4115" max="4115" width="9.85546875" style="2293" customWidth="1"/>
    <col min="4116" max="4116" width="6.5703125" style="2293" customWidth="1"/>
    <col min="4117" max="4117" width="6" style="2293" bestFit="1" customWidth="1"/>
    <col min="4118" max="4118" width="6.28515625" style="2293" customWidth="1"/>
    <col min="4119" max="4119" width="11.7109375" style="2293" customWidth="1"/>
    <col min="4120" max="4120" width="0" style="2293" hidden="1" customWidth="1"/>
    <col min="4121" max="4121" width="14.5703125" style="2293" customWidth="1"/>
    <col min="4122" max="4122" width="11.85546875" style="2293" customWidth="1"/>
    <col min="4123" max="4357" width="9.140625" style="2293"/>
    <col min="4358" max="4358" width="2.85546875" style="2293" customWidth="1"/>
    <col min="4359" max="4359" width="50.7109375" style="2293" customWidth="1"/>
    <col min="4360" max="4360" width="9.42578125" style="2293" customWidth="1"/>
    <col min="4361" max="4361" width="11.85546875" style="2293" customWidth="1"/>
    <col min="4362" max="4362" width="8.42578125" style="2293" bestFit="1" customWidth="1"/>
    <col min="4363" max="4365" width="0" style="2293" hidden="1" customWidth="1"/>
    <col min="4366" max="4366" width="6" style="2293" bestFit="1" customWidth="1"/>
    <col min="4367" max="4367" width="9.5703125" style="2293" customWidth="1"/>
    <col min="4368" max="4368" width="9.85546875" style="2293" customWidth="1"/>
    <col min="4369" max="4369" width="9.7109375" style="2293" customWidth="1"/>
    <col min="4370" max="4370" width="9.5703125" style="2293" customWidth="1"/>
    <col min="4371" max="4371" width="9.85546875" style="2293" customWidth="1"/>
    <col min="4372" max="4372" width="6.5703125" style="2293" customWidth="1"/>
    <col min="4373" max="4373" width="6" style="2293" bestFit="1" customWidth="1"/>
    <col min="4374" max="4374" width="6.28515625" style="2293" customWidth="1"/>
    <col min="4375" max="4375" width="11.7109375" style="2293" customWidth="1"/>
    <col min="4376" max="4376" width="0" style="2293" hidden="1" customWidth="1"/>
    <col min="4377" max="4377" width="14.5703125" style="2293" customWidth="1"/>
    <col min="4378" max="4378" width="11.85546875" style="2293" customWidth="1"/>
    <col min="4379" max="4613" width="9.140625" style="2293"/>
    <col min="4614" max="4614" width="2.85546875" style="2293" customWidth="1"/>
    <col min="4615" max="4615" width="50.7109375" style="2293" customWidth="1"/>
    <col min="4616" max="4616" width="9.42578125" style="2293" customWidth="1"/>
    <col min="4617" max="4617" width="11.85546875" style="2293" customWidth="1"/>
    <col min="4618" max="4618" width="8.42578125" style="2293" bestFit="1" customWidth="1"/>
    <col min="4619" max="4621" width="0" style="2293" hidden="1" customWidth="1"/>
    <col min="4622" max="4622" width="6" style="2293" bestFit="1" customWidth="1"/>
    <col min="4623" max="4623" width="9.5703125" style="2293" customWidth="1"/>
    <col min="4624" max="4624" width="9.85546875" style="2293" customWidth="1"/>
    <col min="4625" max="4625" width="9.7109375" style="2293" customWidth="1"/>
    <col min="4626" max="4626" width="9.5703125" style="2293" customWidth="1"/>
    <col min="4627" max="4627" width="9.85546875" style="2293" customWidth="1"/>
    <col min="4628" max="4628" width="6.5703125" style="2293" customWidth="1"/>
    <col min="4629" max="4629" width="6" style="2293" bestFit="1" customWidth="1"/>
    <col min="4630" max="4630" width="6.28515625" style="2293" customWidth="1"/>
    <col min="4631" max="4631" width="11.7109375" style="2293" customWidth="1"/>
    <col min="4632" max="4632" width="0" style="2293" hidden="1" customWidth="1"/>
    <col min="4633" max="4633" width="14.5703125" style="2293" customWidth="1"/>
    <col min="4634" max="4634" width="11.85546875" style="2293" customWidth="1"/>
    <col min="4635" max="4869" width="9.140625" style="2293"/>
    <col min="4870" max="4870" width="2.85546875" style="2293" customWidth="1"/>
    <col min="4871" max="4871" width="50.7109375" style="2293" customWidth="1"/>
    <col min="4872" max="4872" width="9.42578125" style="2293" customWidth="1"/>
    <col min="4873" max="4873" width="11.85546875" style="2293" customWidth="1"/>
    <col min="4874" max="4874" width="8.42578125" style="2293" bestFit="1" customWidth="1"/>
    <col min="4875" max="4877" width="0" style="2293" hidden="1" customWidth="1"/>
    <col min="4878" max="4878" width="6" style="2293" bestFit="1" customWidth="1"/>
    <col min="4879" max="4879" width="9.5703125" style="2293" customWidth="1"/>
    <col min="4880" max="4880" width="9.85546875" style="2293" customWidth="1"/>
    <col min="4881" max="4881" width="9.7109375" style="2293" customWidth="1"/>
    <col min="4882" max="4882" width="9.5703125" style="2293" customWidth="1"/>
    <col min="4883" max="4883" width="9.85546875" style="2293" customWidth="1"/>
    <col min="4884" max="4884" width="6.5703125" style="2293" customWidth="1"/>
    <col min="4885" max="4885" width="6" style="2293" bestFit="1" customWidth="1"/>
    <col min="4886" max="4886" width="6.28515625" style="2293" customWidth="1"/>
    <col min="4887" max="4887" width="11.7109375" style="2293" customWidth="1"/>
    <col min="4888" max="4888" width="0" style="2293" hidden="1" customWidth="1"/>
    <col min="4889" max="4889" width="14.5703125" style="2293" customWidth="1"/>
    <col min="4890" max="4890" width="11.85546875" style="2293" customWidth="1"/>
    <col min="4891" max="5125" width="9.140625" style="2293"/>
    <col min="5126" max="5126" width="2.85546875" style="2293" customWidth="1"/>
    <col min="5127" max="5127" width="50.7109375" style="2293" customWidth="1"/>
    <col min="5128" max="5128" width="9.42578125" style="2293" customWidth="1"/>
    <col min="5129" max="5129" width="11.85546875" style="2293" customWidth="1"/>
    <col min="5130" max="5130" width="8.42578125" style="2293" bestFit="1" customWidth="1"/>
    <col min="5131" max="5133" width="0" style="2293" hidden="1" customWidth="1"/>
    <col min="5134" max="5134" width="6" style="2293" bestFit="1" customWidth="1"/>
    <col min="5135" max="5135" width="9.5703125" style="2293" customWidth="1"/>
    <col min="5136" max="5136" width="9.85546875" style="2293" customWidth="1"/>
    <col min="5137" max="5137" width="9.7109375" style="2293" customWidth="1"/>
    <col min="5138" max="5138" width="9.5703125" style="2293" customWidth="1"/>
    <col min="5139" max="5139" width="9.85546875" style="2293" customWidth="1"/>
    <col min="5140" max="5140" width="6.5703125" style="2293" customWidth="1"/>
    <col min="5141" max="5141" width="6" style="2293" bestFit="1" customWidth="1"/>
    <col min="5142" max="5142" width="6.28515625" style="2293" customWidth="1"/>
    <col min="5143" max="5143" width="11.7109375" style="2293" customWidth="1"/>
    <col min="5144" max="5144" width="0" style="2293" hidden="1" customWidth="1"/>
    <col min="5145" max="5145" width="14.5703125" style="2293" customWidth="1"/>
    <col min="5146" max="5146" width="11.85546875" style="2293" customWidth="1"/>
    <col min="5147" max="5381" width="9.140625" style="2293"/>
    <col min="5382" max="5382" width="2.85546875" style="2293" customWidth="1"/>
    <col min="5383" max="5383" width="50.7109375" style="2293" customWidth="1"/>
    <col min="5384" max="5384" width="9.42578125" style="2293" customWidth="1"/>
    <col min="5385" max="5385" width="11.85546875" style="2293" customWidth="1"/>
    <col min="5386" max="5386" width="8.42578125" style="2293" bestFit="1" customWidth="1"/>
    <col min="5387" max="5389" width="0" style="2293" hidden="1" customWidth="1"/>
    <col min="5390" max="5390" width="6" style="2293" bestFit="1" customWidth="1"/>
    <col min="5391" max="5391" width="9.5703125" style="2293" customWidth="1"/>
    <col min="5392" max="5392" width="9.85546875" style="2293" customWidth="1"/>
    <col min="5393" max="5393" width="9.7109375" style="2293" customWidth="1"/>
    <col min="5394" max="5394" width="9.5703125" style="2293" customWidth="1"/>
    <col min="5395" max="5395" width="9.85546875" style="2293" customWidth="1"/>
    <col min="5396" max="5396" width="6.5703125" style="2293" customWidth="1"/>
    <col min="5397" max="5397" width="6" style="2293" bestFit="1" customWidth="1"/>
    <col min="5398" max="5398" width="6.28515625" style="2293" customWidth="1"/>
    <col min="5399" max="5399" width="11.7109375" style="2293" customWidth="1"/>
    <col min="5400" max="5400" width="0" style="2293" hidden="1" customWidth="1"/>
    <col min="5401" max="5401" width="14.5703125" style="2293" customWidth="1"/>
    <col min="5402" max="5402" width="11.85546875" style="2293" customWidth="1"/>
    <col min="5403" max="5637" width="9.140625" style="2293"/>
    <col min="5638" max="5638" width="2.85546875" style="2293" customWidth="1"/>
    <col min="5639" max="5639" width="50.7109375" style="2293" customWidth="1"/>
    <col min="5640" max="5640" width="9.42578125" style="2293" customWidth="1"/>
    <col min="5641" max="5641" width="11.85546875" style="2293" customWidth="1"/>
    <col min="5642" max="5642" width="8.42578125" style="2293" bestFit="1" customWidth="1"/>
    <col min="5643" max="5645" width="0" style="2293" hidden="1" customWidth="1"/>
    <col min="5646" max="5646" width="6" style="2293" bestFit="1" customWidth="1"/>
    <col min="5647" max="5647" width="9.5703125" style="2293" customWidth="1"/>
    <col min="5648" max="5648" width="9.85546875" style="2293" customWidth="1"/>
    <col min="5649" max="5649" width="9.7109375" style="2293" customWidth="1"/>
    <col min="5650" max="5650" width="9.5703125" style="2293" customWidth="1"/>
    <col min="5651" max="5651" width="9.85546875" style="2293" customWidth="1"/>
    <col min="5652" max="5652" width="6.5703125" style="2293" customWidth="1"/>
    <col min="5653" max="5653" width="6" style="2293" bestFit="1" customWidth="1"/>
    <col min="5654" max="5654" width="6.28515625" style="2293" customWidth="1"/>
    <col min="5655" max="5655" width="11.7109375" style="2293" customWidth="1"/>
    <col min="5656" max="5656" width="0" style="2293" hidden="1" customWidth="1"/>
    <col min="5657" max="5657" width="14.5703125" style="2293" customWidth="1"/>
    <col min="5658" max="5658" width="11.85546875" style="2293" customWidth="1"/>
    <col min="5659" max="5893" width="9.140625" style="2293"/>
    <col min="5894" max="5894" width="2.85546875" style="2293" customWidth="1"/>
    <col min="5895" max="5895" width="50.7109375" style="2293" customWidth="1"/>
    <col min="5896" max="5896" width="9.42578125" style="2293" customWidth="1"/>
    <col min="5897" max="5897" width="11.85546875" style="2293" customWidth="1"/>
    <col min="5898" max="5898" width="8.42578125" style="2293" bestFit="1" customWidth="1"/>
    <col min="5899" max="5901" width="0" style="2293" hidden="1" customWidth="1"/>
    <col min="5902" max="5902" width="6" style="2293" bestFit="1" customWidth="1"/>
    <col min="5903" max="5903" width="9.5703125" style="2293" customWidth="1"/>
    <col min="5904" max="5904" width="9.85546875" style="2293" customWidth="1"/>
    <col min="5905" max="5905" width="9.7109375" style="2293" customWidth="1"/>
    <col min="5906" max="5906" width="9.5703125" style="2293" customWidth="1"/>
    <col min="5907" max="5907" width="9.85546875" style="2293" customWidth="1"/>
    <col min="5908" max="5908" width="6.5703125" style="2293" customWidth="1"/>
    <col min="5909" max="5909" width="6" style="2293" bestFit="1" customWidth="1"/>
    <col min="5910" max="5910" width="6.28515625" style="2293" customWidth="1"/>
    <col min="5911" max="5911" width="11.7109375" style="2293" customWidth="1"/>
    <col min="5912" max="5912" width="0" style="2293" hidden="1" customWidth="1"/>
    <col min="5913" max="5913" width="14.5703125" style="2293" customWidth="1"/>
    <col min="5914" max="5914" width="11.85546875" style="2293" customWidth="1"/>
    <col min="5915" max="6149" width="9.140625" style="2293"/>
    <col min="6150" max="6150" width="2.85546875" style="2293" customWidth="1"/>
    <col min="6151" max="6151" width="50.7109375" style="2293" customWidth="1"/>
    <col min="6152" max="6152" width="9.42578125" style="2293" customWidth="1"/>
    <col min="6153" max="6153" width="11.85546875" style="2293" customWidth="1"/>
    <col min="6154" max="6154" width="8.42578125" style="2293" bestFit="1" customWidth="1"/>
    <col min="6155" max="6157" width="0" style="2293" hidden="1" customWidth="1"/>
    <col min="6158" max="6158" width="6" style="2293" bestFit="1" customWidth="1"/>
    <col min="6159" max="6159" width="9.5703125" style="2293" customWidth="1"/>
    <col min="6160" max="6160" width="9.85546875" style="2293" customWidth="1"/>
    <col min="6161" max="6161" width="9.7109375" style="2293" customWidth="1"/>
    <col min="6162" max="6162" width="9.5703125" style="2293" customWidth="1"/>
    <col min="6163" max="6163" width="9.85546875" style="2293" customWidth="1"/>
    <col min="6164" max="6164" width="6.5703125" style="2293" customWidth="1"/>
    <col min="6165" max="6165" width="6" style="2293" bestFit="1" customWidth="1"/>
    <col min="6166" max="6166" width="6.28515625" style="2293" customWidth="1"/>
    <col min="6167" max="6167" width="11.7109375" style="2293" customWidth="1"/>
    <col min="6168" max="6168" width="0" style="2293" hidden="1" customWidth="1"/>
    <col min="6169" max="6169" width="14.5703125" style="2293" customWidth="1"/>
    <col min="6170" max="6170" width="11.85546875" style="2293" customWidth="1"/>
    <col min="6171" max="6405" width="9.140625" style="2293"/>
    <col min="6406" max="6406" width="2.85546875" style="2293" customWidth="1"/>
    <col min="6407" max="6407" width="50.7109375" style="2293" customWidth="1"/>
    <col min="6408" max="6408" width="9.42578125" style="2293" customWidth="1"/>
    <col min="6409" max="6409" width="11.85546875" style="2293" customWidth="1"/>
    <col min="6410" max="6410" width="8.42578125" style="2293" bestFit="1" customWidth="1"/>
    <col min="6411" max="6413" width="0" style="2293" hidden="1" customWidth="1"/>
    <col min="6414" max="6414" width="6" style="2293" bestFit="1" customWidth="1"/>
    <col min="6415" max="6415" width="9.5703125" style="2293" customWidth="1"/>
    <col min="6416" max="6416" width="9.85546875" style="2293" customWidth="1"/>
    <col min="6417" max="6417" width="9.7109375" style="2293" customWidth="1"/>
    <col min="6418" max="6418" width="9.5703125" style="2293" customWidth="1"/>
    <col min="6419" max="6419" width="9.85546875" style="2293" customWidth="1"/>
    <col min="6420" max="6420" width="6.5703125" style="2293" customWidth="1"/>
    <col min="6421" max="6421" width="6" style="2293" bestFit="1" customWidth="1"/>
    <col min="6422" max="6422" width="6.28515625" style="2293" customWidth="1"/>
    <col min="6423" max="6423" width="11.7109375" style="2293" customWidth="1"/>
    <col min="6424" max="6424" width="0" style="2293" hidden="1" customWidth="1"/>
    <col min="6425" max="6425" width="14.5703125" style="2293" customWidth="1"/>
    <col min="6426" max="6426" width="11.85546875" style="2293" customWidth="1"/>
    <col min="6427" max="6661" width="9.140625" style="2293"/>
    <col min="6662" max="6662" width="2.85546875" style="2293" customWidth="1"/>
    <col min="6663" max="6663" width="50.7109375" style="2293" customWidth="1"/>
    <col min="6664" max="6664" width="9.42578125" style="2293" customWidth="1"/>
    <col min="6665" max="6665" width="11.85546875" style="2293" customWidth="1"/>
    <col min="6666" max="6666" width="8.42578125" style="2293" bestFit="1" customWidth="1"/>
    <col min="6667" max="6669" width="0" style="2293" hidden="1" customWidth="1"/>
    <col min="6670" max="6670" width="6" style="2293" bestFit="1" customWidth="1"/>
    <col min="6671" max="6671" width="9.5703125" style="2293" customWidth="1"/>
    <col min="6672" max="6672" width="9.85546875" style="2293" customWidth="1"/>
    <col min="6673" max="6673" width="9.7109375" style="2293" customWidth="1"/>
    <col min="6674" max="6674" width="9.5703125" style="2293" customWidth="1"/>
    <col min="6675" max="6675" width="9.85546875" style="2293" customWidth="1"/>
    <col min="6676" max="6676" width="6.5703125" style="2293" customWidth="1"/>
    <col min="6677" max="6677" width="6" style="2293" bestFit="1" customWidth="1"/>
    <col min="6678" max="6678" width="6.28515625" style="2293" customWidth="1"/>
    <col min="6679" max="6679" width="11.7109375" style="2293" customWidth="1"/>
    <col min="6680" max="6680" width="0" style="2293" hidden="1" customWidth="1"/>
    <col min="6681" max="6681" width="14.5703125" style="2293" customWidth="1"/>
    <col min="6682" max="6682" width="11.85546875" style="2293" customWidth="1"/>
    <col min="6683" max="6917" width="9.140625" style="2293"/>
    <col min="6918" max="6918" width="2.85546875" style="2293" customWidth="1"/>
    <col min="6919" max="6919" width="50.7109375" style="2293" customWidth="1"/>
    <col min="6920" max="6920" width="9.42578125" style="2293" customWidth="1"/>
    <col min="6921" max="6921" width="11.85546875" style="2293" customWidth="1"/>
    <col min="6922" max="6922" width="8.42578125" style="2293" bestFit="1" customWidth="1"/>
    <col min="6923" max="6925" width="0" style="2293" hidden="1" customWidth="1"/>
    <col min="6926" max="6926" width="6" style="2293" bestFit="1" customWidth="1"/>
    <col min="6927" max="6927" width="9.5703125" style="2293" customWidth="1"/>
    <col min="6928" max="6928" width="9.85546875" style="2293" customWidth="1"/>
    <col min="6929" max="6929" width="9.7109375" style="2293" customWidth="1"/>
    <col min="6930" max="6930" width="9.5703125" style="2293" customWidth="1"/>
    <col min="6931" max="6931" width="9.85546875" style="2293" customWidth="1"/>
    <col min="6932" max="6932" width="6.5703125" style="2293" customWidth="1"/>
    <col min="6933" max="6933" width="6" style="2293" bestFit="1" customWidth="1"/>
    <col min="6934" max="6934" width="6.28515625" style="2293" customWidth="1"/>
    <col min="6935" max="6935" width="11.7109375" style="2293" customWidth="1"/>
    <col min="6936" max="6936" width="0" style="2293" hidden="1" customWidth="1"/>
    <col min="6937" max="6937" width="14.5703125" style="2293" customWidth="1"/>
    <col min="6938" max="6938" width="11.85546875" style="2293" customWidth="1"/>
    <col min="6939" max="7173" width="9.140625" style="2293"/>
    <col min="7174" max="7174" width="2.85546875" style="2293" customWidth="1"/>
    <col min="7175" max="7175" width="50.7109375" style="2293" customWidth="1"/>
    <col min="7176" max="7176" width="9.42578125" style="2293" customWidth="1"/>
    <col min="7177" max="7177" width="11.85546875" style="2293" customWidth="1"/>
    <col min="7178" max="7178" width="8.42578125" style="2293" bestFit="1" customWidth="1"/>
    <col min="7179" max="7181" width="0" style="2293" hidden="1" customWidth="1"/>
    <col min="7182" max="7182" width="6" style="2293" bestFit="1" customWidth="1"/>
    <col min="7183" max="7183" width="9.5703125" style="2293" customWidth="1"/>
    <col min="7184" max="7184" width="9.85546875" style="2293" customWidth="1"/>
    <col min="7185" max="7185" width="9.7109375" style="2293" customWidth="1"/>
    <col min="7186" max="7186" width="9.5703125" style="2293" customWidth="1"/>
    <col min="7187" max="7187" width="9.85546875" style="2293" customWidth="1"/>
    <col min="7188" max="7188" width="6.5703125" style="2293" customWidth="1"/>
    <col min="7189" max="7189" width="6" style="2293" bestFit="1" customWidth="1"/>
    <col min="7190" max="7190" width="6.28515625" style="2293" customWidth="1"/>
    <col min="7191" max="7191" width="11.7109375" style="2293" customWidth="1"/>
    <col min="7192" max="7192" width="0" style="2293" hidden="1" customWidth="1"/>
    <col min="7193" max="7193" width="14.5703125" style="2293" customWidth="1"/>
    <col min="7194" max="7194" width="11.85546875" style="2293" customWidth="1"/>
    <col min="7195" max="7429" width="9.140625" style="2293"/>
    <col min="7430" max="7430" width="2.85546875" style="2293" customWidth="1"/>
    <col min="7431" max="7431" width="50.7109375" style="2293" customWidth="1"/>
    <col min="7432" max="7432" width="9.42578125" style="2293" customWidth="1"/>
    <col min="7433" max="7433" width="11.85546875" style="2293" customWidth="1"/>
    <col min="7434" max="7434" width="8.42578125" style="2293" bestFit="1" customWidth="1"/>
    <col min="7435" max="7437" width="0" style="2293" hidden="1" customWidth="1"/>
    <col min="7438" max="7438" width="6" style="2293" bestFit="1" customWidth="1"/>
    <col min="7439" max="7439" width="9.5703125" style="2293" customWidth="1"/>
    <col min="7440" max="7440" width="9.85546875" style="2293" customWidth="1"/>
    <col min="7441" max="7441" width="9.7109375" style="2293" customWidth="1"/>
    <col min="7442" max="7442" width="9.5703125" style="2293" customWidth="1"/>
    <col min="7443" max="7443" width="9.85546875" style="2293" customWidth="1"/>
    <col min="7444" max="7444" width="6.5703125" style="2293" customWidth="1"/>
    <col min="7445" max="7445" width="6" style="2293" bestFit="1" customWidth="1"/>
    <col min="7446" max="7446" width="6.28515625" style="2293" customWidth="1"/>
    <col min="7447" max="7447" width="11.7109375" style="2293" customWidth="1"/>
    <col min="7448" max="7448" width="0" style="2293" hidden="1" customWidth="1"/>
    <col min="7449" max="7449" width="14.5703125" style="2293" customWidth="1"/>
    <col min="7450" max="7450" width="11.85546875" style="2293" customWidth="1"/>
    <col min="7451" max="7685" width="9.140625" style="2293"/>
    <col min="7686" max="7686" width="2.85546875" style="2293" customWidth="1"/>
    <col min="7687" max="7687" width="50.7109375" style="2293" customWidth="1"/>
    <col min="7688" max="7688" width="9.42578125" style="2293" customWidth="1"/>
    <col min="7689" max="7689" width="11.85546875" style="2293" customWidth="1"/>
    <col min="7690" max="7690" width="8.42578125" style="2293" bestFit="1" customWidth="1"/>
    <col min="7691" max="7693" width="0" style="2293" hidden="1" customWidth="1"/>
    <col min="7694" max="7694" width="6" style="2293" bestFit="1" customWidth="1"/>
    <col min="7695" max="7695" width="9.5703125" style="2293" customWidth="1"/>
    <col min="7696" max="7696" width="9.85546875" style="2293" customWidth="1"/>
    <col min="7697" max="7697" width="9.7109375" style="2293" customWidth="1"/>
    <col min="7698" max="7698" width="9.5703125" style="2293" customWidth="1"/>
    <col min="7699" max="7699" width="9.85546875" style="2293" customWidth="1"/>
    <col min="7700" max="7700" width="6.5703125" style="2293" customWidth="1"/>
    <col min="7701" max="7701" width="6" style="2293" bestFit="1" customWidth="1"/>
    <col min="7702" max="7702" width="6.28515625" style="2293" customWidth="1"/>
    <col min="7703" max="7703" width="11.7109375" style="2293" customWidth="1"/>
    <col min="7704" max="7704" width="0" style="2293" hidden="1" customWidth="1"/>
    <col min="7705" max="7705" width="14.5703125" style="2293" customWidth="1"/>
    <col min="7706" max="7706" width="11.85546875" style="2293" customWidth="1"/>
    <col min="7707" max="7941" width="9.140625" style="2293"/>
    <col min="7942" max="7942" width="2.85546875" style="2293" customWidth="1"/>
    <col min="7943" max="7943" width="50.7109375" style="2293" customWidth="1"/>
    <col min="7944" max="7944" width="9.42578125" style="2293" customWidth="1"/>
    <col min="7945" max="7945" width="11.85546875" style="2293" customWidth="1"/>
    <col min="7946" max="7946" width="8.42578125" style="2293" bestFit="1" customWidth="1"/>
    <col min="7947" max="7949" width="0" style="2293" hidden="1" customWidth="1"/>
    <col min="7950" max="7950" width="6" style="2293" bestFit="1" customWidth="1"/>
    <col min="7951" max="7951" width="9.5703125" style="2293" customWidth="1"/>
    <col min="7952" max="7952" width="9.85546875" style="2293" customWidth="1"/>
    <col min="7953" max="7953" width="9.7109375" style="2293" customWidth="1"/>
    <col min="7954" max="7954" width="9.5703125" style="2293" customWidth="1"/>
    <col min="7955" max="7955" width="9.85546875" style="2293" customWidth="1"/>
    <col min="7956" max="7956" width="6.5703125" style="2293" customWidth="1"/>
    <col min="7957" max="7957" width="6" style="2293" bestFit="1" customWidth="1"/>
    <col min="7958" max="7958" width="6.28515625" style="2293" customWidth="1"/>
    <col min="7959" max="7959" width="11.7109375" style="2293" customWidth="1"/>
    <col min="7960" max="7960" width="0" style="2293" hidden="1" customWidth="1"/>
    <col min="7961" max="7961" width="14.5703125" style="2293" customWidth="1"/>
    <col min="7962" max="7962" width="11.85546875" style="2293" customWidth="1"/>
    <col min="7963" max="8197" width="9.140625" style="2293"/>
    <col min="8198" max="8198" width="2.85546875" style="2293" customWidth="1"/>
    <col min="8199" max="8199" width="50.7109375" style="2293" customWidth="1"/>
    <col min="8200" max="8200" width="9.42578125" style="2293" customWidth="1"/>
    <col min="8201" max="8201" width="11.85546875" style="2293" customWidth="1"/>
    <col min="8202" max="8202" width="8.42578125" style="2293" bestFit="1" customWidth="1"/>
    <col min="8203" max="8205" width="0" style="2293" hidden="1" customWidth="1"/>
    <col min="8206" max="8206" width="6" style="2293" bestFit="1" customWidth="1"/>
    <col min="8207" max="8207" width="9.5703125" style="2293" customWidth="1"/>
    <col min="8208" max="8208" width="9.85546875" style="2293" customWidth="1"/>
    <col min="8209" max="8209" width="9.7109375" style="2293" customWidth="1"/>
    <col min="8210" max="8210" width="9.5703125" style="2293" customWidth="1"/>
    <col min="8211" max="8211" width="9.85546875" style="2293" customWidth="1"/>
    <col min="8212" max="8212" width="6.5703125" style="2293" customWidth="1"/>
    <col min="8213" max="8213" width="6" style="2293" bestFit="1" customWidth="1"/>
    <col min="8214" max="8214" width="6.28515625" style="2293" customWidth="1"/>
    <col min="8215" max="8215" width="11.7109375" style="2293" customWidth="1"/>
    <col min="8216" max="8216" width="0" style="2293" hidden="1" customWidth="1"/>
    <col min="8217" max="8217" width="14.5703125" style="2293" customWidth="1"/>
    <col min="8218" max="8218" width="11.85546875" style="2293" customWidth="1"/>
    <col min="8219" max="8453" width="9.140625" style="2293"/>
    <col min="8454" max="8454" width="2.85546875" style="2293" customWidth="1"/>
    <col min="8455" max="8455" width="50.7109375" style="2293" customWidth="1"/>
    <col min="8456" max="8456" width="9.42578125" style="2293" customWidth="1"/>
    <col min="8457" max="8457" width="11.85546875" style="2293" customWidth="1"/>
    <col min="8458" max="8458" width="8.42578125" style="2293" bestFit="1" customWidth="1"/>
    <col min="8459" max="8461" width="0" style="2293" hidden="1" customWidth="1"/>
    <col min="8462" max="8462" width="6" style="2293" bestFit="1" customWidth="1"/>
    <col min="8463" max="8463" width="9.5703125" style="2293" customWidth="1"/>
    <col min="8464" max="8464" width="9.85546875" style="2293" customWidth="1"/>
    <col min="8465" max="8465" width="9.7109375" style="2293" customWidth="1"/>
    <col min="8466" max="8466" width="9.5703125" style="2293" customWidth="1"/>
    <col min="8467" max="8467" width="9.85546875" style="2293" customWidth="1"/>
    <col min="8468" max="8468" width="6.5703125" style="2293" customWidth="1"/>
    <col min="8469" max="8469" width="6" style="2293" bestFit="1" customWidth="1"/>
    <col min="8470" max="8470" width="6.28515625" style="2293" customWidth="1"/>
    <col min="8471" max="8471" width="11.7109375" style="2293" customWidth="1"/>
    <col min="8472" max="8472" width="0" style="2293" hidden="1" customWidth="1"/>
    <col min="8473" max="8473" width="14.5703125" style="2293" customWidth="1"/>
    <col min="8474" max="8474" width="11.85546875" style="2293" customWidth="1"/>
    <col min="8475" max="8709" width="9.140625" style="2293"/>
    <col min="8710" max="8710" width="2.85546875" style="2293" customWidth="1"/>
    <col min="8711" max="8711" width="50.7109375" style="2293" customWidth="1"/>
    <col min="8712" max="8712" width="9.42578125" style="2293" customWidth="1"/>
    <col min="8713" max="8713" width="11.85546875" style="2293" customWidth="1"/>
    <col min="8714" max="8714" width="8.42578125" style="2293" bestFit="1" customWidth="1"/>
    <col min="8715" max="8717" width="0" style="2293" hidden="1" customWidth="1"/>
    <col min="8718" max="8718" width="6" style="2293" bestFit="1" customWidth="1"/>
    <col min="8719" max="8719" width="9.5703125" style="2293" customWidth="1"/>
    <col min="8720" max="8720" width="9.85546875" style="2293" customWidth="1"/>
    <col min="8721" max="8721" width="9.7109375" style="2293" customWidth="1"/>
    <col min="8722" max="8722" width="9.5703125" style="2293" customWidth="1"/>
    <col min="8723" max="8723" width="9.85546875" style="2293" customWidth="1"/>
    <col min="8724" max="8724" width="6.5703125" style="2293" customWidth="1"/>
    <col min="8725" max="8725" width="6" style="2293" bestFit="1" customWidth="1"/>
    <col min="8726" max="8726" width="6.28515625" style="2293" customWidth="1"/>
    <col min="8727" max="8727" width="11.7109375" style="2293" customWidth="1"/>
    <col min="8728" max="8728" width="0" style="2293" hidden="1" customWidth="1"/>
    <col min="8729" max="8729" width="14.5703125" style="2293" customWidth="1"/>
    <col min="8730" max="8730" width="11.85546875" style="2293" customWidth="1"/>
    <col min="8731" max="8965" width="9.140625" style="2293"/>
    <col min="8966" max="8966" width="2.85546875" style="2293" customWidth="1"/>
    <col min="8967" max="8967" width="50.7109375" style="2293" customWidth="1"/>
    <col min="8968" max="8968" width="9.42578125" style="2293" customWidth="1"/>
    <col min="8969" max="8969" width="11.85546875" style="2293" customWidth="1"/>
    <col min="8970" max="8970" width="8.42578125" style="2293" bestFit="1" customWidth="1"/>
    <col min="8971" max="8973" width="0" style="2293" hidden="1" customWidth="1"/>
    <col min="8974" max="8974" width="6" style="2293" bestFit="1" customWidth="1"/>
    <col min="8975" max="8975" width="9.5703125" style="2293" customWidth="1"/>
    <col min="8976" max="8976" width="9.85546875" style="2293" customWidth="1"/>
    <col min="8977" max="8977" width="9.7109375" style="2293" customWidth="1"/>
    <col min="8978" max="8978" width="9.5703125" style="2293" customWidth="1"/>
    <col min="8979" max="8979" width="9.85546875" style="2293" customWidth="1"/>
    <col min="8980" max="8980" width="6.5703125" style="2293" customWidth="1"/>
    <col min="8981" max="8981" width="6" style="2293" bestFit="1" customWidth="1"/>
    <col min="8982" max="8982" width="6.28515625" style="2293" customWidth="1"/>
    <col min="8983" max="8983" width="11.7109375" style="2293" customWidth="1"/>
    <col min="8984" max="8984" width="0" style="2293" hidden="1" customWidth="1"/>
    <col min="8985" max="8985" width="14.5703125" style="2293" customWidth="1"/>
    <col min="8986" max="8986" width="11.85546875" style="2293" customWidth="1"/>
    <col min="8987" max="9221" width="9.140625" style="2293"/>
    <col min="9222" max="9222" width="2.85546875" style="2293" customWidth="1"/>
    <col min="9223" max="9223" width="50.7109375" style="2293" customWidth="1"/>
    <col min="9224" max="9224" width="9.42578125" style="2293" customWidth="1"/>
    <col min="9225" max="9225" width="11.85546875" style="2293" customWidth="1"/>
    <col min="9226" max="9226" width="8.42578125" style="2293" bestFit="1" customWidth="1"/>
    <col min="9227" max="9229" width="0" style="2293" hidden="1" customWidth="1"/>
    <col min="9230" max="9230" width="6" style="2293" bestFit="1" customWidth="1"/>
    <col min="9231" max="9231" width="9.5703125" style="2293" customWidth="1"/>
    <col min="9232" max="9232" width="9.85546875" style="2293" customWidth="1"/>
    <col min="9233" max="9233" width="9.7109375" style="2293" customWidth="1"/>
    <col min="9234" max="9234" width="9.5703125" style="2293" customWidth="1"/>
    <col min="9235" max="9235" width="9.85546875" style="2293" customWidth="1"/>
    <col min="9236" max="9236" width="6.5703125" style="2293" customWidth="1"/>
    <col min="9237" max="9237" width="6" style="2293" bestFit="1" customWidth="1"/>
    <col min="9238" max="9238" width="6.28515625" style="2293" customWidth="1"/>
    <col min="9239" max="9239" width="11.7109375" style="2293" customWidth="1"/>
    <col min="9240" max="9240" width="0" style="2293" hidden="1" customWidth="1"/>
    <col min="9241" max="9241" width="14.5703125" style="2293" customWidth="1"/>
    <col min="9242" max="9242" width="11.85546875" style="2293" customWidth="1"/>
    <col min="9243" max="9477" width="9.140625" style="2293"/>
    <col min="9478" max="9478" width="2.85546875" style="2293" customWidth="1"/>
    <col min="9479" max="9479" width="50.7109375" style="2293" customWidth="1"/>
    <col min="9480" max="9480" width="9.42578125" style="2293" customWidth="1"/>
    <col min="9481" max="9481" width="11.85546875" style="2293" customWidth="1"/>
    <col min="9482" max="9482" width="8.42578125" style="2293" bestFit="1" customWidth="1"/>
    <col min="9483" max="9485" width="0" style="2293" hidden="1" customWidth="1"/>
    <col min="9486" max="9486" width="6" style="2293" bestFit="1" customWidth="1"/>
    <col min="9487" max="9487" width="9.5703125" style="2293" customWidth="1"/>
    <col min="9488" max="9488" width="9.85546875" style="2293" customWidth="1"/>
    <col min="9489" max="9489" width="9.7109375" style="2293" customWidth="1"/>
    <col min="9490" max="9490" width="9.5703125" style="2293" customWidth="1"/>
    <col min="9491" max="9491" width="9.85546875" style="2293" customWidth="1"/>
    <col min="9492" max="9492" width="6.5703125" style="2293" customWidth="1"/>
    <col min="9493" max="9493" width="6" style="2293" bestFit="1" customWidth="1"/>
    <col min="9494" max="9494" width="6.28515625" style="2293" customWidth="1"/>
    <col min="9495" max="9495" width="11.7109375" style="2293" customWidth="1"/>
    <col min="9496" max="9496" width="0" style="2293" hidden="1" customWidth="1"/>
    <col min="9497" max="9497" width="14.5703125" style="2293" customWidth="1"/>
    <col min="9498" max="9498" width="11.85546875" style="2293" customWidth="1"/>
    <col min="9499" max="9733" width="9.140625" style="2293"/>
    <col min="9734" max="9734" width="2.85546875" style="2293" customWidth="1"/>
    <col min="9735" max="9735" width="50.7109375" style="2293" customWidth="1"/>
    <col min="9736" max="9736" width="9.42578125" style="2293" customWidth="1"/>
    <col min="9737" max="9737" width="11.85546875" style="2293" customWidth="1"/>
    <col min="9738" max="9738" width="8.42578125" style="2293" bestFit="1" customWidth="1"/>
    <col min="9739" max="9741" width="0" style="2293" hidden="1" customWidth="1"/>
    <col min="9742" max="9742" width="6" style="2293" bestFit="1" customWidth="1"/>
    <col min="9743" max="9743" width="9.5703125" style="2293" customWidth="1"/>
    <col min="9744" max="9744" width="9.85546875" style="2293" customWidth="1"/>
    <col min="9745" max="9745" width="9.7109375" style="2293" customWidth="1"/>
    <col min="9746" max="9746" width="9.5703125" style="2293" customWidth="1"/>
    <col min="9747" max="9747" width="9.85546875" style="2293" customWidth="1"/>
    <col min="9748" max="9748" width="6.5703125" style="2293" customWidth="1"/>
    <col min="9749" max="9749" width="6" style="2293" bestFit="1" customWidth="1"/>
    <col min="9750" max="9750" width="6.28515625" style="2293" customWidth="1"/>
    <col min="9751" max="9751" width="11.7109375" style="2293" customWidth="1"/>
    <col min="9752" max="9752" width="0" style="2293" hidden="1" customWidth="1"/>
    <col min="9753" max="9753" width="14.5703125" style="2293" customWidth="1"/>
    <col min="9754" max="9754" width="11.85546875" style="2293" customWidth="1"/>
    <col min="9755" max="9989" width="9.140625" style="2293"/>
    <col min="9990" max="9990" width="2.85546875" style="2293" customWidth="1"/>
    <col min="9991" max="9991" width="50.7109375" style="2293" customWidth="1"/>
    <col min="9992" max="9992" width="9.42578125" style="2293" customWidth="1"/>
    <col min="9993" max="9993" width="11.85546875" style="2293" customWidth="1"/>
    <col min="9994" max="9994" width="8.42578125" style="2293" bestFit="1" customWidth="1"/>
    <col min="9995" max="9997" width="0" style="2293" hidden="1" customWidth="1"/>
    <col min="9998" max="9998" width="6" style="2293" bestFit="1" customWidth="1"/>
    <col min="9999" max="9999" width="9.5703125" style="2293" customWidth="1"/>
    <col min="10000" max="10000" width="9.85546875" style="2293" customWidth="1"/>
    <col min="10001" max="10001" width="9.7109375" style="2293" customWidth="1"/>
    <col min="10002" max="10002" width="9.5703125" style="2293" customWidth="1"/>
    <col min="10003" max="10003" width="9.85546875" style="2293" customWidth="1"/>
    <col min="10004" max="10004" width="6.5703125" style="2293" customWidth="1"/>
    <col min="10005" max="10005" width="6" style="2293" bestFit="1" customWidth="1"/>
    <col min="10006" max="10006" width="6.28515625" style="2293" customWidth="1"/>
    <col min="10007" max="10007" width="11.7109375" style="2293" customWidth="1"/>
    <col min="10008" max="10008" width="0" style="2293" hidden="1" customWidth="1"/>
    <col min="10009" max="10009" width="14.5703125" style="2293" customWidth="1"/>
    <col min="10010" max="10010" width="11.85546875" style="2293" customWidth="1"/>
    <col min="10011" max="10245" width="9.140625" style="2293"/>
    <col min="10246" max="10246" width="2.85546875" style="2293" customWidth="1"/>
    <col min="10247" max="10247" width="50.7109375" style="2293" customWidth="1"/>
    <col min="10248" max="10248" width="9.42578125" style="2293" customWidth="1"/>
    <col min="10249" max="10249" width="11.85546875" style="2293" customWidth="1"/>
    <col min="10250" max="10250" width="8.42578125" style="2293" bestFit="1" customWidth="1"/>
    <col min="10251" max="10253" width="0" style="2293" hidden="1" customWidth="1"/>
    <col min="10254" max="10254" width="6" style="2293" bestFit="1" customWidth="1"/>
    <col min="10255" max="10255" width="9.5703125" style="2293" customWidth="1"/>
    <col min="10256" max="10256" width="9.85546875" style="2293" customWidth="1"/>
    <col min="10257" max="10257" width="9.7109375" style="2293" customWidth="1"/>
    <col min="10258" max="10258" width="9.5703125" style="2293" customWidth="1"/>
    <col min="10259" max="10259" width="9.85546875" style="2293" customWidth="1"/>
    <col min="10260" max="10260" width="6.5703125" style="2293" customWidth="1"/>
    <col min="10261" max="10261" width="6" style="2293" bestFit="1" customWidth="1"/>
    <col min="10262" max="10262" width="6.28515625" style="2293" customWidth="1"/>
    <col min="10263" max="10263" width="11.7109375" style="2293" customWidth="1"/>
    <col min="10264" max="10264" width="0" style="2293" hidden="1" customWidth="1"/>
    <col min="10265" max="10265" width="14.5703125" style="2293" customWidth="1"/>
    <col min="10266" max="10266" width="11.85546875" style="2293" customWidth="1"/>
    <col min="10267" max="10501" width="9.140625" style="2293"/>
    <col min="10502" max="10502" width="2.85546875" style="2293" customWidth="1"/>
    <col min="10503" max="10503" width="50.7109375" style="2293" customWidth="1"/>
    <col min="10504" max="10504" width="9.42578125" style="2293" customWidth="1"/>
    <col min="10505" max="10505" width="11.85546875" style="2293" customWidth="1"/>
    <col min="10506" max="10506" width="8.42578125" style="2293" bestFit="1" customWidth="1"/>
    <col min="10507" max="10509" width="0" style="2293" hidden="1" customWidth="1"/>
    <col min="10510" max="10510" width="6" style="2293" bestFit="1" customWidth="1"/>
    <col min="10511" max="10511" width="9.5703125" style="2293" customWidth="1"/>
    <col min="10512" max="10512" width="9.85546875" style="2293" customWidth="1"/>
    <col min="10513" max="10513" width="9.7109375" style="2293" customWidth="1"/>
    <col min="10514" max="10514" width="9.5703125" style="2293" customWidth="1"/>
    <col min="10515" max="10515" width="9.85546875" style="2293" customWidth="1"/>
    <col min="10516" max="10516" width="6.5703125" style="2293" customWidth="1"/>
    <col min="10517" max="10517" width="6" style="2293" bestFit="1" customWidth="1"/>
    <col min="10518" max="10518" width="6.28515625" style="2293" customWidth="1"/>
    <col min="10519" max="10519" width="11.7109375" style="2293" customWidth="1"/>
    <col min="10520" max="10520" width="0" style="2293" hidden="1" customWidth="1"/>
    <col min="10521" max="10521" width="14.5703125" style="2293" customWidth="1"/>
    <col min="10522" max="10522" width="11.85546875" style="2293" customWidth="1"/>
    <col min="10523" max="10757" width="9.140625" style="2293"/>
    <col min="10758" max="10758" width="2.85546875" style="2293" customWidth="1"/>
    <col min="10759" max="10759" width="50.7109375" style="2293" customWidth="1"/>
    <col min="10760" max="10760" width="9.42578125" style="2293" customWidth="1"/>
    <col min="10761" max="10761" width="11.85546875" style="2293" customWidth="1"/>
    <col min="10762" max="10762" width="8.42578125" style="2293" bestFit="1" customWidth="1"/>
    <col min="10763" max="10765" width="0" style="2293" hidden="1" customWidth="1"/>
    <col min="10766" max="10766" width="6" style="2293" bestFit="1" customWidth="1"/>
    <col min="10767" max="10767" width="9.5703125" style="2293" customWidth="1"/>
    <col min="10768" max="10768" width="9.85546875" style="2293" customWidth="1"/>
    <col min="10769" max="10769" width="9.7109375" style="2293" customWidth="1"/>
    <col min="10770" max="10770" width="9.5703125" style="2293" customWidth="1"/>
    <col min="10771" max="10771" width="9.85546875" style="2293" customWidth="1"/>
    <col min="10772" max="10772" width="6.5703125" style="2293" customWidth="1"/>
    <col min="10773" max="10773" width="6" style="2293" bestFit="1" customWidth="1"/>
    <col min="10774" max="10774" width="6.28515625" style="2293" customWidth="1"/>
    <col min="10775" max="10775" width="11.7109375" style="2293" customWidth="1"/>
    <col min="10776" max="10776" width="0" style="2293" hidden="1" customWidth="1"/>
    <col min="10777" max="10777" width="14.5703125" style="2293" customWidth="1"/>
    <col min="10778" max="10778" width="11.85546875" style="2293" customWidth="1"/>
    <col min="10779" max="11013" width="9.140625" style="2293"/>
    <col min="11014" max="11014" width="2.85546875" style="2293" customWidth="1"/>
    <col min="11015" max="11015" width="50.7109375" style="2293" customWidth="1"/>
    <col min="11016" max="11016" width="9.42578125" style="2293" customWidth="1"/>
    <col min="11017" max="11017" width="11.85546875" style="2293" customWidth="1"/>
    <col min="11018" max="11018" width="8.42578125" style="2293" bestFit="1" customWidth="1"/>
    <col min="11019" max="11021" width="0" style="2293" hidden="1" customWidth="1"/>
    <col min="11022" max="11022" width="6" style="2293" bestFit="1" customWidth="1"/>
    <col min="11023" max="11023" width="9.5703125" style="2293" customWidth="1"/>
    <col min="11024" max="11024" width="9.85546875" style="2293" customWidth="1"/>
    <col min="11025" max="11025" width="9.7109375" style="2293" customWidth="1"/>
    <col min="11026" max="11026" width="9.5703125" style="2293" customWidth="1"/>
    <col min="11027" max="11027" width="9.85546875" style="2293" customWidth="1"/>
    <col min="11028" max="11028" width="6.5703125" style="2293" customWidth="1"/>
    <col min="11029" max="11029" width="6" style="2293" bestFit="1" customWidth="1"/>
    <col min="11030" max="11030" width="6.28515625" style="2293" customWidth="1"/>
    <col min="11031" max="11031" width="11.7109375" style="2293" customWidth="1"/>
    <col min="11032" max="11032" width="0" style="2293" hidden="1" customWidth="1"/>
    <col min="11033" max="11033" width="14.5703125" style="2293" customWidth="1"/>
    <col min="11034" max="11034" width="11.85546875" style="2293" customWidth="1"/>
    <col min="11035" max="11269" width="9.140625" style="2293"/>
    <col min="11270" max="11270" width="2.85546875" style="2293" customWidth="1"/>
    <col min="11271" max="11271" width="50.7109375" style="2293" customWidth="1"/>
    <col min="11272" max="11272" width="9.42578125" style="2293" customWidth="1"/>
    <col min="11273" max="11273" width="11.85546875" style="2293" customWidth="1"/>
    <col min="11274" max="11274" width="8.42578125" style="2293" bestFit="1" customWidth="1"/>
    <col min="11275" max="11277" width="0" style="2293" hidden="1" customWidth="1"/>
    <col min="11278" max="11278" width="6" style="2293" bestFit="1" customWidth="1"/>
    <col min="11279" max="11279" width="9.5703125" style="2293" customWidth="1"/>
    <col min="11280" max="11280" width="9.85546875" style="2293" customWidth="1"/>
    <col min="11281" max="11281" width="9.7109375" style="2293" customWidth="1"/>
    <col min="11282" max="11282" width="9.5703125" style="2293" customWidth="1"/>
    <col min="11283" max="11283" width="9.85546875" style="2293" customWidth="1"/>
    <col min="11284" max="11284" width="6.5703125" style="2293" customWidth="1"/>
    <col min="11285" max="11285" width="6" style="2293" bestFit="1" customWidth="1"/>
    <col min="11286" max="11286" width="6.28515625" style="2293" customWidth="1"/>
    <col min="11287" max="11287" width="11.7109375" style="2293" customWidth="1"/>
    <col min="11288" max="11288" width="0" style="2293" hidden="1" customWidth="1"/>
    <col min="11289" max="11289" width="14.5703125" style="2293" customWidth="1"/>
    <col min="11290" max="11290" width="11.85546875" style="2293" customWidth="1"/>
    <col min="11291" max="11525" width="9.140625" style="2293"/>
    <col min="11526" max="11526" width="2.85546875" style="2293" customWidth="1"/>
    <col min="11527" max="11527" width="50.7109375" style="2293" customWidth="1"/>
    <col min="11528" max="11528" width="9.42578125" style="2293" customWidth="1"/>
    <col min="11529" max="11529" width="11.85546875" style="2293" customWidth="1"/>
    <col min="11530" max="11530" width="8.42578125" style="2293" bestFit="1" customWidth="1"/>
    <col min="11531" max="11533" width="0" style="2293" hidden="1" customWidth="1"/>
    <col min="11534" max="11534" width="6" style="2293" bestFit="1" customWidth="1"/>
    <col min="11535" max="11535" width="9.5703125" style="2293" customWidth="1"/>
    <col min="11536" max="11536" width="9.85546875" style="2293" customWidth="1"/>
    <col min="11537" max="11537" width="9.7109375" style="2293" customWidth="1"/>
    <col min="11538" max="11538" width="9.5703125" style="2293" customWidth="1"/>
    <col min="11539" max="11539" width="9.85546875" style="2293" customWidth="1"/>
    <col min="11540" max="11540" width="6.5703125" style="2293" customWidth="1"/>
    <col min="11541" max="11541" width="6" style="2293" bestFit="1" customWidth="1"/>
    <col min="11542" max="11542" width="6.28515625" style="2293" customWidth="1"/>
    <col min="11543" max="11543" width="11.7109375" style="2293" customWidth="1"/>
    <col min="11544" max="11544" width="0" style="2293" hidden="1" customWidth="1"/>
    <col min="11545" max="11545" width="14.5703125" style="2293" customWidth="1"/>
    <col min="11546" max="11546" width="11.85546875" style="2293" customWidth="1"/>
    <col min="11547" max="11781" width="9.140625" style="2293"/>
    <col min="11782" max="11782" width="2.85546875" style="2293" customWidth="1"/>
    <col min="11783" max="11783" width="50.7109375" style="2293" customWidth="1"/>
    <col min="11784" max="11784" width="9.42578125" style="2293" customWidth="1"/>
    <col min="11785" max="11785" width="11.85546875" style="2293" customWidth="1"/>
    <col min="11786" max="11786" width="8.42578125" style="2293" bestFit="1" customWidth="1"/>
    <col min="11787" max="11789" width="0" style="2293" hidden="1" customWidth="1"/>
    <col min="11790" max="11790" width="6" style="2293" bestFit="1" customWidth="1"/>
    <col min="11791" max="11791" width="9.5703125" style="2293" customWidth="1"/>
    <col min="11792" max="11792" width="9.85546875" style="2293" customWidth="1"/>
    <col min="11793" max="11793" width="9.7109375" style="2293" customWidth="1"/>
    <col min="11794" max="11794" width="9.5703125" style="2293" customWidth="1"/>
    <col min="11795" max="11795" width="9.85546875" style="2293" customWidth="1"/>
    <col min="11796" max="11796" width="6.5703125" style="2293" customWidth="1"/>
    <col min="11797" max="11797" width="6" style="2293" bestFit="1" customWidth="1"/>
    <col min="11798" max="11798" width="6.28515625" style="2293" customWidth="1"/>
    <col min="11799" max="11799" width="11.7109375" style="2293" customWidth="1"/>
    <col min="11800" max="11800" width="0" style="2293" hidden="1" customWidth="1"/>
    <col min="11801" max="11801" width="14.5703125" style="2293" customWidth="1"/>
    <col min="11802" max="11802" width="11.85546875" style="2293" customWidth="1"/>
    <col min="11803" max="12037" width="9.140625" style="2293"/>
    <col min="12038" max="12038" width="2.85546875" style="2293" customWidth="1"/>
    <col min="12039" max="12039" width="50.7109375" style="2293" customWidth="1"/>
    <col min="12040" max="12040" width="9.42578125" style="2293" customWidth="1"/>
    <col min="12041" max="12041" width="11.85546875" style="2293" customWidth="1"/>
    <col min="12042" max="12042" width="8.42578125" style="2293" bestFit="1" customWidth="1"/>
    <col min="12043" max="12045" width="0" style="2293" hidden="1" customWidth="1"/>
    <col min="12046" max="12046" width="6" style="2293" bestFit="1" customWidth="1"/>
    <col min="12047" max="12047" width="9.5703125" style="2293" customWidth="1"/>
    <col min="12048" max="12048" width="9.85546875" style="2293" customWidth="1"/>
    <col min="12049" max="12049" width="9.7109375" style="2293" customWidth="1"/>
    <col min="12050" max="12050" width="9.5703125" style="2293" customWidth="1"/>
    <col min="12051" max="12051" width="9.85546875" style="2293" customWidth="1"/>
    <col min="12052" max="12052" width="6.5703125" style="2293" customWidth="1"/>
    <col min="12053" max="12053" width="6" style="2293" bestFit="1" customWidth="1"/>
    <col min="12054" max="12054" width="6.28515625" style="2293" customWidth="1"/>
    <col min="12055" max="12055" width="11.7109375" style="2293" customWidth="1"/>
    <col min="12056" max="12056" width="0" style="2293" hidden="1" customWidth="1"/>
    <col min="12057" max="12057" width="14.5703125" style="2293" customWidth="1"/>
    <col min="12058" max="12058" width="11.85546875" style="2293" customWidth="1"/>
    <col min="12059" max="12293" width="9.140625" style="2293"/>
    <col min="12294" max="12294" width="2.85546875" style="2293" customWidth="1"/>
    <col min="12295" max="12295" width="50.7109375" style="2293" customWidth="1"/>
    <col min="12296" max="12296" width="9.42578125" style="2293" customWidth="1"/>
    <col min="12297" max="12297" width="11.85546875" style="2293" customWidth="1"/>
    <col min="12298" max="12298" width="8.42578125" style="2293" bestFit="1" customWidth="1"/>
    <col min="12299" max="12301" width="0" style="2293" hidden="1" customWidth="1"/>
    <col min="12302" max="12302" width="6" style="2293" bestFit="1" customWidth="1"/>
    <col min="12303" max="12303" width="9.5703125" style="2293" customWidth="1"/>
    <col min="12304" max="12304" width="9.85546875" style="2293" customWidth="1"/>
    <col min="12305" max="12305" width="9.7109375" style="2293" customWidth="1"/>
    <col min="12306" max="12306" width="9.5703125" style="2293" customWidth="1"/>
    <col min="12307" max="12307" width="9.85546875" style="2293" customWidth="1"/>
    <col min="12308" max="12308" width="6.5703125" style="2293" customWidth="1"/>
    <col min="12309" max="12309" width="6" style="2293" bestFit="1" customWidth="1"/>
    <col min="12310" max="12310" width="6.28515625" style="2293" customWidth="1"/>
    <col min="12311" max="12311" width="11.7109375" style="2293" customWidth="1"/>
    <col min="12312" max="12312" width="0" style="2293" hidden="1" customWidth="1"/>
    <col min="12313" max="12313" width="14.5703125" style="2293" customWidth="1"/>
    <col min="12314" max="12314" width="11.85546875" style="2293" customWidth="1"/>
    <col min="12315" max="12549" width="9.140625" style="2293"/>
    <col min="12550" max="12550" width="2.85546875" style="2293" customWidth="1"/>
    <col min="12551" max="12551" width="50.7109375" style="2293" customWidth="1"/>
    <col min="12552" max="12552" width="9.42578125" style="2293" customWidth="1"/>
    <col min="12553" max="12553" width="11.85546875" style="2293" customWidth="1"/>
    <col min="12554" max="12554" width="8.42578125" style="2293" bestFit="1" customWidth="1"/>
    <col min="12555" max="12557" width="0" style="2293" hidden="1" customWidth="1"/>
    <col min="12558" max="12558" width="6" style="2293" bestFit="1" customWidth="1"/>
    <col min="12559" max="12559" width="9.5703125" style="2293" customWidth="1"/>
    <col min="12560" max="12560" width="9.85546875" style="2293" customWidth="1"/>
    <col min="12561" max="12561" width="9.7109375" style="2293" customWidth="1"/>
    <col min="12562" max="12562" width="9.5703125" style="2293" customWidth="1"/>
    <col min="12563" max="12563" width="9.85546875" style="2293" customWidth="1"/>
    <col min="12564" max="12564" width="6.5703125" style="2293" customWidth="1"/>
    <col min="12565" max="12565" width="6" style="2293" bestFit="1" customWidth="1"/>
    <col min="12566" max="12566" width="6.28515625" style="2293" customWidth="1"/>
    <col min="12567" max="12567" width="11.7109375" style="2293" customWidth="1"/>
    <col min="12568" max="12568" width="0" style="2293" hidden="1" customWidth="1"/>
    <col min="12569" max="12569" width="14.5703125" style="2293" customWidth="1"/>
    <col min="12570" max="12570" width="11.85546875" style="2293" customWidth="1"/>
    <col min="12571" max="12805" width="9.140625" style="2293"/>
    <col min="12806" max="12806" width="2.85546875" style="2293" customWidth="1"/>
    <col min="12807" max="12807" width="50.7109375" style="2293" customWidth="1"/>
    <col min="12808" max="12808" width="9.42578125" style="2293" customWidth="1"/>
    <col min="12809" max="12809" width="11.85546875" style="2293" customWidth="1"/>
    <col min="12810" max="12810" width="8.42578125" style="2293" bestFit="1" customWidth="1"/>
    <col min="12811" max="12813" width="0" style="2293" hidden="1" customWidth="1"/>
    <col min="12814" max="12814" width="6" style="2293" bestFit="1" customWidth="1"/>
    <col min="12815" max="12815" width="9.5703125" style="2293" customWidth="1"/>
    <col min="12816" max="12816" width="9.85546875" style="2293" customWidth="1"/>
    <col min="12817" max="12817" width="9.7109375" style="2293" customWidth="1"/>
    <col min="12818" max="12818" width="9.5703125" style="2293" customWidth="1"/>
    <col min="12819" max="12819" width="9.85546875" style="2293" customWidth="1"/>
    <col min="12820" max="12820" width="6.5703125" style="2293" customWidth="1"/>
    <col min="12821" max="12821" width="6" style="2293" bestFit="1" customWidth="1"/>
    <col min="12822" max="12822" width="6.28515625" style="2293" customWidth="1"/>
    <col min="12823" max="12823" width="11.7109375" style="2293" customWidth="1"/>
    <col min="12824" max="12824" width="0" style="2293" hidden="1" customWidth="1"/>
    <col min="12825" max="12825" width="14.5703125" style="2293" customWidth="1"/>
    <col min="12826" max="12826" width="11.85546875" style="2293" customWidth="1"/>
    <col min="12827" max="13061" width="9.140625" style="2293"/>
    <col min="13062" max="13062" width="2.85546875" style="2293" customWidth="1"/>
    <col min="13063" max="13063" width="50.7109375" style="2293" customWidth="1"/>
    <col min="13064" max="13064" width="9.42578125" style="2293" customWidth="1"/>
    <col min="13065" max="13065" width="11.85546875" style="2293" customWidth="1"/>
    <col min="13066" max="13066" width="8.42578125" style="2293" bestFit="1" customWidth="1"/>
    <col min="13067" max="13069" width="0" style="2293" hidden="1" customWidth="1"/>
    <col min="13070" max="13070" width="6" style="2293" bestFit="1" customWidth="1"/>
    <col min="13071" max="13071" width="9.5703125" style="2293" customWidth="1"/>
    <col min="13072" max="13072" width="9.85546875" style="2293" customWidth="1"/>
    <col min="13073" max="13073" width="9.7109375" style="2293" customWidth="1"/>
    <col min="13074" max="13074" width="9.5703125" style="2293" customWidth="1"/>
    <col min="13075" max="13075" width="9.85546875" style="2293" customWidth="1"/>
    <col min="13076" max="13076" width="6.5703125" style="2293" customWidth="1"/>
    <col min="13077" max="13077" width="6" style="2293" bestFit="1" customWidth="1"/>
    <col min="13078" max="13078" width="6.28515625" style="2293" customWidth="1"/>
    <col min="13079" max="13079" width="11.7109375" style="2293" customWidth="1"/>
    <col min="13080" max="13080" width="0" style="2293" hidden="1" customWidth="1"/>
    <col min="13081" max="13081" width="14.5703125" style="2293" customWidth="1"/>
    <col min="13082" max="13082" width="11.85546875" style="2293" customWidth="1"/>
    <col min="13083" max="13317" width="9.140625" style="2293"/>
    <col min="13318" max="13318" width="2.85546875" style="2293" customWidth="1"/>
    <col min="13319" max="13319" width="50.7109375" style="2293" customWidth="1"/>
    <col min="13320" max="13320" width="9.42578125" style="2293" customWidth="1"/>
    <col min="13321" max="13321" width="11.85546875" style="2293" customWidth="1"/>
    <col min="13322" max="13322" width="8.42578125" style="2293" bestFit="1" customWidth="1"/>
    <col min="13323" max="13325" width="0" style="2293" hidden="1" customWidth="1"/>
    <col min="13326" max="13326" width="6" style="2293" bestFit="1" customWidth="1"/>
    <col min="13327" max="13327" width="9.5703125" style="2293" customWidth="1"/>
    <col min="13328" max="13328" width="9.85546875" style="2293" customWidth="1"/>
    <col min="13329" max="13329" width="9.7109375" style="2293" customWidth="1"/>
    <col min="13330" max="13330" width="9.5703125" style="2293" customWidth="1"/>
    <col min="13331" max="13331" width="9.85546875" style="2293" customWidth="1"/>
    <col min="13332" max="13332" width="6.5703125" style="2293" customWidth="1"/>
    <col min="13333" max="13333" width="6" style="2293" bestFit="1" customWidth="1"/>
    <col min="13334" max="13334" width="6.28515625" style="2293" customWidth="1"/>
    <col min="13335" max="13335" width="11.7109375" style="2293" customWidth="1"/>
    <col min="13336" max="13336" width="0" style="2293" hidden="1" customWidth="1"/>
    <col min="13337" max="13337" width="14.5703125" style="2293" customWidth="1"/>
    <col min="13338" max="13338" width="11.85546875" style="2293" customWidth="1"/>
    <col min="13339" max="13573" width="9.140625" style="2293"/>
    <col min="13574" max="13574" width="2.85546875" style="2293" customWidth="1"/>
    <col min="13575" max="13575" width="50.7109375" style="2293" customWidth="1"/>
    <col min="13576" max="13576" width="9.42578125" style="2293" customWidth="1"/>
    <col min="13577" max="13577" width="11.85546875" style="2293" customWidth="1"/>
    <col min="13578" max="13578" width="8.42578125" style="2293" bestFit="1" customWidth="1"/>
    <col min="13579" max="13581" width="0" style="2293" hidden="1" customWidth="1"/>
    <col min="13582" max="13582" width="6" style="2293" bestFit="1" customWidth="1"/>
    <col min="13583" max="13583" width="9.5703125" style="2293" customWidth="1"/>
    <col min="13584" max="13584" width="9.85546875" style="2293" customWidth="1"/>
    <col min="13585" max="13585" width="9.7109375" style="2293" customWidth="1"/>
    <col min="13586" max="13586" width="9.5703125" style="2293" customWidth="1"/>
    <col min="13587" max="13587" width="9.85546875" style="2293" customWidth="1"/>
    <col min="13588" max="13588" width="6.5703125" style="2293" customWidth="1"/>
    <col min="13589" max="13589" width="6" style="2293" bestFit="1" customWidth="1"/>
    <col min="13590" max="13590" width="6.28515625" style="2293" customWidth="1"/>
    <col min="13591" max="13591" width="11.7109375" style="2293" customWidth="1"/>
    <col min="13592" max="13592" width="0" style="2293" hidden="1" customWidth="1"/>
    <col min="13593" max="13593" width="14.5703125" style="2293" customWidth="1"/>
    <col min="13594" max="13594" width="11.85546875" style="2293" customWidth="1"/>
    <col min="13595" max="13829" width="9.140625" style="2293"/>
    <col min="13830" max="13830" width="2.85546875" style="2293" customWidth="1"/>
    <col min="13831" max="13831" width="50.7109375" style="2293" customWidth="1"/>
    <col min="13832" max="13832" width="9.42578125" style="2293" customWidth="1"/>
    <col min="13833" max="13833" width="11.85546875" style="2293" customWidth="1"/>
    <col min="13834" max="13834" width="8.42578125" style="2293" bestFit="1" customWidth="1"/>
    <col min="13835" max="13837" width="0" style="2293" hidden="1" customWidth="1"/>
    <col min="13838" max="13838" width="6" style="2293" bestFit="1" customWidth="1"/>
    <col min="13839" max="13839" width="9.5703125" style="2293" customWidth="1"/>
    <col min="13840" max="13840" width="9.85546875" style="2293" customWidth="1"/>
    <col min="13841" max="13841" width="9.7109375" style="2293" customWidth="1"/>
    <col min="13842" max="13842" width="9.5703125" style="2293" customWidth="1"/>
    <col min="13843" max="13843" width="9.85546875" style="2293" customWidth="1"/>
    <col min="13844" max="13844" width="6.5703125" style="2293" customWidth="1"/>
    <col min="13845" max="13845" width="6" style="2293" bestFit="1" customWidth="1"/>
    <col min="13846" max="13846" width="6.28515625" style="2293" customWidth="1"/>
    <col min="13847" max="13847" width="11.7109375" style="2293" customWidth="1"/>
    <col min="13848" max="13848" width="0" style="2293" hidden="1" customWidth="1"/>
    <col min="13849" max="13849" width="14.5703125" style="2293" customWidth="1"/>
    <col min="13850" max="13850" width="11.85546875" style="2293" customWidth="1"/>
    <col min="13851" max="14085" width="9.140625" style="2293"/>
    <col min="14086" max="14086" width="2.85546875" style="2293" customWidth="1"/>
    <col min="14087" max="14087" width="50.7109375" style="2293" customWidth="1"/>
    <col min="14088" max="14088" width="9.42578125" style="2293" customWidth="1"/>
    <col min="14089" max="14089" width="11.85546875" style="2293" customWidth="1"/>
    <col min="14090" max="14090" width="8.42578125" style="2293" bestFit="1" customWidth="1"/>
    <col min="14091" max="14093" width="0" style="2293" hidden="1" customWidth="1"/>
    <col min="14094" max="14094" width="6" style="2293" bestFit="1" customWidth="1"/>
    <col min="14095" max="14095" width="9.5703125" style="2293" customWidth="1"/>
    <col min="14096" max="14096" width="9.85546875" style="2293" customWidth="1"/>
    <col min="14097" max="14097" width="9.7109375" style="2293" customWidth="1"/>
    <col min="14098" max="14098" width="9.5703125" style="2293" customWidth="1"/>
    <col min="14099" max="14099" width="9.85546875" style="2293" customWidth="1"/>
    <col min="14100" max="14100" width="6.5703125" style="2293" customWidth="1"/>
    <col min="14101" max="14101" width="6" style="2293" bestFit="1" customWidth="1"/>
    <col min="14102" max="14102" width="6.28515625" style="2293" customWidth="1"/>
    <col min="14103" max="14103" width="11.7109375" style="2293" customWidth="1"/>
    <col min="14104" max="14104" width="0" style="2293" hidden="1" customWidth="1"/>
    <col min="14105" max="14105" width="14.5703125" style="2293" customWidth="1"/>
    <col min="14106" max="14106" width="11.85546875" style="2293" customWidth="1"/>
    <col min="14107" max="14341" width="9.140625" style="2293"/>
    <col min="14342" max="14342" width="2.85546875" style="2293" customWidth="1"/>
    <col min="14343" max="14343" width="50.7109375" style="2293" customWidth="1"/>
    <col min="14344" max="14344" width="9.42578125" style="2293" customWidth="1"/>
    <col min="14345" max="14345" width="11.85546875" style="2293" customWidth="1"/>
    <col min="14346" max="14346" width="8.42578125" style="2293" bestFit="1" customWidth="1"/>
    <col min="14347" max="14349" width="0" style="2293" hidden="1" customWidth="1"/>
    <col min="14350" max="14350" width="6" style="2293" bestFit="1" customWidth="1"/>
    <col min="14351" max="14351" width="9.5703125" style="2293" customWidth="1"/>
    <col min="14352" max="14352" width="9.85546875" style="2293" customWidth="1"/>
    <col min="14353" max="14353" width="9.7109375" style="2293" customWidth="1"/>
    <col min="14354" max="14354" width="9.5703125" style="2293" customWidth="1"/>
    <col min="14355" max="14355" width="9.85546875" style="2293" customWidth="1"/>
    <col min="14356" max="14356" width="6.5703125" style="2293" customWidth="1"/>
    <col min="14357" max="14357" width="6" style="2293" bestFit="1" customWidth="1"/>
    <col min="14358" max="14358" width="6.28515625" style="2293" customWidth="1"/>
    <col min="14359" max="14359" width="11.7109375" style="2293" customWidth="1"/>
    <col min="14360" max="14360" width="0" style="2293" hidden="1" customWidth="1"/>
    <col min="14361" max="14361" width="14.5703125" style="2293" customWidth="1"/>
    <col min="14362" max="14362" width="11.85546875" style="2293" customWidth="1"/>
    <col min="14363" max="14597" width="9.140625" style="2293"/>
    <col min="14598" max="14598" width="2.85546875" style="2293" customWidth="1"/>
    <col min="14599" max="14599" width="50.7109375" style="2293" customWidth="1"/>
    <col min="14600" max="14600" width="9.42578125" style="2293" customWidth="1"/>
    <col min="14601" max="14601" width="11.85546875" style="2293" customWidth="1"/>
    <col min="14602" max="14602" width="8.42578125" style="2293" bestFit="1" customWidth="1"/>
    <col min="14603" max="14605" width="0" style="2293" hidden="1" customWidth="1"/>
    <col min="14606" max="14606" width="6" style="2293" bestFit="1" customWidth="1"/>
    <col min="14607" max="14607" width="9.5703125" style="2293" customWidth="1"/>
    <col min="14608" max="14608" width="9.85546875" style="2293" customWidth="1"/>
    <col min="14609" max="14609" width="9.7109375" style="2293" customWidth="1"/>
    <col min="14610" max="14610" width="9.5703125" style="2293" customWidth="1"/>
    <col min="14611" max="14611" width="9.85546875" style="2293" customWidth="1"/>
    <col min="14612" max="14612" width="6.5703125" style="2293" customWidth="1"/>
    <col min="14613" max="14613" width="6" style="2293" bestFit="1" customWidth="1"/>
    <col min="14614" max="14614" width="6.28515625" style="2293" customWidth="1"/>
    <col min="14615" max="14615" width="11.7109375" style="2293" customWidth="1"/>
    <col min="14616" max="14616" width="0" style="2293" hidden="1" customWidth="1"/>
    <col min="14617" max="14617" width="14.5703125" style="2293" customWidth="1"/>
    <col min="14618" max="14618" width="11.85546875" style="2293" customWidth="1"/>
    <col min="14619" max="14853" width="9.140625" style="2293"/>
    <col min="14854" max="14854" width="2.85546875" style="2293" customWidth="1"/>
    <col min="14855" max="14855" width="50.7109375" style="2293" customWidth="1"/>
    <col min="14856" max="14856" width="9.42578125" style="2293" customWidth="1"/>
    <col min="14857" max="14857" width="11.85546875" style="2293" customWidth="1"/>
    <col min="14858" max="14858" width="8.42578125" style="2293" bestFit="1" customWidth="1"/>
    <col min="14859" max="14861" width="0" style="2293" hidden="1" customWidth="1"/>
    <col min="14862" max="14862" width="6" style="2293" bestFit="1" customWidth="1"/>
    <col min="14863" max="14863" width="9.5703125" style="2293" customWidth="1"/>
    <col min="14864" max="14864" width="9.85546875" style="2293" customWidth="1"/>
    <col min="14865" max="14865" width="9.7109375" style="2293" customWidth="1"/>
    <col min="14866" max="14866" width="9.5703125" style="2293" customWidth="1"/>
    <col min="14867" max="14867" width="9.85546875" style="2293" customWidth="1"/>
    <col min="14868" max="14868" width="6.5703125" style="2293" customWidth="1"/>
    <col min="14869" max="14869" width="6" style="2293" bestFit="1" customWidth="1"/>
    <col min="14870" max="14870" width="6.28515625" style="2293" customWidth="1"/>
    <col min="14871" max="14871" width="11.7109375" style="2293" customWidth="1"/>
    <col min="14872" max="14872" width="0" style="2293" hidden="1" customWidth="1"/>
    <col min="14873" max="14873" width="14.5703125" style="2293" customWidth="1"/>
    <col min="14874" max="14874" width="11.85546875" style="2293" customWidth="1"/>
    <col min="14875" max="15109" width="9.140625" style="2293"/>
    <col min="15110" max="15110" width="2.85546875" style="2293" customWidth="1"/>
    <col min="15111" max="15111" width="50.7109375" style="2293" customWidth="1"/>
    <col min="15112" max="15112" width="9.42578125" style="2293" customWidth="1"/>
    <col min="15113" max="15113" width="11.85546875" style="2293" customWidth="1"/>
    <col min="15114" max="15114" width="8.42578125" style="2293" bestFit="1" customWidth="1"/>
    <col min="15115" max="15117" width="0" style="2293" hidden="1" customWidth="1"/>
    <col min="15118" max="15118" width="6" style="2293" bestFit="1" customWidth="1"/>
    <col min="15119" max="15119" width="9.5703125" style="2293" customWidth="1"/>
    <col min="15120" max="15120" width="9.85546875" style="2293" customWidth="1"/>
    <col min="15121" max="15121" width="9.7109375" style="2293" customWidth="1"/>
    <col min="15122" max="15122" width="9.5703125" style="2293" customWidth="1"/>
    <col min="15123" max="15123" width="9.85546875" style="2293" customWidth="1"/>
    <col min="15124" max="15124" width="6.5703125" style="2293" customWidth="1"/>
    <col min="15125" max="15125" width="6" style="2293" bestFit="1" customWidth="1"/>
    <col min="15126" max="15126" width="6.28515625" style="2293" customWidth="1"/>
    <col min="15127" max="15127" width="11.7109375" style="2293" customWidth="1"/>
    <col min="15128" max="15128" width="0" style="2293" hidden="1" customWidth="1"/>
    <col min="15129" max="15129" width="14.5703125" style="2293" customWidth="1"/>
    <col min="15130" max="15130" width="11.85546875" style="2293" customWidth="1"/>
    <col min="15131" max="15365" width="9.140625" style="2293"/>
    <col min="15366" max="15366" width="2.85546875" style="2293" customWidth="1"/>
    <col min="15367" max="15367" width="50.7109375" style="2293" customWidth="1"/>
    <col min="15368" max="15368" width="9.42578125" style="2293" customWidth="1"/>
    <col min="15369" max="15369" width="11.85546875" style="2293" customWidth="1"/>
    <col min="15370" max="15370" width="8.42578125" style="2293" bestFit="1" customWidth="1"/>
    <col min="15371" max="15373" width="0" style="2293" hidden="1" customWidth="1"/>
    <col min="15374" max="15374" width="6" style="2293" bestFit="1" customWidth="1"/>
    <col min="15375" max="15375" width="9.5703125" style="2293" customWidth="1"/>
    <col min="15376" max="15376" width="9.85546875" style="2293" customWidth="1"/>
    <col min="15377" max="15377" width="9.7109375" style="2293" customWidth="1"/>
    <col min="15378" max="15378" width="9.5703125" style="2293" customWidth="1"/>
    <col min="15379" max="15379" width="9.85546875" style="2293" customWidth="1"/>
    <col min="15380" max="15380" width="6.5703125" style="2293" customWidth="1"/>
    <col min="15381" max="15381" width="6" style="2293" bestFit="1" customWidth="1"/>
    <col min="15382" max="15382" width="6.28515625" style="2293" customWidth="1"/>
    <col min="15383" max="15383" width="11.7109375" style="2293" customWidth="1"/>
    <col min="15384" max="15384" width="0" style="2293" hidden="1" customWidth="1"/>
    <col min="15385" max="15385" width="14.5703125" style="2293" customWidth="1"/>
    <col min="15386" max="15386" width="11.85546875" style="2293" customWidth="1"/>
    <col min="15387" max="15621" width="9.140625" style="2293"/>
    <col min="15622" max="15622" width="2.85546875" style="2293" customWidth="1"/>
    <col min="15623" max="15623" width="50.7109375" style="2293" customWidth="1"/>
    <col min="15624" max="15624" width="9.42578125" style="2293" customWidth="1"/>
    <col min="15625" max="15625" width="11.85546875" style="2293" customWidth="1"/>
    <col min="15626" max="15626" width="8.42578125" style="2293" bestFit="1" customWidth="1"/>
    <col min="15627" max="15629" width="0" style="2293" hidden="1" customWidth="1"/>
    <col min="15630" max="15630" width="6" style="2293" bestFit="1" customWidth="1"/>
    <col min="15631" max="15631" width="9.5703125" style="2293" customWidth="1"/>
    <col min="15632" max="15632" width="9.85546875" style="2293" customWidth="1"/>
    <col min="15633" max="15633" width="9.7109375" style="2293" customWidth="1"/>
    <col min="15634" max="15634" width="9.5703125" style="2293" customWidth="1"/>
    <col min="15635" max="15635" width="9.85546875" style="2293" customWidth="1"/>
    <col min="15636" max="15636" width="6.5703125" style="2293" customWidth="1"/>
    <col min="15637" max="15637" width="6" style="2293" bestFit="1" customWidth="1"/>
    <col min="15638" max="15638" width="6.28515625" style="2293" customWidth="1"/>
    <col min="15639" max="15639" width="11.7109375" style="2293" customWidth="1"/>
    <col min="15640" max="15640" width="0" style="2293" hidden="1" customWidth="1"/>
    <col min="15641" max="15641" width="14.5703125" style="2293" customWidth="1"/>
    <col min="15642" max="15642" width="11.85546875" style="2293" customWidth="1"/>
    <col min="15643" max="15877" width="9.140625" style="2293"/>
    <col min="15878" max="15878" width="2.85546875" style="2293" customWidth="1"/>
    <col min="15879" max="15879" width="50.7109375" style="2293" customWidth="1"/>
    <col min="15880" max="15880" width="9.42578125" style="2293" customWidth="1"/>
    <col min="15881" max="15881" width="11.85546875" style="2293" customWidth="1"/>
    <col min="15882" max="15882" width="8.42578125" style="2293" bestFit="1" customWidth="1"/>
    <col min="15883" max="15885" width="0" style="2293" hidden="1" customWidth="1"/>
    <col min="15886" max="15886" width="6" style="2293" bestFit="1" customWidth="1"/>
    <col min="15887" max="15887" width="9.5703125" style="2293" customWidth="1"/>
    <col min="15888" max="15888" width="9.85546875" style="2293" customWidth="1"/>
    <col min="15889" max="15889" width="9.7109375" style="2293" customWidth="1"/>
    <col min="15890" max="15890" width="9.5703125" style="2293" customWidth="1"/>
    <col min="15891" max="15891" width="9.85546875" style="2293" customWidth="1"/>
    <col min="15892" max="15892" width="6.5703125" style="2293" customWidth="1"/>
    <col min="15893" max="15893" width="6" style="2293" bestFit="1" customWidth="1"/>
    <col min="15894" max="15894" width="6.28515625" style="2293" customWidth="1"/>
    <col min="15895" max="15895" width="11.7109375" style="2293" customWidth="1"/>
    <col min="15896" max="15896" width="0" style="2293" hidden="1" customWidth="1"/>
    <col min="15897" max="15897" width="14.5703125" style="2293" customWidth="1"/>
    <col min="15898" max="15898" width="11.85546875" style="2293" customWidth="1"/>
    <col min="15899" max="16133" width="9.140625" style="2293"/>
    <col min="16134" max="16134" width="2.85546875" style="2293" customWidth="1"/>
    <col min="16135" max="16135" width="50.7109375" style="2293" customWidth="1"/>
    <col min="16136" max="16136" width="9.42578125" style="2293" customWidth="1"/>
    <col min="16137" max="16137" width="11.85546875" style="2293" customWidth="1"/>
    <col min="16138" max="16138" width="8.42578125" style="2293" bestFit="1" customWidth="1"/>
    <col min="16139" max="16141" width="0" style="2293" hidden="1" customWidth="1"/>
    <col min="16142" max="16142" width="6" style="2293" bestFit="1" customWidth="1"/>
    <col min="16143" max="16143" width="9.5703125" style="2293" customWidth="1"/>
    <col min="16144" max="16144" width="9.85546875" style="2293" customWidth="1"/>
    <col min="16145" max="16145" width="9.7109375" style="2293" customWidth="1"/>
    <col min="16146" max="16146" width="9.5703125" style="2293" customWidth="1"/>
    <col min="16147" max="16147" width="9.85546875" style="2293" customWidth="1"/>
    <col min="16148" max="16148" width="6.5703125" style="2293" customWidth="1"/>
    <col min="16149" max="16149" width="6" style="2293" bestFit="1" customWidth="1"/>
    <col min="16150" max="16150" width="6.28515625" style="2293" customWidth="1"/>
    <col min="16151" max="16151" width="11.7109375" style="2293" customWidth="1"/>
    <col min="16152" max="16152" width="0" style="2293" hidden="1" customWidth="1"/>
    <col min="16153" max="16153" width="14.5703125" style="2293" customWidth="1"/>
    <col min="16154" max="16154" width="11.85546875" style="2293" customWidth="1"/>
    <col min="16155" max="16384" width="9.140625" style="2293"/>
  </cols>
  <sheetData>
    <row r="1" spans="1:26" ht="15" customHeight="1">
      <c r="O1" s="2294"/>
      <c r="P1" s="2293"/>
      <c r="S1" s="2295" t="s">
        <v>268</v>
      </c>
      <c r="X1" s="2296"/>
      <c r="Y1" s="2297"/>
    </row>
    <row r="2" spans="1:26" ht="2.25" customHeight="1">
      <c r="N2" s="2298"/>
      <c r="O2" s="2299"/>
      <c r="P2" s="2300"/>
      <c r="X2" s="2296"/>
      <c r="Y2" s="2297"/>
    </row>
    <row r="3" spans="1:26" ht="9" customHeight="1">
      <c r="N3" s="2298"/>
      <c r="O3" s="2299"/>
      <c r="P3" s="2300"/>
      <c r="X3" s="2296"/>
      <c r="Y3" s="2297"/>
    </row>
    <row r="4" spans="1:26" ht="36" customHeight="1" thickBot="1">
      <c r="A4" s="2998" t="s">
        <v>262</v>
      </c>
      <c r="B4" s="2998"/>
      <c r="C4" s="2998"/>
      <c r="D4" s="2998"/>
      <c r="E4" s="2998"/>
      <c r="F4" s="2998"/>
      <c r="G4" s="2998"/>
      <c r="H4" s="2998"/>
      <c r="I4" s="2998"/>
      <c r="J4" s="2998"/>
      <c r="K4" s="2998"/>
      <c r="L4" s="2998"/>
      <c r="M4" s="2998"/>
      <c r="N4" s="2998"/>
      <c r="O4" s="2998"/>
      <c r="P4" s="2998"/>
      <c r="Q4" s="2998"/>
      <c r="R4" s="2998"/>
      <c r="S4" s="2998"/>
      <c r="T4" s="2998"/>
      <c r="U4" s="2998"/>
      <c r="V4" s="2998"/>
      <c r="W4" s="2998"/>
      <c r="X4" s="2998"/>
      <c r="Y4" s="2998"/>
    </row>
    <row r="5" spans="1:26" ht="29.25" customHeight="1">
      <c r="A5" s="2301"/>
      <c r="B5" s="2999" t="s">
        <v>91</v>
      </c>
      <c r="C5" s="2670" t="s">
        <v>87</v>
      </c>
      <c r="D5" s="2673" t="s">
        <v>139</v>
      </c>
      <c r="E5" s="3004" t="s">
        <v>3</v>
      </c>
      <c r="F5" s="3005"/>
      <c r="G5" s="3005"/>
      <c r="H5" s="3005"/>
      <c r="I5" s="3005"/>
      <c r="J5" s="3005"/>
      <c r="K5" s="3005"/>
      <c r="L5" s="3006"/>
      <c r="M5" s="3012" t="s">
        <v>274</v>
      </c>
      <c r="N5" s="2302"/>
      <c r="O5" s="2690" t="s">
        <v>375</v>
      </c>
      <c r="P5" s="2692" t="s">
        <v>370</v>
      </c>
      <c r="Q5" s="2693"/>
      <c r="R5" s="2693"/>
      <c r="S5" s="2693"/>
      <c r="T5" s="2693"/>
      <c r="U5" s="2693"/>
      <c r="V5" s="2693"/>
      <c r="W5" s="2694"/>
      <c r="X5" s="2898" t="s">
        <v>348</v>
      </c>
      <c r="Y5" s="2874" t="s">
        <v>89</v>
      </c>
    </row>
    <row r="6" spans="1:26" ht="29.25" customHeight="1">
      <c r="A6" s="2303" t="s">
        <v>90</v>
      </c>
      <c r="B6" s="3000"/>
      <c r="C6" s="3002"/>
      <c r="D6" s="2955"/>
      <c r="E6" s="3007"/>
      <c r="F6" s="3008"/>
      <c r="G6" s="3008"/>
      <c r="H6" s="3008"/>
      <c r="I6" s="3008"/>
      <c r="J6" s="3008"/>
      <c r="K6" s="3008"/>
      <c r="L6" s="3009"/>
      <c r="M6" s="3013"/>
      <c r="N6" s="2304"/>
      <c r="O6" s="2691"/>
      <c r="P6" s="2695"/>
      <c r="Q6" s="2696"/>
      <c r="R6" s="2696"/>
      <c r="S6" s="2696"/>
      <c r="T6" s="2696"/>
      <c r="U6" s="2696"/>
      <c r="V6" s="2696"/>
      <c r="W6" s="2697"/>
      <c r="X6" s="3010"/>
      <c r="Y6" s="2875"/>
    </row>
    <row r="7" spans="1:26" ht="24" customHeight="1" thickBot="1">
      <c r="A7" s="2303"/>
      <c r="B7" s="3001"/>
      <c r="C7" s="3003"/>
      <c r="D7" s="2956"/>
      <c r="E7" s="2305" t="s">
        <v>6</v>
      </c>
      <c r="F7" s="2306" t="s">
        <v>7</v>
      </c>
      <c r="G7" s="2306" t="s">
        <v>8</v>
      </c>
      <c r="H7" s="2306" t="s">
        <v>9</v>
      </c>
      <c r="I7" s="2307" t="s">
        <v>10</v>
      </c>
      <c r="J7" s="2307" t="s">
        <v>11</v>
      </c>
      <c r="K7" s="2307" t="s">
        <v>12</v>
      </c>
      <c r="L7" s="2307" t="s">
        <v>13</v>
      </c>
      <c r="M7" s="2308" t="s">
        <v>349</v>
      </c>
      <c r="N7" s="2309" t="s">
        <v>14</v>
      </c>
      <c r="O7" s="2310" t="s">
        <v>15</v>
      </c>
      <c r="P7" s="2310" t="s">
        <v>16</v>
      </c>
      <c r="Q7" s="2310" t="s">
        <v>17</v>
      </c>
      <c r="R7" s="2310" t="s">
        <v>18</v>
      </c>
      <c r="S7" s="2310" t="s">
        <v>271</v>
      </c>
      <c r="T7" s="2310" t="s">
        <v>272</v>
      </c>
      <c r="U7" s="2310" t="s">
        <v>345</v>
      </c>
      <c r="V7" s="2310" t="s">
        <v>346</v>
      </c>
      <c r="W7" s="2310" t="s">
        <v>347</v>
      </c>
      <c r="X7" s="3011"/>
      <c r="Y7" s="2876"/>
    </row>
    <row r="8" spans="1:26" ht="15" customHeight="1" thickBot="1">
      <c r="A8" s="2311">
        <v>1</v>
      </c>
      <c r="B8" s="2312">
        <v>2</v>
      </c>
      <c r="C8" s="2313" t="s">
        <v>140</v>
      </c>
      <c r="D8" s="2313" t="s">
        <v>141</v>
      </c>
      <c r="E8" s="2313" t="s">
        <v>142</v>
      </c>
      <c r="F8" s="2314">
        <v>8</v>
      </c>
      <c r="G8" s="2314">
        <v>9</v>
      </c>
      <c r="H8" s="2314">
        <v>10</v>
      </c>
      <c r="I8" s="2315" t="s">
        <v>143</v>
      </c>
      <c r="J8" s="2315" t="s">
        <v>144</v>
      </c>
      <c r="K8" s="2315" t="s">
        <v>145</v>
      </c>
      <c r="L8" s="2315" t="s">
        <v>146</v>
      </c>
      <c r="M8" s="2315">
        <v>5</v>
      </c>
      <c r="N8" s="2315" t="s">
        <v>342</v>
      </c>
      <c r="O8" s="2315">
        <v>6</v>
      </c>
      <c r="P8" s="2315">
        <v>7</v>
      </c>
      <c r="Q8" s="2315">
        <v>8</v>
      </c>
      <c r="R8" s="2315">
        <v>9</v>
      </c>
      <c r="S8" s="2316">
        <v>10</v>
      </c>
      <c r="T8" s="2316">
        <v>11</v>
      </c>
      <c r="U8" s="2316">
        <v>12</v>
      </c>
      <c r="V8" s="2316">
        <v>13</v>
      </c>
      <c r="W8" s="2316">
        <v>14</v>
      </c>
      <c r="X8" s="2317">
        <v>15</v>
      </c>
      <c r="Y8" s="2318">
        <v>16</v>
      </c>
    </row>
    <row r="9" spans="1:26" s="2320" customFormat="1" ht="15.75" customHeight="1">
      <c r="A9" s="644"/>
      <c r="B9" s="790" t="s">
        <v>92</v>
      </c>
      <c r="C9" s="755"/>
      <c r="D9" s="756">
        <f>+D10+D11</f>
        <v>2259649</v>
      </c>
      <c r="E9" s="756">
        <f t="shared" ref="E9:Q9" si="0">+E10+E11</f>
        <v>0</v>
      </c>
      <c r="F9" s="756">
        <f t="shared" si="0"/>
        <v>0</v>
      </c>
      <c r="G9" s="756">
        <f t="shared" si="0"/>
        <v>0</v>
      </c>
      <c r="H9" s="756">
        <f t="shared" si="0"/>
        <v>0</v>
      </c>
      <c r="I9" s="756">
        <f t="shared" si="0"/>
        <v>0</v>
      </c>
      <c r="J9" s="756">
        <f t="shared" si="0"/>
        <v>0</v>
      </c>
      <c r="K9" s="756">
        <f t="shared" si="0"/>
        <v>0</v>
      </c>
      <c r="L9" s="756">
        <f t="shared" si="0"/>
        <v>0</v>
      </c>
      <c r="M9" s="756">
        <f>+M10+M11</f>
        <v>0</v>
      </c>
      <c r="N9" s="756">
        <f t="shared" si="0"/>
        <v>0</v>
      </c>
      <c r="O9" s="756">
        <f t="shared" si="0"/>
        <v>49386</v>
      </c>
      <c r="P9" s="756">
        <f t="shared" si="0"/>
        <v>426427</v>
      </c>
      <c r="Q9" s="756">
        <f t="shared" si="0"/>
        <v>795346</v>
      </c>
      <c r="R9" s="756">
        <f t="shared" ref="R9:X9" si="1">+R10+R11</f>
        <v>716400</v>
      </c>
      <c r="S9" s="756">
        <f t="shared" si="1"/>
        <v>145187</v>
      </c>
      <c r="T9" s="756">
        <f t="shared" si="1"/>
        <v>126903</v>
      </c>
      <c r="U9" s="756">
        <f t="shared" si="1"/>
        <v>0</v>
      </c>
      <c r="V9" s="756">
        <f t="shared" si="1"/>
        <v>0</v>
      </c>
      <c r="W9" s="756">
        <f t="shared" si="1"/>
        <v>0</v>
      </c>
      <c r="X9" s="652">
        <f t="shared" si="1"/>
        <v>2210263</v>
      </c>
      <c r="Y9" s="331"/>
      <c r="Z9" s="2319"/>
    </row>
    <row r="10" spans="1:26" s="2320" customFormat="1" ht="13.5" customHeight="1">
      <c r="A10" s="644"/>
      <c r="B10" s="771" t="s">
        <v>93</v>
      </c>
      <c r="C10" s="758"/>
      <c r="D10" s="759">
        <f>+D26+D35+D55</f>
        <v>2259649</v>
      </c>
      <c r="E10" s="759">
        <f t="shared" ref="E10:L10" si="2">+E26+E35+E56</f>
        <v>0</v>
      </c>
      <c r="F10" s="759">
        <f t="shared" si="2"/>
        <v>0</v>
      </c>
      <c r="G10" s="759">
        <f t="shared" si="2"/>
        <v>0</v>
      </c>
      <c r="H10" s="759">
        <f t="shared" si="2"/>
        <v>0</v>
      </c>
      <c r="I10" s="759">
        <f t="shared" si="2"/>
        <v>0</v>
      </c>
      <c r="J10" s="759">
        <f t="shared" si="2"/>
        <v>0</v>
      </c>
      <c r="K10" s="759">
        <f t="shared" si="2"/>
        <v>0</v>
      </c>
      <c r="L10" s="759">
        <f t="shared" si="2"/>
        <v>0</v>
      </c>
      <c r="M10" s="759">
        <f>+M26+M35+M55</f>
        <v>0</v>
      </c>
      <c r="N10" s="759">
        <f>+N26+N35</f>
        <v>0</v>
      </c>
      <c r="O10" s="759">
        <f t="shared" ref="O10:T10" si="3">+O26+O35+O55</f>
        <v>49386</v>
      </c>
      <c r="P10" s="759">
        <f t="shared" si="3"/>
        <v>426427</v>
      </c>
      <c r="Q10" s="759">
        <f t="shared" si="3"/>
        <v>795346</v>
      </c>
      <c r="R10" s="759">
        <f t="shared" si="3"/>
        <v>716400</v>
      </c>
      <c r="S10" s="759">
        <f t="shared" si="3"/>
        <v>145187</v>
      </c>
      <c r="T10" s="759">
        <f t="shared" si="3"/>
        <v>126903</v>
      </c>
      <c r="U10" s="759">
        <f>+U26+U35+U56</f>
        <v>0</v>
      </c>
      <c r="V10" s="759">
        <f>+V26+V35+V56</f>
        <v>0</v>
      </c>
      <c r="W10" s="759">
        <f>+W26+W35+W56</f>
        <v>0</v>
      </c>
      <c r="X10" s="2321">
        <f>SUM(P10:T10)</f>
        <v>2210263</v>
      </c>
      <c r="Y10" s="331"/>
    </row>
    <row r="11" spans="1:26" s="2320" customFormat="1" ht="13.5" customHeight="1" thickBot="1">
      <c r="A11" s="644"/>
      <c r="B11" s="2322" t="s">
        <v>21</v>
      </c>
      <c r="C11" s="2323"/>
      <c r="D11" s="2324">
        <f>D44</f>
        <v>0</v>
      </c>
      <c r="E11" s="2324">
        <f t="shared" ref="E11:Q11" si="4">E44</f>
        <v>0</v>
      </c>
      <c r="F11" s="2324">
        <f t="shared" si="4"/>
        <v>0</v>
      </c>
      <c r="G11" s="2324">
        <f t="shared" si="4"/>
        <v>0</v>
      </c>
      <c r="H11" s="2324">
        <f t="shared" si="4"/>
        <v>0</v>
      </c>
      <c r="I11" s="2324">
        <f t="shared" si="4"/>
        <v>0</v>
      </c>
      <c r="J11" s="2324">
        <f t="shared" si="4"/>
        <v>0</v>
      </c>
      <c r="K11" s="2324">
        <f t="shared" si="4"/>
        <v>0</v>
      </c>
      <c r="L11" s="2324">
        <f t="shared" si="4"/>
        <v>0</v>
      </c>
      <c r="M11" s="2324">
        <f>M44</f>
        <v>0</v>
      </c>
      <c r="N11" s="2324">
        <f t="shared" si="4"/>
        <v>0</v>
      </c>
      <c r="O11" s="2324">
        <f t="shared" si="4"/>
        <v>0</v>
      </c>
      <c r="P11" s="2324">
        <f t="shared" si="4"/>
        <v>0</v>
      </c>
      <c r="Q11" s="2324">
        <f t="shared" si="4"/>
        <v>0</v>
      </c>
      <c r="R11" s="2324">
        <f t="shared" ref="R11:W11" si="5">R44</f>
        <v>0</v>
      </c>
      <c r="S11" s="2324">
        <f t="shared" si="5"/>
        <v>0</v>
      </c>
      <c r="T11" s="2324">
        <f t="shared" si="5"/>
        <v>0</v>
      </c>
      <c r="U11" s="2324">
        <f t="shared" si="5"/>
        <v>0</v>
      </c>
      <c r="V11" s="2324">
        <f t="shared" si="5"/>
        <v>0</v>
      </c>
      <c r="W11" s="2324">
        <f t="shared" si="5"/>
        <v>0</v>
      </c>
      <c r="X11" s="654">
        <f>SUM(P11:T11)</f>
        <v>0</v>
      </c>
      <c r="Y11" s="331"/>
    </row>
    <row r="12" spans="1:26" ht="12">
      <c r="A12" s="644"/>
      <c r="B12" s="527" t="s">
        <v>22</v>
      </c>
      <c r="C12" s="522"/>
      <c r="D12" s="583">
        <f>D13+D16</f>
        <v>2259649</v>
      </c>
      <c r="E12" s="583">
        <f t="shared" ref="E12:O12" si="6">E13+E16</f>
        <v>0</v>
      </c>
      <c r="F12" s="583">
        <f t="shared" si="6"/>
        <v>0</v>
      </c>
      <c r="G12" s="583">
        <f t="shared" si="6"/>
        <v>0</v>
      </c>
      <c r="H12" s="583">
        <f t="shared" si="6"/>
        <v>0</v>
      </c>
      <c r="I12" s="583">
        <f t="shared" si="6"/>
        <v>0</v>
      </c>
      <c r="J12" s="583">
        <f t="shared" si="6"/>
        <v>0</v>
      </c>
      <c r="K12" s="583">
        <f t="shared" si="6"/>
        <v>0</v>
      </c>
      <c r="L12" s="583">
        <f t="shared" si="6"/>
        <v>0</v>
      </c>
      <c r="M12" s="583">
        <f>M13+M16</f>
        <v>0</v>
      </c>
      <c r="N12" s="583">
        <f t="shared" si="6"/>
        <v>0</v>
      </c>
      <c r="O12" s="583">
        <f t="shared" si="6"/>
        <v>49386</v>
      </c>
      <c r="P12" s="583">
        <f t="shared" ref="P12:W12" si="7">P13+P16</f>
        <v>426427</v>
      </c>
      <c r="Q12" s="583">
        <f t="shared" si="7"/>
        <v>795346</v>
      </c>
      <c r="R12" s="583">
        <f t="shared" si="7"/>
        <v>716400</v>
      </c>
      <c r="S12" s="583">
        <f t="shared" si="7"/>
        <v>145187</v>
      </c>
      <c r="T12" s="583">
        <f t="shared" si="7"/>
        <v>126903</v>
      </c>
      <c r="U12" s="583">
        <f t="shared" si="7"/>
        <v>0</v>
      </c>
      <c r="V12" s="583">
        <f t="shared" si="7"/>
        <v>0</v>
      </c>
      <c r="W12" s="583">
        <f t="shared" si="7"/>
        <v>0</v>
      </c>
      <c r="X12" s="2062">
        <f>+X13+X16</f>
        <v>2210263</v>
      </c>
      <c r="Y12" s="2325"/>
    </row>
    <row r="13" spans="1:26" ht="13.5" customHeight="1">
      <c r="A13" s="644"/>
      <c r="B13" s="2326" t="s">
        <v>36</v>
      </c>
      <c r="C13" s="2327"/>
      <c r="D13" s="2328">
        <f>+D14+D15</f>
        <v>379642</v>
      </c>
      <c r="E13" s="2328">
        <f t="shared" ref="E13:W13" si="8">+E14+E15</f>
        <v>0</v>
      </c>
      <c r="F13" s="2328">
        <f t="shared" si="8"/>
        <v>0</v>
      </c>
      <c r="G13" s="2328">
        <f t="shared" si="8"/>
        <v>0</v>
      </c>
      <c r="H13" s="2328">
        <f t="shared" si="8"/>
        <v>0</v>
      </c>
      <c r="I13" s="2328">
        <f t="shared" si="8"/>
        <v>0</v>
      </c>
      <c r="J13" s="2328">
        <f t="shared" si="8"/>
        <v>0</v>
      </c>
      <c r="K13" s="2328">
        <f t="shared" si="8"/>
        <v>0</v>
      </c>
      <c r="L13" s="2328">
        <f t="shared" si="8"/>
        <v>0</v>
      </c>
      <c r="M13" s="2328">
        <f t="shared" si="8"/>
        <v>0</v>
      </c>
      <c r="N13" s="2328">
        <f t="shared" si="8"/>
        <v>0</v>
      </c>
      <c r="O13" s="2328">
        <f t="shared" si="8"/>
        <v>12423</v>
      </c>
      <c r="P13" s="2328">
        <f t="shared" si="8"/>
        <v>71252</v>
      </c>
      <c r="Q13" s="2328">
        <f t="shared" si="8"/>
        <v>126399</v>
      </c>
      <c r="R13" s="2328">
        <f t="shared" si="8"/>
        <v>114557</v>
      </c>
      <c r="S13" s="2328">
        <f t="shared" si="8"/>
        <v>28877</v>
      </c>
      <c r="T13" s="2328">
        <f t="shared" si="8"/>
        <v>26134</v>
      </c>
      <c r="U13" s="2328">
        <f t="shared" si="8"/>
        <v>0</v>
      </c>
      <c r="V13" s="2328">
        <f t="shared" si="8"/>
        <v>0</v>
      </c>
      <c r="W13" s="2328">
        <f t="shared" si="8"/>
        <v>0</v>
      </c>
      <c r="X13" s="2329">
        <f>+X14+X15</f>
        <v>367219</v>
      </c>
      <c r="Y13" s="2330"/>
    </row>
    <row r="14" spans="1:26" ht="14.25" customHeight="1">
      <c r="A14" s="644"/>
      <c r="B14" s="2331" t="s">
        <v>24</v>
      </c>
      <c r="C14" s="2332"/>
      <c r="D14" s="2333">
        <f>D28+D37+D61</f>
        <v>280245</v>
      </c>
      <c r="E14" s="2333">
        <f t="shared" ref="E14:N14" si="9">E28+E37</f>
        <v>0</v>
      </c>
      <c r="F14" s="2333">
        <f t="shared" si="9"/>
        <v>0</v>
      </c>
      <c r="G14" s="2333">
        <f t="shared" si="9"/>
        <v>0</v>
      </c>
      <c r="H14" s="2333">
        <f t="shared" si="9"/>
        <v>0</v>
      </c>
      <c r="I14" s="2333">
        <f t="shared" si="9"/>
        <v>0</v>
      </c>
      <c r="J14" s="2333">
        <f t="shared" si="9"/>
        <v>0</v>
      </c>
      <c r="K14" s="2333">
        <f t="shared" si="9"/>
        <v>0</v>
      </c>
      <c r="L14" s="2333">
        <f t="shared" si="9"/>
        <v>0</v>
      </c>
      <c r="M14" s="2333">
        <f>M28+M37+M61</f>
        <v>0</v>
      </c>
      <c r="N14" s="2333">
        <f t="shared" si="9"/>
        <v>0</v>
      </c>
      <c r="O14" s="2333">
        <f>O28+O37+O61</f>
        <v>102</v>
      </c>
      <c r="P14" s="2333">
        <f t="shared" ref="P14:W14" si="10">P28+P37+P61</f>
        <v>53454</v>
      </c>
      <c r="Q14" s="2333">
        <f t="shared" si="10"/>
        <v>109080</v>
      </c>
      <c r="R14" s="2333">
        <f t="shared" si="10"/>
        <v>97238</v>
      </c>
      <c r="S14" s="2333">
        <f t="shared" si="10"/>
        <v>11557</v>
      </c>
      <c r="T14" s="2333">
        <f t="shared" si="10"/>
        <v>8814</v>
      </c>
      <c r="U14" s="2333">
        <f t="shared" si="10"/>
        <v>0</v>
      </c>
      <c r="V14" s="2333">
        <f t="shared" si="10"/>
        <v>0</v>
      </c>
      <c r="W14" s="2333">
        <f t="shared" si="10"/>
        <v>0</v>
      </c>
      <c r="X14" s="2207">
        <f>+P14+Q14+R14+S14+T14</f>
        <v>280143</v>
      </c>
      <c r="Y14" s="2330"/>
    </row>
    <row r="15" spans="1:26" ht="13.5" customHeight="1">
      <c r="A15" s="644"/>
      <c r="B15" s="2331" t="s">
        <v>25</v>
      </c>
      <c r="C15" s="2332"/>
      <c r="D15" s="2334">
        <f>+D57</f>
        <v>99397</v>
      </c>
      <c r="E15" s="2334"/>
      <c r="F15" s="2334"/>
      <c r="G15" s="2334"/>
      <c r="H15" s="2334"/>
      <c r="I15" s="2334"/>
      <c r="J15" s="2334"/>
      <c r="K15" s="2334"/>
      <c r="L15" s="2334"/>
      <c r="M15" s="2334">
        <f>+M57</f>
        <v>0</v>
      </c>
      <c r="N15" s="2334"/>
      <c r="O15" s="2334">
        <f>+O57</f>
        <v>12321</v>
      </c>
      <c r="P15" s="2334">
        <f t="shared" ref="P15:W15" si="11">+P57</f>
        <v>17798</v>
      </c>
      <c r="Q15" s="2334">
        <f t="shared" si="11"/>
        <v>17319</v>
      </c>
      <c r="R15" s="2334">
        <f t="shared" si="11"/>
        <v>17319</v>
      </c>
      <c r="S15" s="2334">
        <f t="shared" si="11"/>
        <v>17320</v>
      </c>
      <c r="T15" s="2334">
        <f>+T57</f>
        <v>17320</v>
      </c>
      <c r="U15" s="2334">
        <f t="shared" si="11"/>
        <v>0</v>
      </c>
      <c r="V15" s="2334">
        <f t="shared" si="11"/>
        <v>0</v>
      </c>
      <c r="W15" s="2334">
        <f t="shared" si="11"/>
        <v>0</v>
      </c>
      <c r="X15" s="2335">
        <f>+W15+V15+U15+T15+S15+R15+Q15+P15</f>
        <v>87076</v>
      </c>
      <c r="Y15" s="2330"/>
    </row>
    <row r="16" spans="1:26" ht="13.5" customHeight="1">
      <c r="A16" s="644"/>
      <c r="B16" s="2336" t="s">
        <v>30</v>
      </c>
      <c r="C16" s="2337"/>
      <c r="D16" s="2328">
        <f>+D17+D18</f>
        <v>1880007</v>
      </c>
      <c r="E16" s="2328">
        <f t="shared" ref="E16:N16" si="12">E17</f>
        <v>0</v>
      </c>
      <c r="F16" s="2328">
        <f t="shared" si="12"/>
        <v>0</v>
      </c>
      <c r="G16" s="2328">
        <f t="shared" si="12"/>
        <v>0</v>
      </c>
      <c r="H16" s="2328">
        <f t="shared" si="12"/>
        <v>0</v>
      </c>
      <c r="I16" s="2328">
        <f t="shared" si="12"/>
        <v>0</v>
      </c>
      <c r="J16" s="2328">
        <f t="shared" si="12"/>
        <v>0</v>
      </c>
      <c r="K16" s="2328">
        <f t="shared" si="12"/>
        <v>0</v>
      </c>
      <c r="L16" s="2328">
        <f t="shared" si="12"/>
        <v>0</v>
      </c>
      <c r="M16" s="2328">
        <f>+M17+M18</f>
        <v>0</v>
      </c>
      <c r="N16" s="2328">
        <f t="shared" si="12"/>
        <v>0</v>
      </c>
      <c r="O16" s="2328">
        <f>+O17+O18</f>
        <v>36963</v>
      </c>
      <c r="P16" s="2328">
        <f>+P17+P18</f>
        <v>355175</v>
      </c>
      <c r="Q16" s="2328">
        <f t="shared" ref="Q16:W16" si="13">+Q17+Q18</f>
        <v>668947</v>
      </c>
      <c r="R16" s="2328">
        <f t="shared" si="13"/>
        <v>601843</v>
      </c>
      <c r="S16" s="2328">
        <f t="shared" si="13"/>
        <v>116310</v>
      </c>
      <c r="T16" s="2328">
        <f t="shared" si="13"/>
        <v>100769</v>
      </c>
      <c r="U16" s="2328">
        <f t="shared" si="13"/>
        <v>0</v>
      </c>
      <c r="V16" s="2328">
        <f t="shared" si="13"/>
        <v>0</v>
      </c>
      <c r="W16" s="2328">
        <f t="shared" si="13"/>
        <v>0</v>
      </c>
      <c r="X16" s="2202">
        <f>+X17+X18</f>
        <v>1843044</v>
      </c>
      <c r="Y16" s="2330"/>
    </row>
    <row r="17" spans="1:27" ht="13.5" hidden="1" customHeight="1">
      <c r="A17" s="644"/>
      <c r="B17" s="2331" t="s">
        <v>33</v>
      </c>
      <c r="C17" s="2338"/>
      <c r="D17" s="2339"/>
      <c r="E17" s="2339"/>
      <c r="F17" s="2339"/>
      <c r="G17" s="2339"/>
      <c r="H17" s="2339"/>
      <c r="I17" s="2339"/>
      <c r="J17" s="2339"/>
      <c r="K17" s="2339"/>
      <c r="L17" s="2339"/>
      <c r="M17" s="2339"/>
      <c r="N17" s="2339"/>
      <c r="O17" s="2339"/>
      <c r="P17" s="2339"/>
      <c r="Q17" s="2339"/>
      <c r="R17" s="2339"/>
      <c r="S17" s="2339"/>
      <c r="T17" s="2339"/>
      <c r="U17" s="2339"/>
      <c r="V17" s="2339"/>
      <c r="W17" s="2339"/>
      <c r="X17" s="2207">
        <f>+W17+V17+U17+T17+S17+R17+Q17+P17+O17+M17</f>
        <v>0</v>
      </c>
      <c r="Y17" s="2330"/>
    </row>
    <row r="18" spans="1:27" ht="12.75" customHeight="1">
      <c r="A18" s="644"/>
      <c r="B18" s="2340" t="s">
        <v>32</v>
      </c>
      <c r="C18" s="2338"/>
      <c r="D18" s="2339">
        <f t="shared" ref="D18:W18" si="14">+D30+D39+D63</f>
        <v>1880007</v>
      </c>
      <c r="E18" s="2339">
        <f t="shared" si="14"/>
        <v>0</v>
      </c>
      <c r="F18" s="2339">
        <f t="shared" si="14"/>
        <v>0</v>
      </c>
      <c r="G18" s="2339">
        <f t="shared" si="14"/>
        <v>0</v>
      </c>
      <c r="H18" s="2339">
        <f t="shared" si="14"/>
        <v>0</v>
      </c>
      <c r="I18" s="2339">
        <f t="shared" si="14"/>
        <v>0</v>
      </c>
      <c r="J18" s="2339">
        <f t="shared" si="14"/>
        <v>0</v>
      </c>
      <c r="K18" s="2339">
        <f t="shared" si="14"/>
        <v>0</v>
      </c>
      <c r="L18" s="2339">
        <f t="shared" si="14"/>
        <v>0</v>
      </c>
      <c r="M18" s="2339">
        <f t="shared" si="14"/>
        <v>0</v>
      </c>
      <c r="N18" s="2339">
        <f t="shared" si="14"/>
        <v>0</v>
      </c>
      <c r="O18" s="2339">
        <f t="shared" si="14"/>
        <v>36963</v>
      </c>
      <c r="P18" s="2339">
        <f t="shared" si="14"/>
        <v>355175</v>
      </c>
      <c r="Q18" s="2339">
        <f t="shared" si="14"/>
        <v>668947</v>
      </c>
      <c r="R18" s="2339">
        <f t="shared" si="14"/>
        <v>601843</v>
      </c>
      <c r="S18" s="2339">
        <f t="shared" si="14"/>
        <v>116310</v>
      </c>
      <c r="T18" s="2339">
        <f t="shared" si="14"/>
        <v>100769</v>
      </c>
      <c r="U18" s="2339">
        <f t="shared" si="14"/>
        <v>0</v>
      </c>
      <c r="V18" s="2339">
        <f t="shared" si="14"/>
        <v>0</v>
      </c>
      <c r="W18" s="2339">
        <f t="shared" si="14"/>
        <v>0</v>
      </c>
      <c r="X18" s="2341">
        <f>+W18+V18+U18+T18+S18+R18+Q18+P18</f>
        <v>1843044</v>
      </c>
      <c r="Y18" s="2330"/>
    </row>
    <row r="19" spans="1:27" ht="12">
      <c r="A19" s="644"/>
      <c r="B19" s="501" t="s">
        <v>34</v>
      </c>
      <c r="C19" s="2102"/>
      <c r="D19" s="2342">
        <f>D22+D20</f>
        <v>1979404</v>
      </c>
      <c r="E19" s="2342">
        <f t="shared" ref="E19:P19" si="15">E22+E20</f>
        <v>0</v>
      </c>
      <c r="F19" s="2342">
        <f t="shared" si="15"/>
        <v>0</v>
      </c>
      <c r="G19" s="2342">
        <f t="shared" si="15"/>
        <v>0</v>
      </c>
      <c r="H19" s="2342">
        <f t="shared" si="15"/>
        <v>0</v>
      </c>
      <c r="I19" s="2342">
        <f t="shared" si="15"/>
        <v>0</v>
      </c>
      <c r="J19" s="2342">
        <f t="shared" si="15"/>
        <v>0</v>
      </c>
      <c r="K19" s="2342">
        <f t="shared" si="15"/>
        <v>0</v>
      </c>
      <c r="L19" s="2342">
        <f t="shared" si="15"/>
        <v>0</v>
      </c>
      <c r="M19" s="2342">
        <f t="shared" si="15"/>
        <v>0</v>
      </c>
      <c r="N19" s="2342">
        <f t="shared" si="15"/>
        <v>0</v>
      </c>
      <c r="O19" s="2342">
        <f t="shared" si="15"/>
        <v>0</v>
      </c>
      <c r="P19" s="2342">
        <f t="shared" si="15"/>
        <v>0</v>
      </c>
      <c r="Q19" s="2342">
        <f>Q22+Q21</f>
        <v>413417</v>
      </c>
      <c r="R19" s="2342">
        <f t="shared" ref="R19:W19" si="16">R22+R21</f>
        <v>695106</v>
      </c>
      <c r="S19" s="2342">
        <f t="shared" si="16"/>
        <v>619162</v>
      </c>
      <c r="T19" s="2342">
        <f t="shared" si="16"/>
        <v>133630</v>
      </c>
      <c r="U19" s="2342">
        <f t="shared" si="16"/>
        <v>118089</v>
      </c>
      <c r="V19" s="2342">
        <f t="shared" si="16"/>
        <v>0</v>
      </c>
      <c r="W19" s="2342">
        <f t="shared" si="16"/>
        <v>0</v>
      </c>
      <c r="X19" s="2976" t="s">
        <v>77</v>
      </c>
      <c r="Y19" s="2343"/>
      <c r="Z19" s="2344"/>
    </row>
    <row r="20" spans="1:27" ht="14.25" customHeight="1">
      <c r="A20" s="644"/>
      <c r="B20" s="2345" t="s">
        <v>24</v>
      </c>
      <c r="C20" s="2346"/>
      <c r="D20" s="2347">
        <f>+D21</f>
        <v>99397</v>
      </c>
      <c r="E20" s="2347"/>
      <c r="F20" s="2347"/>
      <c r="G20" s="2347"/>
      <c r="H20" s="2347"/>
      <c r="I20" s="2347"/>
      <c r="J20" s="2347"/>
      <c r="K20" s="2347"/>
      <c r="L20" s="2347"/>
      <c r="M20" s="2347">
        <f>+M21</f>
        <v>0</v>
      </c>
      <c r="N20" s="2347">
        <f t="shared" ref="N20:W20" si="17">+N21</f>
        <v>0</v>
      </c>
      <c r="O20" s="2347">
        <f t="shared" si="17"/>
        <v>0</v>
      </c>
      <c r="P20" s="2347">
        <f t="shared" si="17"/>
        <v>0</v>
      </c>
      <c r="Q20" s="2347">
        <f t="shared" si="17"/>
        <v>30119</v>
      </c>
      <c r="R20" s="2347">
        <f t="shared" si="17"/>
        <v>17319</v>
      </c>
      <c r="S20" s="2347">
        <f t="shared" si="17"/>
        <v>17319</v>
      </c>
      <c r="T20" s="2347">
        <f t="shared" si="17"/>
        <v>17320</v>
      </c>
      <c r="U20" s="2347">
        <f t="shared" si="17"/>
        <v>17320</v>
      </c>
      <c r="V20" s="2347">
        <f t="shared" si="17"/>
        <v>0</v>
      </c>
      <c r="W20" s="2347">
        <f t="shared" si="17"/>
        <v>0</v>
      </c>
      <c r="X20" s="2646"/>
      <c r="Y20" s="2343"/>
      <c r="Z20" s="2344"/>
    </row>
    <row r="21" spans="1:27" s="2353" customFormat="1" ht="15" customHeight="1">
      <c r="A21" s="2348"/>
      <c r="B21" s="2349" t="s">
        <v>25</v>
      </c>
      <c r="C21" s="2346"/>
      <c r="D21" s="2350">
        <f>+M21+O21+P21+Q21+R21+S21+T21+U21</f>
        <v>99397</v>
      </c>
      <c r="E21" s="2350"/>
      <c r="F21" s="2350"/>
      <c r="G21" s="2350"/>
      <c r="H21" s="2350"/>
      <c r="I21" s="2350"/>
      <c r="J21" s="2350"/>
      <c r="K21" s="2350"/>
      <c r="L21" s="2350"/>
      <c r="M21" s="2350">
        <f>+M69</f>
        <v>0</v>
      </c>
      <c r="N21" s="2350">
        <f t="shared" ref="N21:W21" si="18">+N69</f>
        <v>0</v>
      </c>
      <c r="O21" s="2350">
        <f>+O69</f>
        <v>0</v>
      </c>
      <c r="P21" s="2350">
        <f t="shared" si="18"/>
        <v>0</v>
      </c>
      <c r="Q21" s="2350">
        <f t="shared" si="18"/>
        <v>30119</v>
      </c>
      <c r="R21" s="2350">
        <f t="shared" si="18"/>
        <v>17319</v>
      </c>
      <c r="S21" s="2350">
        <f t="shared" si="18"/>
        <v>17319</v>
      </c>
      <c r="T21" s="2350">
        <f t="shared" si="18"/>
        <v>17320</v>
      </c>
      <c r="U21" s="2350">
        <f t="shared" si="18"/>
        <v>17320</v>
      </c>
      <c r="V21" s="2350">
        <f t="shared" si="18"/>
        <v>0</v>
      </c>
      <c r="W21" s="2350">
        <f t="shared" si="18"/>
        <v>0</v>
      </c>
      <c r="X21" s="2646"/>
      <c r="Y21" s="2351"/>
      <c r="Z21" s="2352"/>
    </row>
    <row r="22" spans="1:27" s="2353" customFormat="1" ht="15" customHeight="1">
      <c r="A22" s="2354"/>
      <c r="B22" s="689" t="s">
        <v>30</v>
      </c>
      <c r="C22" s="2355"/>
      <c r="D22" s="2356">
        <f>+D23+D24</f>
        <v>1880007</v>
      </c>
      <c r="E22" s="2356">
        <f t="shared" ref="E22:N22" si="19">E23</f>
        <v>0</v>
      </c>
      <c r="F22" s="2356">
        <f t="shared" si="19"/>
        <v>0</v>
      </c>
      <c r="G22" s="2356">
        <f t="shared" si="19"/>
        <v>0</v>
      </c>
      <c r="H22" s="2356">
        <f t="shared" si="19"/>
        <v>0</v>
      </c>
      <c r="I22" s="2356">
        <f t="shared" si="19"/>
        <v>0</v>
      </c>
      <c r="J22" s="2356">
        <f t="shared" si="19"/>
        <v>0</v>
      </c>
      <c r="K22" s="2356">
        <f t="shared" si="19"/>
        <v>0</v>
      </c>
      <c r="L22" s="2356">
        <f t="shared" si="19"/>
        <v>0</v>
      </c>
      <c r="M22" s="2356">
        <f>+M23+M24</f>
        <v>0</v>
      </c>
      <c r="N22" s="2356">
        <f t="shared" si="19"/>
        <v>0</v>
      </c>
      <c r="O22" s="2356">
        <f>+O23+O24</f>
        <v>0</v>
      </c>
      <c r="P22" s="2356">
        <f>+P23+P24</f>
        <v>0</v>
      </c>
      <c r="Q22" s="2356">
        <f t="shared" ref="Q22:W22" si="20">+Q23+Q24</f>
        <v>383298</v>
      </c>
      <c r="R22" s="2356">
        <f t="shared" si="20"/>
        <v>677787</v>
      </c>
      <c r="S22" s="2356">
        <f t="shared" si="20"/>
        <v>601843</v>
      </c>
      <c r="T22" s="2356">
        <f t="shared" si="20"/>
        <v>116310</v>
      </c>
      <c r="U22" s="2356">
        <f t="shared" si="20"/>
        <v>100769</v>
      </c>
      <c r="V22" s="2356">
        <f t="shared" si="20"/>
        <v>0</v>
      </c>
      <c r="W22" s="2356">
        <f t="shared" si="20"/>
        <v>0</v>
      </c>
      <c r="X22" s="2646"/>
      <c r="Y22" s="2343"/>
    </row>
    <row r="23" spans="1:27" ht="15" hidden="1" customHeight="1">
      <c r="A23" s="2354"/>
      <c r="B23" s="2349" t="s">
        <v>33</v>
      </c>
      <c r="C23" s="2357"/>
      <c r="D23" s="2350"/>
      <c r="E23" s="2333"/>
      <c r="F23" s="2333"/>
      <c r="G23" s="2333"/>
      <c r="H23" s="2333"/>
      <c r="I23" s="2333"/>
      <c r="J23" s="2333"/>
      <c r="K23" s="2333"/>
      <c r="L23" s="2333"/>
      <c r="M23" s="2333"/>
      <c r="N23" s="2333"/>
      <c r="O23" s="2333"/>
      <c r="P23" s="2333"/>
      <c r="Q23" s="2333"/>
      <c r="R23" s="2333"/>
      <c r="S23" s="2333"/>
      <c r="T23" s="2333"/>
      <c r="U23" s="2333"/>
      <c r="V23" s="2333"/>
      <c r="W23" s="2333"/>
      <c r="X23" s="2646"/>
      <c r="Y23" s="2343"/>
      <c r="Z23" s="2344"/>
    </row>
    <row r="24" spans="1:27" ht="12.75" thickBot="1">
      <c r="A24" s="2358"/>
      <c r="B24" s="2359" t="s">
        <v>32</v>
      </c>
      <c r="C24" s="2360"/>
      <c r="D24" s="2350">
        <f t="shared" ref="D24:W24" si="21">+D33+D42+D71</f>
        <v>1880007</v>
      </c>
      <c r="E24" s="2350">
        <f t="shared" si="21"/>
        <v>0</v>
      </c>
      <c r="F24" s="2350">
        <f t="shared" si="21"/>
        <v>0</v>
      </c>
      <c r="G24" s="2350">
        <f t="shared" si="21"/>
        <v>0</v>
      </c>
      <c r="H24" s="2350">
        <f t="shared" si="21"/>
        <v>0</v>
      </c>
      <c r="I24" s="2350">
        <f t="shared" si="21"/>
        <v>0</v>
      </c>
      <c r="J24" s="2350">
        <f t="shared" si="21"/>
        <v>0</v>
      </c>
      <c r="K24" s="2350">
        <f t="shared" si="21"/>
        <v>0</v>
      </c>
      <c r="L24" s="2350">
        <f t="shared" si="21"/>
        <v>0</v>
      </c>
      <c r="M24" s="2350">
        <f t="shared" si="21"/>
        <v>0</v>
      </c>
      <c r="N24" s="2350">
        <f t="shared" si="21"/>
        <v>0</v>
      </c>
      <c r="O24" s="2350">
        <f t="shared" si="21"/>
        <v>0</v>
      </c>
      <c r="P24" s="2350">
        <f t="shared" si="21"/>
        <v>0</v>
      </c>
      <c r="Q24" s="2350">
        <f t="shared" si="21"/>
        <v>383298</v>
      </c>
      <c r="R24" s="2350">
        <f t="shared" si="21"/>
        <v>677787</v>
      </c>
      <c r="S24" s="2350">
        <f t="shared" si="21"/>
        <v>601843</v>
      </c>
      <c r="T24" s="2350">
        <f t="shared" si="21"/>
        <v>116310</v>
      </c>
      <c r="U24" s="2350">
        <f t="shared" si="21"/>
        <v>100769</v>
      </c>
      <c r="V24" s="2350">
        <f t="shared" si="21"/>
        <v>0</v>
      </c>
      <c r="W24" s="2350">
        <f t="shared" si="21"/>
        <v>0</v>
      </c>
      <c r="X24" s="2647"/>
      <c r="Y24" s="2361"/>
      <c r="Z24" s="2344"/>
    </row>
    <row r="25" spans="1:27" ht="27" customHeight="1">
      <c r="A25" s="2980" t="s">
        <v>79</v>
      </c>
      <c r="B25" s="2362" t="s">
        <v>501</v>
      </c>
      <c r="C25" s="2363" t="s">
        <v>128</v>
      </c>
      <c r="D25" s="2364"/>
      <c r="E25" s="2365"/>
      <c r="F25" s="2365"/>
      <c r="G25" s="2365"/>
      <c r="H25" s="2365"/>
      <c r="I25" s="2365"/>
      <c r="J25" s="2365"/>
      <c r="K25" s="2365"/>
      <c r="L25" s="2366"/>
      <c r="M25" s="2366"/>
      <c r="N25" s="2366"/>
      <c r="O25" s="2366"/>
      <c r="P25" s="2367"/>
      <c r="Q25" s="2367"/>
      <c r="R25" s="2367"/>
      <c r="S25" s="2367"/>
      <c r="T25" s="2367"/>
      <c r="U25" s="2367"/>
      <c r="V25" s="2367"/>
      <c r="W25" s="2367"/>
      <c r="X25" s="2368"/>
      <c r="Y25" s="2983" t="s">
        <v>493</v>
      </c>
    </row>
    <row r="26" spans="1:27" ht="12">
      <c r="A26" s="2990"/>
      <c r="B26" s="1993" t="s">
        <v>22</v>
      </c>
      <c r="C26" s="2102"/>
      <c r="D26" s="2061">
        <f t="shared" ref="D26:L26" si="22">+D27+D29</f>
        <v>963249</v>
      </c>
      <c r="E26" s="2061">
        <f t="shared" si="22"/>
        <v>0</v>
      </c>
      <c r="F26" s="2061">
        <f t="shared" si="22"/>
        <v>0</v>
      </c>
      <c r="G26" s="2061">
        <f t="shared" si="22"/>
        <v>0</v>
      </c>
      <c r="H26" s="2061">
        <f t="shared" si="22"/>
        <v>0</v>
      </c>
      <c r="I26" s="2061">
        <f t="shared" si="22"/>
        <v>0</v>
      </c>
      <c r="J26" s="2061">
        <f t="shared" si="22"/>
        <v>0</v>
      </c>
      <c r="K26" s="2061">
        <f t="shared" si="22"/>
        <v>0</v>
      </c>
      <c r="L26" s="2061">
        <f t="shared" si="22"/>
        <v>0</v>
      </c>
      <c r="M26" s="2061">
        <f t="shared" ref="M26:S26" si="23">+M27+M29</f>
        <v>0</v>
      </c>
      <c r="N26" s="2061">
        <f t="shared" si="23"/>
        <v>0</v>
      </c>
      <c r="O26" s="2061">
        <f t="shared" si="23"/>
        <v>0</v>
      </c>
      <c r="P26" s="2061">
        <f t="shared" si="23"/>
        <v>187530</v>
      </c>
      <c r="Q26" s="2061">
        <f t="shared" si="23"/>
        <v>386875</v>
      </c>
      <c r="R26" s="2061">
        <f t="shared" si="23"/>
        <v>354673</v>
      </c>
      <c r="S26" s="2061">
        <f t="shared" si="23"/>
        <v>34171</v>
      </c>
      <c r="T26" s="2061"/>
      <c r="U26" s="2061"/>
      <c r="V26" s="2061"/>
      <c r="W26" s="2061"/>
      <c r="X26" s="2062">
        <f>+X27+X29</f>
        <v>963249</v>
      </c>
      <c r="Y26" s="2984"/>
      <c r="Z26" s="2344"/>
      <c r="AA26" s="2344"/>
    </row>
    <row r="27" spans="1:27" ht="12">
      <c r="A27" s="2990"/>
      <c r="B27" s="2369" t="s">
        <v>36</v>
      </c>
      <c r="C27" s="2701" t="s">
        <v>372</v>
      </c>
      <c r="D27" s="2370">
        <f>+D28</f>
        <v>144487</v>
      </c>
      <c r="E27" s="2370">
        <f t="shared" ref="E27:J27" si="24">+E28</f>
        <v>0</v>
      </c>
      <c r="F27" s="2371">
        <f t="shared" si="24"/>
        <v>0</v>
      </c>
      <c r="G27" s="2372">
        <f t="shared" si="24"/>
        <v>0</v>
      </c>
      <c r="H27" s="2370">
        <f t="shared" si="24"/>
        <v>0</v>
      </c>
      <c r="I27" s="2370">
        <f t="shared" si="24"/>
        <v>0</v>
      </c>
      <c r="J27" s="2370">
        <f t="shared" si="24"/>
        <v>0</v>
      </c>
      <c r="K27" s="2372">
        <f t="shared" ref="K27:S27" si="25">+K28</f>
        <v>0</v>
      </c>
      <c r="L27" s="2372">
        <f t="shared" si="25"/>
        <v>0</v>
      </c>
      <c r="M27" s="2372">
        <f t="shared" si="25"/>
        <v>0</v>
      </c>
      <c r="N27" s="2372">
        <f t="shared" si="25"/>
        <v>0</v>
      </c>
      <c r="O27" s="2372">
        <f t="shared" si="25"/>
        <v>0</v>
      </c>
      <c r="P27" s="2066">
        <f t="shared" si="25"/>
        <v>28129</v>
      </c>
      <c r="Q27" s="2066">
        <f t="shared" si="25"/>
        <v>58031</v>
      </c>
      <c r="R27" s="2066">
        <f t="shared" si="25"/>
        <v>53201</v>
      </c>
      <c r="S27" s="2066">
        <f t="shared" si="25"/>
        <v>5126</v>
      </c>
      <c r="T27" s="2066"/>
      <c r="U27" s="2066"/>
      <c r="V27" s="2066"/>
      <c r="W27" s="2066"/>
      <c r="X27" s="2099">
        <f>+X28</f>
        <v>144487</v>
      </c>
      <c r="Y27" s="2985"/>
    </row>
    <row r="28" spans="1:27" ht="12">
      <c r="A28" s="2990"/>
      <c r="B28" s="2203" t="s">
        <v>24</v>
      </c>
      <c r="C28" s="2987"/>
      <c r="D28" s="2070">
        <f>M28+O28+P28+Q28+R28+S28+T28+U28+V28+W28</f>
        <v>144487</v>
      </c>
      <c r="E28" s="2070">
        <v>0</v>
      </c>
      <c r="F28" s="1999"/>
      <c r="G28" s="1999"/>
      <c r="H28" s="2070"/>
      <c r="I28" s="2070">
        <v>0</v>
      </c>
      <c r="J28" s="2070">
        <v>0</v>
      </c>
      <c r="K28" s="2070">
        <v>0</v>
      </c>
      <c r="L28" s="2070">
        <v>0</v>
      </c>
      <c r="M28" s="2070">
        <v>0</v>
      </c>
      <c r="N28" s="2070">
        <v>0</v>
      </c>
      <c r="O28" s="2070">
        <v>0</v>
      </c>
      <c r="P28" s="1999">
        <v>28129</v>
      </c>
      <c r="Q28" s="1999">
        <v>58031</v>
      </c>
      <c r="R28" s="1999">
        <v>53201</v>
      </c>
      <c r="S28" s="1999">
        <v>5126</v>
      </c>
      <c r="T28" s="1999"/>
      <c r="U28" s="1999"/>
      <c r="V28" s="1999"/>
      <c r="W28" s="1999"/>
      <c r="X28" s="2207">
        <f>SUM(P28:T28)</f>
        <v>144487</v>
      </c>
      <c r="Y28" s="2985"/>
    </row>
    <row r="29" spans="1:27" ht="12">
      <c r="A29" s="2990"/>
      <c r="B29" s="2373" t="s">
        <v>30</v>
      </c>
      <c r="C29" s="2987"/>
      <c r="D29" s="2374">
        <f t="shared" ref="D29:X29" si="26">+D30</f>
        <v>818762</v>
      </c>
      <c r="E29" s="2374">
        <f t="shared" si="26"/>
        <v>0</v>
      </c>
      <c r="F29" s="2374">
        <f t="shared" si="26"/>
        <v>0</v>
      </c>
      <c r="G29" s="2374">
        <f t="shared" si="26"/>
        <v>0</v>
      </c>
      <c r="H29" s="2374">
        <f t="shared" si="26"/>
        <v>0</v>
      </c>
      <c r="I29" s="2370">
        <f t="shared" si="26"/>
        <v>0</v>
      </c>
      <c r="J29" s="2370">
        <f t="shared" si="26"/>
        <v>0</v>
      </c>
      <c r="K29" s="2372">
        <f t="shared" si="26"/>
        <v>0</v>
      </c>
      <c r="L29" s="2370">
        <f t="shared" si="26"/>
        <v>0</v>
      </c>
      <c r="M29" s="2370">
        <f t="shared" si="26"/>
        <v>0</v>
      </c>
      <c r="N29" s="2370">
        <f t="shared" si="26"/>
        <v>0</v>
      </c>
      <c r="O29" s="2370">
        <f t="shared" si="26"/>
        <v>0</v>
      </c>
      <c r="P29" s="2375">
        <f>+P30</f>
        <v>159401</v>
      </c>
      <c r="Q29" s="2375">
        <f>+Q30</f>
        <v>328844</v>
      </c>
      <c r="R29" s="2375">
        <f>+R30</f>
        <v>301472</v>
      </c>
      <c r="S29" s="2375">
        <f>+S30</f>
        <v>29045</v>
      </c>
      <c r="T29" s="2375"/>
      <c r="U29" s="2375"/>
      <c r="V29" s="2375"/>
      <c r="W29" s="2375"/>
      <c r="X29" s="2202">
        <f t="shared" si="26"/>
        <v>818762</v>
      </c>
      <c r="Y29" s="2985"/>
    </row>
    <row r="30" spans="1:27" ht="12">
      <c r="A30" s="2990"/>
      <c r="B30" s="2376" t="s">
        <v>32</v>
      </c>
      <c r="C30" s="2987"/>
      <c r="D30" s="2070">
        <f>M30+O30+P30+Q30+R30+S30+T30+U30+V30+W30</f>
        <v>818762</v>
      </c>
      <c r="E30" s="2210">
        <v>0</v>
      </c>
      <c r="F30" s="2208">
        <v>0</v>
      </c>
      <c r="G30" s="2208"/>
      <c r="H30" s="2210"/>
      <c r="I30" s="2210">
        <v>0</v>
      </c>
      <c r="J30" s="2210">
        <v>0</v>
      </c>
      <c r="K30" s="2210">
        <v>0</v>
      </c>
      <c r="L30" s="2210">
        <v>0</v>
      </c>
      <c r="M30" s="2070">
        <v>0</v>
      </c>
      <c r="N30" s="2210">
        <v>0</v>
      </c>
      <c r="O30" s="2210">
        <v>0</v>
      </c>
      <c r="P30" s="2208">
        <v>159401</v>
      </c>
      <c r="Q30" s="2208">
        <v>328844</v>
      </c>
      <c r="R30" s="2208">
        <v>301472</v>
      </c>
      <c r="S30" s="2208">
        <v>29045</v>
      </c>
      <c r="T30" s="2208"/>
      <c r="U30" s="2208"/>
      <c r="V30" s="2208"/>
      <c r="W30" s="2208"/>
      <c r="X30" s="2207">
        <f>SUM(P30:T30)</f>
        <v>818762</v>
      </c>
      <c r="Y30" s="2985"/>
    </row>
    <row r="31" spans="1:27" ht="12" customHeight="1">
      <c r="A31" s="2990"/>
      <c r="B31" s="1993" t="s">
        <v>34</v>
      </c>
      <c r="C31" s="2102"/>
      <c r="D31" s="2218">
        <f>+D32</f>
        <v>818762</v>
      </c>
      <c r="E31" s="2218">
        <f t="shared" ref="E31:P32" si="27">+E32</f>
        <v>0</v>
      </c>
      <c r="F31" s="2218">
        <f t="shared" si="27"/>
        <v>0</v>
      </c>
      <c r="G31" s="2218">
        <f t="shared" si="27"/>
        <v>0</v>
      </c>
      <c r="H31" s="2218">
        <f t="shared" si="27"/>
        <v>0</v>
      </c>
      <c r="I31" s="2218">
        <f t="shared" si="27"/>
        <v>0</v>
      </c>
      <c r="J31" s="2218">
        <f t="shared" si="27"/>
        <v>0</v>
      </c>
      <c r="K31" s="2218">
        <f t="shared" si="27"/>
        <v>0</v>
      </c>
      <c r="L31" s="2218">
        <f t="shared" si="27"/>
        <v>0</v>
      </c>
      <c r="M31" s="2218">
        <f t="shared" si="27"/>
        <v>0</v>
      </c>
      <c r="N31" s="2218">
        <f t="shared" si="27"/>
        <v>0</v>
      </c>
      <c r="O31" s="2218">
        <f t="shared" si="27"/>
        <v>0</v>
      </c>
      <c r="P31" s="2218">
        <f>+P32</f>
        <v>0</v>
      </c>
      <c r="Q31" s="2218">
        <f>+Q32</f>
        <v>159401</v>
      </c>
      <c r="R31" s="2218">
        <f>+R32</f>
        <v>328844</v>
      </c>
      <c r="S31" s="2218">
        <f>+S32</f>
        <v>301472</v>
      </c>
      <c r="T31" s="2218">
        <f>+T32</f>
        <v>29045</v>
      </c>
      <c r="U31" s="2061"/>
      <c r="V31" s="2061"/>
      <c r="W31" s="2061"/>
      <c r="X31" s="2976" t="s">
        <v>77</v>
      </c>
      <c r="Y31" s="2985"/>
    </row>
    <row r="32" spans="1:27" ht="12" customHeight="1">
      <c r="A32" s="2990"/>
      <c r="B32" s="2373" t="s">
        <v>30</v>
      </c>
      <c r="C32" s="2702" t="s">
        <v>372</v>
      </c>
      <c r="D32" s="2374">
        <f>+D33</f>
        <v>818762</v>
      </c>
      <c r="E32" s="2374">
        <f t="shared" si="27"/>
        <v>0</v>
      </c>
      <c r="F32" s="2374">
        <f t="shared" si="27"/>
        <v>0</v>
      </c>
      <c r="G32" s="2374">
        <f t="shared" si="27"/>
        <v>0</v>
      </c>
      <c r="H32" s="2374">
        <f t="shared" si="27"/>
        <v>0</v>
      </c>
      <c r="I32" s="2374">
        <f t="shared" si="27"/>
        <v>0</v>
      </c>
      <c r="J32" s="2374">
        <f t="shared" si="27"/>
        <v>0</v>
      </c>
      <c r="K32" s="2374">
        <f t="shared" si="27"/>
        <v>0</v>
      </c>
      <c r="L32" s="2374">
        <f t="shared" si="27"/>
        <v>0</v>
      </c>
      <c r="M32" s="2374">
        <f t="shared" si="27"/>
        <v>0</v>
      </c>
      <c r="N32" s="2374">
        <f t="shared" si="27"/>
        <v>0</v>
      </c>
      <c r="O32" s="2374">
        <f t="shared" si="27"/>
        <v>0</v>
      </c>
      <c r="P32" s="2374">
        <f t="shared" si="27"/>
        <v>0</v>
      </c>
      <c r="Q32" s="2374">
        <f>+Q33</f>
        <v>159401</v>
      </c>
      <c r="R32" s="2374">
        <f>+R33</f>
        <v>328844</v>
      </c>
      <c r="S32" s="2374">
        <f>+S33</f>
        <v>301472</v>
      </c>
      <c r="T32" s="2374">
        <f>+T33</f>
        <v>29045</v>
      </c>
      <c r="U32" s="2374"/>
      <c r="V32" s="2374"/>
      <c r="W32" s="2374"/>
      <c r="X32" s="2646"/>
      <c r="Y32" s="2985"/>
    </row>
    <row r="33" spans="1:29" ht="13.5" customHeight="1" thickBot="1">
      <c r="A33" s="2991"/>
      <c r="B33" s="2376" t="s">
        <v>32</v>
      </c>
      <c r="C33" s="2988"/>
      <c r="D33" s="2070">
        <f>M33+O33+P33+Q33+R33+S33+T33+U33+V33+W33</f>
        <v>818762</v>
      </c>
      <c r="E33" s="2377"/>
      <c r="F33" s="2378"/>
      <c r="G33" s="2378"/>
      <c r="H33" s="2378"/>
      <c r="I33" s="2378">
        <v>0</v>
      </c>
      <c r="J33" s="2378">
        <v>0</v>
      </c>
      <c r="K33" s="2378">
        <v>0</v>
      </c>
      <c r="L33" s="2378">
        <v>0</v>
      </c>
      <c r="M33" s="2070">
        <v>0</v>
      </c>
      <c r="N33" s="2378">
        <v>0</v>
      </c>
      <c r="O33" s="2378">
        <v>0</v>
      </c>
      <c r="P33" s="2379">
        <v>0</v>
      </c>
      <c r="Q33" s="2379">
        <v>159401</v>
      </c>
      <c r="R33" s="2379">
        <v>328844</v>
      </c>
      <c r="S33" s="2379">
        <v>301472</v>
      </c>
      <c r="T33" s="2379">
        <v>29045</v>
      </c>
      <c r="U33" s="2379"/>
      <c r="V33" s="2379"/>
      <c r="W33" s="2379"/>
      <c r="X33" s="2647"/>
      <c r="Y33" s="2986"/>
    </row>
    <row r="34" spans="1:29" ht="38.25" customHeight="1">
      <c r="A34" s="2980" t="s">
        <v>80</v>
      </c>
      <c r="B34" s="2362" t="s">
        <v>550</v>
      </c>
      <c r="C34" s="2363" t="s">
        <v>128</v>
      </c>
      <c r="D34" s="2364"/>
      <c r="E34" s="2365"/>
      <c r="F34" s="2365"/>
      <c r="G34" s="2365"/>
      <c r="H34" s="2365"/>
      <c r="I34" s="2365"/>
      <c r="J34" s="2365"/>
      <c r="K34" s="2365"/>
      <c r="L34" s="2366"/>
      <c r="M34" s="2366"/>
      <c r="N34" s="2366"/>
      <c r="O34" s="2366"/>
      <c r="P34" s="2367"/>
      <c r="Q34" s="2367"/>
      <c r="R34" s="2367"/>
      <c r="S34" s="2367"/>
      <c r="T34" s="2367"/>
      <c r="U34" s="2367"/>
      <c r="V34" s="2367"/>
      <c r="W34" s="2367"/>
      <c r="X34" s="2380"/>
      <c r="Y34" s="2983" t="s">
        <v>493</v>
      </c>
    </row>
    <row r="35" spans="1:29" ht="12">
      <c r="A35" s="2990"/>
      <c r="B35" s="1993" t="s">
        <v>22</v>
      </c>
      <c r="C35" s="2102"/>
      <c r="D35" s="2218">
        <f t="shared" ref="D35:T35" si="28">+D36+D38</f>
        <v>897708</v>
      </c>
      <c r="E35" s="2061">
        <f t="shared" si="28"/>
        <v>0</v>
      </c>
      <c r="F35" s="2061">
        <f t="shared" si="28"/>
        <v>0</v>
      </c>
      <c r="G35" s="2061">
        <f t="shared" si="28"/>
        <v>0</v>
      </c>
      <c r="H35" s="2061">
        <f t="shared" si="28"/>
        <v>0</v>
      </c>
      <c r="I35" s="2061">
        <f t="shared" si="28"/>
        <v>0</v>
      </c>
      <c r="J35" s="2061">
        <f t="shared" si="28"/>
        <v>0</v>
      </c>
      <c r="K35" s="2061">
        <f t="shared" si="28"/>
        <v>0</v>
      </c>
      <c r="L35" s="2061">
        <f t="shared" si="28"/>
        <v>0</v>
      </c>
      <c r="M35" s="2061">
        <f>+M36+M38</f>
        <v>0</v>
      </c>
      <c r="N35" s="2061">
        <f t="shared" si="28"/>
        <v>0</v>
      </c>
      <c r="O35" s="2061">
        <f t="shared" si="28"/>
        <v>0</v>
      </c>
      <c r="P35" s="2061">
        <f t="shared" si="28"/>
        <v>167503</v>
      </c>
      <c r="Q35" s="2061">
        <f>+Q36+Q38</f>
        <v>338993</v>
      </c>
      <c r="R35" s="2061">
        <f t="shared" si="28"/>
        <v>292249</v>
      </c>
      <c r="S35" s="2061">
        <f t="shared" si="28"/>
        <v>41538</v>
      </c>
      <c r="T35" s="2061">
        <f t="shared" si="28"/>
        <v>57425</v>
      </c>
      <c r="U35" s="2061"/>
      <c r="V35" s="2061"/>
      <c r="W35" s="2061"/>
      <c r="X35" s="2062">
        <f>+X36+X38</f>
        <v>897708</v>
      </c>
      <c r="Y35" s="2984"/>
      <c r="Z35" s="2344"/>
      <c r="AA35" s="2344"/>
      <c r="AB35" s="2344"/>
      <c r="AC35" s="2344"/>
    </row>
    <row r="36" spans="1:29" ht="12" customHeight="1">
      <c r="A36" s="2990"/>
      <c r="B36" s="2369" t="s">
        <v>36</v>
      </c>
      <c r="C36" s="2701" t="s">
        <v>562</v>
      </c>
      <c r="D36" s="2381">
        <f>+D37</f>
        <v>134656</v>
      </c>
      <c r="E36" s="2381">
        <f t="shared" ref="E36:J36" si="29">+E37</f>
        <v>0</v>
      </c>
      <c r="F36" s="2381">
        <f t="shared" si="29"/>
        <v>0</v>
      </c>
      <c r="G36" s="2381">
        <f t="shared" si="29"/>
        <v>0</v>
      </c>
      <c r="H36" s="2381">
        <f t="shared" si="29"/>
        <v>0</v>
      </c>
      <c r="I36" s="2381">
        <f t="shared" si="29"/>
        <v>0</v>
      </c>
      <c r="J36" s="2381">
        <f t="shared" si="29"/>
        <v>0</v>
      </c>
      <c r="K36" s="2382">
        <f t="shared" ref="K36:T36" si="30">+K37</f>
        <v>0</v>
      </c>
      <c r="L36" s="2383">
        <f t="shared" si="30"/>
        <v>0</v>
      </c>
      <c r="M36" s="2383">
        <f t="shared" si="30"/>
        <v>0</v>
      </c>
      <c r="N36" s="2382">
        <f t="shared" si="30"/>
        <v>0</v>
      </c>
      <c r="O36" s="2382">
        <f t="shared" si="30"/>
        <v>0</v>
      </c>
      <c r="P36" s="2382">
        <f t="shared" si="30"/>
        <v>25125</v>
      </c>
      <c r="Q36" s="2382">
        <f t="shared" si="30"/>
        <v>50849</v>
      </c>
      <c r="R36" s="2382">
        <f t="shared" si="30"/>
        <v>43837</v>
      </c>
      <c r="S36" s="2382">
        <f t="shared" si="30"/>
        <v>6231</v>
      </c>
      <c r="T36" s="2382">
        <f t="shared" si="30"/>
        <v>8614</v>
      </c>
      <c r="U36" s="2098"/>
      <c r="V36" s="2098"/>
      <c r="W36" s="2098"/>
      <c r="X36" s="2202">
        <f>+X37</f>
        <v>134656</v>
      </c>
      <c r="Y36" s="2985"/>
    </row>
    <row r="37" spans="1:29" ht="11.25" customHeight="1">
      <c r="A37" s="2990"/>
      <c r="B37" s="2203" t="s">
        <v>24</v>
      </c>
      <c r="C37" s="2987"/>
      <c r="D37" s="2070">
        <f>M37+O37+P37+Q37+R37+S37+T37+U37+V37+W37</f>
        <v>134656</v>
      </c>
      <c r="E37" s="2070"/>
      <c r="F37" s="1999"/>
      <c r="G37" s="1999"/>
      <c r="H37" s="2070"/>
      <c r="I37" s="2070"/>
      <c r="J37" s="2070"/>
      <c r="K37" s="2070"/>
      <c r="L37" s="2070"/>
      <c r="M37" s="2070">
        <v>0</v>
      </c>
      <c r="N37" s="1999"/>
      <c r="O37" s="1999">
        <v>0</v>
      </c>
      <c r="P37" s="1999">
        <f>23565+1560</f>
        <v>25125</v>
      </c>
      <c r="Q37" s="1999">
        <f>52409-1560</f>
        <v>50849</v>
      </c>
      <c r="R37" s="1999">
        <v>43837</v>
      </c>
      <c r="S37" s="1999">
        <v>6231</v>
      </c>
      <c r="T37" s="1999">
        <v>8614</v>
      </c>
      <c r="U37" s="1999"/>
      <c r="V37" s="1999"/>
      <c r="W37" s="1999"/>
      <c r="X37" s="2207">
        <f>SUM(P37:T37)</f>
        <v>134656</v>
      </c>
      <c r="Y37" s="2985"/>
    </row>
    <row r="38" spans="1:29" ht="12" customHeight="1">
      <c r="A38" s="2990"/>
      <c r="B38" s="2373" t="s">
        <v>30</v>
      </c>
      <c r="C38" s="2987"/>
      <c r="D38" s="2384">
        <f t="shared" ref="D38:X38" si="31">+D39</f>
        <v>763052</v>
      </c>
      <c r="E38" s="2374">
        <f t="shared" si="31"/>
        <v>0</v>
      </c>
      <c r="F38" s="2374">
        <f t="shared" si="31"/>
        <v>0</v>
      </c>
      <c r="G38" s="2374">
        <f t="shared" si="31"/>
        <v>0</v>
      </c>
      <c r="H38" s="2374">
        <f t="shared" si="31"/>
        <v>0</v>
      </c>
      <c r="I38" s="2370">
        <f t="shared" si="31"/>
        <v>0</v>
      </c>
      <c r="J38" s="2370">
        <f t="shared" si="31"/>
        <v>0</v>
      </c>
      <c r="K38" s="2372">
        <f t="shared" si="31"/>
        <v>0</v>
      </c>
      <c r="L38" s="2370">
        <f t="shared" si="31"/>
        <v>0</v>
      </c>
      <c r="M38" s="2370">
        <f t="shared" si="31"/>
        <v>0</v>
      </c>
      <c r="N38" s="2372">
        <f t="shared" si="31"/>
        <v>0</v>
      </c>
      <c r="O38" s="2372">
        <f t="shared" si="31"/>
        <v>0</v>
      </c>
      <c r="P38" s="2372">
        <f t="shared" si="31"/>
        <v>142378</v>
      </c>
      <c r="Q38" s="2372">
        <f t="shared" si="31"/>
        <v>288144</v>
      </c>
      <c r="R38" s="2372">
        <f t="shared" si="31"/>
        <v>248412</v>
      </c>
      <c r="S38" s="2372">
        <f t="shared" si="31"/>
        <v>35307</v>
      </c>
      <c r="T38" s="2372">
        <f t="shared" si="31"/>
        <v>48811</v>
      </c>
      <c r="U38" s="2371"/>
      <c r="V38" s="2371"/>
      <c r="W38" s="2371"/>
      <c r="X38" s="2202">
        <f t="shared" si="31"/>
        <v>763052</v>
      </c>
      <c r="Y38" s="2985"/>
    </row>
    <row r="39" spans="1:29" ht="12" customHeight="1">
      <c r="A39" s="2990"/>
      <c r="B39" s="2376" t="s">
        <v>32</v>
      </c>
      <c r="C39" s="2987"/>
      <c r="D39" s="2070">
        <f>M39+O39+P39+Q39+R39+S39+T39+U39+V39+W39</f>
        <v>763052</v>
      </c>
      <c r="E39" s="2210"/>
      <c r="F39" s="2208"/>
      <c r="G39" s="2208"/>
      <c r="H39" s="2210"/>
      <c r="I39" s="2210"/>
      <c r="J39" s="2210"/>
      <c r="K39" s="2210"/>
      <c r="L39" s="2210"/>
      <c r="M39" s="2070">
        <v>0</v>
      </c>
      <c r="N39" s="2208"/>
      <c r="O39" s="2208">
        <v>0</v>
      </c>
      <c r="P39" s="2208">
        <f>133538+8840</f>
        <v>142378</v>
      </c>
      <c r="Q39" s="2208">
        <f>296984-8840</f>
        <v>288144</v>
      </c>
      <c r="R39" s="2208">
        <v>248412</v>
      </c>
      <c r="S39" s="2208">
        <v>35307</v>
      </c>
      <c r="T39" s="2208">
        <v>48811</v>
      </c>
      <c r="U39" s="2208"/>
      <c r="V39" s="2208"/>
      <c r="W39" s="2208"/>
      <c r="X39" s="2207">
        <f>SUM(P39:T39)</f>
        <v>763052</v>
      </c>
      <c r="Y39" s="2985"/>
    </row>
    <row r="40" spans="1:29" ht="12">
      <c r="A40" s="2990"/>
      <c r="B40" s="1988" t="s">
        <v>34</v>
      </c>
      <c r="C40" s="2102"/>
      <c r="D40" s="2218">
        <f>+D41</f>
        <v>763052</v>
      </c>
      <c r="E40" s="2218">
        <f t="shared" ref="E40:T41" si="32">+E41</f>
        <v>0</v>
      </c>
      <c r="F40" s="2218">
        <f t="shared" si="32"/>
        <v>0</v>
      </c>
      <c r="G40" s="2218">
        <f t="shared" si="32"/>
        <v>0</v>
      </c>
      <c r="H40" s="2218">
        <f t="shared" si="32"/>
        <v>0</v>
      </c>
      <c r="I40" s="2218">
        <f t="shared" si="32"/>
        <v>0</v>
      </c>
      <c r="J40" s="2218">
        <f t="shared" si="32"/>
        <v>0</v>
      </c>
      <c r="K40" s="2218">
        <f t="shared" si="32"/>
        <v>0</v>
      </c>
      <c r="L40" s="2218">
        <f t="shared" si="32"/>
        <v>0</v>
      </c>
      <c r="M40" s="2218">
        <f t="shared" si="32"/>
        <v>0</v>
      </c>
      <c r="N40" s="2218">
        <f t="shared" si="32"/>
        <v>0</v>
      </c>
      <c r="O40" s="2218">
        <f t="shared" si="32"/>
        <v>0</v>
      </c>
      <c r="P40" s="2218">
        <f t="shared" si="32"/>
        <v>0</v>
      </c>
      <c r="Q40" s="2218">
        <f t="shared" si="32"/>
        <v>133538</v>
      </c>
      <c r="R40" s="2218">
        <f t="shared" si="32"/>
        <v>296984</v>
      </c>
      <c r="S40" s="2218">
        <f t="shared" si="32"/>
        <v>248412</v>
      </c>
      <c r="T40" s="2218">
        <f t="shared" si="32"/>
        <v>35307</v>
      </c>
      <c r="U40" s="2218">
        <f t="shared" ref="P40:U41" si="33">+U41</f>
        <v>48811</v>
      </c>
      <c r="V40" s="2061"/>
      <c r="W40" s="2061"/>
      <c r="X40" s="2976" t="s">
        <v>77</v>
      </c>
      <c r="Y40" s="2985"/>
    </row>
    <row r="41" spans="1:29" ht="12" customHeight="1">
      <c r="A41" s="2990"/>
      <c r="B41" s="2373" t="s">
        <v>30</v>
      </c>
      <c r="C41" s="2702" t="s">
        <v>264</v>
      </c>
      <c r="D41" s="2384">
        <f>+D42</f>
        <v>763052</v>
      </c>
      <c r="E41" s="2374">
        <f t="shared" si="32"/>
        <v>0</v>
      </c>
      <c r="F41" s="2374">
        <f t="shared" si="32"/>
        <v>0</v>
      </c>
      <c r="G41" s="2374">
        <f t="shared" si="32"/>
        <v>0</v>
      </c>
      <c r="H41" s="2374">
        <f t="shared" si="32"/>
        <v>0</v>
      </c>
      <c r="I41" s="2374">
        <f t="shared" si="32"/>
        <v>0</v>
      </c>
      <c r="J41" s="2374">
        <f t="shared" si="32"/>
        <v>0</v>
      </c>
      <c r="K41" s="2374">
        <f t="shared" si="32"/>
        <v>0</v>
      </c>
      <c r="L41" s="2374">
        <f t="shared" si="32"/>
        <v>0</v>
      </c>
      <c r="M41" s="2374">
        <f t="shared" si="32"/>
        <v>0</v>
      </c>
      <c r="N41" s="2374">
        <f t="shared" si="32"/>
        <v>0</v>
      </c>
      <c r="O41" s="2374">
        <f t="shared" si="32"/>
        <v>0</v>
      </c>
      <c r="P41" s="2374">
        <f t="shared" si="33"/>
        <v>0</v>
      </c>
      <c r="Q41" s="2374">
        <f t="shared" si="33"/>
        <v>133538</v>
      </c>
      <c r="R41" s="2374">
        <f t="shared" si="33"/>
        <v>296984</v>
      </c>
      <c r="S41" s="2374">
        <f t="shared" si="33"/>
        <v>248412</v>
      </c>
      <c r="T41" s="2374">
        <f t="shared" si="33"/>
        <v>35307</v>
      </c>
      <c r="U41" s="2374">
        <f t="shared" si="33"/>
        <v>48811</v>
      </c>
      <c r="V41" s="2374"/>
      <c r="W41" s="2374"/>
      <c r="X41" s="2646"/>
      <c r="Y41" s="2985"/>
    </row>
    <row r="42" spans="1:29" ht="13.5" thickBot="1">
      <c r="A42" s="2991"/>
      <c r="B42" s="2376" t="s">
        <v>32</v>
      </c>
      <c r="C42" s="2988"/>
      <c r="D42" s="2070">
        <f>M42+O42+P42+Q42+R42+S42+T42+U42+V42+W42</f>
        <v>763052</v>
      </c>
      <c r="E42" s="1896"/>
      <c r="F42" s="2100"/>
      <c r="G42" s="1896"/>
      <c r="H42" s="1896"/>
      <c r="I42" s="1896"/>
      <c r="J42" s="1896"/>
      <c r="K42" s="1896"/>
      <c r="L42" s="2385"/>
      <c r="M42" s="2070">
        <v>0</v>
      </c>
      <c r="N42" s="2385"/>
      <c r="O42" s="2385">
        <v>0</v>
      </c>
      <c r="P42" s="2100">
        <v>0</v>
      </c>
      <c r="Q42" s="1896">
        <v>133538</v>
      </c>
      <c r="R42" s="1896">
        <v>296984</v>
      </c>
      <c r="S42" s="1896">
        <v>248412</v>
      </c>
      <c r="T42" s="1896">
        <v>35307</v>
      </c>
      <c r="U42" s="1896">
        <v>48811</v>
      </c>
      <c r="V42" s="2386"/>
      <c r="W42" s="2386"/>
      <c r="X42" s="2647"/>
      <c r="Y42" s="2986"/>
    </row>
    <row r="43" spans="1:29" ht="36.75" hidden="1" customHeight="1">
      <c r="A43" s="2980" t="s">
        <v>80</v>
      </c>
      <c r="B43" s="2362"/>
      <c r="C43" s="2363" t="s">
        <v>97</v>
      </c>
      <c r="D43" s="2364"/>
      <c r="E43" s="2365"/>
      <c r="F43" s="2365"/>
      <c r="G43" s="2365"/>
      <c r="H43" s="2365"/>
      <c r="I43" s="2365"/>
      <c r="J43" s="2365"/>
      <c r="K43" s="2365"/>
      <c r="L43" s="2366"/>
      <c r="M43" s="2366"/>
      <c r="N43" s="2366"/>
      <c r="O43" s="2366"/>
      <c r="P43" s="2367"/>
      <c r="Q43" s="2367"/>
      <c r="R43" s="2367"/>
      <c r="S43" s="2367"/>
      <c r="T43" s="2367"/>
      <c r="U43" s="2367"/>
      <c r="V43" s="2367"/>
      <c r="W43" s="2367"/>
      <c r="X43" s="2368"/>
      <c r="Y43" s="2983"/>
    </row>
    <row r="44" spans="1:29" ht="15.75" hidden="1" customHeight="1">
      <c r="A44" s="2981"/>
      <c r="B44" s="1993" t="s">
        <v>22</v>
      </c>
      <c r="C44" s="2102"/>
      <c r="D44" s="2218">
        <f t="shared" ref="D44:N44" si="34">+D45+D47</f>
        <v>0</v>
      </c>
      <c r="E44" s="2061">
        <f t="shared" si="34"/>
        <v>0</v>
      </c>
      <c r="F44" s="2061">
        <f t="shared" si="34"/>
        <v>0</v>
      </c>
      <c r="G44" s="2061">
        <f t="shared" si="34"/>
        <v>0</v>
      </c>
      <c r="H44" s="2061">
        <f t="shared" si="34"/>
        <v>0</v>
      </c>
      <c r="I44" s="2061">
        <f t="shared" si="34"/>
        <v>0</v>
      </c>
      <c r="J44" s="2061">
        <f t="shared" si="34"/>
        <v>0</v>
      </c>
      <c r="K44" s="2061">
        <f t="shared" si="34"/>
        <v>0</v>
      </c>
      <c r="L44" s="2061">
        <f t="shared" si="34"/>
        <v>0</v>
      </c>
      <c r="M44" s="2061">
        <f>+M45+M47</f>
        <v>0</v>
      </c>
      <c r="N44" s="2061">
        <f t="shared" si="34"/>
        <v>0</v>
      </c>
      <c r="O44" s="2061">
        <f>+O45+O47</f>
        <v>0</v>
      </c>
      <c r="P44" s="2061"/>
      <c r="Q44" s="2061"/>
      <c r="R44" s="2061"/>
      <c r="S44" s="2061"/>
      <c r="T44" s="2061"/>
      <c r="U44" s="2061"/>
      <c r="V44" s="2061"/>
      <c r="W44" s="2061"/>
      <c r="X44" s="2062">
        <f>+X45+X47</f>
        <v>0</v>
      </c>
      <c r="Y44" s="2984"/>
      <c r="AA44" s="2344"/>
    </row>
    <row r="45" spans="1:29" ht="12.75" hidden="1" customHeight="1">
      <c r="A45" s="2981"/>
      <c r="B45" s="2369" t="s">
        <v>36</v>
      </c>
      <c r="C45" s="2701" t="s">
        <v>263</v>
      </c>
      <c r="D45" s="2381">
        <f>+D46</f>
        <v>0</v>
      </c>
      <c r="E45" s="2381">
        <f t="shared" ref="E45:J45" si="35">+E46</f>
        <v>0</v>
      </c>
      <c r="F45" s="2381">
        <f t="shared" si="35"/>
        <v>0</v>
      </c>
      <c r="G45" s="2381">
        <f t="shared" si="35"/>
        <v>0</v>
      </c>
      <c r="H45" s="2381">
        <f t="shared" si="35"/>
        <v>0</v>
      </c>
      <c r="I45" s="2381">
        <f t="shared" si="35"/>
        <v>0</v>
      </c>
      <c r="J45" s="2381">
        <f t="shared" si="35"/>
        <v>0</v>
      </c>
      <c r="K45" s="2382">
        <f>+K46</f>
        <v>0</v>
      </c>
      <c r="L45" s="2383">
        <f>+L46</f>
        <v>0</v>
      </c>
      <c r="M45" s="2383">
        <f>+M46</f>
        <v>0</v>
      </c>
      <c r="N45" s="2383">
        <f>+N46</f>
        <v>0</v>
      </c>
      <c r="O45" s="2382">
        <f>+O46</f>
        <v>0</v>
      </c>
      <c r="P45" s="2320"/>
      <c r="Q45" s="2320"/>
      <c r="R45" s="2320"/>
      <c r="S45" s="2320"/>
      <c r="T45" s="2320"/>
      <c r="U45" s="2320"/>
      <c r="V45" s="2320"/>
      <c r="W45" s="2320"/>
      <c r="X45" s="2202">
        <f>+X46</f>
        <v>0</v>
      </c>
      <c r="Y45" s="2985"/>
    </row>
    <row r="46" spans="1:29" ht="12.75" hidden="1" customHeight="1">
      <c r="A46" s="2981"/>
      <c r="B46" s="2203" t="s">
        <v>24</v>
      </c>
      <c r="C46" s="2987"/>
      <c r="D46" s="2387">
        <f>L46+N46+O46+P46+Q46</f>
        <v>0</v>
      </c>
      <c r="E46" s="2070">
        <v>0</v>
      </c>
      <c r="F46" s="1999"/>
      <c r="G46" s="1999"/>
      <c r="H46" s="2070"/>
      <c r="I46" s="2070">
        <v>0</v>
      </c>
      <c r="J46" s="2070"/>
      <c r="K46" s="2070"/>
      <c r="L46" s="2070">
        <v>0</v>
      </c>
      <c r="M46" s="2070">
        <v>0</v>
      </c>
      <c r="N46" s="1999">
        <v>0</v>
      </c>
      <c r="O46" s="1999">
        <v>0</v>
      </c>
      <c r="P46" s="1999"/>
      <c r="Q46" s="1999"/>
      <c r="R46" s="1999"/>
      <c r="S46" s="1999"/>
      <c r="T46" s="1999"/>
      <c r="U46" s="741"/>
      <c r="V46" s="741"/>
      <c r="W46" s="741"/>
      <c r="X46" s="2388">
        <f>+O46+P46+Q46+R46</f>
        <v>0</v>
      </c>
      <c r="Y46" s="2985"/>
    </row>
    <row r="47" spans="1:29" ht="12" hidden="1" customHeight="1">
      <c r="A47" s="2981"/>
      <c r="B47" s="2373" t="s">
        <v>30</v>
      </c>
      <c r="C47" s="2987"/>
      <c r="D47" s="2389">
        <f t="shared" ref="D47:X47" si="36">+D48</f>
        <v>0</v>
      </c>
      <c r="E47" s="2374">
        <f t="shared" si="36"/>
        <v>0</v>
      </c>
      <c r="F47" s="2374">
        <f t="shared" si="36"/>
        <v>0</v>
      </c>
      <c r="G47" s="2374">
        <f t="shared" si="36"/>
        <v>0</v>
      </c>
      <c r="H47" s="2374">
        <f t="shared" si="36"/>
        <v>0</v>
      </c>
      <c r="I47" s="2370">
        <f t="shared" si="36"/>
        <v>0</v>
      </c>
      <c r="J47" s="2370">
        <f t="shared" si="36"/>
        <v>0</v>
      </c>
      <c r="K47" s="2372">
        <f t="shared" si="36"/>
        <v>0</v>
      </c>
      <c r="L47" s="2370">
        <f t="shared" si="36"/>
        <v>0</v>
      </c>
      <c r="M47" s="2370">
        <f t="shared" si="36"/>
        <v>0</v>
      </c>
      <c r="N47" s="2370">
        <f t="shared" si="36"/>
        <v>0</v>
      </c>
      <c r="O47" s="2372">
        <f t="shared" si="36"/>
        <v>0</v>
      </c>
      <c r="P47" s="2375"/>
      <c r="Q47" s="2375"/>
      <c r="R47" s="2375"/>
      <c r="S47" s="2375"/>
      <c r="T47" s="2375"/>
      <c r="U47" s="2375"/>
      <c r="V47" s="2375"/>
      <c r="W47" s="2375"/>
      <c r="X47" s="2202">
        <f t="shared" si="36"/>
        <v>0</v>
      </c>
      <c r="Y47" s="2985"/>
    </row>
    <row r="48" spans="1:29" ht="13.5" hidden="1" thickBot="1">
      <c r="A48" s="2981"/>
      <c r="B48" s="2390" t="s">
        <v>33</v>
      </c>
      <c r="C48" s="2987"/>
      <c r="D48" s="2070"/>
      <c r="E48" s="2210"/>
      <c r="F48" s="2208"/>
      <c r="G48" s="2208"/>
      <c r="H48" s="2210"/>
      <c r="I48" s="2210"/>
      <c r="J48" s="2210"/>
      <c r="K48" s="2210"/>
      <c r="L48" s="2210"/>
      <c r="M48" s="2070"/>
      <c r="N48" s="2208"/>
      <c r="O48" s="2208"/>
      <c r="P48" s="2208"/>
      <c r="Q48" s="2208"/>
      <c r="R48" s="2208"/>
      <c r="S48" s="2208"/>
      <c r="T48" s="2208"/>
      <c r="U48" s="2208"/>
      <c r="V48" s="2208"/>
      <c r="W48" s="2208"/>
      <c r="X48" s="2207">
        <f>SUM(P48:T48)</f>
        <v>0</v>
      </c>
      <c r="Y48" s="2985"/>
    </row>
    <row r="49" spans="1:26" ht="15.75" hidden="1" customHeight="1">
      <c r="A49" s="2981"/>
      <c r="B49" s="1988" t="s">
        <v>34</v>
      </c>
      <c r="C49" s="2102"/>
      <c r="D49" s="523">
        <f t="shared" ref="D49:M49" si="37">+D52</f>
        <v>0</v>
      </c>
      <c r="E49" s="2218">
        <f t="shared" si="37"/>
        <v>0</v>
      </c>
      <c r="F49" s="2218">
        <f t="shared" si="37"/>
        <v>0</v>
      </c>
      <c r="G49" s="2218">
        <f t="shared" si="37"/>
        <v>0</v>
      </c>
      <c r="H49" s="2218">
        <f t="shared" si="37"/>
        <v>0</v>
      </c>
      <c r="I49" s="2218">
        <f t="shared" si="37"/>
        <v>0</v>
      </c>
      <c r="J49" s="2218">
        <f t="shared" si="37"/>
        <v>0</v>
      </c>
      <c r="K49" s="2218">
        <f t="shared" si="37"/>
        <v>0</v>
      </c>
      <c r="L49" s="2218">
        <f t="shared" si="37"/>
        <v>0</v>
      </c>
      <c r="M49" s="2218">
        <f t="shared" si="37"/>
        <v>0</v>
      </c>
      <c r="N49" s="2218"/>
      <c r="O49" s="2218"/>
      <c r="P49" s="2218"/>
      <c r="Q49" s="2218"/>
      <c r="R49" s="2061"/>
      <c r="S49" s="2061"/>
      <c r="T49" s="2061"/>
      <c r="U49" s="2061"/>
      <c r="V49" s="2061"/>
      <c r="W49" s="2061"/>
      <c r="X49" s="2976" t="s">
        <v>77</v>
      </c>
      <c r="Y49" s="2985"/>
    </row>
    <row r="50" spans="1:26" ht="15.75" hidden="1" customHeight="1">
      <c r="A50" s="2981"/>
      <c r="B50" s="2391"/>
      <c r="C50" s="2392"/>
      <c r="D50" s="1486"/>
      <c r="E50" s="2393"/>
      <c r="F50" s="2393"/>
      <c r="G50" s="2393"/>
      <c r="H50" s="2393"/>
      <c r="I50" s="2393"/>
      <c r="J50" s="2393"/>
      <c r="K50" s="2393"/>
      <c r="L50" s="2393"/>
      <c r="M50" s="2393"/>
      <c r="N50" s="2393"/>
      <c r="O50" s="2393"/>
      <c r="P50" s="2393"/>
      <c r="Q50" s="2393"/>
      <c r="R50" s="2394"/>
      <c r="S50" s="2394"/>
      <c r="T50" s="2394"/>
      <c r="U50" s="2394"/>
      <c r="V50" s="2394"/>
      <c r="W50" s="2394"/>
      <c r="X50" s="2646"/>
      <c r="Y50" s="2985"/>
    </row>
    <row r="51" spans="1:26" ht="15.75" hidden="1" customHeight="1">
      <c r="A51" s="2981"/>
      <c r="B51" s="2391"/>
      <c r="C51" s="2392"/>
      <c r="D51" s="1486"/>
      <c r="E51" s="2393"/>
      <c r="F51" s="2393"/>
      <c r="G51" s="2393"/>
      <c r="H51" s="2393"/>
      <c r="I51" s="2393"/>
      <c r="J51" s="2393"/>
      <c r="K51" s="2393"/>
      <c r="L51" s="2393"/>
      <c r="M51" s="2393"/>
      <c r="N51" s="2393"/>
      <c r="O51" s="2393"/>
      <c r="P51" s="2393"/>
      <c r="Q51" s="2393"/>
      <c r="R51" s="2394"/>
      <c r="S51" s="2394"/>
      <c r="T51" s="2394"/>
      <c r="U51" s="2394"/>
      <c r="V51" s="2394"/>
      <c r="W51" s="2394"/>
      <c r="X51" s="2646"/>
      <c r="Y51" s="2985"/>
    </row>
    <row r="52" spans="1:26" ht="12" hidden="1" customHeight="1">
      <c r="A52" s="2981"/>
      <c r="B52" s="2373" t="s">
        <v>30</v>
      </c>
      <c r="C52" s="2702" t="s">
        <v>264</v>
      </c>
      <c r="D52" s="2384">
        <f>+D53</f>
        <v>0</v>
      </c>
      <c r="E52" s="2374">
        <f t="shared" ref="E52:M52" si="38">+E53</f>
        <v>0</v>
      </c>
      <c r="F52" s="2374">
        <f t="shared" si="38"/>
        <v>0</v>
      </c>
      <c r="G52" s="2374">
        <f t="shared" si="38"/>
        <v>0</v>
      </c>
      <c r="H52" s="2374">
        <f t="shared" si="38"/>
        <v>0</v>
      </c>
      <c r="I52" s="2374">
        <f t="shared" si="38"/>
        <v>0</v>
      </c>
      <c r="J52" s="2374">
        <f t="shared" si="38"/>
        <v>0</v>
      </c>
      <c r="K52" s="2374">
        <f t="shared" si="38"/>
        <v>0</v>
      </c>
      <c r="L52" s="2374">
        <f t="shared" si="38"/>
        <v>0</v>
      </c>
      <c r="M52" s="2374">
        <f t="shared" si="38"/>
        <v>0</v>
      </c>
      <c r="N52" s="2374"/>
      <c r="O52" s="2374"/>
      <c r="P52" s="2374"/>
      <c r="Q52" s="2374"/>
      <c r="R52" s="2374"/>
      <c r="S52" s="2374"/>
      <c r="T52" s="2374"/>
      <c r="U52" s="2374"/>
      <c r="V52" s="2374"/>
      <c r="W52" s="2374"/>
      <c r="X52" s="2646"/>
      <c r="Y52" s="2985"/>
    </row>
    <row r="53" spans="1:26" ht="13.5" hidden="1" thickBot="1">
      <c r="A53" s="2982"/>
      <c r="B53" s="2390" t="s">
        <v>33</v>
      </c>
      <c r="C53" s="2988"/>
      <c r="D53" s="1896"/>
      <c r="E53" s="1896"/>
      <c r="F53" s="2100"/>
      <c r="G53" s="1896"/>
      <c r="H53" s="1896"/>
      <c r="I53" s="1896"/>
      <c r="J53" s="1896"/>
      <c r="K53" s="1896"/>
      <c r="L53" s="2385"/>
      <c r="M53" s="1896"/>
      <c r="N53" s="2385"/>
      <c r="O53" s="2385"/>
      <c r="P53" s="2385"/>
      <c r="Q53" s="2385"/>
      <c r="R53" s="2385"/>
      <c r="S53" s="2385"/>
      <c r="T53" s="2385"/>
      <c r="U53" s="2385"/>
      <c r="V53" s="2385"/>
      <c r="W53" s="2385"/>
      <c r="X53" s="2647"/>
      <c r="Y53" s="2986"/>
    </row>
    <row r="54" spans="1:26" s="2395" customFormat="1" ht="15.75" customHeight="1">
      <c r="A54" s="2977" t="s">
        <v>81</v>
      </c>
      <c r="B54" s="477" t="s">
        <v>419</v>
      </c>
      <c r="C54" s="457" t="s">
        <v>128</v>
      </c>
      <c r="D54" s="419"/>
      <c r="E54" s="420"/>
      <c r="F54" s="421"/>
      <c r="G54" s="420"/>
      <c r="H54" s="420"/>
      <c r="I54" s="420"/>
      <c r="J54" s="420"/>
      <c r="K54" s="420"/>
      <c r="L54" s="420"/>
      <c r="M54" s="422"/>
      <c r="N54" s="422"/>
      <c r="O54" s="422"/>
      <c r="P54" s="422"/>
      <c r="Q54" s="422"/>
      <c r="R54" s="422"/>
      <c r="S54" s="422"/>
      <c r="T54" s="422"/>
      <c r="U54" s="422"/>
      <c r="V54" s="422"/>
      <c r="W54" s="422"/>
      <c r="X54" s="423"/>
      <c r="Y54" s="2698" t="s">
        <v>456</v>
      </c>
    </row>
    <row r="55" spans="1:26" s="2395" customFormat="1" ht="12.75">
      <c r="A55" s="2978"/>
      <c r="B55" s="2194" t="s">
        <v>36</v>
      </c>
      <c r="C55" s="2102"/>
      <c r="D55" s="2195">
        <f>+D56+D62</f>
        <v>398692</v>
      </c>
      <c r="E55" s="2196"/>
      <c r="F55" s="2196"/>
      <c r="G55" s="2196"/>
      <c r="H55" s="2196"/>
      <c r="I55" s="2196"/>
      <c r="J55" s="2196"/>
      <c r="K55" s="2196"/>
      <c r="L55" s="2196"/>
      <c r="M55" s="2196"/>
      <c r="N55" s="2196"/>
      <c r="O55" s="2061">
        <f t="shared" ref="O55:T55" si="39">+O56+O62</f>
        <v>49386</v>
      </c>
      <c r="P55" s="2061">
        <f t="shared" si="39"/>
        <v>71394</v>
      </c>
      <c r="Q55" s="2061">
        <f t="shared" si="39"/>
        <v>69478</v>
      </c>
      <c r="R55" s="2061">
        <f t="shared" si="39"/>
        <v>69478</v>
      </c>
      <c r="S55" s="2061">
        <f t="shared" si="39"/>
        <v>69478</v>
      </c>
      <c r="T55" s="2061">
        <f t="shared" si="39"/>
        <v>69478</v>
      </c>
      <c r="U55" s="2061"/>
      <c r="V55" s="2061"/>
      <c r="W55" s="2061"/>
      <c r="X55" s="2396">
        <f>+X56+X62</f>
        <v>349306</v>
      </c>
      <c r="Y55" s="2641"/>
      <c r="Z55" s="2397"/>
    </row>
    <row r="56" spans="1:26" s="2395" customFormat="1" ht="13.5" customHeight="1">
      <c r="A56" s="2978"/>
      <c r="B56" s="2199" t="s">
        <v>24</v>
      </c>
      <c r="C56" s="2701" t="s">
        <v>184</v>
      </c>
      <c r="D56" s="2398">
        <f>+D57+D61</f>
        <v>100499</v>
      </c>
      <c r="E56" s="2398"/>
      <c r="F56" s="2398"/>
      <c r="G56" s="2398"/>
      <c r="H56" s="2398"/>
      <c r="I56" s="2398"/>
      <c r="J56" s="2398"/>
      <c r="K56" s="2398"/>
      <c r="L56" s="2398"/>
      <c r="M56" s="2398"/>
      <c r="N56" s="2398"/>
      <c r="O56" s="2399">
        <f t="shared" ref="O56:T56" si="40">+O57+O61</f>
        <v>12423</v>
      </c>
      <c r="P56" s="2398">
        <f t="shared" si="40"/>
        <v>17998</v>
      </c>
      <c r="Q56" s="2398">
        <f t="shared" si="40"/>
        <v>17519</v>
      </c>
      <c r="R56" s="2398">
        <f t="shared" si="40"/>
        <v>17519</v>
      </c>
      <c r="S56" s="2398">
        <f t="shared" si="40"/>
        <v>17520</v>
      </c>
      <c r="T56" s="2398">
        <f t="shared" si="40"/>
        <v>17520</v>
      </c>
      <c r="U56" s="2398"/>
      <c r="V56" s="2398"/>
      <c r="W56" s="2398"/>
      <c r="X56" s="2400">
        <f>+X57+X61</f>
        <v>88076</v>
      </c>
      <c r="Y56" s="2641"/>
    </row>
    <row r="57" spans="1:26" s="2395" customFormat="1" ht="12.75">
      <c r="A57" s="2978"/>
      <c r="B57" s="774" t="s">
        <v>25</v>
      </c>
      <c r="C57" s="2595"/>
      <c r="D57" s="2204">
        <f>+M57+O57+P57+Q57+R57+S57+T57+U57+V57+W57</f>
        <v>99397</v>
      </c>
      <c r="E57" s="2204"/>
      <c r="F57" s="2204"/>
      <c r="G57" s="2204"/>
      <c r="H57" s="2204"/>
      <c r="I57" s="2204"/>
      <c r="J57" s="2204"/>
      <c r="K57" s="2204"/>
      <c r="L57" s="2001"/>
      <c r="M57" s="2001"/>
      <c r="N57" s="2001"/>
      <c r="O57" s="2401">
        <v>12321</v>
      </c>
      <c r="P57" s="2001">
        <f>SUM(P59:P60)</f>
        <v>17798</v>
      </c>
      <c r="Q57" s="2001">
        <f>SUM(Q59:Q60)</f>
        <v>17319</v>
      </c>
      <c r="R57" s="2001">
        <f>SUM(R59:R60)</f>
        <v>17319</v>
      </c>
      <c r="S57" s="2001">
        <f>SUM(S59:S60)</f>
        <v>17320</v>
      </c>
      <c r="T57" s="2001">
        <f>SUM(T59:T60)</f>
        <v>17320</v>
      </c>
      <c r="U57" s="2001"/>
      <c r="V57" s="2001"/>
      <c r="W57" s="2001"/>
      <c r="X57" s="2207">
        <f>+W57+V57+U57+T57+S57+R57+Q57+P57</f>
        <v>87076</v>
      </c>
      <c r="Y57" s="2641"/>
      <c r="Z57" s="2397"/>
    </row>
    <row r="58" spans="1:26" s="2395" customFormat="1" ht="12.75" hidden="1">
      <c r="A58" s="2978"/>
      <c r="B58" s="2402" t="s">
        <v>186</v>
      </c>
      <c r="C58" s="2595"/>
      <c r="D58" s="2204"/>
      <c r="E58" s="2210"/>
      <c r="F58" s="2403"/>
      <c r="G58" s="2210"/>
      <c r="H58" s="2210"/>
      <c r="I58" s="2210"/>
      <c r="J58" s="2210"/>
      <c r="K58" s="2210"/>
      <c r="L58" s="2070"/>
      <c r="M58" s="2001"/>
      <c r="N58" s="2070"/>
      <c r="O58" s="2070"/>
      <c r="P58" s="2070"/>
      <c r="Q58" s="1999"/>
      <c r="R58" s="1999"/>
      <c r="S58" s="1999"/>
      <c r="T58" s="1999"/>
      <c r="U58" s="1999"/>
      <c r="V58" s="1999"/>
      <c r="W58" s="1999"/>
      <c r="X58" s="2207"/>
      <c r="Y58" s="2641"/>
      <c r="Z58" s="2397"/>
    </row>
    <row r="59" spans="1:26" s="2395" customFormat="1" ht="12.75" hidden="1">
      <c r="A59" s="2978"/>
      <c r="B59" s="2402" t="s">
        <v>405</v>
      </c>
      <c r="C59" s="2595"/>
      <c r="D59" s="2204"/>
      <c r="E59" s="2210"/>
      <c r="F59" s="2403"/>
      <c r="G59" s="2210"/>
      <c r="H59" s="2210"/>
      <c r="I59" s="2210"/>
      <c r="J59" s="2210"/>
      <c r="K59" s="2210"/>
      <c r="L59" s="2070"/>
      <c r="M59" s="2001"/>
      <c r="N59" s="2070"/>
      <c r="O59" s="2070"/>
      <c r="P59" s="2082">
        <f>8186+682+1524+217</f>
        <v>10609</v>
      </c>
      <c r="Q59" s="2404">
        <f>8056+671+1501+214</f>
        <v>10442</v>
      </c>
      <c r="R59" s="2404">
        <f>8056+671+1501+214</f>
        <v>10442</v>
      </c>
      <c r="S59" s="2404">
        <f>8057+671+1501+214</f>
        <v>10443</v>
      </c>
      <c r="T59" s="2404">
        <f>8057+671+1501+214</f>
        <v>10443</v>
      </c>
      <c r="U59" s="1999"/>
      <c r="V59" s="1999"/>
      <c r="W59" s="1999"/>
      <c r="X59" s="2405">
        <f>+W59+V59+U59+T59+S59+R59+Q59+P59</f>
        <v>52379</v>
      </c>
      <c r="Y59" s="2641"/>
      <c r="Z59" s="2397"/>
    </row>
    <row r="60" spans="1:26" s="2395" customFormat="1" ht="12.75" hidden="1">
      <c r="A60" s="2978"/>
      <c r="B60" s="2402" t="s">
        <v>129</v>
      </c>
      <c r="C60" s="2595"/>
      <c r="D60" s="2204"/>
      <c r="E60" s="2210"/>
      <c r="F60" s="2403"/>
      <c r="G60" s="2210"/>
      <c r="H60" s="2210"/>
      <c r="I60" s="2210"/>
      <c r="J60" s="2210"/>
      <c r="K60" s="2210"/>
      <c r="L60" s="2070"/>
      <c r="M60" s="2001"/>
      <c r="N60" s="2070"/>
      <c r="O60" s="2070"/>
      <c r="P60" s="2082">
        <f>520+1087+1086+1250+2246+750+250</f>
        <v>7189</v>
      </c>
      <c r="Q60" s="2082">
        <f>512+979+979+1250+2157+750+250</f>
        <v>6877</v>
      </c>
      <c r="R60" s="2404">
        <f>512+979+979+1250+2407+750</f>
        <v>6877</v>
      </c>
      <c r="S60" s="2404">
        <f>512+979+979+1250+2407+750</f>
        <v>6877</v>
      </c>
      <c r="T60" s="2404">
        <f>512+979+979+1250+2407+750</f>
        <v>6877</v>
      </c>
      <c r="U60" s="1999"/>
      <c r="V60" s="1999"/>
      <c r="W60" s="1999"/>
      <c r="X60" s="2405">
        <f>+W60+V60+U60+T60+S60+R60+Q60+P60</f>
        <v>34697</v>
      </c>
      <c r="Y60" s="2641"/>
      <c r="Z60" s="2397"/>
    </row>
    <row r="61" spans="1:26" s="2395" customFormat="1" ht="13.5" customHeight="1">
      <c r="A61" s="2978"/>
      <c r="B61" s="2406" t="s">
        <v>24</v>
      </c>
      <c r="C61" s="2595"/>
      <c r="D61" s="2204">
        <f>+M61+O61+P61+Q61+R61+S61+T61+U61+V61+W61</f>
        <v>1102</v>
      </c>
      <c r="E61" s="2210"/>
      <c r="F61" s="2403"/>
      <c r="G61" s="2210"/>
      <c r="H61" s="2210"/>
      <c r="I61" s="2210"/>
      <c r="J61" s="2210"/>
      <c r="K61" s="2210"/>
      <c r="L61" s="2070"/>
      <c r="M61" s="2001"/>
      <c r="N61" s="2070"/>
      <c r="O61" s="2070">
        <v>102</v>
      </c>
      <c r="P61" s="2070">
        <v>200</v>
      </c>
      <c r="Q61" s="1999">
        <v>200</v>
      </c>
      <c r="R61" s="1999">
        <v>200</v>
      </c>
      <c r="S61" s="1999">
        <v>200</v>
      </c>
      <c r="T61" s="1999">
        <v>200</v>
      </c>
      <c r="U61" s="1999"/>
      <c r="V61" s="1999"/>
      <c r="W61" s="1999"/>
      <c r="X61" s="2207">
        <f>+W61+V61+U61+T61+S61+R61+Q61+P61</f>
        <v>1000</v>
      </c>
      <c r="Y61" s="2641"/>
    </row>
    <row r="62" spans="1:26" s="2395" customFormat="1" ht="13.5" customHeight="1">
      <c r="A62" s="2978"/>
      <c r="B62" s="2373" t="s">
        <v>30</v>
      </c>
      <c r="C62" s="2595"/>
      <c r="D62" s="2215">
        <f>+D63</f>
        <v>298193</v>
      </c>
      <c r="E62" s="2064"/>
      <c r="F62" s="2064"/>
      <c r="G62" s="2064"/>
      <c r="H62" s="2064"/>
      <c r="I62" s="2064"/>
      <c r="J62" s="2064"/>
      <c r="K62" s="2064"/>
      <c r="L62" s="2064"/>
      <c r="M62" s="2064"/>
      <c r="N62" s="2064"/>
      <c r="O62" s="2064">
        <f t="shared" ref="O62:T62" si="41">+O63</f>
        <v>36963</v>
      </c>
      <c r="P62" s="2064">
        <f t="shared" si="41"/>
        <v>53396</v>
      </c>
      <c r="Q62" s="2064">
        <f t="shared" si="41"/>
        <v>51959</v>
      </c>
      <c r="R62" s="2064">
        <f t="shared" si="41"/>
        <v>51959</v>
      </c>
      <c r="S62" s="2064">
        <f t="shared" si="41"/>
        <v>51958</v>
      </c>
      <c r="T62" s="2064">
        <f t="shared" si="41"/>
        <v>51958</v>
      </c>
      <c r="U62" s="2064"/>
      <c r="V62" s="2064"/>
      <c r="W62" s="2064"/>
      <c r="X62" s="2085">
        <f>+X63</f>
        <v>261230</v>
      </c>
      <c r="Y62" s="2641"/>
    </row>
    <row r="63" spans="1:26" s="2395" customFormat="1" ht="13.5" customHeight="1">
      <c r="A63" s="2978"/>
      <c r="B63" s="2376" t="s">
        <v>32</v>
      </c>
      <c r="C63" s="2662"/>
      <c r="D63" s="2407">
        <f>+M63+O63+P63+Q63+R63+S63+T63+U63+V63+W63</f>
        <v>298193</v>
      </c>
      <c r="E63" s="2210"/>
      <c r="F63" s="2403"/>
      <c r="G63" s="2210"/>
      <c r="H63" s="2210"/>
      <c r="I63" s="2210"/>
      <c r="J63" s="2210"/>
      <c r="K63" s="2210"/>
      <c r="L63" s="2210"/>
      <c r="M63" s="2210"/>
      <c r="N63" s="2210"/>
      <c r="O63" s="2210">
        <v>36963</v>
      </c>
      <c r="P63" s="2210">
        <f>SUM(P65:P66)</f>
        <v>53396</v>
      </c>
      <c r="Q63" s="2210">
        <f>SUM(Q65:Q66)</f>
        <v>51959</v>
      </c>
      <c r="R63" s="2210">
        <f>SUM(R65:R66)</f>
        <v>51959</v>
      </c>
      <c r="S63" s="2210">
        <f>SUM(S65:S66)</f>
        <v>51958</v>
      </c>
      <c r="T63" s="2210">
        <f>SUM(T65:T66)</f>
        <v>51958</v>
      </c>
      <c r="U63" s="2208"/>
      <c r="V63" s="2208"/>
      <c r="W63" s="2208"/>
      <c r="X63" s="2207">
        <f>+W63+V63+U63+T63+S63+R63+Q63+P63</f>
        <v>261230</v>
      </c>
      <c r="Y63" s="2641"/>
      <c r="Z63" s="2397"/>
    </row>
    <row r="64" spans="1:26" s="2413" customFormat="1" ht="13.5" hidden="1" customHeight="1">
      <c r="A64" s="2978"/>
      <c r="B64" s="2402" t="s">
        <v>186</v>
      </c>
      <c r="C64" s="2408"/>
      <c r="D64" s="2409"/>
      <c r="E64" s="2410"/>
      <c r="F64" s="2403"/>
      <c r="G64" s="2410"/>
      <c r="H64" s="2410"/>
      <c r="I64" s="2410"/>
      <c r="J64" s="2410"/>
      <c r="K64" s="2410"/>
      <c r="L64" s="2410"/>
      <c r="M64" s="2410"/>
      <c r="N64" s="2410"/>
      <c r="O64" s="2410"/>
      <c r="P64" s="2410"/>
      <c r="Q64" s="2410"/>
      <c r="R64" s="2410"/>
      <c r="S64" s="2410"/>
      <c r="T64" s="2410"/>
      <c r="U64" s="2410"/>
      <c r="V64" s="2410"/>
      <c r="W64" s="2410"/>
      <c r="X64" s="2411"/>
      <c r="Y64" s="2641"/>
      <c r="Z64" s="2412"/>
    </row>
    <row r="65" spans="1:26" s="2413" customFormat="1" ht="13.5" hidden="1" customHeight="1">
      <c r="A65" s="2978"/>
      <c r="B65" s="2402" t="s">
        <v>405</v>
      </c>
      <c r="C65" s="2408"/>
      <c r="D65" s="2409"/>
      <c r="E65" s="2410"/>
      <c r="F65" s="2403"/>
      <c r="G65" s="2410"/>
      <c r="H65" s="2410"/>
      <c r="I65" s="2410"/>
      <c r="J65" s="2410"/>
      <c r="K65" s="2410"/>
      <c r="L65" s="2410"/>
      <c r="M65" s="2410"/>
      <c r="N65" s="2410"/>
      <c r="O65" s="2410"/>
      <c r="P65" s="2410">
        <f>24556+2046+4573+652</f>
        <v>31827</v>
      </c>
      <c r="Q65" s="2410">
        <f>24173+2014+4502+642</f>
        <v>31331</v>
      </c>
      <c r="R65" s="2410">
        <f>24173+2014+4502+642</f>
        <v>31331</v>
      </c>
      <c r="S65" s="2410">
        <f>24172+2014+4502+642</f>
        <v>31330</v>
      </c>
      <c r="T65" s="2410">
        <f>24172+2014+4502+642</f>
        <v>31330</v>
      </c>
      <c r="U65" s="2410"/>
      <c r="V65" s="2410"/>
      <c r="W65" s="2410"/>
      <c r="X65" s="2405">
        <f>+W65+V65+U65+T65+S65+R65+Q65+P65</f>
        <v>157149</v>
      </c>
      <c r="Y65" s="2641"/>
      <c r="Z65" s="2412"/>
    </row>
    <row r="66" spans="1:26" s="2413" customFormat="1" ht="13.5" hidden="1" customHeight="1">
      <c r="A66" s="2978"/>
      <c r="B66" s="2402" t="s">
        <v>129</v>
      </c>
      <c r="C66" s="2408"/>
      <c r="D66" s="2409"/>
      <c r="E66" s="2410"/>
      <c r="F66" s="2403"/>
      <c r="G66" s="2410"/>
      <c r="H66" s="2410"/>
      <c r="I66" s="2410"/>
      <c r="J66" s="2410"/>
      <c r="K66" s="2410"/>
      <c r="L66" s="2410"/>
      <c r="M66" s="2410"/>
      <c r="N66" s="2410"/>
      <c r="O66" s="2410"/>
      <c r="P66" s="2410">
        <f>1562+3259+3259+3750+6739+2250+750</f>
        <v>21569</v>
      </c>
      <c r="Q66" s="2410">
        <f>1537+2936+2936+3750+6469+2250+750</f>
        <v>20628</v>
      </c>
      <c r="R66" s="2410">
        <f>1537+2936+2936+3750+7219+2250</f>
        <v>20628</v>
      </c>
      <c r="S66" s="2410">
        <f>1537+2936+2936+3750+7219+2250</f>
        <v>20628</v>
      </c>
      <c r="T66" s="2410">
        <f>1537+2936+2936+3750+7219+2250</f>
        <v>20628</v>
      </c>
      <c r="U66" s="2410"/>
      <c r="V66" s="2410"/>
      <c r="W66" s="2410"/>
      <c r="X66" s="2405">
        <f>+W66+V66+U66+T66+S66+R66+Q66+P66</f>
        <v>104081</v>
      </c>
      <c r="Y66" s="2641"/>
      <c r="Z66" s="2412"/>
    </row>
    <row r="67" spans="1:26" s="2395" customFormat="1" ht="12.75">
      <c r="A67" s="2978"/>
      <c r="B67" s="1988" t="s">
        <v>34</v>
      </c>
      <c r="C67" s="2102"/>
      <c r="D67" s="2218">
        <f>+D68+D70</f>
        <v>397590</v>
      </c>
      <c r="E67" s="2218"/>
      <c r="F67" s="2218"/>
      <c r="G67" s="2218"/>
      <c r="H67" s="2218"/>
      <c r="I67" s="2218"/>
      <c r="J67" s="2218"/>
      <c r="K67" s="2218"/>
      <c r="L67" s="2218"/>
      <c r="M67" s="2218"/>
      <c r="N67" s="2218"/>
      <c r="O67" s="2218">
        <f t="shared" ref="O67:U67" si="42">+O68+O70</f>
        <v>0</v>
      </c>
      <c r="P67" s="2218">
        <f t="shared" si="42"/>
        <v>0</v>
      </c>
      <c r="Q67" s="2218">
        <f t="shared" si="42"/>
        <v>120478</v>
      </c>
      <c r="R67" s="2218">
        <f t="shared" si="42"/>
        <v>69278</v>
      </c>
      <c r="S67" s="2218">
        <f t="shared" si="42"/>
        <v>69278</v>
      </c>
      <c r="T67" s="2218">
        <f t="shared" si="42"/>
        <v>69278</v>
      </c>
      <c r="U67" s="2218">
        <f t="shared" si="42"/>
        <v>69278</v>
      </c>
      <c r="V67" s="2061"/>
      <c r="W67" s="2061"/>
      <c r="X67" s="2976" t="s">
        <v>77</v>
      </c>
      <c r="Y67" s="2641"/>
    </row>
    <row r="68" spans="1:26" s="2395" customFormat="1" ht="13.5" customHeight="1">
      <c r="A68" s="2978"/>
      <c r="B68" s="2414" t="s">
        <v>36</v>
      </c>
      <c r="C68" s="2702" t="s">
        <v>184</v>
      </c>
      <c r="D68" s="2384">
        <f>+D69</f>
        <v>99397</v>
      </c>
      <c r="E68" s="2374"/>
      <c r="F68" s="2374"/>
      <c r="G68" s="2374"/>
      <c r="H68" s="2374"/>
      <c r="I68" s="2374"/>
      <c r="J68" s="2374"/>
      <c r="K68" s="2374"/>
      <c r="L68" s="2374"/>
      <c r="M68" s="2374"/>
      <c r="N68" s="2374"/>
      <c r="O68" s="2374">
        <f t="shared" ref="O68:U68" si="43">+O69</f>
        <v>0</v>
      </c>
      <c r="P68" s="2374">
        <f t="shared" si="43"/>
        <v>0</v>
      </c>
      <c r="Q68" s="2374">
        <f t="shared" si="43"/>
        <v>30119</v>
      </c>
      <c r="R68" s="2374">
        <f t="shared" si="43"/>
        <v>17319</v>
      </c>
      <c r="S68" s="2374">
        <f t="shared" si="43"/>
        <v>17319</v>
      </c>
      <c r="T68" s="2374">
        <f t="shared" si="43"/>
        <v>17320</v>
      </c>
      <c r="U68" s="2374">
        <f t="shared" si="43"/>
        <v>17320</v>
      </c>
      <c r="V68" s="2374"/>
      <c r="W68" s="2374"/>
      <c r="X68" s="2646"/>
      <c r="Y68" s="2641"/>
    </row>
    <row r="69" spans="1:26" s="2395" customFormat="1" ht="12.75">
      <c r="A69" s="2978"/>
      <c r="B69" s="774" t="s">
        <v>25</v>
      </c>
      <c r="C69" s="2703"/>
      <c r="D69" s="2070">
        <f>+M69+O69+P69+Q69+R69+S69+T69+U69+V69+W69</f>
        <v>99397</v>
      </c>
      <c r="E69" s="2070"/>
      <c r="F69" s="1999"/>
      <c r="G69" s="2070"/>
      <c r="H69" s="2070"/>
      <c r="I69" s="2070"/>
      <c r="J69" s="2070"/>
      <c r="K69" s="2070"/>
      <c r="L69" s="2378"/>
      <c r="M69" s="2070"/>
      <c r="N69" s="2378"/>
      <c r="O69" s="2378"/>
      <c r="P69" s="1999">
        <v>0</v>
      </c>
      <c r="Q69" s="2001">
        <v>30119</v>
      </c>
      <c r="R69" s="2001">
        <v>17319</v>
      </c>
      <c r="S69" s="2001">
        <v>17319</v>
      </c>
      <c r="T69" s="2001">
        <v>17320</v>
      </c>
      <c r="U69" s="2001">
        <v>17320</v>
      </c>
      <c r="V69" s="2415"/>
      <c r="W69" s="2415"/>
      <c r="X69" s="2646"/>
      <c r="Y69" s="2641"/>
    </row>
    <row r="70" spans="1:26" s="2395" customFormat="1" ht="12.75">
      <c r="A70" s="2978"/>
      <c r="B70" s="2416" t="s">
        <v>30</v>
      </c>
      <c r="C70" s="2703"/>
      <c r="D70" s="2417">
        <f>+D71</f>
        <v>298193</v>
      </c>
      <c r="E70" s="2417"/>
      <c r="F70" s="2417"/>
      <c r="G70" s="2417"/>
      <c r="H70" s="2417"/>
      <c r="I70" s="2417"/>
      <c r="J70" s="2417"/>
      <c r="K70" s="2417"/>
      <c r="L70" s="2417"/>
      <c r="M70" s="2417"/>
      <c r="N70" s="2417"/>
      <c r="O70" s="2417"/>
      <c r="P70" s="2417">
        <v>0</v>
      </c>
      <c r="Q70" s="2417">
        <f>+Q71</f>
        <v>90359</v>
      </c>
      <c r="R70" s="2417">
        <f>+R71</f>
        <v>51959</v>
      </c>
      <c r="S70" s="2417">
        <f>+S71</f>
        <v>51959</v>
      </c>
      <c r="T70" s="2417">
        <f>+T71</f>
        <v>51958</v>
      </c>
      <c r="U70" s="2417">
        <f>+U71</f>
        <v>51958</v>
      </c>
      <c r="V70" s="2418"/>
      <c r="W70" s="2418"/>
      <c r="X70" s="2646"/>
      <c r="Y70" s="2641"/>
    </row>
    <row r="71" spans="1:26" s="2395" customFormat="1" ht="13.5" thickBot="1">
      <c r="A71" s="2979"/>
      <c r="B71" s="2419" t="s">
        <v>32</v>
      </c>
      <c r="C71" s="2989"/>
      <c r="D71" s="1896">
        <f>+M71+O71+P71+Q71+R71+S71+T71+U71+V71+W71</f>
        <v>298193</v>
      </c>
      <c r="E71" s="1896"/>
      <c r="F71" s="2100"/>
      <c r="G71" s="1896"/>
      <c r="H71" s="1896"/>
      <c r="I71" s="1896"/>
      <c r="J71" s="1896"/>
      <c r="K71" s="1896"/>
      <c r="L71" s="2385"/>
      <c r="M71" s="1896"/>
      <c r="N71" s="2385"/>
      <c r="O71" s="2385"/>
      <c r="P71" s="2100">
        <v>0</v>
      </c>
      <c r="Q71" s="1896">
        <v>90359</v>
      </c>
      <c r="R71" s="1896">
        <v>51959</v>
      </c>
      <c r="S71" s="1896">
        <v>51959</v>
      </c>
      <c r="T71" s="1896">
        <v>51958</v>
      </c>
      <c r="U71" s="1896">
        <v>51958</v>
      </c>
      <c r="V71" s="2386"/>
      <c r="W71" s="2386"/>
      <c r="X71" s="2647"/>
      <c r="Y71" s="2655"/>
    </row>
    <row r="72" spans="1:26" ht="28.5" customHeight="1" thickBot="1">
      <c r="A72" s="706" t="s">
        <v>371</v>
      </c>
      <c r="B72" s="707"/>
      <c r="C72" s="707"/>
      <c r="D72" s="707"/>
      <c r="E72" s="708"/>
      <c r="F72" s="2420"/>
      <c r="G72" s="2420"/>
      <c r="H72" s="2420"/>
      <c r="I72" s="2421"/>
      <c r="J72" s="2421"/>
      <c r="K72" s="2421"/>
      <c r="L72" s="2421"/>
      <c r="M72" s="707"/>
      <c r="N72" s="707"/>
      <c r="O72" s="707"/>
      <c r="P72" s="707"/>
      <c r="Q72" s="707"/>
      <c r="R72" s="707"/>
      <c r="S72" s="707"/>
      <c r="T72" s="707"/>
      <c r="U72" s="707"/>
      <c r="V72" s="707"/>
      <c r="W72" s="707"/>
      <c r="X72" s="709"/>
      <c r="Y72" s="710"/>
    </row>
    <row r="73" spans="1:26" ht="13.5" customHeight="1">
      <c r="A73" s="704"/>
      <c r="B73" s="765" t="s">
        <v>92</v>
      </c>
      <c r="C73" s="766"/>
      <c r="D73" s="767">
        <f>+D74+D75</f>
        <v>107083</v>
      </c>
      <c r="E73" s="767" t="e">
        <f t="shared" ref="E73:Q73" si="44">+E74+E75</f>
        <v>#REF!</v>
      </c>
      <c r="F73" s="1266" t="e">
        <f t="shared" si="44"/>
        <v>#REF!</v>
      </c>
      <c r="G73" s="1266" t="e">
        <f t="shared" si="44"/>
        <v>#REF!</v>
      </c>
      <c r="H73" s="1266" t="e">
        <f t="shared" si="44"/>
        <v>#REF!</v>
      </c>
      <c r="I73" s="1267" t="e">
        <f t="shared" si="44"/>
        <v>#REF!</v>
      </c>
      <c r="J73" s="1267" t="e">
        <f t="shared" si="44"/>
        <v>#REF!</v>
      </c>
      <c r="K73" s="1267" t="e">
        <f t="shared" si="44"/>
        <v>#REF!</v>
      </c>
      <c r="L73" s="1267" t="e">
        <f t="shared" si="44"/>
        <v>#REF!</v>
      </c>
      <c r="M73" s="767">
        <f t="shared" si="44"/>
        <v>0</v>
      </c>
      <c r="N73" s="767" t="e">
        <f t="shared" si="44"/>
        <v>#REF!</v>
      </c>
      <c r="O73" s="767">
        <f t="shared" si="44"/>
        <v>0</v>
      </c>
      <c r="P73" s="767">
        <f t="shared" si="44"/>
        <v>27805</v>
      </c>
      <c r="Q73" s="767">
        <f t="shared" si="44"/>
        <v>26855</v>
      </c>
      <c r="R73" s="767">
        <f t="shared" ref="R73:X73" si="45">+R74+R75</f>
        <v>26856</v>
      </c>
      <c r="S73" s="767">
        <f t="shared" si="45"/>
        <v>25567</v>
      </c>
      <c r="T73" s="767">
        <f t="shared" si="45"/>
        <v>0</v>
      </c>
      <c r="U73" s="767">
        <f t="shared" si="45"/>
        <v>0</v>
      </c>
      <c r="V73" s="767">
        <f t="shared" si="45"/>
        <v>0</v>
      </c>
      <c r="W73" s="767">
        <f t="shared" si="45"/>
        <v>0</v>
      </c>
      <c r="X73" s="652">
        <f t="shared" si="45"/>
        <v>107083</v>
      </c>
      <c r="Y73" s="2849" t="s">
        <v>77</v>
      </c>
    </row>
    <row r="74" spans="1:26" ht="16.5" customHeight="1" thickBot="1">
      <c r="A74" s="704"/>
      <c r="B74" s="757" t="s">
        <v>93</v>
      </c>
      <c r="C74" s="758"/>
      <c r="D74" s="759">
        <f>+D84</f>
        <v>107083</v>
      </c>
      <c r="E74" s="759" t="e">
        <f>+#REF!+E91</f>
        <v>#REF!</v>
      </c>
      <c r="F74" s="1268" t="e">
        <f>+#REF!+F91</f>
        <v>#REF!</v>
      </c>
      <c r="G74" s="1268" t="e">
        <f>+#REF!+G91</f>
        <v>#REF!</v>
      </c>
      <c r="H74" s="1268" t="e">
        <f>+#REF!+H91</f>
        <v>#REF!</v>
      </c>
      <c r="I74" s="1269" t="e">
        <f>+#REF!+I91</f>
        <v>#REF!</v>
      </c>
      <c r="J74" s="1269" t="e">
        <f>+#REF!+J91</f>
        <v>#REF!</v>
      </c>
      <c r="K74" s="1269" t="e">
        <f>+#REF!+K91</f>
        <v>#REF!</v>
      </c>
      <c r="L74" s="1269" t="e">
        <f>+#REF!+L91</f>
        <v>#REF!</v>
      </c>
      <c r="M74" s="759">
        <f>+M84</f>
        <v>0</v>
      </c>
      <c r="N74" s="759" t="e">
        <f>+#REF!+N91</f>
        <v>#REF!</v>
      </c>
      <c r="O74" s="759">
        <f t="shared" ref="O74:W74" si="46">+O84</f>
        <v>0</v>
      </c>
      <c r="P74" s="759">
        <f t="shared" si="46"/>
        <v>27805</v>
      </c>
      <c r="Q74" s="759">
        <f t="shared" si="46"/>
        <v>26855</v>
      </c>
      <c r="R74" s="759">
        <f t="shared" si="46"/>
        <v>26856</v>
      </c>
      <c r="S74" s="759">
        <f t="shared" si="46"/>
        <v>25567</v>
      </c>
      <c r="T74" s="759">
        <f t="shared" si="46"/>
        <v>0</v>
      </c>
      <c r="U74" s="759">
        <f t="shared" si="46"/>
        <v>0</v>
      </c>
      <c r="V74" s="759">
        <f t="shared" si="46"/>
        <v>0</v>
      </c>
      <c r="W74" s="759">
        <f t="shared" si="46"/>
        <v>0</v>
      </c>
      <c r="X74" s="2422">
        <f>SUM(P74:T74)</f>
        <v>107083</v>
      </c>
      <c r="Y74" s="2850"/>
    </row>
    <row r="75" spans="1:26" ht="12.75" hidden="1" thickBot="1">
      <c r="A75" s="704"/>
      <c r="B75" s="768" t="s">
        <v>21</v>
      </c>
      <c r="C75" s="758"/>
      <c r="D75" s="759"/>
      <c r="E75" s="759">
        <f>+E84</f>
        <v>0</v>
      </c>
      <c r="F75" s="1268">
        <f>F84</f>
        <v>0</v>
      </c>
      <c r="G75" s="1268">
        <f>G84</f>
        <v>0</v>
      </c>
      <c r="H75" s="1268">
        <f>H84</f>
        <v>0</v>
      </c>
      <c r="I75" s="1269">
        <f>+I84</f>
        <v>0</v>
      </c>
      <c r="J75" s="1269">
        <f>+J84</f>
        <v>0</v>
      </c>
      <c r="K75" s="1269">
        <f>+K84</f>
        <v>0</v>
      </c>
      <c r="L75" s="1269">
        <f>+L84</f>
        <v>0</v>
      </c>
      <c r="M75" s="759"/>
      <c r="N75" s="759">
        <f>+N84</f>
        <v>0</v>
      </c>
      <c r="O75" s="759"/>
      <c r="P75" s="759"/>
      <c r="Q75" s="759"/>
      <c r="R75" s="1270"/>
      <c r="S75" s="1270"/>
      <c r="T75" s="1270"/>
      <c r="U75" s="1270"/>
      <c r="V75" s="1270"/>
      <c r="W75" s="1270"/>
      <c r="X75" s="654">
        <f>SUM(P75:T75)</f>
        <v>0</v>
      </c>
      <c r="Y75" s="2850"/>
    </row>
    <row r="76" spans="1:26" ht="15.75" customHeight="1">
      <c r="A76" s="1271"/>
      <c r="B76" s="687" t="s">
        <v>22</v>
      </c>
      <c r="C76" s="688"/>
      <c r="D76" s="658">
        <f>+D77</f>
        <v>107083</v>
      </c>
      <c r="E76" s="658">
        <f t="shared" ref="E76:W77" si="47">+E77</f>
        <v>0</v>
      </c>
      <c r="F76" s="1155">
        <f t="shared" si="47"/>
        <v>0</v>
      </c>
      <c r="G76" s="1155">
        <f t="shared" si="47"/>
        <v>0</v>
      </c>
      <c r="H76" s="1155">
        <f t="shared" si="47"/>
        <v>0</v>
      </c>
      <c r="I76" s="1156">
        <f t="shared" si="47"/>
        <v>0</v>
      </c>
      <c r="J76" s="1156">
        <f t="shared" si="47"/>
        <v>0</v>
      </c>
      <c r="K76" s="1156">
        <f t="shared" si="47"/>
        <v>0</v>
      </c>
      <c r="L76" s="1156">
        <f t="shared" si="47"/>
        <v>0</v>
      </c>
      <c r="M76" s="658">
        <f t="shared" si="47"/>
        <v>0</v>
      </c>
      <c r="N76" s="658">
        <f t="shared" si="47"/>
        <v>0</v>
      </c>
      <c r="O76" s="658">
        <f t="shared" si="47"/>
        <v>0</v>
      </c>
      <c r="P76" s="658">
        <f t="shared" si="47"/>
        <v>27805</v>
      </c>
      <c r="Q76" s="658">
        <f t="shared" si="47"/>
        <v>26855</v>
      </c>
      <c r="R76" s="658">
        <f t="shared" si="47"/>
        <v>26856</v>
      </c>
      <c r="S76" s="658">
        <f t="shared" si="47"/>
        <v>25567</v>
      </c>
      <c r="T76" s="658">
        <f t="shared" si="47"/>
        <v>0</v>
      </c>
      <c r="U76" s="658">
        <f t="shared" si="47"/>
        <v>0</v>
      </c>
      <c r="V76" s="658">
        <f t="shared" si="47"/>
        <v>0</v>
      </c>
      <c r="W76" s="658">
        <f t="shared" si="47"/>
        <v>0</v>
      </c>
      <c r="X76" s="1272">
        <f>+X77</f>
        <v>107083</v>
      </c>
      <c r="Y76" s="2850"/>
    </row>
    <row r="77" spans="1:26" ht="15" customHeight="1">
      <c r="A77" s="712"/>
      <c r="B77" s="659" t="s">
        <v>23</v>
      </c>
      <c r="C77" s="2996" t="s">
        <v>77</v>
      </c>
      <c r="D77" s="2423">
        <f>+D78+D79</f>
        <v>107083</v>
      </c>
      <c r="E77" s="2423">
        <f t="shared" si="47"/>
        <v>0</v>
      </c>
      <c r="F77" s="2424">
        <f t="shared" si="47"/>
        <v>0</v>
      </c>
      <c r="G77" s="2424">
        <f t="shared" si="47"/>
        <v>0</v>
      </c>
      <c r="H77" s="2424">
        <f t="shared" si="47"/>
        <v>0</v>
      </c>
      <c r="I77" s="2425">
        <f t="shared" si="47"/>
        <v>0</v>
      </c>
      <c r="J77" s="2425">
        <f t="shared" si="47"/>
        <v>0</v>
      </c>
      <c r="K77" s="2425">
        <f t="shared" si="47"/>
        <v>0</v>
      </c>
      <c r="L77" s="2425">
        <f t="shared" si="47"/>
        <v>0</v>
      </c>
      <c r="M77" s="2423">
        <f t="shared" si="47"/>
        <v>0</v>
      </c>
      <c r="N77" s="2423">
        <f>+N78+N79</f>
        <v>0</v>
      </c>
      <c r="O77" s="2423">
        <f>+O78+O79</f>
        <v>0</v>
      </c>
      <c r="P77" s="2423">
        <f t="shared" si="47"/>
        <v>27805</v>
      </c>
      <c r="Q77" s="2423">
        <f t="shared" si="47"/>
        <v>26855</v>
      </c>
      <c r="R77" s="2423">
        <f t="shared" si="47"/>
        <v>26856</v>
      </c>
      <c r="S77" s="2423">
        <f t="shared" si="47"/>
        <v>25567</v>
      </c>
      <c r="T77" s="2423">
        <f t="shared" si="47"/>
        <v>0</v>
      </c>
      <c r="U77" s="2423">
        <f t="shared" si="47"/>
        <v>0</v>
      </c>
      <c r="V77" s="2423">
        <f t="shared" si="47"/>
        <v>0</v>
      </c>
      <c r="W77" s="2423">
        <f t="shared" si="47"/>
        <v>0</v>
      </c>
      <c r="X77" s="2426">
        <f>+X78+X79</f>
        <v>107083</v>
      </c>
      <c r="Y77" s="2850"/>
    </row>
    <row r="78" spans="1:26" ht="15" customHeight="1" thickBot="1">
      <c r="A78" s="661"/>
      <c r="B78" s="662" t="s">
        <v>24</v>
      </c>
      <c r="C78" s="2853"/>
      <c r="D78" s="2427">
        <f>+D86+D89+D93</f>
        <v>107083</v>
      </c>
      <c r="E78" s="2427">
        <f t="shared" ref="E78:L78" si="48">+E86+E89</f>
        <v>0</v>
      </c>
      <c r="F78" s="2428">
        <f t="shared" si="48"/>
        <v>0</v>
      </c>
      <c r="G78" s="2428">
        <f t="shared" si="48"/>
        <v>0</v>
      </c>
      <c r="H78" s="2428">
        <f t="shared" si="48"/>
        <v>0</v>
      </c>
      <c r="I78" s="2429">
        <f t="shared" si="48"/>
        <v>0</v>
      </c>
      <c r="J78" s="2429">
        <f t="shared" si="48"/>
        <v>0</v>
      </c>
      <c r="K78" s="2429">
        <f t="shared" si="48"/>
        <v>0</v>
      </c>
      <c r="L78" s="2429">
        <f t="shared" si="48"/>
        <v>0</v>
      </c>
      <c r="M78" s="2427">
        <f>+M86+M89+M93</f>
        <v>0</v>
      </c>
      <c r="N78" s="2427">
        <f>+N86+N89+N93</f>
        <v>0</v>
      </c>
      <c r="O78" s="2427">
        <f>+O86+O89+O93</f>
        <v>0</v>
      </c>
      <c r="P78" s="2427">
        <f>+P86+P89+P93</f>
        <v>27805</v>
      </c>
      <c r="Q78" s="2427">
        <f t="shared" ref="Q78:W78" si="49">+Q86+Q89</f>
        <v>26855</v>
      </c>
      <c r="R78" s="2427">
        <f t="shared" si="49"/>
        <v>26856</v>
      </c>
      <c r="S78" s="2427">
        <f t="shared" si="49"/>
        <v>25567</v>
      </c>
      <c r="T78" s="2427">
        <f t="shared" si="49"/>
        <v>0</v>
      </c>
      <c r="U78" s="2427">
        <f t="shared" si="49"/>
        <v>0</v>
      </c>
      <c r="V78" s="2427">
        <f t="shared" si="49"/>
        <v>0</v>
      </c>
      <c r="W78" s="2427">
        <f t="shared" si="49"/>
        <v>0</v>
      </c>
      <c r="X78" s="2089">
        <f>SUM(P78:W78)</f>
        <v>107083</v>
      </c>
      <c r="Y78" s="2850"/>
    </row>
    <row r="79" spans="1:26" ht="12.75" hidden="1" thickBot="1">
      <c r="A79" s="661"/>
      <c r="B79" s="662" t="s">
        <v>26</v>
      </c>
      <c r="C79" s="2997"/>
      <c r="D79" s="2427">
        <f>+D94</f>
        <v>0</v>
      </c>
      <c r="E79" s="2427">
        <f>+E94</f>
        <v>0</v>
      </c>
      <c r="F79" s="2428">
        <f t="shared" ref="F79:T79" si="50">+F94</f>
        <v>0</v>
      </c>
      <c r="G79" s="2428">
        <f t="shared" si="50"/>
        <v>0</v>
      </c>
      <c r="H79" s="2428">
        <f t="shared" si="50"/>
        <v>0</v>
      </c>
      <c r="I79" s="2429">
        <f t="shared" si="50"/>
        <v>0</v>
      </c>
      <c r="J79" s="2429">
        <f t="shared" si="50"/>
        <v>0</v>
      </c>
      <c r="K79" s="2429">
        <f t="shared" si="50"/>
        <v>0</v>
      </c>
      <c r="L79" s="2429">
        <f t="shared" si="50"/>
        <v>0</v>
      </c>
      <c r="M79" s="2427">
        <f t="shared" si="50"/>
        <v>0</v>
      </c>
      <c r="N79" s="2427">
        <f t="shared" si="50"/>
        <v>0</v>
      </c>
      <c r="O79" s="2427">
        <f t="shared" si="50"/>
        <v>0</v>
      </c>
      <c r="P79" s="2427">
        <f t="shared" si="50"/>
        <v>0</v>
      </c>
      <c r="Q79" s="2427">
        <f t="shared" si="50"/>
        <v>0</v>
      </c>
      <c r="R79" s="2427">
        <f t="shared" si="50"/>
        <v>0</v>
      </c>
      <c r="S79" s="2427">
        <f t="shared" si="50"/>
        <v>0</v>
      </c>
      <c r="T79" s="2427">
        <f t="shared" si="50"/>
        <v>0</v>
      </c>
      <c r="U79" s="2427"/>
      <c r="V79" s="2427"/>
      <c r="W79" s="2427"/>
      <c r="X79" s="2089">
        <f>SUM(P79:W79)</f>
        <v>0</v>
      </c>
      <c r="Y79" s="2850"/>
    </row>
    <row r="80" spans="1:26" ht="12" hidden="1" customHeight="1">
      <c r="A80" s="655"/>
      <c r="B80" s="501" t="s">
        <v>34</v>
      </c>
      <c r="C80" s="522"/>
      <c r="D80" s="711">
        <f>+D81</f>
        <v>0</v>
      </c>
      <c r="E80" s="711">
        <f t="shared" ref="E80:M81" si="51">+E81</f>
        <v>0</v>
      </c>
      <c r="F80" s="1285">
        <f t="shared" si="51"/>
        <v>0</v>
      </c>
      <c r="G80" s="1285">
        <f t="shared" si="51"/>
        <v>0</v>
      </c>
      <c r="H80" s="1285">
        <f t="shared" si="51"/>
        <v>0</v>
      </c>
      <c r="I80" s="1286">
        <f t="shared" si="51"/>
        <v>0</v>
      </c>
      <c r="J80" s="1286">
        <f t="shared" si="51"/>
        <v>0</v>
      </c>
      <c r="K80" s="1286">
        <f t="shared" si="51"/>
        <v>0</v>
      </c>
      <c r="L80" s="1286">
        <f t="shared" si="51"/>
        <v>0</v>
      </c>
      <c r="M80" s="711">
        <f t="shared" si="51"/>
        <v>0</v>
      </c>
      <c r="N80" s="711">
        <f>+N81</f>
        <v>0</v>
      </c>
      <c r="O80" s="711">
        <f>+O81</f>
        <v>0</v>
      </c>
      <c r="P80" s="711">
        <f t="shared" ref="P80:T81" si="52">+P81</f>
        <v>0</v>
      </c>
      <c r="Q80" s="711">
        <f t="shared" si="52"/>
        <v>0</v>
      </c>
      <c r="R80" s="711">
        <f t="shared" si="52"/>
        <v>0</v>
      </c>
      <c r="S80" s="711">
        <f t="shared" si="52"/>
        <v>0</v>
      </c>
      <c r="T80" s="711">
        <f t="shared" si="52"/>
        <v>0</v>
      </c>
      <c r="U80" s="711"/>
      <c r="V80" s="711"/>
      <c r="W80" s="711"/>
      <c r="X80" s="2915" t="s">
        <v>77</v>
      </c>
      <c r="Y80" s="2850"/>
    </row>
    <row r="81" spans="1:25" ht="12" hidden="1" customHeight="1">
      <c r="A81" s="655"/>
      <c r="B81" s="659" t="s">
        <v>23</v>
      </c>
      <c r="C81" s="2996" t="s">
        <v>77</v>
      </c>
      <c r="D81" s="2423">
        <f>+D82</f>
        <v>0</v>
      </c>
      <c r="E81" s="2423">
        <f t="shared" si="51"/>
        <v>0</v>
      </c>
      <c r="F81" s="2424">
        <f t="shared" si="51"/>
        <v>0</v>
      </c>
      <c r="G81" s="2424">
        <f t="shared" si="51"/>
        <v>0</v>
      </c>
      <c r="H81" s="2424">
        <f t="shared" si="51"/>
        <v>0</v>
      </c>
      <c r="I81" s="2425">
        <f t="shared" si="51"/>
        <v>0</v>
      </c>
      <c r="J81" s="2425">
        <f t="shared" si="51"/>
        <v>0</v>
      </c>
      <c r="K81" s="2425">
        <f>+K82</f>
        <v>0</v>
      </c>
      <c r="L81" s="2425">
        <f t="shared" si="51"/>
        <v>0</v>
      </c>
      <c r="M81" s="2423">
        <f t="shared" si="51"/>
        <v>0</v>
      </c>
      <c r="N81" s="2423">
        <f>+N82</f>
        <v>0</v>
      </c>
      <c r="O81" s="2423">
        <f>+O82</f>
        <v>0</v>
      </c>
      <c r="P81" s="2423">
        <f t="shared" si="52"/>
        <v>0</v>
      </c>
      <c r="Q81" s="2423">
        <f t="shared" si="52"/>
        <v>0</v>
      </c>
      <c r="R81" s="2423">
        <f t="shared" si="52"/>
        <v>0</v>
      </c>
      <c r="S81" s="2423">
        <f t="shared" si="52"/>
        <v>0</v>
      </c>
      <c r="T81" s="2423">
        <f t="shared" si="52"/>
        <v>0</v>
      </c>
      <c r="U81" s="2423"/>
      <c r="V81" s="2423"/>
      <c r="W81" s="2423"/>
      <c r="X81" s="2830"/>
      <c r="Y81" s="2850"/>
    </row>
    <row r="82" spans="1:25" ht="12.75" hidden="1" customHeight="1" thickBot="1">
      <c r="A82" s="661"/>
      <c r="B82" s="662" t="s">
        <v>26</v>
      </c>
      <c r="C82" s="2853"/>
      <c r="D82" s="2427">
        <f>+D97</f>
        <v>0</v>
      </c>
      <c r="E82" s="2427">
        <f>+E97</f>
        <v>0</v>
      </c>
      <c r="F82" s="2428">
        <f t="shared" ref="F82:T82" si="53">+F97</f>
        <v>0</v>
      </c>
      <c r="G82" s="2428">
        <f t="shared" si="53"/>
        <v>0</v>
      </c>
      <c r="H82" s="2428">
        <f t="shared" si="53"/>
        <v>0</v>
      </c>
      <c r="I82" s="2429">
        <f t="shared" si="53"/>
        <v>0</v>
      </c>
      <c r="J82" s="2429">
        <f t="shared" si="53"/>
        <v>0</v>
      </c>
      <c r="K82" s="2429">
        <f t="shared" si="53"/>
        <v>0</v>
      </c>
      <c r="L82" s="2429">
        <f t="shared" si="53"/>
        <v>0</v>
      </c>
      <c r="M82" s="2427">
        <f t="shared" si="53"/>
        <v>0</v>
      </c>
      <c r="N82" s="2427">
        <f t="shared" si="53"/>
        <v>0</v>
      </c>
      <c r="O82" s="2427">
        <f t="shared" si="53"/>
        <v>0</v>
      </c>
      <c r="P82" s="2427">
        <f>+P97</f>
        <v>0</v>
      </c>
      <c r="Q82" s="2427">
        <f t="shared" si="53"/>
        <v>0</v>
      </c>
      <c r="R82" s="2427">
        <f t="shared" si="53"/>
        <v>0</v>
      </c>
      <c r="S82" s="2427">
        <f t="shared" si="53"/>
        <v>0</v>
      </c>
      <c r="T82" s="2427">
        <f t="shared" si="53"/>
        <v>0</v>
      </c>
      <c r="U82" s="1287"/>
      <c r="V82" s="1287"/>
      <c r="W82" s="1287"/>
      <c r="X82" s="2831"/>
      <c r="Y82" s="2851"/>
    </row>
    <row r="83" spans="1:25" ht="18" customHeight="1">
      <c r="A83" s="2867" t="s">
        <v>79</v>
      </c>
      <c r="B83" s="1288" t="s">
        <v>406</v>
      </c>
      <c r="C83" s="2363" t="s">
        <v>128</v>
      </c>
      <c r="D83" s="2430"/>
      <c r="E83" s="2156"/>
      <c r="F83" s="2431"/>
      <c r="G83" s="2431"/>
      <c r="H83" s="2431"/>
      <c r="I83" s="2432"/>
      <c r="J83" s="2432"/>
      <c r="K83" s="2432"/>
      <c r="L83" s="2432"/>
      <c r="M83" s="2433"/>
      <c r="N83" s="2433"/>
      <c r="O83" s="2433"/>
      <c r="P83" s="2433"/>
      <c r="Q83" s="2433"/>
      <c r="R83" s="2433"/>
      <c r="S83" s="2433"/>
      <c r="T83" s="2433"/>
      <c r="U83" s="2433"/>
      <c r="V83" s="2433"/>
      <c r="W83" s="2433"/>
      <c r="X83" s="1217"/>
      <c r="Y83" s="2992" t="s">
        <v>493</v>
      </c>
    </row>
    <row r="84" spans="1:25" ht="17.25" customHeight="1">
      <c r="A84" s="2868"/>
      <c r="B84" s="501" t="s">
        <v>22</v>
      </c>
      <c r="C84" s="2434"/>
      <c r="D84" s="1998">
        <f>+D85</f>
        <v>107083</v>
      </c>
      <c r="E84" s="1998">
        <f t="shared" ref="E84:X85" si="54">+E85</f>
        <v>0</v>
      </c>
      <c r="F84" s="2435">
        <f t="shared" si="54"/>
        <v>0</v>
      </c>
      <c r="G84" s="2435">
        <f t="shared" si="54"/>
        <v>0</v>
      </c>
      <c r="H84" s="2435">
        <f t="shared" si="54"/>
        <v>0</v>
      </c>
      <c r="I84" s="2436">
        <f t="shared" si="54"/>
        <v>0</v>
      </c>
      <c r="J84" s="2436">
        <f t="shared" si="54"/>
        <v>0</v>
      </c>
      <c r="K84" s="2436">
        <f t="shared" si="54"/>
        <v>0</v>
      </c>
      <c r="L84" s="2436">
        <f t="shared" si="54"/>
        <v>0</v>
      </c>
      <c r="M84" s="1998">
        <f t="shared" si="54"/>
        <v>0</v>
      </c>
      <c r="N84" s="1998">
        <f t="shared" si="54"/>
        <v>0</v>
      </c>
      <c r="O84" s="1998">
        <f t="shared" si="54"/>
        <v>0</v>
      </c>
      <c r="P84" s="1998">
        <f t="shared" si="54"/>
        <v>27805</v>
      </c>
      <c r="Q84" s="1998">
        <f t="shared" si="54"/>
        <v>26855</v>
      </c>
      <c r="R84" s="1998">
        <f t="shared" si="54"/>
        <v>26856</v>
      </c>
      <c r="S84" s="1998">
        <f t="shared" si="54"/>
        <v>25567</v>
      </c>
      <c r="T84" s="2437">
        <v>0</v>
      </c>
      <c r="U84" s="2437">
        <v>0</v>
      </c>
      <c r="V84" s="2437">
        <v>0</v>
      </c>
      <c r="W84" s="2437">
        <v>0</v>
      </c>
      <c r="X84" s="2438">
        <f t="shared" si="54"/>
        <v>107083</v>
      </c>
      <c r="Y84" s="2993"/>
    </row>
    <row r="85" spans="1:25" ht="15.75" customHeight="1">
      <c r="A85" s="2868"/>
      <c r="B85" s="2439" t="s">
        <v>36</v>
      </c>
      <c r="C85" s="2995" t="s">
        <v>372</v>
      </c>
      <c r="D85" s="2440">
        <f>+D86</f>
        <v>107083</v>
      </c>
      <c r="E85" s="2440">
        <f t="shared" si="54"/>
        <v>0</v>
      </c>
      <c r="F85" s="2441">
        <f t="shared" si="54"/>
        <v>0</v>
      </c>
      <c r="G85" s="2441">
        <f t="shared" si="54"/>
        <v>0</v>
      </c>
      <c r="H85" s="2441">
        <f t="shared" si="54"/>
        <v>0</v>
      </c>
      <c r="I85" s="2442">
        <f t="shared" si="54"/>
        <v>0</v>
      </c>
      <c r="J85" s="2442">
        <f t="shared" si="54"/>
        <v>0</v>
      </c>
      <c r="K85" s="2442">
        <f t="shared" si="54"/>
        <v>0</v>
      </c>
      <c r="L85" s="2442">
        <f t="shared" si="54"/>
        <v>0</v>
      </c>
      <c r="M85" s="2440">
        <f t="shared" si="54"/>
        <v>0</v>
      </c>
      <c r="N85" s="2440">
        <f t="shared" si="54"/>
        <v>0</v>
      </c>
      <c r="O85" s="2440">
        <f t="shared" si="54"/>
        <v>0</v>
      </c>
      <c r="P85" s="2440">
        <f t="shared" si="54"/>
        <v>27805</v>
      </c>
      <c r="Q85" s="2440">
        <f t="shared" si="54"/>
        <v>26855</v>
      </c>
      <c r="R85" s="2440">
        <f t="shared" si="54"/>
        <v>26856</v>
      </c>
      <c r="S85" s="2440">
        <f t="shared" si="54"/>
        <v>25567</v>
      </c>
      <c r="T85" s="2443">
        <v>0</v>
      </c>
      <c r="U85" s="2443">
        <v>0</v>
      </c>
      <c r="V85" s="2443">
        <v>0</v>
      </c>
      <c r="W85" s="2443">
        <v>0</v>
      </c>
      <c r="X85" s="2444">
        <f t="shared" si="54"/>
        <v>107083</v>
      </c>
      <c r="Y85" s="2993"/>
    </row>
    <row r="86" spans="1:25" ht="15" customHeight="1" thickBot="1">
      <c r="A86" s="2882"/>
      <c r="B86" s="2445" t="s">
        <v>24</v>
      </c>
      <c r="C86" s="2832"/>
      <c r="D86" s="2446">
        <f>M86+O86+P86+Q86+R86+S86+T86+U86+V86+W86</f>
        <v>107083</v>
      </c>
      <c r="E86" s="2155">
        <v>0</v>
      </c>
      <c r="F86" s="2447">
        <v>0</v>
      </c>
      <c r="G86" s="2447">
        <v>0</v>
      </c>
      <c r="H86" s="2447">
        <v>0</v>
      </c>
      <c r="I86" s="2448">
        <v>0</v>
      </c>
      <c r="J86" s="2448">
        <v>0</v>
      </c>
      <c r="K86" s="2448">
        <v>0</v>
      </c>
      <c r="L86" s="2448">
        <v>0</v>
      </c>
      <c r="M86" s="2446">
        <f>+E86+I86+J86+K86+L86+N86</f>
        <v>0</v>
      </c>
      <c r="N86" s="2155">
        <v>0</v>
      </c>
      <c r="O86" s="2155">
        <f>2500+17649-20149</f>
        <v>0</v>
      </c>
      <c r="P86" s="2155">
        <v>27805</v>
      </c>
      <c r="Q86" s="2155">
        <v>26855</v>
      </c>
      <c r="R86" s="2155">
        <v>26856</v>
      </c>
      <c r="S86" s="2155">
        <v>25567</v>
      </c>
      <c r="T86" s="2449">
        <v>0</v>
      </c>
      <c r="U86" s="2449">
        <v>0</v>
      </c>
      <c r="V86" s="2449">
        <v>0</v>
      </c>
      <c r="W86" s="2449">
        <v>0</v>
      </c>
      <c r="X86" s="2450">
        <f>SUM(P86:T86)</f>
        <v>107083</v>
      </c>
      <c r="Y86" s="2994"/>
    </row>
    <row r="87" spans="1:25">
      <c r="P87" s="2293"/>
    </row>
    <row r="88" spans="1:25">
      <c r="P88" s="2293"/>
    </row>
    <row r="89" spans="1:25">
      <c r="P89" s="2293"/>
    </row>
    <row r="90" spans="1:25">
      <c r="P90" s="2293"/>
    </row>
    <row r="91" spans="1:25">
      <c r="P91" s="2293"/>
    </row>
    <row r="92" spans="1:25">
      <c r="P92" s="2293"/>
    </row>
    <row r="93" spans="1:25">
      <c r="P93" s="2293"/>
    </row>
    <row r="94" spans="1:25">
      <c r="P94" s="2293"/>
    </row>
    <row r="95" spans="1:25">
      <c r="P95" s="2293"/>
    </row>
    <row r="96" spans="1:25">
      <c r="P96" s="2293"/>
    </row>
    <row r="97" spans="16:16">
      <c r="P97" s="2293"/>
    </row>
    <row r="98" spans="16:16">
      <c r="P98" s="2293"/>
    </row>
    <row r="99" spans="16:16">
      <c r="P99" s="2293"/>
    </row>
    <row r="100" spans="16:16">
      <c r="P100" s="2293"/>
    </row>
    <row r="101" spans="16:16">
      <c r="P101" s="2293"/>
    </row>
    <row r="102" spans="16:16">
      <c r="P102" s="2293"/>
    </row>
    <row r="103" spans="16:16">
      <c r="P103" s="2293"/>
    </row>
    <row r="104" spans="16:16">
      <c r="P104" s="2293"/>
    </row>
    <row r="105" spans="16:16">
      <c r="P105" s="2293"/>
    </row>
    <row r="106" spans="16:16">
      <c r="P106" s="2293"/>
    </row>
    <row r="107" spans="16:16">
      <c r="P107" s="2293"/>
    </row>
    <row r="108" spans="16:16">
      <c r="P108" s="2293"/>
    </row>
    <row r="109" spans="16:16">
      <c r="P109" s="2293"/>
    </row>
    <row r="110" spans="16:16">
      <c r="P110" s="2293"/>
    </row>
    <row r="111" spans="16:16">
      <c r="P111" s="2293"/>
    </row>
    <row r="112" spans="16:16">
      <c r="P112" s="2293"/>
    </row>
    <row r="113" spans="8:16">
      <c r="H113" s="2293">
        <f>H119+H123</f>
        <v>0</v>
      </c>
      <c r="P113" s="2293"/>
    </row>
    <row r="114" spans="8:16">
      <c r="P114" s="2293"/>
    </row>
    <row r="115" spans="8:16">
      <c r="P115" s="2293"/>
    </row>
    <row r="116" spans="8:16">
      <c r="P116" s="2293"/>
    </row>
    <row r="117" spans="8:16">
      <c r="P117" s="2293"/>
    </row>
    <row r="118" spans="8:16">
      <c r="P118" s="2293"/>
    </row>
    <row r="119" spans="8:16">
      <c r="P119" s="2293"/>
    </row>
    <row r="120" spans="8:16">
      <c r="P120" s="2293"/>
    </row>
    <row r="121" spans="8:16">
      <c r="P121" s="2293"/>
    </row>
    <row r="122" spans="8:16">
      <c r="P122" s="2293"/>
    </row>
    <row r="123" spans="8:16">
      <c r="P123" s="2293"/>
    </row>
    <row r="124" spans="8:16">
      <c r="P124" s="2293"/>
    </row>
    <row r="125" spans="8:16">
      <c r="P125" s="2293"/>
    </row>
    <row r="126" spans="8:16">
      <c r="P126" s="2293"/>
    </row>
    <row r="127" spans="8:16">
      <c r="P127" s="2293"/>
    </row>
    <row r="128" spans="8:16">
      <c r="P128" s="2293"/>
    </row>
    <row r="129" spans="16:16">
      <c r="P129" s="2293"/>
    </row>
    <row r="130" spans="16:16">
      <c r="P130" s="2293"/>
    </row>
    <row r="131" spans="16:16">
      <c r="P131" s="2293"/>
    </row>
    <row r="132" spans="16:16">
      <c r="P132" s="2293"/>
    </row>
    <row r="133" spans="16:16">
      <c r="P133" s="2293"/>
    </row>
    <row r="134" spans="16:16">
      <c r="P134" s="2293"/>
    </row>
    <row r="135" spans="16:16">
      <c r="P135" s="2293"/>
    </row>
    <row r="136" spans="16:16">
      <c r="P136" s="2293"/>
    </row>
    <row r="137" spans="16:16">
      <c r="P137" s="2293"/>
    </row>
    <row r="138" spans="16:16">
      <c r="P138" s="2293"/>
    </row>
    <row r="139" spans="16:16">
      <c r="P139" s="2293"/>
    </row>
    <row r="140" spans="16:16">
      <c r="P140" s="2293"/>
    </row>
    <row r="141" spans="16:16">
      <c r="P141" s="2293"/>
    </row>
    <row r="142" spans="16:16">
      <c r="P142" s="2293"/>
    </row>
    <row r="143" spans="16:16">
      <c r="P143" s="2293"/>
    </row>
    <row r="144" spans="16:16">
      <c r="P144" s="2293"/>
    </row>
    <row r="145" spans="16:16">
      <c r="P145" s="2293"/>
    </row>
    <row r="146" spans="16:16">
      <c r="P146" s="2293"/>
    </row>
    <row r="147" spans="16:16">
      <c r="P147" s="2293"/>
    </row>
    <row r="148" spans="16:16">
      <c r="P148" s="2293"/>
    </row>
    <row r="149" spans="16:16">
      <c r="P149" s="2293"/>
    </row>
    <row r="150" spans="16:16">
      <c r="P150" s="2293"/>
    </row>
    <row r="151" spans="16:16">
      <c r="P151" s="2293"/>
    </row>
    <row r="152" spans="16:16">
      <c r="P152" s="2293"/>
    </row>
    <row r="153" spans="16:16">
      <c r="P153" s="2293"/>
    </row>
    <row r="154" spans="16:16">
      <c r="P154" s="2293"/>
    </row>
    <row r="155" spans="16:16">
      <c r="P155" s="2293"/>
    </row>
    <row r="156" spans="16:16">
      <c r="P156" s="2293"/>
    </row>
    <row r="157" spans="16:16">
      <c r="P157" s="2293"/>
    </row>
    <row r="158" spans="16:16">
      <c r="P158" s="2293"/>
    </row>
    <row r="159" spans="16:16">
      <c r="P159" s="2293"/>
    </row>
    <row r="160" spans="16:16">
      <c r="P160" s="2293"/>
    </row>
    <row r="161" spans="16:16">
      <c r="P161" s="2293"/>
    </row>
    <row r="162" spans="16:16">
      <c r="P162" s="2293"/>
    </row>
    <row r="163" spans="16:16">
      <c r="P163" s="2293"/>
    </row>
    <row r="164" spans="16:16">
      <c r="P164" s="2293"/>
    </row>
    <row r="165" spans="16:16">
      <c r="P165" s="2293"/>
    </row>
    <row r="166" spans="16:16">
      <c r="P166" s="2293"/>
    </row>
    <row r="167" spans="16:16">
      <c r="P167" s="2293"/>
    </row>
    <row r="168" spans="16:16">
      <c r="P168" s="2293"/>
    </row>
    <row r="169" spans="16:16">
      <c r="P169" s="2293"/>
    </row>
    <row r="170" spans="16:16">
      <c r="P170" s="2293"/>
    </row>
    <row r="171" spans="16:16">
      <c r="P171" s="2293"/>
    </row>
    <row r="172" spans="16:16">
      <c r="P172" s="2293"/>
    </row>
    <row r="173" spans="16:16">
      <c r="P173" s="2293"/>
    </row>
    <row r="174" spans="16:16">
      <c r="P174" s="2293"/>
    </row>
    <row r="175" spans="16:16">
      <c r="P175" s="2293"/>
    </row>
    <row r="176" spans="16:16">
      <c r="P176" s="2293"/>
    </row>
    <row r="177" spans="16:16">
      <c r="P177" s="2293"/>
    </row>
    <row r="178" spans="16:16">
      <c r="P178" s="2293"/>
    </row>
    <row r="179" spans="16:16">
      <c r="P179" s="2293"/>
    </row>
    <row r="180" spans="16:16">
      <c r="P180" s="2293"/>
    </row>
    <row r="181" spans="16:16">
      <c r="P181" s="2293"/>
    </row>
    <row r="182" spans="16:16">
      <c r="P182" s="2293"/>
    </row>
    <row r="183" spans="16:16">
      <c r="P183" s="2293"/>
    </row>
    <row r="184" spans="16:16">
      <c r="P184" s="2293"/>
    </row>
    <row r="185" spans="16:16">
      <c r="P185" s="2293"/>
    </row>
    <row r="186" spans="16:16">
      <c r="P186" s="2293"/>
    </row>
    <row r="187" spans="16:16">
      <c r="P187" s="2293"/>
    </row>
    <row r="188" spans="16:16">
      <c r="P188" s="2293"/>
    </row>
    <row r="189" spans="16:16">
      <c r="P189" s="2293"/>
    </row>
    <row r="190" spans="16:16">
      <c r="P190" s="2293"/>
    </row>
    <row r="191" spans="16:16">
      <c r="P191" s="2293"/>
    </row>
    <row r="192" spans="16:16">
      <c r="P192" s="2293"/>
    </row>
    <row r="193" spans="16:16">
      <c r="P193" s="2293"/>
    </row>
    <row r="194" spans="16:16">
      <c r="P194" s="2293"/>
    </row>
    <row r="195" spans="16:16">
      <c r="P195" s="2293"/>
    </row>
    <row r="196" spans="16:16">
      <c r="P196" s="2293"/>
    </row>
    <row r="197" spans="16:16">
      <c r="P197" s="2293"/>
    </row>
    <row r="198" spans="16:16">
      <c r="P198" s="2293"/>
    </row>
    <row r="199" spans="16:16">
      <c r="P199" s="2293"/>
    </row>
    <row r="200" spans="16:16">
      <c r="P200" s="2293"/>
    </row>
    <row r="201" spans="16:16">
      <c r="P201" s="2293"/>
    </row>
    <row r="202" spans="16:16">
      <c r="P202" s="2293"/>
    </row>
    <row r="203" spans="16:16">
      <c r="P203" s="2293"/>
    </row>
    <row r="204" spans="16:16">
      <c r="P204" s="2293"/>
    </row>
    <row r="205" spans="16:16">
      <c r="P205" s="2293"/>
    </row>
    <row r="206" spans="16:16">
      <c r="P206" s="2293"/>
    </row>
    <row r="207" spans="16:16">
      <c r="P207" s="2293"/>
    </row>
    <row r="208" spans="16:16">
      <c r="P208" s="2293"/>
    </row>
    <row r="209" spans="16:16">
      <c r="P209" s="2293"/>
    </row>
    <row r="210" spans="16:16">
      <c r="P210" s="2293"/>
    </row>
    <row r="211" spans="16:16">
      <c r="P211" s="2293"/>
    </row>
    <row r="212" spans="16:16">
      <c r="P212" s="2293"/>
    </row>
    <row r="213" spans="16:16">
      <c r="P213" s="2293"/>
    </row>
    <row r="214" spans="16:16">
      <c r="P214" s="2293"/>
    </row>
    <row r="215" spans="16:16">
      <c r="P215" s="2293"/>
    </row>
    <row r="216" spans="16:16">
      <c r="P216" s="2293"/>
    </row>
    <row r="217" spans="16:16">
      <c r="P217" s="2293"/>
    </row>
    <row r="218" spans="16:16">
      <c r="P218" s="2293"/>
    </row>
    <row r="219" spans="16:16">
      <c r="P219" s="2293"/>
    </row>
    <row r="220" spans="16:16">
      <c r="P220" s="2293"/>
    </row>
    <row r="221" spans="16:16">
      <c r="P221" s="2293"/>
    </row>
    <row r="222" spans="16:16">
      <c r="P222" s="2293"/>
    </row>
    <row r="223" spans="16:16">
      <c r="P223" s="2293"/>
    </row>
    <row r="224" spans="16:16">
      <c r="P224" s="2293"/>
    </row>
    <row r="225" spans="16:16">
      <c r="P225" s="2293"/>
    </row>
    <row r="226" spans="16:16">
      <c r="P226" s="2293"/>
    </row>
    <row r="227" spans="16:16">
      <c r="P227" s="2293"/>
    </row>
    <row r="228" spans="16:16">
      <c r="P228" s="2293"/>
    </row>
    <row r="229" spans="16:16">
      <c r="P229" s="2293"/>
    </row>
    <row r="230" spans="16:16">
      <c r="P230" s="2293"/>
    </row>
    <row r="231" spans="16:16">
      <c r="P231" s="2293"/>
    </row>
    <row r="232" spans="16:16">
      <c r="P232" s="2293"/>
    </row>
    <row r="233" spans="16:16">
      <c r="P233" s="2293"/>
    </row>
    <row r="234" spans="16:16">
      <c r="P234" s="2293"/>
    </row>
    <row r="235" spans="16:16">
      <c r="P235" s="2293"/>
    </row>
    <row r="236" spans="16:16">
      <c r="P236" s="2293"/>
    </row>
    <row r="237" spans="16:16">
      <c r="P237" s="2293"/>
    </row>
    <row r="238" spans="16:16">
      <c r="P238" s="2293"/>
    </row>
    <row r="239" spans="16:16">
      <c r="P239" s="2293"/>
    </row>
    <row r="240" spans="16:16">
      <c r="P240" s="2293"/>
    </row>
    <row r="241" spans="16:16">
      <c r="P241" s="2293"/>
    </row>
    <row r="242" spans="16:16">
      <c r="P242" s="2293"/>
    </row>
    <row r="243" spans="16:16">
      <c r="P243" s="2293"/>
    </row>
    <row r="244" spans="16:16">
      <c r="P244" s="2293"/>
    </row>
    <row r="245" spans="16:16">
      <c r="P245" s="2293"/>
    </row>
    <row r="246" spans="16:16">
      <c r="P246" s="2293"/>
    </row>
    <row r="247" spans="16:16">
      <c r="P247" s="2293"/>
    </row>
    <row r="248" spans="16:16">
      <c r="P248" s="2293"/>
    </row>
    <row r="249" spans="16:16">
      <c r="P249" s="2293"/>
    </row>
    <row r="250" spans="16:16">
      <c r="P250" s="2293"/>
    </row>
    <row r="251" spans="16:16">
      <c r="P251" s="2293"/>
    </row>
    <row r="252" spans="16:16">
      <c r="P252" s="2293"/>
    </row>
    <row r="253" spans="16:16">
      <c r="P253" s="2293"/>
    </row>
    <row r="254" spans="16:16">
      <c r="P254" s="2293"/>
    </row>
    <row r="255" spans="16:16">
      <c r="P255" s="2293"/>
    </row>
    <row r="256" spans="16:16">
      <c r="P256" s="2293"/>
    </row>
    <row r="257" spans="16:16">
      <c r="P257" s="2293"/>
    </row>
    <row r="258" spans="16:16">
      <c r="P258" s="2293"/>
    </row>
    <row r="259" spans="16:16">
      <c r="P259" s="2293"/>
    </row>
    <row r="260" spans="16:16">
      <c r="P260" s="2293"/>
    </row>
    <row r="261" spans="16:16">
      <c r="P261" s="2293"/>
    </row>
    <row r="262" spans="16:16">
      <c r="P262" s="2293"/>
    </row>
    <row r="263" spans="16:16">
      <c r="P263" s="2293"/>
    </row>
    <row r="264" spans="16:16">
      <c r="P264" s="2293"/>
    </row>
    <row r="265" spans="16:16">
      <c r="P265" s="2293"/>
    </row>
    <row r="266" spans="16:16">
      <c r="P266" s="2293"/>
    </row>
    <row r="267" spans="16:16">
      <c r="P267" s="2293"/>
    </row>
    <row r="268" spans="16:16">
      <c r="P268" s="2293"/>
    </row>
    <row r="269" spans="16:16">
      <c r="P269" s="2293"/>
    </row>
    <row r="270" spans="16:16">
      <c r="P270" s="2293"/>
    </row>
    <row r="271" spans="16:16">
      <c r="P271" s="2293"/>
    </row>
    <row r="272" spans="16:16">
      <c r="P272" s="2293"/>
    </row>
    <row r="273" spans="16:16">
      <c r="P273" s="2293"/>
    </row>
    <row r="274" spans="16:16">
      <c r="P274" s="2293"/>
    </row>
    <row r="275" spans="16:16">
      <c r="P275" s="2293"/>
    </row>
    <row r="276" spans="16:16">
      <c r="P276" s="2293"/>
    </row>
    <row r="277" spans="16:16">
      <c r="P277" s="2293"/>
    </row>
    <row r="278" spans="16:16">
      <c r="P278" s="2293"/>
    </row>
    <row r="279" spans="16:16">
      <c r="P279" s="2293"/>
    </row>
    <row r="280" spans="16:16">
      <c r="P280" s="2293"/>
    </row>
    <row r="281" spans="16:16">
      <c r="P281" s="2293"/>
    </row>
    <row r="282" spans="16:16">
      <c r="P282" s="2293"/>
    </row>
    <row r="283" spans="16:16">
      <c r="P283" s="2293"/>
    </row>
    <row r="284" spans="16:16">
      <c r="P284" s="2293"/>
    </row>
    <row r="285" spans="16:16">
      <c r="P285" s="2293"/>
    </row>
    <row r="286" spans="16:16">
      <c r="P286" s="2293"/>
    </row>
    <row r="287" spans="16:16">
      <c r="P287" s="2293"/>
    </row>
    <row r="288" spans="16:16">
      <c r="P288" s="2293"/>
    </row>
    <row r="289" spans="16:16">
      <c r="P289" s="2293"/>
    </row>
    <row r="290" spans="16:16">
      <c r="P290" s="2293"/>
    </row>
    <row r="291" spans="16:16">
      <c r="P291" s="2293"/>
    </row>
    <row r="292" spans="16:16">
      <c r="P292" s="2293"/>
    </row>
    <row r="293" spans="16:16">
      <c r="P293" s="2293"/>
    </row>
    <row r="294" spans="16:16">
      <c r="P294" s="2293"/>
    </row>
    <row r="295" spans="16:16">
      <c r="P295" s="2293"/>
    </row>
    <row r="296" spans="16:16">
      <c r="P296" s="2293"/>
    </row>
    <row r="297" spans="16:16">
      <c r="P297" s="2293"/>
    </row>
    <row r="298" spans="16:16">
      <c r="P298" s="2293"/>
    </row>
    <row r="299" spans="16:16">
      <c r="P299" s="2293"/>
    </row>
    <row r="300" spans="16:16">
      <c r="P300" s="2293"/>
    </row>
    <row r="301" spans="16:16">
      <c r="P301" s="2293"/>
    </row>
    <row r="302" spans="16:16">
      <c r="P302" s="2293"/>
    </row>
    <row r="303" spans="16:16">
      <c r="P303" s="2293"/>
    </row>
    <row r="304" spans="16:16">
      <c r="P304" s="2293"/>
    </row>
    <row r="305" spans="16:16">
      <c r="P305" s="2293"/>
    </row>
    <row r="306" spans="16:16">
      <c r="P306" s="2293"/>
    </row>
    <row r="307" spans="16:16">
      <c r="P307" s="2293"/>
    </row>
    <row r="308" spans="16:16">
      <c r="P308" s="2293"/>
    </row>
    <row r="309" spans="16:16">
      <c r="P309" s="2293"/>
    </row>
    <row r="310" spans="16:16">
      <c r="P310" s="2293"/>
    </row>
    <row r="311" spans="16:16">
      <c r="P311" s="2293"/>
    </row>
    <row r="312" spans="16:16">
      <c r="P312" s="2293"/>
    </row>
    <row r="313" spans="16:16">
      <c r="P313" s="2293"/>
    </row>
    <row r="314" spans="16:16">
      <c r="P314" s="2293"/>
    </row>
    <row r="315" spans="16:16">
      <c r="P315" s="2293"/>
    </row>
    <row r="316" spans="16:16">
      <c r="P316" s="2293"/>
    </row>
    <row r="317" spans="16:16">
      <c r="P317" s="2293"/>
    </row>
    <row r="318" spans="16:16">
      <c r="P318" s="2293"/>
    </row>
    <row r="319" spans="16:16">
      <c r="P319" s="2293"/>
    </row>
    <row r="320" spans="16:16">
      <c r="P320" s="2293"/>
    </row>
    <row r="321" spans="16:16">
      <c r="P321" s="2293"/>
    </row>
    <row r="322" spans="16:16">
      <c r="P322" s="2293"/>
    </row>
    <row r="323" spans="16:16">
      <c r="P323" s="2293"/>
    </row>
    <row r="324" spans="16:16">
      <c r="P324" s="2293"/>
    </row>
    <row r="325" spans="16:16">
      <c r="P325" s="2293"/>
    </row>
    <row r="326" spans="16:16">
      <c r="P326" s="2293"/>
    </row>
    <row r="327" spans="16:16">
      <c r="P327" s="2293"/>
    </row>
    <row r="328" spans="16:16">
      <c r="P328" s="2293"/>
    </row>
    <row r="329" spans="16:16">
      <c r="P329" s="2293"/>
    </row>
    <row r="330" spans="16:16">
      <c r="P330" s="2293"/>
    </row>
    <row r="331" spans="16:16">
      <c r="P331" s="2293"/>
    </row>
    <row r="332" spans="16:16">
      <c r="P332" s="2293"/>
    </row>
    <row r="333" spans="16:16">
      <c r="P333" s="2293"/>
    </row>
    <row r="334" spans="16:16">
      <c r="P334" s="2293"/>
    </row>
    <row r="335" spans="16:16">
      <c r="P335" s="2293"/>
    </row>
    <row r="336" spans="16:16">
      <c r="P336" s="2293"/>
    </row>
    <row r="337" spans="16:16">
      <c r="P337" s="2293"/>
    </row>
    <row r="338" spans="16:16">
      <c r="P338" s="2293"/>
    </row>
    <row r="339" spans="16:16">
      <c r="P339" s="2293"/>
    </row>
    <row r="340" spans="16:16">
      <c r="P340" s="2293"/>
    </row>
    <row r="341" spans="16:16">
      <c r="P341" s="2293"/>
    </row>
    <row r="342" spans="16:16">
      <c r="P342" s="2293"/>
    </row>
    <row r="343" spans="16:16">
      <c r="P343" s="2293"/>
    </row>
    <row r="344" spans="16:16">
      <c r="P344" s="2293"/>
    </row>
    <row r="345" spans="16:16">
      <c r="P345" s="2293"/>
    </row>
    <row r="346" spans="16:16">
      <c r="P346" s="2293"/>
    </row>
    <row r="347" spans="16:16">
      <c r="P347" s="2293"/>
    </row>
    <row r="348" spans="16:16">
      <c r="P348" s="2293"/>
    </row>
    <row r="349" spans="16:16">
      <c r="P349" s="2293"/>
    </row>
    <row r="350" spans="16:16">
      <c r="P350" s="2293"/>
    </row>
    <row r="351" spans="16:16">
      <c r="P351" s="2293"/>
    </row>
    <row r="352" spans="16:16">
      <c r="P352" s="2293"/>
    </row>
    <row r="353" spans="16:16">
      <c r="P353" s="2293"/>
    </row>
    <row r="354" spans="16:16">
      <c r="P354" s="2293"/>
    </row>
    <row r="355" spans="16:16">
      <c r="P355" s="2293"/>
    </row>
    <row r="356" spans="16:16">
      <c r="P356" s="2293"/>
    </row>
    <row r="357" spans="16:16">
      <c r="P357" s="2293"/>
    </row>
    <row r="358" spans="16:16">
      <c r="P358" s="2293"/>
    </row>
    <row r="359" spans="16:16">
      <c r="P359" s="2293"/>
    </row>
    <row r="360" spans="16:16">
      <c r="P360" s="2293"/>
    </row>
    <row r="361" spans="16:16">
      <c r="P361" s="2293"/>
    </row>
    <row r="362" spans="16:16">
      <c r="P362" s="2293"/>
    </row>
    <row r="363" spans="16:16">
      <c r="P363" s="2293"/>
    </row>
    <row r="364" spans="16:16">
      <c r="P364" s="2293"/>
    </row>
    <row r="365" spans="16:16">
      <c r="P365" s="2293"/>
    </row>
    <row r="366" spans="16:16">
      <c r="P366" s="2293"/>
    </row>
    <row r="367" spans="16:16">
      <c r="P367" s="2293"/>
    </row>
    <row r="368" spans="16:16">
      <c r="P368" s="2293"/>
    </row>
    <row r="369" spans="16:16">
      <c r="P369" s="2293"/>
    </row>
    <row r="370" spans="16:16">
      <c r="P370" s="2293"/>
    </row>
    <row r="371" spans="16:16">
      <c r="P371" s="2293"/>
    </row>
    <row r="372" spans="16:16">
      <c r="P372" s="2293"/>
    </row>
    <row r="373" spans="16:16">
      <c r="P373" s="2293"/>
    </row>
    <row r="374" spans="16:16">
      <c r="P374" s="2293"/>
    </row>
    <row r="375" spans="16:16">
      <c r="P375" s="2293"/>
    </row>
    <row r="376" spans="16:16">
      <c r="P376" s="2293"/>
    </row>
    <row r="377" spans="16:16">
      <c r="P377" s="2293"/>
    </row>
    <row r="378" spans="16:16">
      <c r="P378" s="2293"/>
    </row>
    <row r="379" spans="16:16">
      <c r="P379" s="2293"/>
    </row>
    <row r="380" spans="16:16">
      <c r="P380" s="2293"/>
    </row>
    <row r="381" spans="16:16">
      <c r="P381" s="2293"/>
    </row>
    <row r="382" spans="16:16">
      <c r="P382" s="2293"/>
    </row>
    <row r="383" spans="16:16">
      <c r="P383" s="2293"/>
    </row>
    <row r="384" spans="16:16">
      <c r="P384" s="2293"/>
    </row>
    <row r="385" spans="16:16">
      <c r="P385" s="2293"/>
    </row>
    <row r="386" spans="16:16">
      <c r="P386" s="2293"/>
    </row>
    <row r="387" spans="16:16">
      <c r="P387" s="2293"/>
    </row>
    <row r="388" spans="16:16">
      <c r="P388" s="2293"/>
    </row>
    <row r="389" spans="16:16">
      <c r="P389" s="2293"/>
    </row>
    <row r="390" spans="16:16">
      <c r="P390" s="2293"/>
    </row>
    <row r="391" spans="16:16">
      <c r="P391" s="2293"/>
    </row>
    <row r="392" spans="16:16">
      <c r="P392" s="2293"/>
    </row>
    <row r="393" spans="16:16">
      <c r="P393" s="2293"/>
    </row>
    <row r="394" spans="16:16">
      <c r="P394" s="2293"/>
    </row>
    <row r="395" spans="16:16">
      <c r="P395" s="2293"/>
    </row>
    <row r="396" spans="16:16">
      <c r="P396" s="2293"/>
    </row>
    <row r="397" spans="16:16">
      <c r="P397" s="2293"/>
    </row>
    <row r="398" spans="16:16">
      <c r="P398" s="2293"/>
    </row>
    <row r="399" spans="16:16">
      <c r="P399" s="2293"/>
    </row>
    <row r="400" spans="16:16">
      <c r="P400" s="2293"/>
    </row>
    <row r="401" spans="16:16">
      <c r="P401" s="2293"/>
    </row>
    <row r="402" spans="16:16">
      <c r="P402" s="2293"/>
    </row>
    <row r="403" spans="16:16">
      <c r="P403" s="2293"/>
    </row>
    <row r="404" spans="16:16">
      <c r="P404" s="2293"/>
    </row>
    <row r="405" spans="16:16">
      <c r="P405" s="2293"/>
    </row>
    <row r="406" spans="16:16">
      <c r="P406" s="2293"/>
    </row>
    <row r="407" spans="16:16">
      <c r="P407" s="2293"/>
    </row>
    <row r="408" spans="16:16">
      <c r="P408" s="2293"/>
    </row>
    <row r="409" spans="16:16">
      <c r="P409" s="2293"/>
    </row>
    <row r="410" spans="16:16">
      <c r="P410" s="2293"/>
    </row>
    <row r="411" spans="16:16">
      <c r="P411" s="2293"/>
    </row>
    <row r="412" spans="16:16">
      <c r="P412" s="2293"/>
    </row>
    <row r="413" spans="16:16">
      <c r="P413" s="2293"/>
    </row>
    <row r="414" spans="16:16">
      <c r="P414" s="2293"/>
    </row>
    <row r="415" spans="16:16">
      <c r="P415" s="2293"/>
    </row>
    <row r="416" spans="16:16">
      <c r="P416" s="2293"/>
    </row>
    <row r="417" spans="16:16">
      <c r="P417" s="2293"/>
    </row>
    <row r="418" spans="16:16">
      <c r="P418" s="2293"/>
    </row>
    <row r="419" spans="16:16">
      <c r="P419" s="2293"/>
    </row>
    <row r="420" spans="16:16">
      <c r="P420" s="2293"/>
    </row>
    <row r="421" spans="16:16">
      <c r="P421" s="2293"/>
    </row>
    <row r="422" spans="16:16">
      <c r="P422" s="2293"/>
    </row>
    <row r="423" spans="16:16">
      <c r="P423" s="2293"/>
    </row>
    <row r="424" spans="16:16">
      <c r="P424" s="2293"/>
    </row>
    <row r="425" spans="16:16">
      <c r="P425" s="2293"/>
    </row>
    <row r="426" spans="16:16">
      <c r="P426" s="2293"/>
    </row>
    <row r="427" spans="16:16">
      <c r="P427" s="2293"/>
    </row>
    <row r="428" spans="16:16">
      <c r="P428" s="2293"/>
    </row>
    <row r="429" spans="16:16">
      <c r="P429" s="2293"/>
    </row>
    <row r="430" spans="16:16">
      <c r="P430" s="2293"/>
    </row>
    <row r="431" spans="16:16">
      <c r="P431" s="2293"/>
    </row>
    <row r="432" spans="16:16">
      <c r="P432" s="2293"/>
    </row>
    <row r="433" spans="16:16">
      <c r="P433" s="2293"/>
    </row>
    <row r="434" spans="16:16">
      <c r="P434" s="2293"/>
    </row>
    <row r="435" spans="16:16">
      <c r="P435" s="2293"/>
    </row>
    <row r="436" spans="16:16">
      <c r="P436" s="2293"/>
    </row>
    <row r="437" spans="16:16">
      <c r="P437" s="2293"/>
    </row>
    <row r="438" spans="16:16">
      <c r="P438" s="2293"/>
    </row>
    <row r="439" spans="16:16">
      <c r="P439" s="2293"/>
    </row>
    <row r="440" spans="16:16">
      <c r="P440" s="2293"/>
    </row>
    <row r="441" spans="16:16">
      <c r="P441" s="2293"/>
    </row>
    <row r="442" spans="16:16">
      <c r="P442" s="2293"/>
    </row>
    <row r="443" spans="16:16">
      <c r="P443" s="2293"/>
    </row>
    <row r="444" spans="16:16">
      <c r="P444" s="2293"/>
    </row>
    <row r="445" spans="16:16">
      <c r="P445" s="2293"/>
    </row>
    <row r="446" spans="16:16">
      <c r="P446" s="2293"/>
    </row>
    <row r="447" spans="16:16">
      <c r="P447" s="2293"/>
    </row>
    <row r="448" spans="16:16">
      <c r="P448" s="2293"/>
    </row>
    <row r="449" spans="16:16">
      <c r="P449" s="2293"/>
    </row>
    <row r="450" spans="16:16">
      <c r="P450" s="2293"/>
    </row>
    <row r="451" spans="16:16">
      <c r="P451" s="2293"/>
    </row>
    <row r="452" spans="16:16">
      <c r="P452" s="2293"/>
    </row>
    <row r="453" spans="16:16">
      <c r="P453" s="2293"/>
    </row>
    <row r="454" spans="16:16">
      <c r="P454" s="2293"/>
    </row>
    <row r="455" spans="16:16">
      <c r="P455" s="2293"/>
    </row>
    <row r="456" spans="16:16">
      <c r="P456" s="2293"/>
    </row>
    <row r="457" spans="16:16">
      <c r="P457" s="2293"/>
    </row>
    <row r="458" spans="16:16">
      <c r="P458" s="2293"/>
    </row>
    <row r="459" spans="16:16">
      <c r="P459" s="2293"/>
    </row>
    <row r="460" spans="16:16">
      <c r="P460" s="2293"/>
    </row>
    <row r="461" spans="16:16">
      <c r="P461" s="2293"/>
    </row>
    <row r="462" spans="16:16">
      <c r="P462" s="2293"/>
    </row>
    <row r="463" spans="16:16">
      <c r="P463" s="2293"/>
    </row>
    <row r="464" spans="16:16">
      <c r="P464" s="2293"/>
    </row>
    <row r="465" spans="16:16">
      <c r="P465" s="2293"/>
    </row>
    <row r="466" spans="16:16">
      <c r="P466" s="2293"/>
    </row>
    <row r="467" spans="16:16">
      <c r="P467" s="2293"/>
    </row>
    <row r="468" spans="16:16">
      <c r="P468" s="2293"/>
    </row>
    <row r="469" spans="16:16">
      <c r="P469" s="2293"/>
    </row>
    <row r="470" spans="16:16">
      <c r="P470" s="2293"/>
    </row>
    <row r="471" spans="16:16">
      <c r="P471" s="2293"/>
    </row>
    <row r="472" spans="16:16">
      <c r="P472" s="2293"/>
    </row>
    <row r="473" spans="16:16">
      <c r="P473" s="2293"/>
    </row>
  </sheetData>
  <mergeCells count="38">
    <mergeCell ref="A4:Y4"/>
    <mergeCell ref="B5:B7"/>
    <mergeCell ref="C5:C7"/>
    <mergeCell ref="D5:D7"/>
    <mergeCell ref="E5:L6"/>
    <mergeCell ref="Y5:Y7"/>
    <mergeCell ref="X5:X7"/>
    <mergeCell ref="M5:M6"/>
    <mergeCell ref="O5:O6"/>
    <mergeCell ref="P5:W6"/>
    <mergeCell ref="A25:A33"/>
    <mergeCell ref="Y25:Y33"/>
    <mergeCell ref="C27:C30"/>
    <mergeCell ref="C32:C33"/>
    <mergeCell ref="X31:X33"/>
    <mergeCell ref="A83:A86"/>
    <mergeCell ref="Y83:Y86"/>
    <mergeCell ref="C85:C86"/>
    <mergeCell ref="Y73:Y82"/>
    <mergeCell ref="C77:C79"/>
    <mergeCell ref="X80:X82"/>
    <mergeCell ref="C81:C82"/>
    <mergeCell ref="X19:X24"/>
    <mergeCell ref="A54:A71"/>
    <mergeCell ref="A43:A53"/>
    <mergeCell ref="Y43:Y53"/>
    <mergeCell ref="C45:C48"/>
    <mergeCell ref="C52:C53"/>
    <mergeCell ref="X49:X53"/>
    <mergeCell ref="X67:X71"/>
    <mergeCell ref="C56:C63"/>
    <mergeCell ref="C68:C71"/>
    <mergeCell ref="Y54:Y71"/>
    <mergeCell ref="A34:A42"/>
    <mergeCell ref="Y34:Y42"/>
    <mergeCell ref="C36:C39"/>
    <mergeCell ref="C41:C42"/>
    <mergeCell ref="X40:X42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70" firstPageNumber="46" orientation="landscape" useFirstPageNumber="1" r:id="rId1"/>
  <headerFooter>
    <oddHeader>&amp;C&amp;"Arial,Kursywa"Wieloletnia prognoza finansowa Województwa Zachodniopomorskiego na lata 2016-2038&amp;"Arial,Normalny"
____________________________________________________________________________________________________________________</oddHeader>
    <oddFooter>&amp;C&amp;9&amp;P</oddFooter>
  </headerFooter>
  <rowBreaks count="1" manualBreakCount="1">
    <brk id="8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A1010"/>
  <sheetViews>
    <sheetView topLeftCell="A4" zoomScaleNormal="100" zoomScaleSheetLayoutView="90" workbookViewId="0">
      <pane xSplit="10" ySplit="3" topLeftCell="K7" activePane="bottomRight" state="frozen"/>
      <selection activeCell="A4" sqref="A4"/>
      <selection pane="topRight" activeCell="K4" sqref="K4"/>
      <selection pane="bottomLeft" activeCell="A7" sqref="A7"/>
      <selection pane="bottomRight" activeCell="A3" sqref="A3:B5"/>
    </sheetView>
  </sheetViews>
  <sheetFormatPr defaultColWidth="9.140625" defaultRowHeight="12.75" outlineLevelCol="1"/>
  <cols>
    <col min="1" max="1" width="13.28515625" style="1959" customWidth="1"/>
    <col min="2" max="2" width="35.85546875" style="1919" customWidth="1"/>
    <col min="3" max="3" width="11.28515625" style="1919" hidden="1" customWidth="1"/>
    <col min="4" max="4" width="11.5703125" style="1984" hidden="1" customWidth="1"/>
    <col min="5" max="5" width="11.5703125" style="1985" hidden="1" customWidth="1"/>
    <col min="6" max="6" width="12.85546875" style="1985" hidden="1" customWidth="1"/>
    <col min="7" max="7" width="12.42578125" style="1986" hidden="1" customWidth="1"/>
    <col min="8" max="10" width="12.140625" style="1960" hidden="1" customWidth="1"/>
    <col min="11" max="11" width="12.7109375" style="1960" customWidth="1"/>
    <col min="12" max="12" width="0.28515625" style="1961" hidden="1" customWidth="1"/>
    <col min="13" max="13" width="12.85546875" style="1960" customWidth="1"/>
    <col min="14" max="21" width="12.7109375" style="1960" customWidth="1"/>
    <col min="22" max="22" width="14" style="1919" customWidth="1"/>
    <col min="23" max="23" width="14.42578125" style="1919" customWidth="1"/>
    <col min="24" max="24" width="14.85546875" style="1917" bestFit="1" customWidth="1"/>
    <col min="25" max="25" width="11.85546875" style="1918" hidden="1" customWidth="1" outlineLevel="1"/>
    <col min="26" max="26" width="13.28515625" style="1918" hidden="1" customWidth="1" outlineLevel="1"/>
    <col min="27" max="27" width="20.140625" style="1919" customWidth="1" collapsed="1"/>
    <col min="28" max="29" width="9.140625" style="1919"/>
    <col min="30" max="30" width="9.7109375" style="1919" bestFit="1" customWidth="1"/>
    <col min="31" max="16384" width="9.140625" style="1919"/>
  </cols>
  <sheetData>
    <row r="1" spans="1:27" ht="68.25" customHeight="1">
      <c r="A1" s="3018" t="s">
        <v>230</v>
      </c>
      <c r="B1" s="3018"/>
      <c r="C1" s="3018"/>
      <c r="D1" s="3018"/>
      <c r="E1" s="3018"/>
      <c r="F1" s="3018"/>
      <c r="G1" s="3018"/>
      <c r="H1" s="3018"/>
      <c r="I1" s="3018"/>
      <c r="J1" s="3018"/>
      <c r="K1" s="3018"/>
      <c r="L1" s="3018"/>
      <c r="M1" s="3018"/>
      <c r="N1" s="3018"/>
      <c r="O1" s="3018"/>
      <c r="P1" s="3018"/>
      <c r="Q1" s="3018"/>
      <c r="R1" s="3018"/>
      <c r="S1" s="3018"/>
      <c r="T1" s="3018"/>
      <c r="U1" s="3018"/>
      <c r="V1" s="3018"/>
      <c r="W1" s="3019"/>
    </row>
    <row r="2" spans="1:27" ht="15.75" customHeight="1" thickBot="1">
      <c r="A2" s="1920"/>
      <c r="B2" s="1920"/>
      <c r="C2" s="1920"/>
      <c r="D2" s="1920"/>
      <c r="E2" s="1920"/>
      <c r="F2" s="1920"/>
      <c r="G2" s="1920"/>
      <c r="H2" s="1920"/>
      <c r="I2" s="1920"/>
      <c r="J2" s="1920"/>
      <c r="K2" s="1920"/>
      <c r="L2" s="1920"/>
      <c r="M2" s="1920"/>
      <c r="N2" s="1920"/>
      <c r="O2" s="1920"/>
      <c r="P2" s="1920"/>
      <c r="Q2" s="1920"/>
      <c r="R2" s="1920"/>
      <c r="S2" s="1920"/>
      <c r="T2" s="1920"/>
      <c r="U2" s="1920"/>
      <c r="V2" s="1920"/>
      <c r="W2" s="1921"/>
    </row>
    <row r="3" spans="1:27" ht="24" customHeight="1">
      <c r="A3" s="3020" t="s">
        <v>5</v>
      </c>
      <c r="B3" s="3021"/>
      <c r="C3" s="3036" t="s">
        <v>3</v>
      </c>
      <c r="D3" s="3036"/>
      <c r="E3" s="3036"/>
      <c r="F3" s="3036"/>
      <c r="G3" s="3036"/>
      <c r="H3" s="3036"/>
      <c r="I3" s="3036"/>
      <c r="J3" s="3037"/>
      <c r="K3" s="3032" t="s">
        <v>3</v>
      </c>
      <c r="L3" s="3033"/>
      <c r="M3" s="3033"/>
      <c r="N3" s="3040" t="s">
        <v>357</v>
      </c>
      <c r="O3" s="3041"/>
      <c r="P3" s="3041"/>
      <c r="Q3" s="3041"/>
      <c r="R3" s="3041"/>
      <c r="S3" s="3041"/>
      <c r="T3" s="3041"/>
      <c r="U3" s="3042"/>
      <c r="V3" s="3026" t="s">
        <v>4</v>
      </c>
      <c r="W3" s="3028" t="s">
        <v>356</v>
      </c>
    </row>
    <row r="4" spans="1:27" ht="15.75" customHeight="1">
      <c r="A4" s="3022"/>
      <c r="B4" s="3023"/>
      <c r="C4" s="3038"/>
      <c r="D4" s="3038"/>
      <c r="E4" s="3038"/>
      <c r="F4" s="3038"/>
      <c r="G4" s="3038"/>
      <c r="H4" s="3038"/>
      <c r="I4" s="3038"/>
      <c r="J4" s="3039"/>
      <c r="K4" s="3034"/>
      <c r="L4" s="3035"/>
      <c r="M4" s="3035"/>
      <c r="N4" s="3043"/>
      <c r="O4" s="3044"/>
      <c r="P4" s="3044"/>
      <c r="Q4" s="3044"/>
      <c r="R4" s="3044"/>
      <c r="S4" s="3044"/>
      <c r="T4" s="3044"/>
      <c r="U4" s="3045"/>
      <c r="V4" s="3027"/>
      <c r="W4" s="3029"/>
    </row>
    <row r="5" spans="1:27" ht="18.75" customHeight="1" thickBot="1">
      <c r="A5" s="3024"/>
      <c r="B5" s="3025"/>
      <c r="C5" s="1922" t="s">
        <v>6</v>
      </c>
      <c r="D5" s="1923" t="s">
        <v>7</v>
      </c>
      <c r="E5" s="1923" t="s">
        <v>8</v>
      </c>
      <c r="F5" s="1923" t="s">
        <v>9</v>
      </c>
      <c r="G5" s="1924" t="s">
        <v>10</v>
      </c>
      <c r="H5" s="1924" t="s">
        <v>11</v>
      </c>
      <c r="I5" s="1924" t="s">
        <v>12</v>
      </c>
      <c r="J5" s="1925" t="s">
        <v>13</v>
      </c>
      <c r="K5" s="1926" t="s">
        <v>349</v>
      </c>
      <c r="L5" s="1927" t="s">
        <v>14</v>
      </c>
      <c r="M5" s="1926" t="s">
        <v>15</v>
      </c>
      <c r="N5" s="1926" t="s">
        <v>16</v>
      </c>
      <c r="O5" s="1928" t="s">
        <v>17</v>
      </c>
      <c r="P5" s="1928" t="s">
        <v>18</v>
      </c>
      <c r="Q5" s="1928" t="s">
        <v>271</v>
      </c>
      <c r="R5" s="1928" t="s">
        <v>276</v>
      </c>
      <c r="S5" s="1928" t="s">
        <v>340</v>
      </c>
      <c r="T5" s="1928" t="s">
        <v>341</v>
      </c>
      <c r="U5" s="1928" t="s">
        <v>339</v>
      </c>
      <c r="V5" s="3027"/>
      <c r="W5" s="3029"/>
    </row>
    <row r="6" spans="1:27" s="1938" customFormat="1" ht="14.25" customHeight="1" thickBot="1">
      <c r="A6" s="3030">
        <v>1</v>
      </c>
      <c r="B6" s="3031"/>
      <c r="C6" s="1929" t="s">
        <v>140</v>
      </c>
      <c r="D6" s="1930">
        <v>3</v>
      </c>
      <c r="E6" s="1931">
        <v>4</v>
      </c>
      <c r="F6" s="1931">
        <v>5</v>
      </c>
      <c r="G6" s="1932" t="s">
        <v>141</v>
      </c>
      <c r="H6" s="1932" t="s">
        <v>142</v>
      </c>
      <c r="I6" s="1932" t="s">
        <v>143</v>
      </c>
      <c r="J6" s="1932" t="s">
        <v>144</v>
      </c>
      <c r="K6" s="1933">
        <v>2</v>
      </c>
      <c r="L6" s="1934" t="s">
        <v>342</v>
      </c>
      <c r="M6" s="1932">
        <v>4</v>
      </c>
      <c r="N6" s="1932">
        <v>5</v>
      </c>
      <c r="O6" s="1935">
        <v>6</v>
      </c>
      <c r="P6" s="1935">
        <v>7</v>
      </c>
      <c r="Q6" s="1935">
        <v>8</v>
      </c>
      <c r="R6" s="1935">
        <v>9</v>
      </c>
      <c r="S6" s="1935">
        <v>10</v>
      </c>
      <c r="T6" s="1935">
        <v>11</v>
      </c>
      <c r="U6" s="1935">
        <v>12</v>
      </c>
      <c r="V6" s="1935">
        <v>13</v>
      </c>
      <c r="W6" s="1057">
        <v>14</v>
      </c>
      <c r="X6" s="1936"/>
      <c r="Y6" s="1937"/>
      <c r="Z6" s="1937"/>
    </row>
    <row r="7" spans="1:27" s="1943" customFormat="1" ht="24.75" customHeight="1" thickBot="1">
      <c r="A7" s="3014" t="s">
        <v>231</v>
      </c>
      <c r="B7" s="3015"/>
      <c r="C7" s="1939" t="e">
        <f>+'Tab. 6A -Drogi'!E36+'Tab. 6B Polit społ i rozwój prz'!E188+'Tab. 6B Polit społ i rozwój prz'!E200+'Tab. 6E - Administracja'!#REF!+'Tab. 6E - Administracja'!#REF!+'Tab. 6E - Administracja'!E81+'Tab. 6H - Kultura fiz. i turyst'!E56+'Tab. 6H - Kultura fiz. i turyst'!E49+'Tab. 6H - Kultura fiz. i turyst'!E65+'Tab. 6H - Kultura fiz. i turyst'!E72+'Tab. 6B Polit społ i rozwój prz'!E212+'Tab. 6H - Kultura fiz. i turyst'!E79+'Tab. 6H - Kultura fiz. i turyst'!E97</f>
        <v>#REF!</v>
      </c>
      <c r="D7" s="1939" t="e">
        <f>+'Tab. 6A -Drogi'!F36+'Tab. 6B Polit społ i rozwój prz'!F188+'Tab. 6B Polit społ i rozwój prz'!F200+'Tab. 6E - Administracja'!#REF!+'Tab. 6E - Administracja'!#REF!+'Tab. 6E - Administracja'!F81+'Tab. 6H - Kultura fiz. i turyst'!F56+'Tab. 6H - Kultura fiz. i turyst'!F49+'Tab. 6H - Kultura fiz. i turyst'!F65+'Tab. 6H - Kultura fiz. i turyst'!F72+'Tab. 6B Polit społ i rozwój prz'!F212+'Tab. 6H - Kultura fiz. i turyst'!F79+'Tab. 6H - Kultura fiz. i turyst'!F97</f>
        <v>#REF!</v>
      </c>
      <c r="E7" s="1939" t="e">
        <f>+'Tab. 6A -Drogi'!G36+'Tab. 6B Polit społ i rozwój prz'!G188+'Tab. 6B Polit społ i rozwój prz'!G200+'Tab. 6E - Administracja'!#REF!+'Tab. 6E - Administracja'!#REF!+'Tab. 6E - Administracja'!G81+'Tab. 6H - Kultura fiz. i turyst'!G56+'Tab. 6H - Kultura fiz. i turyst'!G49+'Tab. 6H - Kultura fiz. i turyst'!G65+'Tab. 6H - Kultura fiz. i turyst'!G72+'Tab. 6B Polit społ i rozwój prz'!G212+'Tab. 6H - Kultura fiz. i turyst'!G79+'Tab. 6H - Kultura fiz. i turyst'!G97</f>
        <v>#REF!</v>
      </c>
      <c r="F7" s="1939" t="e">
        <f>+'Tab. 6A -Drogi'!H36+'Tab. 6B Polit społ i rozwój prz'!H188+'Tab. 6B Polit społ i rozwój prz'!H200+'Tab. 6E - Administracja'!#REF!+'Tab. 6E - Administracja'!#REF!+'Tab. 6E - Administracja'!H81+'Tab. 6H - Kultura fiz. i turyst'!H56+'Tab. 6H - Kultura fiz. i turyst'!H49+'Tab. 6H - Kultura fiz. i turyst'!H65+'Tab. 6H - Kultura fiz. i turyst'!H72+'Tab. 6B Polit społ i rozwój prz'!H212+'Tab. 6H - Kultura fiz. i turyst'!H79+'Tab. 6H - Kultura fiz. i turyst'!H97</f>
        <v>#REF!</v>
      </c>
      <c r="G7" s="1939" t="e">
        <f>+'Tab. 6A -Drogi'!I36+'Tab. 6B Polit społ i rozwój prz'!I188+'Tab. 6B Polit społ i rozwój prz'!I200+'Tab. 6E - Administracja'!#REF!+'Tab. 6E - Administracja'!#REF!+'Tab. 6E - Administracja'!I81+'Tab. 6H - Kultura fiz. i turyst'!I56+'Tab. 6H - Kultura fiz. i turyst'!I49+'Tab. 6H - Kultura fiz. i turyst'!I65+'Tab. 6H - Kultura fiz. i turyst'!I72+'Tab. 6B Polit społ i rozwój prz'!I212+'Tab. 6H - Kultura fiz. i turyst'!I79+'Tab. 6H - Kultura fiz. i turyst'!I97</f>
        <v>#REF!</v>
      </c>
      <c r="H7" s="1939" t="e">
        <f>+'Tab. 6A -Drogi'!J36+'Tab. 6B Polit społ i rozwój prz'!J188+'Tab. 6B Polit społ i rozwój prz'!J200+'Tab. 6E - Administracja'!#REF!+'Tab. 6E - Administracja'!#REF!+'Tab. 6E - Administracja'!J81+'Tab. 6H - Kultura fiz. i turyst'!J56+'Tab. 6H - Kultura fiz. i turyst'!J49+'Tab. 6H - Kultura fiz. i turyst'!J65+'Tab. 6H - Kultura fiz. i turyst'!J72+'Tab. 6B Polit społ i rozwój prz'!J212+'Tab. 6H - Kultura fiz. i turyst'!J79+'Tab. 6H - Kultura fiz. i turyst'!J97</f>
        <v>#REF!</v>
      </c>
      <c r="I7" s="1939" t="e">
        <f>+'Tab. 6A -Drogi'!K36+'Tab. 6B Polit społ i rozwój prz'!K188+'Tab. 6B Polit społ i rozwój prz'!K200+'Tab. 6E - Administracja'!#REF!+'Tab. 6E - Administracja'!#REF!+'Tab. 6E - Administracja'!K81+'Tab. 6H - Kultura fiz. i turyst'!K56+'Tab. 6H - Kultura fiz. i turyst'!K49+'Tab. 6H - Kultura fiz. i turyst'!K65+'Tab. 6H - Kultura fiz. i turyst'!K72+'Tab. 6B Polit społ i rozwój prz'!K212+'Tab. 6H - Kultura fiz. i turyst'!K79+'Tab. 6H - Kultura fiz. i turyst'!K97</f>
        <v>#REF!</v>
      </c>
      <c r="J7" s="1939" t="e">
        <f>+'Tab. 6A -Drogi'!L36+'Tab. 6B Polit społ i rozwój prz'!L188+'Tab. 6B Polit społ i rozwój prz'!L200+'Tab. 6E - Administracja'!#REF!+'Tab. 6E - Administracja'!#REF!+'Tab. 6E - Administracja'!L81+'Tab. 6H - Kultura fiz. i turyst'!L56+'Tab. 6H - Kultura fiz. i turyst'!L49+'Tab. 6H - Kultura fiz. i turyst'!L65+'Tab. 6H - Kultura fiz. i turyst'!L72+'Tab. 6B Polit społ i rozwój prz'!L212+'Tab. 6H - Kultura fiz. i turyst'!L79+'Tab. 6H - Kultura fiz. i turyst'!L97</f>
        <v>#REF!</v>
      </c>
      <c r="K7" s="1939">
        <f>'Tab. 6A -Drogi'!M36+'Tab. 6B Polit społ i rozwój prz'!M188+'Tab. 6B Polit społ i rozwój prz'!M200+'Tab. 6B Polit społ i rozwój prz'!M212+'Tab. 6E - Administracja'!M81+'Tab. 6E - Administracja'!M90-'Tab. 6E - Administracja'!M98+'Tab. 6E - Administracja'!M114-'Tab. 6E - Administracja'!M116+'Tab. 6H - Kultura fiz. i turyst'!M49+'Tab. 6H - Kultura fiz. i turyst'!M56+'Tab. 6H - Kultura fiz. i turyst'!M65+'Tab. 6H - Kultura fiz. i turyst'!M72+'Tab. 6H - Kultura fiz. i turyst'!M79+'Tab. 6H - Kultura fiz. i turyst'!M88+'Tab. 6H - Kultura fiz. i turyst'!M97+'Tab. 6H - Kultura fiz. i turyst'!M115</f>
        <v>209137439</v>
      </c>
      <c r="L7" s="1939" t="e">
        <f>+'Tab. 6A -Drogi'!N36+'Tab. 6B Polit społ i rozwój prz'!N188+'Tab. 6B Polit społ i rozwój prz'!N200+'Tab. 6E - Administracja'!#REF!+'Tab. 6E - Administracja'!#REF!+'Tab. 6E - Administracja'!N81+'Tab. 6H - Kultura fiz. i turyst'!N56+'Tab. 6H - Kultura fiz. i turyst'!N49+'Tab. 6H - Kultura fiz. i turyst'!N65+'Tab. 6H - Kultura fiz. i turyst'!N72+'Tab. 6B Polit społ i rozwój prz'!N212+'Tab. 6H - Kultura fiz. i turyst'!N79+'Tab. 6H - Kultura fiz. i turyst'!N97-'Tab. 6E - Administracja'!N98+'Tab. 6E - Administracja'!N90+'Tab. 6E - Administracja'!N114-'Tab. 6E - Administracja'!N116</f>
        <v>#REF!</v>
      </c>
      <c r="M7" s="1939">
        <f>'Tab. 6A -Drogi'!O36+'Tab. 6B Polit społ i rozwój prz'!O188+'Tab. 6B Polit społ i rozwój prz'!O200+'Tab. 6B Polit społ i rozwój prz'!O212+'Tab. 6E - Administracja'!O81+'Tab. 6E - Administracja'!O90-'Tab. 6E - Administracja'!O98+'Tab. 6E - Administracja'!O114-'Tab. 6E - Administracja'!O116+'Tab. 6H - Kultura fiz. i turyst'!O49+'Tab. 6H - Kultura fiz. i turyst'!O56+'Tab. 6H - Kultura fiz. i turyst'!O65+'Tab. 6H - Kultura fiz. i turyst'!O72+'Tab. 6H - Kultura fiz. i turyst'!O79+'Tab. 6H - Kultura fiz. i turyst'!O88+'Tab. 6H - Kultura fiz. i turyst'!O97+'Tab. 6H - Kultura fiz. i turyst'!O115</f>
        <v>39745040</v>
      </c>
      <c r="N7" s="1939">
        <f>'Tab. 6A -Drogi'!P36+'Tab. 6B Polit społ i rozwój prz'!P188+'Tab. 6B Polit społ i rozwój prz'!P200+'Tab. 6B Polit społ i rozwój prz'!P212+'Tab. 6E - Administracja'!P81+'Tab. 6E - Administracja'!P90-'Tab. 6E - Administracja'!P98+'Tab. 6E - Administracja'!P114-'Tab. 6E - Administracja'!P116+'Tab. 6H - Kultura fiz. i turyst'!P49+'Tab. 6H - Kultura fiz. i turyst'!P56+'Tab. 6H - Kultura fiz. i turyst'!P65+'Tab. 6H - Kultura fiz. i turyst'!P72+'Tab. 6H - Kultura fiz. i turyst'!P79+'Tab. 6H - Kultura fiz. i turyst'!P88+'Tab. 6H - Kultura fiz. i turyst'!P97+'Tab. 6H - Kultura fiz. i turyst'!P115+'Tab. 6E - Administracja'!P132+'Tab. 6B Polit społ i rozwój prz'!P52+'Tab. 6H - Kultura fiz. i turyst'!P106+'Tab. 6H - Kultura fiz. i turyst'!P124+'Tab. 6H - Kultura fiz. i turyst'!P133+'Tab. 6B Polit społ i rozwój prz'!P224</f>
        <v>106817553</v>
      </c>
      <c r="O7" s="1939">
        <f>'Tab. 6A -Drogi'!Q36+'Tab. 6B Polit społ i rozwój prz'!Q188+'Tab. 6B Polit społ i rozwój prz'!Q200+'Tab. 6B Polit społ i rozwój prz'!Q212+'Tab. 6E - Administracja'!Q81+'Tab. 6E - Administracja'!Q90-'Tab. 6E - Administracja'!Q98+'Tab. 6E - Administracja'!Q114-'Tab. 6E - Administracja'!Q116+'Tab. 6H - Kultura fiz. i turyst'!Q49+'Tab. 6H - Kultura fiz. i turyst'!Q56+'Tab. 6H - Kultura fiz. i turyst'!Q65+'Tab. 6H - Kultura fiz. i turyst'!Q72+'Tab. 6H - Kultura fiz. i turyst'!Q79+'Tab. 6H - Kultura fiz. i turyst'!Q88+'Tab. 6H - Kultura fiz. i turyst'!Q97+'Tab. 6H - Kultura fiz. i turyst'!Q115+'Tab. 6E - Administracja'!Q132+'Tab. 6B Polit społ i rozwój prz'!Q52+'Tab. 6H - Kultura fiz. i turyst'!Q106+'Tab. 6H - Kultura fiz. i turyst'!Q124+'Tab. 6H - Kultura fiz. i turyst'!Q133+'Tab. 6B Polit społ i rozwój prz'!Q224</f>
        <v>352715056</v>
      </c>
      <c r="P7" s="1939">
        <f>'Tab. 6A -Drogi'!R36+'Tab. 6B Polit społ i rozwój prz'!R188+'Tab. 6B Polit społ i rozwój prz'!R200+'Tab. 6B Polit społ i rozwój prz'!R212+'Tab. 6E - Administracja'!R81+'Tab. 6E - Administracja'!R90-'Tab. 6E - Administracja'!R98+'Tab. 6E - Administracja'!R114-'Tab. 6E - Administracja'!R116+'Tab. 6H - Kultura fiz. i turyst'!R49+'Tab. 6H - Kultura fiz. i turyst'!R56+'Tab. 6H - Kultura fiz. i turyst'!R65+'Tab. 6H - Kultura fiz. i turyst'!R72+'Tab. 6H - Kultura fiz. i turyst'!R79+'Tab. 6H - Kultura fiz. i turyst'!R88+'Tab. 6H - Kultura fiz. i turyst'!R97+'Tab. 6H - Kultura fiz. i turyst'!R115+'Tab. 6E - Administracja'!R132+'Tab. 6B Polit społ i rozwój prz'!R52+'Tab. 6H - Kultura fiz. i turyst'!R106+'Tab. 6H - Kultura fiz. i turyst'!R124+'Tab. 6H - Kultura fiz. i turyst'!R133+'Tab. 6B Polit społ i rozwój prz'!R224</f>
        <v>261936027</v>
      </c>
      <c r="Q7" s="1939">
        <f>'Tab. 6A -Drogi'!S36+'Tab. 6B Polit społ i rozwój prz'!S188+'Tab. 6B Polit społ i rozwój prz'!S200+'Tab. 6B Polit społ i rozwój prz'!S212+'Tab. 6E - Administracja'!S81+'Tab. 6E - Administracja'!S90-'Tab. 6E - Administracja'!S98+'Tab. 6E - Administracja'!S114-'Tab. 6E - Administracja'!S116+'Tab. 6H - Kultura fiz. i turyst'!S49+'Tab. 6H - Kultura fiz. i turyst'!S56+'Tab. 6H - Kultura fiz. i turyst'!S65+'Tab. 6H - Kultura fiz. i turyst'!S72+'Tab. 6H - Kultura fiz. i turyst'!S79+'Tab. 6H - Kultura fiz. i turyst'!S88+'Tab. 6H - Kultura fiz. i turyst'!S97+'Tab. 6H - Kultura fiz. i turyst'!S115+'Tab. 6E - Administracja'!S132+'Tab. 6B Polit społ i rozwój prz'!S52+'Tab. 6H - Kultura fiz. i turyst'!S106+'Tab. 6H - Kultura fiz. i turyst'!S124+'Tab. 6H - Kultura fiz. i turyst'!S133+'Tab. 6B Polit społ i rozwój prz'!S224</f>
        <v>81237449</v>
      </c>
      <c r="R7" s="1939">
        <f>'Tab. 6A -Drogi'!T36+'Tab. 6B Polit społ i rozwój prz'!T188+'Tab. 6B Polit społ i rozwój prz'!T200+'Tab. 6B Polit społ i rozwój prz'!T212+'Tab. 6E - Administracja'!T81+'Tab. 6E - Administracja'!T90-'Tab. 6E - Administracja'!T98+'Tab. 6E - Administracja'!T114-'Tab. 6E - Administracja'!T116+'Tab. 6H - Kultura fiz. i turyst'!T49+'Tab. 6H - Kultura fiz. i turyst'!T56+'Tab. 6H - Kultura fiz. i turyst'!T65+'Tab. 6H - Kultura fiz. i turyst'!T72+'Tab. 6H - Kultura fiz. i turyst'!T79+'Tab. 6H - Kultura fiz. i turyst'!T88+'Tab. 6H - Kultura fiz. i turyst'!T97+'Tab. 6H - Kultura fiz. i turyst'!T115+'Tab. 6E - Administracja'!T132+'Tab. 6B Polit społ i rozwój prz'!T52+'Tab. 6H - Kultura fiz. i turyst'!T106+'Tab. 6H - Kultura fiz. i turyst'!T124+'Tab. 6H - Kultura fiz. i turyst'!T133+'Tab. 6B Polit społ i rozwój prz'!T224</f>
        <v>66090088</v>
      </c>
      <c r="S7" s="1939">
        <f>'Tab. 6A -Drogi'!U36+'Tab. 6B Polit społ i rozwój prz'!U188+'Tab. 6B Polit społ i rozwój prz'!U200+'Tab. 6B Polit społ i rozwój prz'!U212+'Tab. 6E - Administracja'!U81+'Tab. 6E - Administracja'!U90-'Tab. 6E - Administracja'!U98+'Tab. 6E - Administracja'!U114-'Tab. 6E - Administracja'!U116+'Tab. 6H - Kultura fiz. i turyst'!U49+'Tab. 6H - Kultura fiz. i turyst'!U56+'Tab. 6H - Kultura fiz. i turyst'!U65+'Tab. 6H - Kultura fiz. i turyst'!U72+'Tab. 6H - Kultura fiz. i turyst'!U79+'Tab. 6H - Kultura fiz. i turyst'!U88+'Tab. 6H - Kultura fiz. i turyst'!U97+'Tab. 6H - Kultura fiz. i turyst'!U115+'Tab. 6E - Administracja'!U132+'Tab. 6B Polit społ i rozwój prz'!U52+'Tab. 6H - Kultura fiz. i turyst'!U106+'Tab. 6H - Kultura fiz. i turyst'!U124+'Tab. 6H - Kultura fiz. i turyst'!U133+'Tab. 6B Polit społ i rozwój prz'!U224</f>
        <v>36656133</v>
      </c>
      <c r="T7" s="1939">
        <f>'Tab. 6A -Drogi'!V36+'Tab. 6B Polit społ i rozwój prz'!V188+'Tab. 6B Polit społ i rozwój prz'!V200+'Tab. 6B Polit społ i rozwój prz'!V212+'Tab. 6E - Administracja'!V81+'Tab. 6E - Administracja'!V90-'Tab. 6E - Administracja'!V98+'Tab. 6E - Administracja'!V114-'Tab. 6E - Administracja'!V116+'Tab. 6H - Kultura fiz. i turyst'!V49+'Tab. 6H - Kultura fiz. i turyst'!V56+'Tab. 6H - Kultura fiz. i turyst'!V65+'Tab. 6H - Kultura fiz. i turyst'!V72+'Tab. 6H - Kultura fiz. i turyst'!V79+'Tab. 6H - Kultura fiz. i turyst'!V88+'Tab. 6H - Kultura fiz. i turyst'!V97+'Tab. 6H - Kultura fiz. i turyst'!V115+'Tab. 6E - Administracja'!V132+'Tab. 6B Polit społ i rozwój prz'!V52+'Tab. 6H - Kultura fiz. i turyst'!V106+'Tab. 6H - Kultura fiz. i turyst'!V124+'Tab. 6H - Kultura fiz. i turyst'!V133+'Tab. 6B Polit społ i rozwój prz'!V224</f>
        <v>34123337</v>
      </c>
      <c r="U7" s="1939">
        <f>'Tab. 6A -Drogi'!W36+'Tab. 6B Polit społ i rozwój prz'!W188+'Tab. 6B Polit społ i rozwój prz'!W200+'Tab. 6B Polit społ i rozwój prz'!W212+'Tab. 6E - Administracja'!W81+'Tab. 6E - Administracja'!W90-'Tab. 6E - Administracja'!W98+'Tab. 6E - Administracja'!W114-'Tab. 6E - Administracja'!W116+'Tab. 6H - Kultura fiz. i turyst'!W49+'Tab. 6H - Kultura fiz. i turyst'!W56+'Tab. 6H - Kultura fiz. i turyst'!W65+'Tab. 6H - Kultura fiz. i turyst'!W72+'Tab. 6H - Kultura fiz. i turyst'!W79+'Tab. 6H - Kultura fiz. i turyst'!W88+'Tab. 6H - Kultura fiz. i turyst'!W97+'Tab. 6H - Kultura fiz. i turyst'!W115+'Tab. 6E - Administracja'!W132+'Tab. 6B Polit społ i rozwój prz'!W52+'Tab. 6H - Kultura fiz. i turyst'!W106+'Tab. 6H - Kultura fiz. i turyst'!W124+'Tab. 6H - Kultura fiz. i turyst'!W133+'Tab. 6B Polit społ i rozwój prz'!W224</f>
        <v>34288222</v>
      </c>
      <c r="V7" s="1939">
        <f>K7+M7+N7+O7+P7+Q7+R7+S7+T7+U7</f>
        <v>1222746344</v>
      </c>
      <c r="W7" s="1940">
        <f>N7+O7+P7+Q7+R7+S7+T7+U7</f>
        <v>973863865</v>
      </c>
      <c r="X7" s="1941"/>
      <c r="Y7" s="1942"/>
      <c r="Z7" s="1942"/>
    </row>
    <row r="8" spans="1:27" s="1943" customFormat="1" ht="24.75" customHeight="1" thickBot="1">
      <c r="A8" s="3016" t="s">
        <v>232</v>
      </c>
      <c r="B8" s="3017"/>
      <c r="C8" s="1944" t="e">
        <f>+'Tab. 6A -Drogi'!E44+'Tab. 6B Polit społ i rozwój prz'!E194+'Tab. 6B Polit społ i rozwój prz'!E206+'Tab. 6E - Administracja'!#REF!+'Tab. 6E - Administracja'!#REF!+'Tab. 6E - Administracja'!E86+'Tab. 6H - Kultura fiz. i turyst'!E52+'Tab. 6H - Kultura fiz. i turyst'!E61+'Tab. 6H - Kultura fiz. i turyst'!E75+'Tab. 6B Polit społ i rozwój prz'!E218+'Tab. 6H - Kultura fiz. i turyst'!E84+'Tab. 6H - Kultura fiz. i turyst'!E102</f>
        <v>#REF!</v>
      </c>
      <c r="D8" s="1944" t="e">
        <f>+'Tab. 6A -Drogi'!F44+'Tab. 6B Polit społ i rozwój prz'!F194+'Tab. 6B Polit społ i rozwój prz'!F206+'Tab. 6E - Administracja'!#REF!+'Tab. 6E - Administracja'!#REF!+'Tab. 6E - Administracja'!F86+'Tab. 6H - Kultura fiz. i turyst'!F52+'Tab. 6H - Kultura fiz. i turyst'!F61+'Tab. 6H - Kultura fiz. i turyst'!F75+'Tab. 6B Polit społ i rozwój prz'!F218+'Tab. 6H - Kultura fiz. i turyst'!F84+'Tab. 6H - Kultura fiz. i turyst'!F102</f>
        <v>#REF!</v>
      </c>
      <c r="E8" s="1944" t="e">
        <f>+'Tab. 6A -Drogi'!G44+'Tab. 6B Polit społ i rozwój prz'!G194+'Tab. 6B Polit społ i rozwój prz'!G206+'Tab. 6E - Administracja'!#REF!+'Tab. 6E - Administracja'!#REF!+'Tab. 6E - Administracja'!G86+'Tab. 6H - Kultura fiz. i turyst'!G52+'Tab. 6H - Kultura fiz. i turyst'!G61+'Tab. 6H - Kultura fiz. i turyst'!G75+'Tab. 6B Polit społ i rozwój prz'!G218+'Tab. 6H - Kultura fiz. i turyst'!G84+'Tab. 6H - Kultura fiz. i turyst'!G102</f>
        <v>#REF!</v>
      </c>
      <c r="F8" s="1944" t="e">
        <f>+'Tab. 6A -Drogi'!H44+'Tab. 6B Polit społ i rozwój prz'!H194+'Tab. 6B Polit społ i rozwój prz'!H206+'Tab. 6E - Administracja'!#REF!+'Tab. 6E - Administracja'!#REF!+'Tab. 6E - Administracja'!H86+'Tab. 6H - Kultura fiz. i turyst'!H52+'Tab. 6H - Kultura fiz. i turyst'!H61+'Tab. 6H - Kultura fiz. i turyst'!H75+'Tab. 6B Polit społ i rozwój prz'!H218+'Tab. 6H - Kultura fiz. i turyst'!H84+'Tab. 6H - Kultura fiz. i turyst'!H102-'Tab. 6A -Drogi'!H231</f>
        <v>#REF!</v>
      </c>
      <c r="G8" s="1944" t="e">
        <f>+'Tab. 6A -Drogi'!I44+'Tab. 6B Polit społ i rozwój prz'!I194+'Tab. 6B Polit społ i rozwój prz'!I206+'Tab. 6E - Administracja'!#REF!+'Tab. 6E - Administracja'!#REF!+'Tab. 6E - Administracja'!I86+'Tab. 6H - Kultura fiz. i turyst'!I52+'Tab. 6H - Kultura fiz. i turyst'!I61+'Tab. 6H - Kultura fiz. i turyst'!I75+'Tab. 6B Polit społ i rozwój prz'!I218+'Tab. 6H - Kultura fiz. i turyst'!I84+'Tab. 6H - Kultura fiz. i turyst'!I102-'Tab. 6A -Drogi'!I231</f>
        <v>#REF!</v>
      </c>
      <c r="H8" s="1944" t="e">
        <f>+'Tab. 6A -Drogi'!J44+'Tab. 6B Polit społ i rozwój prz'!J194+'Tab. 6B Polit społ i rozwój prz'!J206+'Tab. 6E - Administracja'!#REF!+'Tab. 6E - Administracja'!#REF!+'Tab. 6E - Administracja'!J86+'Tab. 6H - Kultura fiz. i turyst'!J52+'Tab. 6H - Kultura fiz. i turyst'!J61+'Tab. 6H - Kultura fiz. i turyst'!J75+'Tab. 6B Polit społ i rozwój prz'!J218+'Tab. 6H - Kultura fiz. i turyst'!J84+'Tab. 6H - Kultura fiz. i turyst'!J102-'Tab. 6A -Drogi'!J231</f>
        <v>#REF!</v>
      </c>
      <c r="I8" s="1944" t="e">
        <f>+'Tab. 6A -Drogi'!K44+'Tab. 6B Polit społ i rozwój prz'!K194+'Tab. 6B Polit społ i rozwój prz'!K206+'Tab. 6E - Administracja'!#REF!+'Tab. 6E - Administracja'!#REF!+'Tab. 6E - Administracja'!K86+'Tab. 6H - Kultura fiz. i turyst'!K52+'Tab. 6H - Kultura fiz. i turyst'!K61+'Tab. 6H - Kultura fiz. i turyst'!K75+'Tab. 6B Polit społ i rozwój prz'!K218+'Tab. 6H - Kultura fiz. i turyst'!K84+'Tab. 6H - Kultura fiz. i turyst'!K102-'Tab. 6A -Drogi'!K231</f>
        <v>#REF!</v>
      </c>
      <c r="J8" s="1944" t="e">
        <f>+'Tab. 6A -Drogi'!L44+'Tab. 6B Polit społ i rozwój prz'!L194+'Tab. 6B Polit społ i rozwój prz'!L206+'Tab. 6E - Administracja'!#REF!+'Tab. 6E - Administracja'!#REF!+'Tab. 6E - Administracja'!L86+'Tab. 6H - Kultura fiz. i turyst'!L52+'Tab. 6H - Kultura fiz. i turyst'!L61+'Tab. 6H - Kultura fiz. i turyst'!L75+'Tab. 6B Polit społ i rozwój prz'!L218+'Tab. 6H - Kultura fiz. i turyst'!L84+'Tab. 6H - Kultura fiz. i turyst'!L102-'Tab. 6A -Drogi'!L231</f>
        <v>#REF!</v>
      </c>
      <c r="K8" s="1944">
        <f>'Tab. 6A -Drogi'!M44+'Tab. 6B Polit społ i rozwój prz'!M194+'Tab. 6B Polit społ i rozwój prz'!M206+'Tab. 6B Polit społ i rozwój prz'!M218+'Tab. 6E - Administracja'!M86+'Tab. 6E - Administracja'!M110+'Tab. 6E - Administracja'!M128+'Tab. 6H - Kultura fiz. i turyst'!M52+'Tab. 6H - Kultura fiz. i turyst'!M61+'Tab. 6H - Kultura fiz. i turyst'!M68+'Tab. 6H - Kultura fiz. i turyst'!M75+'Tab. 6H - Kultura fiz. i turyst'!M84+'Tab. 6H - Kultura fiz. i turyst'!M93+'Tab. 6H - Kultura fiz. i turyst'!M102+'Tab. 6H - Kultura fiz. i turyst'!M120</f>
        <v>173668547</v>
      </c>
      <c r="L8" s="1944" t="e">
        <f>'Tab. 6A -Drogi'!N44+'Tab. 6B Polit społ i rozwój prz'!N194+'Tab. 6B Polit społ i rozwój prz'!N206+'Tab. 6B Polit społ i rozwój prz'!N218+'Tab. 6E - Administracja'!#REF!+'Tab. 6E - Administracja'!#REF!+'Tab. 6E - Administracja'!N86+'Tab. 6E - Administracja'!N110+'Tab. 6E - Administracja'!N128+'Tab. 6H - Kultura fiz. i turyst'!N52+'Tab. 6H - Kultura fiz. i turyst'!N61+'Tab. 6H - Kultura fiz. i turyst'!N68+'Tab. 6H - Kultura fiz. i turyst'!N75+'Tab. 6H - Kultura fiz. i turyst'!N84+'Tab. 6H - Kultura fiz. i turyst'!N93+'Tab. 6H - Kultura fiz. i turyst'!N102+'Tab. 6H - Kultura fiz. i turyst'!N120</f>
        <v>#REF!</v>
      </c>
      <c r="M8" s="1944">
        <f>'Tab. 6A -Drogi'!O44+'Tab. 6B Polit społ i rozwój prz'!O194+'Tab. 6B Polit społ i rozwój prz'!O206+'Tab. 6B Polit społ i rozwój prz'!O218+'Tab. 6E - Administracja'!O86+'Tab. 6E - Administracja'!O110+'Tab. 6E - Administracja'!O128+'Tab. 6H - Kultura fiz. i turyst'!O52+'Tab. 6H - Kultura fiz. i turyst'!O61+'Tab. 6H - Kultura fiz. i turyst'!O68+'Tab. 6H - Kultura fiz. i turyst'!O75+'Tab. 6H - Kultura fiz. i turyst'!O84+'Tab. 6H - Kultura fiz. i turyst'!O93+'Tab. 6H - Kultura fiz. i turyst'!O102+'Tab. 6H - Kultura fiz. i turyst'!O120</f>
        <v>53863055</v>
      </c>
      <c r="N8" s="1944">
        <f>'Tab. 6A -Drogi'!P44+'Tab. 6B Polit społ i rozwój prz'!P194+'Tab. 6B Polit społ i rozwój prz'!P206+'Tab. 6B Polit społ i rozwój prz'!P218+'Tab. 6E - Administracja'!P86+'Tab. 6E - Administracja'!P110+'Tab. 6E - Administracja'!P128+'Tab. 6H - Kultura fiz. i turyst'!P52+'Tab. 6H - Kultura fiz. i turyst'!P61+'Tab. 6H - Kultura fiz. i turyst'!P68+'Tab. 6H - Kultura fiz. i turyst'!P75+'Tab. 6H - Kultura fiz. i turyst'!P84+'Tab. 6H - Kultura fiz. i turyst'!P93+'Tab. 6H - Kultura fiz. i turyst'!P102+'Tab. 6H - Kultura fiz. i turyst'!P120+'Tab. 6E - Administracja'!P141+'Tab. 6B Polit społ i rozwój prz'!P62+'Tab. 6H - Kultura fiz. i turyst'!P111+'Tab. 6H - Kultura fiz. i turyst'!P129+'Tab. 6H - Kultura fiz. i turyst'!P138+'Tab. 6B Polit społ i rozwój prz'!P230</f>
        <v>104958729</v>
      </c>
      <c r="O8" s="1944">
        <f>'Tab. 6A -Drogi'!Q44+'Tab. 6B Polit społ i rozwój prz'!Q194+'Tab. 6B Polit społ i rozwój prz'!Q206+'Tab. 6B Polit społ i rozwój prz'!Q218+'Tab. 6E - Administracja'!Q86+'Tab. 6E - Administracja'!Q110+'Tab. 6E - Administracja'!Q128+'Tab. 6H - Kultura fiz. i turyst'!Q52+'Tab. 6H - Kultura fiz. i turyst'!Q61+'Tab. 6H - Kultura fiz. i turyst'!Q68+'Tab. 6H - Kultura fiz. i turyst'!Q75+'Tab. 6H - Kultura fiz. i turyst'!Q84+'Tab. 6H - Kultura fiz. i turyst'!Q93+'Tab. 6H - Kultura fiz. i turyst'!Q102+'Tab. 6H - Kultura fiz. i turyst'!Q120+'Tab. 6E - Administracja'!Q141+'Tab. 6B Polit społ i rozwój prz'!Q62+'Tab. 6H - Kultura fiz. i turyst'!Q111+'Tab. 6H - Kultura fiz. i turyst'!Q129+'Tab. 6H - Kultura fiz. i turyst'!Q138+'Tab. 6B Polit społ i rozwój prz'!Q230</f>
        <v>310309623</v>
      </c>
      <c r="P8" s="1944">
        <f>'Tab. 6A -Drogi'!R44+'Tab. 6B Polit społ i rozwój prz'!R194+'Tab. 6B Polit społ i rozwój prz'!R206+'Tab. 6B Polit społ i rozwój prz'!R218+'Tab. 6E - Administracja'!R86+'Tab. 6E - Administracja'!R110+'Tab. 6E - Administracja'!R128+'Tab. 6H - Kultura fiz. i turyst'!R52+'Tab. 6H - Kultura fiz. i turyst'!R61+'Tab. 6H - Kultura fiz. i turyst'!R68+'Tab. 6H - Kultura fiz. i turyst'!R75+'Tab. 6H - Kultura fiz. i turyst'!R84+'Tab. 6H - Kultura fiz. i turyst'!R93+'Tab. 6H - Kultura fiz. i turyst'!R102+'Tab. 6H - Kultura fiz. i turyst'!R120+'Tab. 6E - Administracja'!R141+'Tab. 6B Polit społ i rozwój prz'!R62+'Tab. 6H - Kultura fiz. i turyst'!R111+'Tab. 6H - Kultura fiz. i turyst'!R129+'Tab. 6H - Kultura fiz. i turyst'!R138+'Tab. 6B Polit społ i rozwój prz'!R230</f>
        <v>228545945</v>
      </c>
      <c r="Q8" s="1944">
        <f>'Tab. 6A -Drogi'!S44+'Tab. 6B Polit społ i rozwój prz'!S194+'Tab. 6B Polit społ i rozwój prz'!S206+'Tab. 6B Polit społ i rozwój prz'!S218+'Tab. 6E - Administracja'!S86+'Tab. 6E - Administracja'!S110+'Tab. 6E - Administracja'!S128+'Tab. 6H - Kultura fiz. i turyst'!S52+'Tab. 6H - Kultura fiz. i turyst'!S61+'Tab. 6H - Kultura fiz. i turyst'!S68+'Tab. 6H - Kultura fiz. i turyst'!S75+'Tab. 6H - Kultura fiz. i turyst'!S84+'Tab. 6H - Kultura fiz. i turyst'!S93+'Tab. 6H - Kultura fiz. i turyst'!S102+'Tab. 6H - Kultura fiz. i turyst'!S120+'Tab. 6E - Administracja'!S141+'Tab. 6B Polit społ i rozwój prz'!S62+'Tab. 6H - Kultura fiz. i turyst'!S111+'Tab. 6H - Kultura fiz. i turyst'!S129+'Tab. 6H - Kultura fiz. i turyst'!S138+'Tab. 6B Polit społ i rozwój prz'!S230</f>
        <v>72313155</v>
      </c>
      <c r="R8" s="1944">
        <f>'Tab. 6A -Drogi'!T44+'Tab. 6B Polit społ i rozwój prz'!T194+'Tab. 6B Polit społ i rozwój prz'!T206+'Tab. 6B Polit społ i rozwój prz'!T218+'Tab. 6E - Administracja'!T86+'Tab. 6E - Administracja'!T110+'Tab. 6E - Administracja'!T128+'Tab. 6H - Kultura fiz. i turyst'!T52+'Tab. 6H - Kultura fiz. i turyst'!T61+'Tab. 6H - Kultura fiz. i turyst'!T68+'Tab. 6H - Kultura fiz. i turyst'!T75+'Tab. 6H - Kultura fiz. i turyst'!T84+'Tab. 6H - Kultura fiz. i turyst'!T93+'Tab. 6H - Kultura fiz. i turyst'!T102+'Tab. 6H - Kultura fiz. i turyst'!T120+'Tab. 6E - Administracja'!T141+'Tab. 6B Polit społ i rozwój prz'!T62+'Tab. 6H - Kultura fiz. i turyst'!T111+'Tab. 6H - Kultura fiz. i turyst'!T129+'Tab. 6H - Kultura fiz. i turyst'!T138+'Tab. 6B Polit społ i rozwój prz'!T230</f>
        <v>57149904</v>
      </c>
      <c r="S8" s="1944">
        <f>'Tab. 6A -Drogi'!U44+'Tab. 6B Polit społ i rozwój prz'!U194+'Tab. 6B Polit społ i rozwój prz'!U206+'Tab. 6B Polit społ i rozwój prz'!U218+'Tab. 6E - Administracja'!U86+'Tab. 6E - Administracja'!U110+'Tab. 6E - Administracja'!U128+'Tab. 6H - Kultura fiz. i turyst'!U52+'Tab. 6H - Kultura fiz. i turyst'!U61+'Tab. 6H - Kultura fiz. i turyst'!U68+'Tab. 6H - Kultura fiz. i turyst'!U75+'Tab. 6H - Kultura fiz. i turyst'!U84+'Tab. 6H - Kultura fiz. i turyst'!U93+'Tab. 6H - Kultura fiz. i turyst'!U102+'Tab. 6H - Kultura fiz. i turyst'!U120+'Tab. 6E - Administracja'!U141+'Tab. 6B Polit społ i rozwój prz'!U62+'Tab. 6H - Kultura fiz. i turyst'!U111+'Tab. 6H - Kultura fiz. i turyst'!U129+'Tab. 6H - Kultura fiz. i turyst'!U138+'Tab. 6B Polit społ i rozwój prz'!U230</f>
        <v>30574519</v>
      </c>
      <c r="T8" s="1944">
        <f>'Tab. 6A -Drogi'!V44+'Tab. 6B Polit społ i rozwój prz'!V194+'Tab. 6B Polit społ i rozwój prz'!V206+'Tab. 6B Polit społ i rozwój prz'!V218+'Tab. 6E - Administracja'!V86+'Tab. 6E - Administracja'!V110+'Tab. 6E - Administracja'!V128+'Tab. 6H - Kultura fiz. i turyst'!V52+'Tab. 6H - Kultura fiz. i turyst'!V61+'Tab. 6H - Kultura fiz. i turyst'!V68+'Tab. 6H - Kultura fiz. i turyst'!V75+'Tab. 6H - Kultura fiz. i turyst'!V84+'Tab. 6H - Kultura fiz. i turyst'!V93+'Tab. 6H - Kultura fiz. i turyst'!V102+'Tab. 6H - Kultura fiz. i turyst'!V120+'Tab. 6E - Administracja'!V141+'Tab. 6B Polit społ i rozwój prz'!V62+'Tab. 6H - Kultura fiz. i turyst'!V111+'Tab. 6H - Kultura fiz. i turyst'!V129+'Tab. 6H - Kultura fiz. i turyst'!V138+'Tab. 6B Polit społ i rozwój prz'!V230</f>
        <v>30240549</v>
      </c>
      <c r="U8" s="1944">
        <f>'Tab. 6A -Drogi'!W44+'Tab. 6B Polit społ i rozwój prz'!W194+'Tab. 6B Polit społ i rozwój prz'!W206+'Tab. 6B Polit społ i rozwój prz'!W218+'Tab. 6E - Administracja'!W86+'Tab. 6E - Administracja'!W110+'Tab. 6E - Administracja'!W128+'Tab. 6H - Kultura fiz. i turyst'!W52+'Tab. 6H - Kultura fiz. i turyst'!W61+'Tab. 6H - Kultura fiz. i turyst'!W68+'Tab. 6H - Kultura fiz. i turyst'!W75+'Tab. 6H - Kultura fiz. i turyst'!W84+'Tab. 6H - Kultura fiz. i turyst'!W93+'Tab. 6H - Kultura fiz. i turyst'!W102+'Tab. 6H - Kultura fiz. i turyst'!W120+'Tab. 6E - Administracja'!W141+'Tab. 6B Polit społ i rozwój prz'!W62+'Tab. 6H - Kultura fiz. i turyst'!W111+'Tab. 6H - Kultura fiz. i turyst'!W129+'Tab. 6H - Kultura fiz. i turyst'!W138+'Tab. 6B Polit społ i rozwój prz'!W230</f>
        <v>30342746</v>
      </c>
      <c r="V8" s="1944">
        <f>K8+M8+N8+O8+P8+Q8+R8+S8+T8+U8</f>
        <v>1091966772</v>
      </c>
      <c r="W8" s="1945" t="s">
        <v>77</v>
      </c>
      <c r="X8" s="1941"/>
      <c r="Y8" s="1942"/>
      <c r="Z8" s="1942"/>
    </row>
    <row r="9" spans="1:27" s="1943" customFormat="1" ht="24.75" hidden="1" customHeight="1" thickBot="1">
      <c r="A9" s="1946" t="s">
        <v>233</v>
      </c>
      <c r="B9" s="1947"/>
      <c r="C9" s="1939">
        <f>+'Tab. 6B Polit społ i rozwój prz'!E11-'Tab. 6B Polit społ i rozwój prz'!E176-'Tab. 6B Polit społ i rozwój prz'!E188-'Tab. 6B Polit społ i rozwój prz'!E200-'Tab. 6B Polit społ i rozwój prz'!E212+'Tab.6I - Planow. przestrz.'!E35+'Tab.6I - Planow. przestrz.'!E44</f>
        <v>0</v>
      </c>
      <c r="D9" s="1939">
        <f>+'Tab. 6B Polit społ i rozwój prz'!F11-'Tab. 6B Polit społ i rozwój prz'!F176-'Tab. 6B Polit społ i rozwój prz'!F188-'Tab. 6B Polit społ i rozwój prz'!F200-'Tab. 6B Polit społ i rozwój prz'!F212+'Tab.6I - Planow. przestrz.'!F35+'Tab.6I - Planow. przestrz.'!F44</f>
        <v>0</v>
      </c>
      <c r="E9" s="1939">
        <f>+'Tab. 6B Polit społ i rozwój prz'!G11-'Tab. 6B Polit społ i rozwój prz'!G176-'Tab. 6B Polit społ i rozwój prz'!G188-'Tab. 6B Polit społ i rozwój prz'!G200-'Tab. 6B Polit społ i rozwój prz'!G212+'Tab.6I - Planow. przestrz.'!G35+'Tab.6I - Planow. przestrz.'!G44</f>
        <v>0</v>
      </c>
      <c r="F9" s="1939">
        <f>+'Tab. 6B Polit społ i rozwój prz'!H11-'Tab. 6B Polit społ i rozwój prz'!H176-'Tab. 6B Polit społ i rozwój prz'!H188-'Tab. 6B Polit społ i rozwój prz'!H200-'Tab. 6B Polit społ i rozwój prz'!H212+'Tab.6I - Planow. przestrz.'!H35+'Tab.6I - Planow. przestrz.'!H44</f>
        <v>0</v>
      </c>
      <c r="G9" s="1939">
        <f>+'Tab. 6B Polit społ i rozwój prz'!I11-'Tab. 6B Polit społ i rozwój prz'!I176-'Tab. 6B Polit społ i rozwój prz'!I188-'Tab. 6B Polit społ i rozwój prz'!I200-'Tab. 6B Polit społ i rozwój prz'!I212+'Tab.6I - Planow. przestrz.'!I35+'Tab.6I - Planow. przestrz.'!I44</f>
        <v>0</v>
      </c>
      <c r="H9" s="1939">
        <f>+'Tab. 6B Polit społ i rozwój prz'!J11-'Tab. 6B Polit społ i rozwój prz'!J176-'Tab. 6B Polit społ i rozwój prz'!J188-'Tab. 6B Polit społ i rozwój prz'!J200-'Tab. 6B Polit społ i rozwój prz'!J212+'Tab.6I - Planow. przestrz.'!J35+'Tab.6I - Planow. przestrz.'!J44</f>
        <v>0</v>
      </c>
      <c r="I9" s="1939">
        <f>+'Tab. 6B Polit społ i rozwój prz'!K11-'Tab. 6B Polit społ i rozwój prz'!K176-'Tab. 6B Polit społ i rozwój prz'!K188-'Tab. 6B Polit społ i rozwój prz'!K200-'Tab. 6B Polit społ i rozwój prz'!K212+'Tab.6I - Planow. przestrz.'!K35+'Tab.6I - Planow. przestrz.'!K44</f>
        <v>0</v>
      </c>
      <c r="J9" s="1939">
        <f>+'Tab. 6B Polit społ i rozwój prz'!L11-'Tab. 6B Polit społ i rozwój prz'!L176-'Tab. 6B Polit społ i rozwój prz'!L188-'Tab. 6B Polit społ i rozwój prz'!L200-'Tab. 6B Polit społ i rozwój prz'!L212+'Tab.6I - Planow. przestrz.'!L35+'Tab.6I - Planow. przestrz.'!L44</f>
        <v>0</v>
      </c>
      <c r="K9" s="1939"/>
      <c r="L9" s="1939"/>
      <c r="M9" s="1939"/>
      <c r="N9" s="1939"/>
      <c r="O9" s="1939"/>
      <c r="P9" s="1939"/>
      <c r="Q9" s="1939"/>
      <c r="R9" s="1939"/>
      <c r="S9" s="1939"/>
      <c r="T9" s="1939"/>
      <c r="U9" s="1939"/>
      <c r="V9" s="1939"/>
      <c r="W9" s="1940">
        <f>N9+O9+P9+Q9+R9+S9+T9+U9</f>
        <v>0</v>
      </c>
      <c r="X9" s="1941"/>
      <c r="Y9" s="1942"/>
      <c r="Z9" s="1942"/>
      <c r="AA9" s="1941"/>
    </row>
    <row r="10" spans="1:27" s="1943" customFormat="1" ht="24.75" hidden="1" customHeight="1" thickBot="1">
      <c r="A10" s="3016" t="s">
        <v>234</v>
      </c>
      <c r="B10" s="3017"/>
      <c r="C10" s="1944">
        <f>+'Tab. 6B Polit społ i rozwój prz'!E18-'Tab. 6B Polit społ i rozwój prz'!E182-'Tab. 6B Polit społ i rozwój prz'!E194-'Tab. 6B Polit społ i rozwój prz'!E206+'Tab. 6H - Kultura fiz. i turyst'!E68-'Tab. 6B Polit społ i rozwój prz'!E218+'Tab.6I - Planow. przestrz.'!E40+'Tab.6I - Planow. przestrz.'!E49</f>
        <v>0</v>
      </c>
      <c r="D10" s="1944">
        <f>+'Tab. 6B Polit społ i rozwój prz'!F18-'Tab. 6B Polit społ i rozwój prz'!F182-'Tab. 6B Polit społ i rozwój prz'!F194-'Tab. 6B Polit społ i rozwój prz'!F206+'Tab. 6H - Kultura fiz. i turyst'!F68-'Tab. 6B Polit społ i rozwój prz'!F218+'Tab.6I - Planow. przestrz.'!F40+'Tab.6I - Planow. przestrz.'!F49</f>
        <v>0</v>
      </c>
      <c r="E10" s="1944">
        <f>+'Tab. 6B Polit społ i rozwój prz'!G18-'Tab. 6B Polit społ i rozwój prz'!G182-'Tab. 6B Polit społ i rozwój prz'!G194-'Tab. 6B Polit społ i rozwój prz'!G206+'Tab. 6H - Kultura fiz. i turyst'!G68-'Tab. 6B Polit społ i rozwój prz'!G218+'Tab.6I - Planow. przestrz.'!G40+'Tab.6I - Planow. przestrz.'!G49</f>
        <v>0</v>
      </c>
      <c r="F10" s="1944">
        <f>+'Tab. 6B Polit społ i rozwój prz'!H18-'Tab. 6B Polit społ i rozwój prz'!H182-'Tab. 6B Polit społ i rozwój prz'!H194-'Tab. 6B Polit społ i rozwój prz'!H206+'Tab. 6H - Kultura fiz. i turyst'!H68-'Tab. 6B Polit społ i rozwój prz'!H218+'Tab.6I - Planow. przestrz.'!H40+'Tab.6I - Planow. przestrz.'!H49</f>
        <v>0</v>
      </c>
      <c r="G10" s="1944">
        <f>+'Tab. 6B Polit społ i rozwój prz'!I18-'Tab. 6B Polit społ i rozwój prz'!I182-'Tab. 6B Polit społ i rozwój prz'!I194-'Tab. 6B Polit społ i rozwój prz'!I206+'Tab. 6H - Kultura fiz. i turyst'!I68-'Tab. 6B Polit społ i rozwój prz'!I218+'Tab.6I - Planow. przestrz.'!I40+'Tab.6I - Planow. przestrz.'!I49</f>
        <v>0</v>
      </c>
      <c r="H10" s="1944">
        <f>+'Tab. 6B Polit społ i rozwój prz'!J18-'Tab. 6B Polit społ i rozwój prz'!J182-'Tab. 6B Polit społ i rozwój prz'!J194-'Tab. 6B Polit społ i rozwój prz'!J206+'Tab. 6H - Kultura fiz. i turyst'!J68-'Tab. 6B Polit społ i rozwój prz'!J218+'Tab.6I - Planow. przestrz.'!J40+'Tab.6I - Planow. przestrz.'!J49</f>
        <v>0</v>
      </c>
      <c r="I10" s="1944">
        <f>+'Tab. 6B Polit społ i rozwój prz'!K18-'Tab. 6B Polit społ i rozwój prz'!K182-'Tab. 6B Polit społ i rozwój prz'!K194-'Tab. 6B Polit społ i rozwój prz'!K206+'Tab. 6H - Kultura fiz. i turyst'!K68-'Tab. 6B Polit społ i rozwój prz'!K218+'Tab.6I - Planow. przestrz.'!K40+'Tab.6I - Planow. przestrz.'!K49</f>
        <v>0</v>
      </c>
      <c r="J10" s="1944">
        <f>+'Tab. 6B Polit społ i rozwój prz'!L18-'Tab. 6B Polit społ i rozwój prz'!L182-'Tab. 6B Polit społ i rozwój prz'!L194-'Tab. 6B Polit społ i rozwój prz'!L206+'Tab. 6H - Kultura fiz. i turyst'!L68-'Tab. 6B Polit społ i rozwój prz'!L218+'Tab.6I - Planow. przestrz.'!L40+'Tab.6I - Planow. przestrz.'!L49</f>
        <v>0</v>
      </c>
      <c r="K10" s="1944"/>
      <c r="L10" s="1944"/>
      <c r="M10" s="1944"/>
      <c r="N10" s="1944"/>
      <c r="O10" s="1944"/>
      <c r="P10" s="1944"/>
      <c r="Q10" s="1944"/>
      <c r="R10" s="1944"/>
      <c r="S10" s="1944"/>
      <c r="T10" s="1944"/>
      <c r="U10" s="1944"/>
      <c r="V10" s="1944"/>
      <c r="W10" s="1945" t="s">
        <v>77</v>
      </c>
      <c r="X10" s="1941"/>
      <c r="Y10" s="1942"/>
      <c r="Z10" s="1942"/>
    </row>
    <row r="11" spans="1:27" s="1943" customFormat="1" ht="24.75" customHeight="1" thickBot="1">
      <c r="A11" s="3014" t="s">
        <v>235</v>
      </c>
      <c r="B11" s="3015"/>
      <c r="C11" s="1939">
        <f>+'Tab. 6A -Drogi'!E475+'Tab. 6G - Roln i ochrona środ.'!E138+'Tab. 6G - Roln i ochrona środ.'!E165</f>
        <v>0</v>
      </c>
      <c r="D11" s="1939">
        <f>+'Tab. 6A -Drogi'!F475+'Tab. 6G - Roln i ochrona środ.'!F138+'Tab. 6G - Roln i ochrona środ.'!F165</f>
        <v>0</v>
      </c>
      <c r="E11" s="1939">
        <f>+'Tab. 6A -Drogi'!G475+'Tab. 6G - Roln i ochrona środ.'!G138+'Tab. 6G - Roln i ochrona środ.'!G165</f>
        <v>0</v>
      </c>
      <c r="F11" s="1939">
        <f>+'Tab. 6A -Drogi'!H475+'Tab. 6G - Roln i ochrona środ.'!H138+'Tab. 6G - Roln i ochrona środ.'!H165</f>
        <v>0</v>
      </c>
      <c r="G11" s="1939">
        <f>+'Tab. 6A -Drogi'!I475+'Tab. 6G - Roln i ochrona środ.'!I138+'Tab. 6G - Roln i ochrona środ.'!I165</f>
        <v>0</v>
      </c>
      <c r="H11" s="1939">
        <f>+'Tab. 6A -Drogi'!J475+'Tab. 6G - Roln i ochrona środ.'!J138+'Tab. 6G - Roln i ochrona środ.'!J165</f>
        <v>0</v>
      </c>
      <c r="I11" s="1939">
        <f>+'Tab. 6A -Drogi'!K475+'Tab. 6G - Roln i ochrona środ.'!K138+'Tab. 6G - Roln i ochrona środ.'!K165</f>
        <v>0</v>
      </c>
      <c r="J11" s="1939">
        <f>+'Tab. 6A -Drogi'!L475+'Tab. 6G - Roln i ochrona środ.'!L138+'Tab. 6G - Roln i ochrona środ.'!L165</f>
        <v>0</v>
      </c>
      <c r="K11" s="1939">
        <f>+'Tab. 6A -Drogi'!M475+'Tab. 6G - Roln i ochrona środ.'!M138+'Tab. 6G - Roln i ochrona środ.'!M165</f>
        <v>0</v>
      </c>
      <c r="L11" s="1939">
        <f>+'Tab. 6A -Drogi'!N475+'Tab. 6G - Roln i ochrona środ.'!N138+'Tab. 6G - Roln i ochrona środ.'!N165</f>
        <v>0</v>
      </c>
      <c r="M11" s="1939">
        <f>+'Tab. 6A -Drogi'!O475+'Tab. 6G - Roln i ochrona środ.'!O165</f>
        <v>0</v>
      </c>
      <c r="N11" s="1939">
        <f>+'Tab. 6A -Drogi'!P475+'Tab. 6G - Roln i ochrona środ.'!P165</f>
        <v>0</v>
      </c>
      <c r="O11" s="1939">
        <f>+'Tab. 6A -Drogi'!Q475+'Tab. 6G - Roln i ochrona środ.'!Q165</f>
        <v>0</v>
      </c>
      <c r="P11" s="1939"/>
      <c r="Q11" s="1939"/>
      <c r="R11" s="1939"/>
      <c r="S11" s="1939"/>
      <c r="T11" s="1939"/>
      <c r="U11" s="1939"/>
      <c r="V11" s="1939">
        <f t="shared" ref="V11:V41" si="0">K11+M11+N11+O11+P11+Q11+R11+S11+T11+U11</f>
        <v>0</v>
      </c>
      <c r="W11" s="1940">
        <f>N11+O11+P11+Q11+R11+S11+T11+U11</f>
        <v>0</v>
      </c>
      <c r="X11" s="1941"/>
      <c r="Y11" s="1942"/>
      <c r="Z11" s="1942"/>
    </row>
    <row r="12" spans="1:27" s="1943" customFormat="1" ht="24.75" customHeight="1" thickBot="1">
      <c r="A12" s="3016" t="s">
        <v>236</v>
      </c>
      <c r="B12" s="3017"/>
      <c r="C12" s="1944">
        <f>+'Tab. 6A -Drogi'!E483+'Tab. 6G - Roln i ochrona środ.'!E144+'Tab. 6G - Roln i ochrona środ.'!E171</f>
        <v>0</v>
      </c>
      <c r="D12" s="1944">
        <f>+'Tab. 6A -Drogi'!F483+'Tab. 6G - Roln i ochrona środ.'!F144+'Tab. 6G - Roln i ochrona środ.'!F171</f>
        <v>0</v>
      </c>
      <c r="E12" s="1944">
        <f>+'Tab. 6A -Drogi'!G483+'Tab. 6G - Roln i ochrona środ.'!G144+'Tab. 6G - Roln i ochrona środ.'!G171</f>
        <v>0</v>
      </c>
      <c r="F12" s="1944">
        <f>+'Tab. 6A -Drogi'!H483+'Tab. 6G - Roln i ochrona środ.'!H144+'Tab. 6G - Roln i ochrona środ.'!H171</f>
        <v>0</v>
      </c>
      <c r="G12" s="1944">
        <f>+'Tab. 6A -Drogi'!I483+'Tab. 6G - Roln i ochrona środ.'!I144+'Tab. 6G - Roln i ochrona środ.'!I171</f>
        <v>0</v>
      </c>
      <c r="H12" s="1944">
        <f>+'Tab. 6A -Drogi'!J483+'Tab. 6G - Roln i ochrona środ.'!J144+'Tab. 6G - Roln i ochrona środ.'!J171</f>
        <v>0</v>
      </c>
      <c r="I12" s="1944">
        <f>+'Tab. 6A -Drogi'!K483+'Tab. 6G - Roln i ochrona środ.'!K144+'Tab. 6G - Roln i ochrona środ.'!K171</f>
        <v>0</v>
      </c>
      <c r="J12" s="1944">
        <f>+'Tab. 6A -Drogi'!L483+'Tab. 6G - Roln i ochrona środ.'!L144+'Tab. 6G - Roln i ochrona środ.'!L171</f>
        <v>0</v>
      </c>
      <c r="K12" s="1944">
        <f>+'Tab. 6A -Drogi'!M483+'Tab. 6G - Roln i ochrona środ.'!M144+'Tab. 6G - Roln i ochrona środ.'!M171</f>
        <v>0</v>
      </c>
      <c r="L12" s="1944">
        <f>+'Tab. 6A -Drogi'!N483+'Tab. 6G - Roln i ochrona środ.'!N144+'Tab. 6G - Roln i ochrona środ.'!N171</f>
        <v>0</v>
      </c>
      <c r="M12" s="1944">
        <f>+'Tab. 6A -Drogi'!O483+'Tab. 6G - Roln i ochrona środ.'!O171</f>
        <v>0</v>
      </c>
      <c r="N12" s="1944">
        <f>+'Tab. 6A -Drogi'!P483+'Tab. 6G - Roln i ochrona środ.'!P171</f>
        <v>0</v>
      </c>
      <c r="O12" s="1944">
        <f>+'Tab. 6A -Drogi'!Q483+'Tab. 6G - Roln i ochrona środ.'!Q171</f>
        <v>0</v>
      </c>
      <c r="P12" s="1944">
        <f>+'Tab. 6A -Drogi'!R483+'Tab. 6G - Roln i ochrona środ.'!R171</f>
        <v>0</v>
      </c>
      <c r="Q12" s="1944">
        <f>+'Tab. 6A -Drogi'!S483+'Tab. 6G - Roln i ochrona środ.'!S171</f>
        <v>0</v>
      </c>
      <c r="R12" s="1944">
        <f>+'Tab. 6A -Drogi'!T483+'Tab. 6G - Roln i ochrona środ.'!T171</f>
        <v>0</v>
      </c>
      <c r="S12" s="1944">
        <f>+'Tab. 6A -Drogi'!U483+'Tab. 6G - Roln i ochrona środ.'!U171</f>
        <v>0</v>
      </c>
      <c r="T12" s="1944">
        <f>+'Tab. 6A -Drogi'!V483+'Tab. 6G - Roln i ochrona środ.'!V171</f>
        <v>0</v>
      </c>
      <c r="U12" s="1944">
        <f>+'Tab. 6A -Drogi'!W483+'Tab. 6G - Roln i ochrona środ.'!W171</f>
        <v>0</v>
      </c>
      <c r="V12" s="1944">
        <f t="shared" si="0"/>
        <v>0</v>
      </c>
      <c r="W12" s="1945" t="s">
        <v>77</v>
      </c>
      <c r="X12" s="1941"/>
      <c r="Y12" s="1942"/>
      <c r="Z12" s="1942"/>
    </row>
    <row r="13" spans="1:27" s="1943" customFormat="1" ht="24.75" customHeight="1" thickBot="1">
      <c r="A13" s="3014" t="s">
        <v>237</v>
      </c>
      <c r="B13" s="3015"/>
      <c r="C13" s="1939">
        <f>+'Tab. 6G - Roln i ochrona środ.'!E91+'Tab. 6G - Roln i ochrona środ.'!E104+'Tab. 6G - Roln i ochrona środ.'!E119</f>
        <v>0</v>
      </c>
      <c r="D13" s="1939">
        <f>+'Tab. 6G - Roln i ochrona środ.'!F91+'Tab. 6G - Roln i ochrona środ.'!F104+'Tab. 6G - Roln i ochrona środ.'!F119</f>
        <v>0</v>
      </c>
      <c r="E13" s="1939">
        <f>+'Tab. 6G - Roln i ochrona środ.'!G91+'Tab. 6G - Roln i ochrona środ.'!G104+'Tab. 6G - Roln i ochrona środ.'!G119</f>
        <v>0</v>
      </c>
      <c r="F13" s="1939">
        <f>+'Tab. 6G - Roln i ochrona środ.'!H91+'Tab. 6G - Roln i ochrona środ.'!H104+'Tab. 6G - Roln i ochrona środ.'!H119</f>
        <v>0</v>
      </c>
      <c r="G13" s="1939">
        <f>+'Tab. 6G - Roln i ochrona środ.'!I91+'Tab. 6G - Roln i ochrona środ.'!I104+'Tab. 6G - Roln i ochrona środ.'!I119</f>
        <v>0</v>
      </c>
      <c r="H13" s="1939">
        <f>+'Tab. 6G - Roln i ochrona środ.'!J91+'Tab. 6G - Roln i ochrona środ.'!J104+'Tab. 6G - Roln i ochrona środ.'!J119</f>
        <v>0</v>
      </c>
      <c r="I13" s="1939">
        <f>+'Tab. 6G - Roln i ochrona środ.'!K91+'Tab. 6G - Roln i ochrona środ.'!K104+'Tab. 6G - Roln i ochrona środ.'!K119</f>
        <v>0</v>
      </c>
      <c r="J13" s="1939">
        <f>+'Tab. 6G - Roln i ochrona środ.'!L91+'Tab. 6G - Roln i ochrona środ.'!L104+'Tab. 6G - Roln i ochrona środ.'!L119</f>
        <v>0</v>
      </c>
      <c r="K13" s="1939">
        <f>'Tab. 6G - Roln i ochrona środ.'!M91+'Tab. 6G - Roln i ochrona środ.'!M104+'Tab. 6G - Roln i ochrona środ.'!M119+'Tab. 6G - Roln i ochrona środ.'!M138</f>
        <v>0</v>
      </c>
      <c r="L13" s="1939">
        <f>'Tab. 6G - Roln i ochrona środ.'!N91+'Tab. 6G - Roln i ochrona środ.'!N104+'Tab. 6G - Roln i ochrona środ.'!N119+'Tab. 6G - Roln i ochrona środ.'!N138</f>
        <v>0</v>
      </c>
      <c r="M13" s="1939">
        <f>'Tab. 6G - Roln i ochrona środ.'!O91+'Tab. 6G - Roln i ochrona środ.'!O104+'Tab. 6G - Roln i ochrona środ.'!O119+'Tab. 6G - Roln i ochrona środ.'!O138</f>
        <v>2071007</v>
      </c>
      <c r="N13" s="1939">
        <f>'Tab. 6G - Roln i ochrona środ.'!P91+'Tab. 6G - Roln i ochrona środ.'!P104+'Tab. 6G - Roln i ochrona środ.'!P119+'Tab. 6G - Roln i ochrona środ.'!P138</f>
        <v>5500000</v>
      </c>
      <c r="O13" s="1939">
        <f>'Tab. 6G - Roln i ochrona środ.'!Q91+'Tab. 6G - Roln i ochrona środ.'!Q104+'Tab. 6G - Roln i ochrona środ.'!Q119+'Tab. 6G - Roln i ochrona środ.'!Q138</f>
        <v>3900000</v>
      </c>
      <c r="P13" s="1939">
        <f>'Tab. 6G - Roln i ochrona środ.'!R91+'Tab. 6G - Roln i ochrona środ.'!R104+'Tab. 6G - Roln i ochrona środ.'!R119+'Tab. 6G - Roln i ochrona środ.'!R138</f>
        <v>1663610</v>
      </c>
      <c r="Q13" s="1939">
        <f>'Tab. 6G - Roln i ochrona środ.'!S91+'Tab. 6G - Roln i ochrona środ.'!S104+'Tab. 6G - Roln i ochrona środ.'!S119+'Tab. 6G - Roln i ochrona środ.'!S138</f>
        <v>2500000</v>
      </c>
      <c r="R13" s="1939">
        <f>'Tab. 6G - Roln i ochrona środ.'!T91+'Tab. 6G - Roln i ochrona środ.'!T104+'Tab. 6G - Roln i ochrona środ.'!T119+'Tab. 6G - Roln i ochrona środ.'!T138</f>
        <v>2720411</v>
      </c>
      <c r="S13" s="1939">
        <f>'Tab. 6G - Roln i ochrona środ.'!U91+'Tab. 6G - Roln i ochrona środ.'!U104+'Tab. 6G - Roln i ochrona środ.'!U119+'Tab. 6G - Roln i ochrona środ.'!U138</f>
        <v>2720411</v>
      </c>
      <c r="T13" s="1939">
        <f>'Tab. 6G - Roln i ochrona środ.'!V91+'Tab. 6G - Roln i ochrona środ.'!V104+'Tab. 6G - Roln i ochrona środ.'!V119+'Tab. 6G - Roln i ochrona środ.'!V138</f>
        <v>2720411</v>
      </c>
      <c r="U13" s="1939">
        <f>'Tab. 6G - Roln i ochrona środ.'!W91+'Tab. 6G - Roln i ochrona środ.'!W104+'Tab. 6G - Roln i ochrona środ.'!W119+'Tab. 6G - Roln i ochrona środ.'!W138</f>
        <v>1360206</v>
      </c>
      <c r="V13" s="1939">
        <f t="shared" si="0"/>
        <v>25156056</v>
      </c>
      <c r="W13" s="1940">
        <f>N13+O13+P13+Q13+R13+S13+T13+U13</f>
        <v>23085049</v>
      </c>
      <c r="X13" s="1941"/>
      <c r="Y13" s="1942"/>
      <c r="Z13" s="1942"/>
    </row>
    <row r="14" spans="1:27" s="1943" customFormat="1" ht="24.75" customHeight="1" thickBot="1">
      <c r="A14" s="3016" t="s">
        <v>238</v>
      </c>
      <c r="B14" s="3017"/>
      <c r="C14" s="1944">
        <f>+'Tab. 6G - Roln i ochrona środ.'!E97+'Tab. 6G - Roln i ochrona środ.'!E111+'Tab. 6G - Roln i ochrona środ.'!E125</f>
        <v>0</v>
      </c>
      <c r="D14" s="1944">
        <f>+'Tab. 6G - Roln i ochrona środ.'!F97+'Tab. 6G - Roln i ochrona środ.'!F111+'Tab. 6G - Roln i ochrona środ.'!F125</f>
        <v>0</v>
      </c>
      <c r="E14" s="1944">
        <f>+'Tab. 6G - Roln i ochrona środ.'!G97+'Tab. 6G - Roln i ochrona środ.'!G111+'Tab. 6G - Roln i ochrona środ.'!G125</f>
        <v>0</v>
      </c>
      <c r="F14" s="1944">
        <f>+'Tab. 6G - Roln i ochrona środ.'!H97+'Tab. 6G - Roln i ochrona środ.'!H111+'Tab. 6G - Roln i ochrona środ.'!H125</f>
        <v>0</v>
      </c>
      <c r="G14" s="1944">
        <f>+'Tab. 6G - Roln i ochrona środ.'!I97+'Tab. 6G - Roln i ochrona środ.'!I111+'Tab. 6G - Roln i ochrona środ.'!I125</f>
        <v>0</v>
      </c>
      <c r="H14" s="1944">
        <f>+'Tab. 6G - Roln i ochrona środ.'!J97+'Tab. 6G - Roln i ochrona środ.'!J111+'Tab. 6G - Roln i ochrona środ.'!J125</f>
        <v>0</v>
      </c>
      <c r="I14" s="1944">
        <f>+'Tab. 6G - Roln i ochrona środ.'!K97+'Tab. 6G - Roln i ochrona środ.'!K111+'Tab. 6G - Roln i ochrona środ.'!K125</f>
        <v>0</v>
      </c>
      <c r="J14" s="1944">
        <f>+'Tab. 6G - Roln i ochrona środ.'!L97+'Tab. 6G - Roln i ochrona środ.'!L111+'Tab. 6G - Roln i ochrona środ.'!L125</f>
        <v>0</v>
      </c>
      <c r="K14" s="1944">
        <f>+'Tab. 6G - Roln i ochrona środ.'!M97+'Tab. 6G - Roln i ochrona środ.'!M111+'Tab. 6G - Roln i ochrona środ.'!M125+'Tab. 6G - Roln i ochrona środ.'!M144</f>
        <v>0</v>
      </c>
      <c r="L14" s="1944">
        <f>+'Tab. 6G - Roln i ochrona środ.'!N97+'Tab. 6G - Roln i ochrona środ.'!N111+'Tab. 6G - Roln i ochrona środ.'!N125+'Tab. 6G - Roln i ochrona środ.'!N144</f>
        <v>0</v>
      </c>
      <c r="M14" s="1944">
        <f>+'Tab. 6G - Roln i ochrona środ.'!O97+'Tab. 6G - Roln i ochrona środ.'!O111+'Tab. 6G - Roln i ochrona środ.'!O125+'Tab. 6G - Roln i ochrona środ.'!O144</f>
        <v>2071007</v>
      </c>
      <c r="N14" s="1944">
        <f>+'Tab. 6G - Roln i ochrona środ.'!P97+'Tab. 6G - Roln i ochrona środ.'!P111+'Tab. 6G - Roln i ochrona środ.'!P125+'Tab. 6G - Roln i ochrona środ.'!P144</f>
        <v>5500000</v>
      </c>
      <c r="O14" s="1944">
        <f>+'Tab. 6G - Roln i ochrona środ.'!Q97+'Tab. 6G - Roln i ochrona środ.'!Q111+'Tab. 6G - Roln i ochrona środ.'!Q125+'Tab. 6G - Roln i ochrona środ.'!Q144</f>
        <v>3900000</v>
      </c>
      <c r="P14" s="1944">
        <f>+'Tab. 6G - Roln i ochrona środ.'!R97+'Tab. 6G - Roln i ochrona środ.'!R111+'Tab. 6G - Roln i ochrona środ.'!R125+'Tab. 6G - Roln i ochrona środ.'!R144</f>
        <v>1663610</v>
      </c>
      <c r="Q14" s="1944">
        <f>+'Tab. 6G - Roln i ochrona środ.'!S97+'Tab. 6G - Roln i ochrona środ.'!S111+'Tab. 6G - Roln i ochrona środ.'!S125+'Tab. 6G - Roln i ochrona środ.'!S144</f>
        <v>2500000</v>
      </c>
      <c r="R14" s="1944">
        <f>+'Tab. 6G - Roln i ochrona środ.'!T97+'Tab. 6G - Roln i ochrona środ.'!T111+'Tab. 6G - Roln i ochrona środ.'!T125+'Tab. 6G - Roln i ochrona środ.'!T144</f>
        <v>2720411</v>
      </c>
      <c r="S14" s="1944">
        <f>+'Tab. 6G - Roln i ochrona środ.'!U97+'Tab. 6G - Roln i ochrona środ.'!U111+'Tab. 6G - Roln i ochrona środ.'!U125+'Tab. 6G - Roln i ochrona środ.'!U144</f>
        <v>2720411</v>
      </c>
      <c r="T14" s="1944">
        <f>+'Tab. 6G - Roln i ochrona środ.'!V97+'Tab. 6G - Roln i ochrona środ.'!V111+'Tab. 6G - Roln i ochrona środ.'!V125+'Tab. 6G - Roln i ochrona środ.'!V144</f>
        <v>2720411</v>
      </c>
      <c r="U14" s="1944">
        <f>+'Tab. 6G - Roln i ochrona środ.'!W97+'Tab. 6G - Roln i ochrona środ.'!W111+'Tab. 6G - Roln i ochrona środ.'!W125+'Tab. 6G - Roln i ochrona środ.'!W144</f>
        <v>1360206</v>
      </c>
      <c r="V14" s="1944">
        <f t="shared" si="0"/>
        <v>25156056</v>
      </c>
      <c r="W14" s="1945" t="s">
        <v>77</v>
      </c>
      <c r="X14" s="1941"/>
      <c r="Y14" s="1942"/>
      <c r="Z14" s="1942"/>
    </row>
    <row r="15" spans="1:27" s="1943" customFormat="1" ht="24.75" hidden="1" customHeight="1" thickBot="1">
      <c r="A15" s="1946" t="s">
        <v>239</v>
      </c>
      <c r="B15" s="1947"/>
      <c r="C15" s="1939">
        <f>+'Tab. 6G - Roln i ochrona środ.'!E35+'Tab. 6G - Roln i ochrona środ.'!E54</f>
        <v>0</v>
      </c>
      <c r="D15" s="1939">
        <f>+'Tab. 6G - Roln i ochrona środ.'!F35+'Tab. 6G - Roln i ochrona środ.'!F54</f>
        <v>0</v>
      </c>
      <c r="E15" s="1939">
        <f>+'Tab. 6G - Roln i ochrona środ.'!G35+'Tab. 6G - Roln i ochrona środ.'!G54</f>
        <v>0</v>
      </c>
      <c r="F15" s="1939">
        <f>+'Tab. 6G - Roln i ochrona środ.'!H35+'Tab. 6G - Roln i ochrona środ.'!H54</f>
        <v>0</v>
      </c>
      <c r="G15" s="1939">
        <f>+'Tab. 6G - Roln i ochrona środ.'!I35+'Tab. 6G - Roln i ochrona środ.'!I54</f>
        <v>0</v>
      </c>
      <c r="H15" s="1939">
        <f>+'Tab. 6G - Roln i ochrona środ.'!J35+'Tab. 6G - Roln i ochrona środ.'!J54</f>
        <v>0</v>
      </c>
      <c r="I15" s="1939">
        <f>+'Tab. 6G - Roln i ochrona środ.'!K35+'Tab. 6G - Roln i ochrona środ.'!K54</f>
        <v>0</v>
      </c>
      <c r="J15" s="1939">
        <f>+'Tab. 6G - Roln i ochrona środ.'!L35+'Tab. 6G - Roln i ochrona środ.'!L54</f>
        <v>0</v>
      </c>
      <c r="K15" s="1939">
        <f>+'Tab. 6G - Roln i ochrona środ.'!M35+'Tab. 6G - Roln i ochrona środ.'!M54</f>
        <v>0</v>
      </c>
      <c r="L15" s="1939">
        <f>+'Tab. 6G - Roln i ochrona środ.'!N35+'Tab. 6G - Roln i ochrona środ.'!N54</f>
        <v>0</v>
      </c>
      <c r="M15" s="1939">
        <f>+'Tab. 6G - Roln i ochrona środ.'!O35+'Tab. 6G - Roln i ochrona środ.'!O54</f>
        <v>0</v>
      </c>
      <c r="N15" s="1939">
        <f>+'Tab. 6G - Roln i ochrona środ.'!P35+'Tab. 6G - Roln i ochrona środ.'!P54</f>
        <v>0</v>
      </c>
      <c r="O15" s="1939">
        <f>+'Tab. 6G - Roln i ochrona środ.'!Q35+'Tab. 6G - Roln i ochrona środ.'!Q54</f>
        <v>0</v>
      </c>
      <c r="P15" s="1939">
        <f>+'Tab. 6G - Roln i ochrona środ.'!R35+'Tab. 6G - Roln i ochrona środ.'!R54</f>
        <v>0</v>
      </c>
      <c r="Q15" s="1939">
        <f>+'Tab. 6G - Roln i ochrona środ.'!S35+'Tab. 6G - Roln i ochrona środ.'!S54</f>
        <v>0</v>
      </c>
      <c r="R15" s="1939">
        <f>+'Tab. 6G - Roln i ochrona środ.'!T35+'Tab. 6G - Roln i ochrona środ.'!T54</f>
        <v>0</v>
      </c>
      <c r="S15" s="1939">
        <f>+'Tab. 6G - Roln i ochrona środ.'!U35+'Tab. 6G - Roln i ochrona środ.'!U54</f>
        <v>0</v>
      </c>
      <c r="T15" s="1939">
        <f>+'Tab. 6G - Roln i ochrona środ.'!V35+'Tab. 6G - Roln i ochrona środ.'!V54</f>
        <v>0</v>
      </c>
      <c r="U15" s="1939">
        <f>+'Tab. 6G - Roln i ochrona środ.'!W35+'Tab. 6G - Roln i ochrona środ.'!W54</f>
        <v>0</v>
      </c>
      <c r="V15" s="1939">
        <f t="shared" si="0"/>
        <v>0</v>
      </c>
      <c r="W15" s="1940">
        <f>N15+O15+P15+Q15+R15+S15+T15+U15</f>
        <v>0</v>
      </c>
      <c r="X15" s="1941"/>
      <c r="Y15" s="1942"/>
      <c r="Z15" s="1942"/>
    </row>
    <row r="16" spans="1:27" s="1943" customFormat="1" ht="24.75" hidden="1" customHeight="1" thickBot="1">
      <c r="A16" s="3016" t="s">
        <v>240</v>
      </c>
      <c r="B16" s="3017"/>
      <c r="C16" s="1944">
        <f>+'Tab. 6G - Roln i ochrona środ.'!E44+'Tab. 6G - Roln i ochrona środ.'!E61</f>
        <v>0</v>
      </c>
      <c r="D16" s="1944">
        <f>+'Tab. 6G - Roln i ochrona środ.'!F44+'Tab. 6G - Roln i ochrona środ.'!F61</f>
        <v>0</v>
      </c>
      <c r="E16" s="1944">
        <f>+'Tab. 6G - Roln i ochrona środ.'!G44+'Tab. 6G - Roln i ochrona środ.'!G61</f>
        <v>0</v>
      </c>
      <c r="F16" s="1944">
        <f>+'Tab. 6G - Roln i ochrona środ.'!H44+'Tab. 6G - Roln i ochrona środ.'!H61</f>
        <v>0</v>
      </c>
      <c r="G16" s="1944">
        <f>+'Tab. 6G - Roln i ochrona środ.'!I44+'Tab. 6G - Roln i ochrona środ.'!I61</f>
        <v>0</v>
      </c>
      <c r="H16" s="1944">
        <f>+'Tab. 6G - Roln i ochrona środ.'!J44+'Tab. 6G - Roln i ochrona środ.'!J61</f>
        <v>0</v>
      </c>
      <c r="I16" s="1944">
        <f>+'Tab. 6G - Roln i ochrona środ.'!K44+'Tab. 6G - Roln i ochrona środ.'!K61</f>
        <v>0</v>
      </c>
      <c r="J16" s="1944">
        <f>+'Tab. 6G - Roln i ochrona środ.'!L44+'Tab. 6G - Roln i ochrona środ.'!L61</f>
        <v>0</v>
      </c>
      <c r="K16" s="1944">
        <f>+'Tab. 6G - Roln i ochrona środ.'!M44+'Tab. 6G - Roln i ochrona środ.'!M61</f>
        <v>0</v>
      </c>
      <c r="L16" s="1944">
        <f>+'Tab. 6G - Roln i ochrona środ.'!N44+'Tab. 6G - Roln i ochrona środ.'!N61</f>
        <v>0</v>
      </c>
      <c r="M16" s="1944">
        <f>+'Tab. 6G - Roln i ochrona środ.'!O44+'Tab. 6G - Roln i ochrona środ.'!O61</f>
        <v>0</v>
      </c>
      <c r="N16" s="1944">
        <f>+'Tab. 6G - Roln i ochrona środ.'!P44+'Tab. 6G - Roln i ochrona środ.'!P61</f>
        <v>0</v>
      </c>
      <c r="O16" s="1944">
        <f>+'Tab. 6G - Roln i ochrona środ.'!Q44+'Tab. 6G - Roln i ochrona środ.'!Q61</f>
        <v>0</v>
      </c>
      <c r="P16" s="1944">
        <f>+'Tab. 6G - Roln i ochrona środ.'!R44+'Tab. 6G - Roln i ochrona środ.'!R61</f>
        <v>0</v>
      </c>
      <c r="Q16" s="1944">
        <f>+'Tab. 6G - Roln i ochrona środ.'!S44+'Tab. 6G - Roln i ochrona środ.'!S61</f>
        <v>0</v>
      </c>
      <c r="R16" s="1944">
        <f>+'Tab. 6G - Roln i ochrona środ.'!T44+'Tab. 6G - Roln i ochrona środ.'!T61</f>
        <v>0</v>
      </c>
      <c r="S16" s="1944">
        <f>+'Tab. 6G - Roln i ochrona środ.'!U44+'Tab. 6G - Roln i ochrona środ.'!U61</f>
        <v>0</v>
      </c>
      <c r="T16" s="1944">
        <f>+'Tab. 6G - Roln i ochrona środ.'!V44+'Tab. 6G - Roln i ochrona środ.'!V61</f>
        <v>0</v>
      </c>
      <c r="U16" s="1944">
        <f>+'Tab. 6G - Roln i ochrona środ.'!W44+'Tab. 6G - Roln i ochrona środ.'!W61</f>
        <v>0</v>
      </c>
      <c r="V16" s="1944">
        <f t="shared" si="0"/>
        <v>0</v>
      </c>
      <c r="W16" s="1945" t="s">
        <v>77</v>
      </c>
      <c r="X16" s="1941"/>
      <c r="Y16" s="1942"/>
      <c r="Z16" s="1942"/>
    </row>
    <row r="17" spans="1:26" s="1943" customFormat="1" ht="24.75" customHeight="1" thickBot="1">
      <c r="A17" s="3064" t="s">
        <v>241</v>
      </c>
      <c r="B17" s="3065"/>
      <c r="C17" s="1939">
        <f>+'Tab. 6G - Roln i ochrona środ.'!E69+'Tab. 6G - Roln i ochrona środ.'!E80</f>
        <v>0</v>
      </c>
      <c r="D17" s="1939">
        <f>+'Tab. 6G - Roln i ochrona środ.'!F69+'Tab. 6G - Roln i ochrona środ.'!F80</f>
        <v>0</v>
      </c>
      <c r="E17" s="1939">
        <f>+'Tab. 6G - Roln i ochrona środ.'!G69+'Tab. 6G - Roln i ochrona środ.'!G80</f>
        <v>0</v>
      </c>
      <c r="F17" s="1939">
        <f>+'Tab. 6G - Roln i ochrona środ.'!H69+'Tab. 6G - Roln i ochrona środ.'!H80</f>
        <v>0</v>
      </c>
      <c r="G17" s="1939">
        <f>+'Tab. 6G - Roln i ochrona środ.'!I69+'Tab. 6G - Roln i ochrona środ.'!I80</f>
        <v>0</v>
      </c>
      <c r="H17" s="1939">
        <f>+'Tab. 6G - Roln i ochrona środ.'!J69+'Tab. 6G - Roln i ochrona środ.'!J80</f>
        <v>629249</v>
      </c>
      <c r="I17" s="1939">
        <f>+'Tab. 6G - Roln i ochrona środ.'!K69+'Tab. 6G - Roln i ochrona środ.'!K80</f>
        <v>5990094</v>
      </c>
      <c r="J17" s="1939">
        <f>+'Tab. 6G - Roln i ochrona środ.'!L69+'Tab. 6G - Roln i ochrona środ.'!L80</f>
        <v>4311439</v>
      </c>
      <c r="K17" s="1939">
        <f>+'Tab. 6G - Roln i ochrona środ.'!M69+'Tab. 6G - Roln i ochrona środ.'!M80</f>
        <v>14035549</v>
      </c>
      <c r="L17" s="1939">
        <f>+'Tab. 6G - Roln i ochrona środ.'!N69+'Tab. 6G - Roln i ochrona środ.'!N80</f>
        <v>3104767</v>
      </c>
      <c r="M17" s="1939">
        <f>+'Tab. 6G - Roln i ochrona środ.'!O69+'Tab. 6G - Roln i ochrona środ.'!O80</f>
        <v>4958231</v>
      </c>
      <c r="N17" s="1939">
        <f>+'Tab. 6G - Roln i ochrona środ.'!P69+'Tab. 6G - Roln i ochrona środ.'!P80</f>
        <v>5368088</v>
      </c>
      <c r="O17" s="1939">
        <f>+'Tab. 6G - Roln i ochrona środ.'!Q69+'Tab. 6G - Roln i ochrona środ.'!Q80</f>
        <v>6133675</v>
      </c>
      <c r="P17" s="1939">
        <f>+'Tab. 6G - Roln i ochrona środ.'!R69+'Tab. 6G - Roln i ochrona środ.'!R80</f>
        <v>3219061</v>
      </c>
      <c r="Q17" s="1939">
        <f>+'Tab. 6G - Roln i ochrona środ.'!S69+'Tab. 6G - Roln i ochrona środ.'!S80</f>
        <v>1229040</v>
      </c>
      <c r="R17" s="1939">
        <f>+'Tab. 6G - Roln i ochrona środ.'!T69+'Tab. 6G - Roln i ochrona środ.'!T80</f>
        <v>0</v>
      </c>
      <c r="S17" s="1939">
        <f>+'Tab. 6G - Roln i ochrona środ.'!U69+'Tab. 6G - Roln i ochrona środ.'!U80</f>
        <v>0</v>
      </c>
      <c r="T17" s="1939">
        <f>+'Tab. 6G - Roln i ochrona środ.'!V69+'Tab. 6G - Roln i ochrona środ.'!V80</f>
        <v>0</v>
      </c>
      <c r="U17" s="1939">
        <f>+'Tab. 6G - Roln i ochrona środ.'!W69+'Tab. 6G - Roln i ochrona środ.'!W80</f>
        <v>0</v>
      </c>
      <c r="V17" s="1939">
        <f t="shared" si="0"/>
        <v>34943644</v>
      </c>
      <c r="W17" s="1940">
        <f>N17+O17+P17+Q17+R17+S17+T17+U17</f>
        <v>15949864</v>
      </c>
      <c r="X17" s="1941"/>
      <c r="Y17" s="1942"/>
      <c r="Z17" s="1942"/>
    </row>
    <row r="18" spans="1:26" s="1943" customFormat="1" ht="24.75" customHeight="1" thickBot="1">
      <c r="A18" s="3016" t="s">
        <v>242</v>
      </c>
      <c r="B18" s="3017"/>
      <c r="C18" s="1944">
        <f>+'Tab. 6G - Roln i ochrona środ.'!E74+'Tab. 6G - Roln i ochrona środ.'!E85</f>
        <v>0</v>
      </c>
      <c r="D18" s="1944">
        <f>+'Tab. 6G - Roln i ochrona środ.'!F74+'Tab. 6G - Roln i ochrona środ.'!F85</f>
        <v>0</v>
      </c>
      <c r="E18" s="1944">
        <f>+'Tab. 6G - Roln i ochrona środ.'!G74+'Tab. 6G - Roln i ochrona środ.'!G85</f>
        <v>0</v>
      </c>
      <c r="F18" s="1944">
        <f>+'Tab. 6G - Roln i ochrona środ.'!H74+'Tab. 6G - Roln i ochrona środ.'!H85</f>
        <v>0</v>
      </c>
      <c r="G18" s="1944">
        <f>+'Tab. 6G - Roln i ochrona środ.'!I74+'Tab. 6G - Roln i ochrona środ.'!I85</f>
        <v>0</v>
      </c>
      <c r="H18" s="1944">
        <f>+'Tab. 6G - Roln i ochrona środ.'!J74+'Tab. 6G - Roln i ochrona środ.'!J85</f>
        <v>3544011</v>
      </c>
      <c r="I18" s="1944">
        <f>+'Tab. 6G - Roln i ochrona środ.'!K74+'Tab. 6G - Roln i ochrona środ.'!K85</f>
        <v>8207133</v>
      </c>
      <c r="J18" s="1944">
        <f>+'Tab. 6G - Roln i ochrona środ.'!L74+'Tab. 6G - Roln i ochrona środ.'!L85</f>
        <v>6670133</v>
      </c>
      <c r="K18" s="1944">
        <f>+'Tab. 6G - Roln i ochrona środ.'!M74+'Tab. 6G - Roln i ochrona środ.'!M85</f>
        <v>18421277</v>
      </c>
      <c r="L18" s="1944">
        <f>+'Tab. 6G - Roln i ochrona środ.'!N74+'Tab. 6G - Roln i ochrona środ.'!N85</f>
        <v>0</v>
      </c>
      <c r="M18" s="1944">
        <f>+'Tab. 6G - Roln i ochrona środ.'!O74+'Tab. 6G - Roln i ochrona środ.'!O85</f>
        <v>303250</v>
      </c>
      <c r="N18" s="1944">
        <f>+'Tab. 6G - Roln i ochrona środ.'!P74+'Tab. 6G - Roln i ochrona środ.'!P85</f>
        <v>6735102</v>
      </c>
      <c r="O18" s="1944">
        <f>+'Tab. 6G - Roln i ochrona środ.'!Q74+'Tab. 6G - Roln i ochrona środ.'!Q85</f>
        <v>4500484</v>
      </c>
      <c r="P18" s="1944">
        <f>+'Tab. 6G - Roln i ochrona środ.'!R74+'Tab. 6G - Roln i ochrona środ.'!R85</f>
        <v>0</v>
      </c>
      <c r="Q18" s="1944">
        <f>+'Tab. 6G - Roln i ochrona środ.'!S74+'Tab. 6G - Roln i ochrona środ.'!S85</f>
        <v>4983531</v>
      </c>
      <c r="R18" s="1944">
        <f>+'Tab. 6G - Roln i ochrona środ.'!T74+'Tab. 6G - Roln i ochrona środ.'!T85</f>
        <v>0</v>
      </c>
      <c r="S18" s="1944">
        <f>+'Tab. 6G - Roln i ochrona środ.'!U74+'Tab. 6G - Roln i ochrona środ.'!U85</f>
        <v>0</v>
      </c>
      <c r="T18" s="1944">
        <f>+'Tab. 6G - Roln i ochrona środ.'!V74+'Tab. 6G - Roln i ochrona środ.'!V85</f>
        <v>0</v>
      </c>
      <c r="U18" s="1944">
        <f>+'Tab. 6G - Roln i ochrona środ.'!W74+'Tab. 6G - Roln i ochrona środ.'!W85</f>
        <v>0</v>
      </c>
      <c r="V18" s="1944">
        <f t="shared" si="0"/>
        <v>34943644</v>
      </c>
      <c r="W18" s="1945" t="s">
        <v>77</v>
      </c>
      <c r="X18" s="1941"/>
      <c r="Y18" s="1942"/>
      <c r="Z18" s="1942"/>
    </row>
    <row r="19" spans="1:26" s="1943" customFormat="1" ht="24.75" customHeight="1" thickBot="1">
      <c r="A19" s="3056" t="s">
        <v>243</v>
      </c>
      <c r="B19" s="3057"/>
      <c r="C19" s="1939">
        <f>+'Tab. 6E - Administracja'!E28+'Tab. 6E - Administracja'!E37</f>
        <v>0</v>
      </c>
      <c r="D19" s="1939">
        <f>+'Tab. 6E - Administracja'!F28+'Tab. 6E - Administracja'!F37</f>
        <v>0</v>
      </c>
      <c r="E19" s="1939">
        <f>+'Tab. 6E - Administracja'!G28+'Tab. 6E - Administracja'!G37</f>
        <v>0</v>
      </c>
      <c r="F19" s="1939">
        <f>+'Tab. 6E - Administracja'!H28+'Tab. 6E - Administracja'!H37</f>
        <v>0</v>
      </c>
      <c r="G19" s="1939">
        <f>+'Tab. 6E - Administracja'!I28+'Tab. 6E - Administracja'!I37</f>
        <v>0</v>
      </c>
      <c r="H19" s="1939">
        <f>+'Tab. 6E - Administracja'!J28+'Tab. 6E - Administracja'!J37</f>
        <v>0</v>
      </c>
      <c r="I19" s="1939">
        <f>+'Tab. 6E - Administracja'!K28+'Tab. 6E - Administracja'!K37</f>
        <v>0</v>
      </c>
      <c r="J19" s="1939">
        <f>+'Tab. 6E - Administracja'!L28+'Tab. 6E - Administracja'!L37</f>
        <v>0</v>
      </c>
      <c r="K19" s="1939">
        <f>'Tab. 6E - Administracja'!M37+'Tab. 6E - Administracja'!M48+'Tab. 6E - Administracja'!M59+'Tab. 6E - Administracja'!M209+'Tab. 6E - Administracja'!M210+'Tab. 6E - Administracja'!M213</f>
        <v>0</v>
      </c>
      <c r="L19" s="1939">
        <f>+'Tab. 6E - Administracja'!N28+'Tab. 6E - Administracja'!N37+'Tab. 6E - Administracja'!N48+'Tab. 6E - Administracja'!N59</f>
        <v>526110</v>
      </c>
      <c r="M19" s="1939">
        <f>'Tab. 6E - Administracja'!O37+'Tab. 6E - Administracja'!O48+'Tab. 6E - Administracja'!O59+'Tab. 6E - Administracja'!O209+'Tab. 6E - Administracja'!O210+'Tab. 6E - Administracja'!O213</f>
        <v>1230114</v>
      </c>
      <c r="N19" s="1939">
        <f>'Tab. 6E - Administracja'!P37+'Tab. 6E - Administracja'!P48+'Tab. 6E - Administracja'!P59+'Tab. 6E - Administracja'!P209+'Tab. 6E - Administracja'!P210+'Tab. 6E - Administracja'!P213+'Tab. 6E - Administracja'!P220</f>
        <v>1945694</v>
      </c>
      <c r="O19" s="1939">
        <f>'Tab. 6E - Administracja'!Q37+'Tab. 6E - Administracja'!Q48+'Tab. 6E - Administracja'!Q59+'Tab. 6E - Administracja'!Q209+'Tab. 6E - Administracja'!Q210+'Tab. 6E - Administracja'!Q213</f>
        <v>5545201</v>
      </c>
      <c r="P19" s="1939">
        <f>'Tab. 6E - Administracja'!R37+'Tab. 6E - Administracja'!R48+'Tab. 6E - Administracja'!R59+'Tab. 6E - Administracja'!R209+'Tab. 6E - Administracja'!R210+'Tab. 6E - Administracja'!R213</f>
        <v>3725879</v>
      </c>
      <c r="Q19" s="1939">
        <f>'Tab. 6E - Administracja'!S37+'Tab. 6E - Administracja'!S48+'Tab. 6E - Administracja'!S59+'Tab. 6E - Administracja'!S209+'Tab. 6E - Administracja'!S210+'Tab. 6E - Administracja'!S213</f>
        <v>1500000</v>
      </c>
      <c r="R19" s="1939">
        <f>'Tab. 6E - Administracja'!T37+'Tab. 6E - Administracja'!T48+'Tab. 6E - Administracja'!T59+'Tab. 6E - Administracja'!T209+'Tab. 6E - Administracja'!T210+'Tab. 6E - Administracja'!T213</f>
        <v>1400000</v>
      </c>
      <c r="S19" s="1939">
        <f>'Tab. 6E - Administracja'!U37+'Tab. 6E - Administracja'!U48+'Tab. 6E - Administracja'!U59+'Tab. 6E - Administracja'!U209+'Tab. 6E - Administracja'!U210+'Tab. 6E - Administracja'!U213</f>
        <v>0</v>
      </c>
      <c r="T19" s="1939">
        <f>'Tab. 6E - Administracja'!V37+'Tab. 6E - Administracja'!V48+'Tab. 6E - Administracja'!V59+'Tab. 6E - Administracja'!V209+'Tab. 6E - Administracja'!V210+'Tab. 6E - Administracja'!V213</f>
        <v>0</v>
      </c>
      <c r="U19" s="1939">
        <f>'Tab. 6E - Administracja'!W37+'Tab. 6E - Administracja'!W48+'Tab. 6E - Administracja'!W59+'Tab. 6E - Administracja'!W209+'Tab. 6E - Administracja'!W210+'Tab. 6E - Administracja'!W213</f>
        <v>0</v>
      </c>
      <c r="V19" s="1939">
        <f t="shared" si="0"/>
        <v>15346888</v>
      </c>
      <c r="W19" s="1940">
        <f>N19+O19+P19+Q19+R19+S19+T19+U19</f>
        <v>14116774</v>
      </c>
      <c r="X19" s="1941">
        <f>'Tab. 6E - Administracja'!O28+'Tab. 6E - Administracja'!O37+'Tab. 6E - Administracja'!O48+'Tab. 6E - Administracja'!O59</f>
        <v>1230114</v>
      </c>
      <c r="Y19" s="1942"/>
      <c r="Z19" s="1942"/>
    </row>
    <row r="20" spans="1:26" s="1943" customFormat="1" ht="24.75" customHeight="1" thickBot="1">
      <c r="A20" s="3016" t="s">
        <v>244</v>
      </c>
      <c r="B20" s="3017"/>
      <c r="C20" s="1944">
        <f>+'Tab. 6E - Administracja'!E33+'Tab. 6E - Administracja'!E42</f>
        <v>0</v>
      </c>
      <c r="D20" s="1944">
        <f>+'Tab. 6E - Administracja'!F33+'Tab. 6E - Administracja'!F42</f>
        <v>0</v>
      </c>
      <c r="E20" s="1944">
        <f>+'Tab. 6E - Administracja'!G33+'Tab. 6E - Administracja'!G42</f>
        <v>0</v>
      </c>
      <c r="F20" s="1944">
        <f>+'Tab. 6E - Administracja'!H33+'Tab. 6E - Administracja'!H42</f>
        <v>0</v>
      </c>
      <c r="G20" s="1944">
        <f>+'Tab. 6E - Administracja'!I33+'Tab. 6E - Administracja'!I42</f>
        <v>0</v>
      </c>
      <c r="H20" s="1944">
        <f>+'Tab. 6E - Administracja'!J33+'Tab. 6E - Administracja'!J42</f>
        <v>0</v>
      </c>
      <c r="I20" s="1944">
        <f>+'Tab. 6E - Administracja'!K33+'Tab. 6E - Administracja'!K42</f>
        <v>0</v>
      </c>
      <c r="J20" s="1944">
        <f>+'Tab. 6E - Administracja'!L33+'Tab. 6E - Administracja'!L42</f>
        <v>0</v>
      </c>
      <c r="K20" s="1944">
        <f>+'Tab. 6E - Administracja'!M42</f>
        <v>0</v>
      </c>
      <c r="L20" s="1944">
        <f>+'Tab. 6E - Administracja'!N33+'Tab. 6E - Administracja'!N42</f>
        <v>263055</v>
      </c>
      <c r="M20" s="1944">
        <f>+'Tab. 6E - Administracja'!O42+'Tab. 6E - Administracja'!O53+'Tab. 6E - Administracja'!O64+'Tab. 6E - Administracja'!O214</f>
        <v>1230114</v>
      </c>
      <c r="N20" s="1944">
        <f>+'Tab. 6E - Administracja'!P42+'Tab. 6E - Administracja'!P53+'Tab. 6E - Administracja'!P64+'Tab. 6E - Administracja'!P214+'Tab. 6E - Administracja'!P225</f>
        <v>1933181</v>
      </c>
      <c r="O20" s="1944">
        <f>+'Tab. 6E - Administracja'!Q42+'Tab. 6E - Administracja'!Q53+'Tab. 6E - Administracja'!Q64+'Tab. 6E - Administracja'!Q214+'Tab. 6E - Administracja'!Q225</f>
        <v>5495201</v>
      </c>
      <c r="P20" s="1944">
        <f>+'Tab. 6E - Administracja'!R42+'Tab. 6E - Administracja'!R53+'Tab. 6E - Administracja'!R64+'Tab. 6E - Administracja'!R214+'Tab. 6E - Administracja'!R225</f>
        <v>3688392</v>
      </c>
      <c r="Q20" s="1944">
        <f>+'Tab. 6E - Administracja'!S42+'Tab. 6E - Administracja'!S53+'Tab. 6E - Administracja'!S64+'Tab. 6E - Administracja'!S214+'Tab. 6E - Administracja'!S225</f>
        <v>1500000</v>
      </c>
      <c r="R20" s="1944">
        <f>+'Tab. 6E - Administracja'!T42+'Tab. 6E - Administracja'!T53+'Tab. 6E - Administracja'!T64+'Tab. 6E - Administracja'!T214+'Tab. 6E - Administracja'!T225</f>
        <v>1400000</v>
      </c>
      <c r="S20" s="1944">
        <f>+'Tab. 6E - Administracja'!U42+'Tab. 6E - Administracja'!U53+'Tab. 6E - Administracja'!U64+'Tab. 6E - Administracja'!U214</f>
        <v>0</v>
      </c>
      <c r="T20" s="1944">
        <f>+'Tab. 6E - Administracja'!V42+'Tab. 6E - Administracja'!V53+'Tab. 6E - Administracja'!V64+'Tab. 6E - Administracja'!V214</f>
        <v>0</v>
      </c>
      <c r="U20" s="1944">
        <f>+'Tab. 6E - Administracja'!W42+'Tab. 6E - Administracja'!W53+'Tab. 6E - Administracja'!W64+'Tab. 6E - Administracja'!W214</f>
        <v>0</v>
      </c>
      <c r="V20" s="1944">
        <f t="shared" si="0"/>
        <v>15246888</v>
      </c>
      <c r="W20" s="1945" t="s">
        <v>77</v>
      </c>
      <c r="X20" s="1941"/>
      <c r="Y20" s="1942"/>
      <c r="Z20" s="1942"/>
    </row>
    <row r="21" spans="1:26" s="1943" customFormat="1" ht="24.75" hidden="1" customHeight="1" thickBot="1">
      <c r="A21" s="3056" t="s">
        <v>245</v>
      </c>
      <c r="B21" s="3057"/>
      <c r="C21" s="1939">
        <f>+'Tab. 6B Polit społ i rozwój prz'!E176</f>
        <v>0</v>
      </c>
      <c r="D21" s="1939">
        <f>+'Tab. 6B Polit społ i rozwój prz'!F176</f>
        <v>0</v>
      </c>
      <c r="E21" s="1939">
        <f>+'Tab. 6B Polit społ i rozwój prz'!G176</f>
        <v>0</v>
      </c>
      <c r="F21" s="1939">
        <f>+'Tab. 6B Polit społ i rozwój prz'!H176</f>
        <v>0</v>
      </c>
      <c r="G21" s="1939">
        <f>+'Tab. 6B Polit społ i rozwój prz'!I176</f>
        <v>0</v>
      </c>
      <c r="H21" s="1939">
        <f>+'Tab. 6B Polit społ i rozwój prz'!J176</f>
        <v>0</v>
      </c>
      <c r="I21" s="1939">
        <f>+'Tab. 6B Polit społ i rozwój prz'!K176</f>
        <v>0</v>
      </c>
      <c r="J21" s="1939">
        <f>+'Tab. 6B Polit społ i rozwój prz'!L176</f>
        <v>0</v>
      </c>
      <c r="K21" s="1939">
        <f>+'Tab. 6B Polit społ i rozwój prz'!M176</f>
        <v>0</v>
      </c>
      <c r="L21" s="1939">
        <f>+'Tab. 6B Polit społ i rozwój prz'!N176</f>
        <v>0</v>
      </c>
      <c r="M21" s="1939">
        <f>+'Tab. 6B Polit społ i rozwój prz'!O176</f>
        <v>0</v>
      </c>
      <c r="N21" s="1939">
        <f>+'Tab. 6B Polit społ i rozwój prz'!P176</f>
        <v>0</v>
      </c>
      <c r="O21" s="1939">
        <f>+'Tab. 6B Polit społ i rozwój prz'!Q176</f>
        <v>0</v>
      </c>
      <c r="P21" s="1939">
        <f>+'Tab. 6B Polit społ i rozwój prz'!R176</f>
        <v>0</v>
      </c>
      <c r="Q21" s="1939">
        <f>+'Tab. 6B Polit społ i rozwój prz'!S176</f>
        <v>0</v>
      </c>
      <c r="R21" s="1939">
        <f>+'Tab. 6B Polit społ i rozwój prz'!T176</f>
        <v>0</v>
      </c>
      <c r="S21" s="1939">
        <f>+'Tab. 6B Polit społ i rozwój prz'!U176</f>
        <v>0</v>
      </c>
      <c r="T21" s="1939">
        <f>+'Tab. 6B Polit społ i rozwój prz'!V176</f>
        <v>0</v>
      </c>
      <c r="U21" s="1939">
        <f>+'Tab. 6B Polit społ i rozwój prz'!W176</f>
        <v>0</v>
      </c>
      <c r="V21" s="1939">
        <f t="shared" si="0"/>
        <v>0</v>
      </c>
      <c r="W21" s="1940">
        <f>N21+O21+P21+Q21+R21+S21+T21+U21</f>
        <v>0</v>
      </c>
      <c r="X21" s="1941"/>
      <c r="Y21" s="1942"/>
      <c r="Z21" s="1942"/>
    </row>
    <row r="22" spans="1:26" s="1943" customFormat="1" ht="22.5" hidden="1" customHeight="1" thickBot="1">
      <c r="A22" s="3046" t="s">
        <v>246</v>
      </c>
      <c r="B22" s="3047"/>
      <c r="C22" s="1944">
        <f>+'Tab. 6B Polit społ i rozwój prz'!E182</f>
        <v>0</v>
      </c>
      <c r="D22" s="1944">
        <f>+'Tab. 6B Polit społ i rozwój prz'!F182</f>
        <v>0</v>
      </c>
      <c r="E22" s="1944">
        <f>+'Tab. 6B Polit społ i rozwój prz'!G182</f>
        <v>0</v>
      </c>
      <c r="F22" s="1944">
        <f>+'Tab. 6B Polit społ i rozwój prz'!H182</f>
        <v>0</v>
      </c>
      <c r="G22" s="1944">
        <f>+'Tab. 6B Polit społ i rozwój prz'!I182</f>
        <v>0</v>
      </c>
      <c r="H22" s="1944">
        <f>+'Tab. 6B Polit społ i rozwój prz'!J182</f>
        <v>0</v>
      </c>
      <c r="I22" s="1944">
        <f>+'Tab. 6B Polit społ i rozwój prz'!K182</f>
        <v>0</v>
      </c>
      <c r="J22" s="1944">
        <f>+'Tab. 6B Polit społ i rozwój prz'!L182</f>
        <v>0</v>
      </c>
      <c r="K22" s="1944">
        <f>+'Tab. 6B Polit społ i rozwój prz'!M182</f>
        <v>0</v>
      </c>
      <c r="L22" s="1944">
        <f>+'Tab. 6B Polit społ i rozwój prz'!N182</f>
        <v>0</v>
      </c>
      <c r="M22" s="1944">
        <f>+'Tab. 6B Polit społ i rozwój prz'!O182</f>
        <v>0</v>
      </c>
      <c r="N22" s="1944">
        <f>+'Tab. 6B Polit społ i rozwój prz'!P182</f>
        <v>0</v>
      </c>
      <c r="O22" s="1944">
        <f>+'Tab. 6B Polit społ i rozwój prz'!Q182</f>
        <v>0</v>
      </c>
      <c r="P22" s="1944">
        <f>+'Tab. 6B Polit społ i rozwój prz'!R182</f>
        <v>0</v>
      </c>
      <c r="Q22" s="1944">
        <f>+'Tab. 6B Polit społ i rozwój prz'!S182</f>
        <v>0</v>
      </c>
      <c r="R22" s="1944">
        <f>+'Tab. 6B Polit społ i rozwój prz'!T182</f>
        <v>0</v>
      </c>
      <c r="S22" s="1944">
        <f>+'Tab. 6B Polit społ i rozwój prz'!U182</f>
        <v>0</v>
      </c>
      <c r="T22" s="1944">
        <f>+'Tab. 6B Polit społ i rozwój prz'!V182</f>
        <v>0</v>
      </c>
      <c r="U22" s="1944">
        <f>+'Tab. 6B Polit społ i rozwój prz'!W182</f>
        <v>0</v>
      </c>
      <c r="V22" s="1944">
        <f t="shared" si="0"/>
        <v>0</v>
      </c>
      <c r="W22" s="1945" t="s">
        <v>77</v>
      </c>
      <c r="X22" s="1941"/>
      <c r="Y22" s="1942"/>
      <c r="Z22" s="1942"/>
    </row>
    <row r="23" spans="1:26" s="1943" customFormat="1" ht="23.25" customHeight="1" thickBot="1">
      <c r="A23" s="3056" t="s">
        <v>284</v>
      </c>
      <c r="B23" s="3057"/>
      <c r="C23" s="1939"/>
      <c r="D23" s="1939"/>
      <c r="E23" s="1939"/>
      <c r="F23" s="1939"/>
      <c r="G23" s="1939"/>
      <c r="H23" s="1939"/>
      <c r="I23" s="1939"/>
      <c r="J23" s="1939"/>
      <c r="K23" s="1939">
        <f>'Tab. 6B Polit społ i rozwój prz'!M152</f>
        <v>0</v>
      </c>
      <c r="L23" s="1939">
        <f>'Tab. 6B Polit społ i rozwój prz'!N152</f>
        <v>0</v>
      </c>
      <c r="M23" s="1939">
        <f>'Tab. 6B Polit społ i rozwój prz'!O152+'Tab. 6B Polit społ i rozwój prz'!O164</f>
        <v>448847</v>
      </c>
      <c r="N23" s="1939">
        <f>'Tab. 6B Polit społ i rozwój prz'!P152+'Tab. 6B Polit społ i rozwój prz'!P164</f>
        <v>1481719</v>
      </c>
      <c r="O23" s="1939">
        <f>'Tab. 6B Polit społ i rozwój prz'!Q152+'Tab. 6B Polit społ i rozwój prz'!Q164</f>
        <v>1661130</v>
      </c>
      <c r="P23" s="1939">
        <f>'Tab. 6B Polit społ i rozwój prz'!R152+'Tab. 6B Polit społ i rozwój prz'!R164</f>
        <v>1653010</v>
      </c>
      <c r="Q23" s="1939">
        <f>'Tab. 6B Polit społ i rozwój prz'!S152+'Tab. 6B Polit społ i rozwój prz'!S164</f>
        <v>2254390</v>
      </c>
      <c r="R23" s="1939">
        <f>'Tab. 6B Polit społ i rozwój prz'!T152+'Tab. 6B Polit społ i rozwój prz'!T164</f>
        <v>2254390</v>
      </c>
      <c r="S23" s="1939">
        <f>'Tab. 6B Polit społ i rozwój prz'!U152</f>
        <v>0</v>
      </c>
      <c r="T23" s="1939">
        <f>'Tab. 6B Polit społ i rozwój prz'!V152</f>
        <v>0</v>
      </c>
      <c r="U23" s="1939">
        <f>'Tab. 6B Polit społ i rozwój prz'!W152</f>
        <v>0</v>
      </c>
      <c r="V23" s="1939">
        <f t="shared" si="0"/>
        <v>9753486</v>
      </c>
      <c r="W23" s="1940">
        <f>N23+O23+P23+Q23+R23+S23+T23+U23</f>
        <v>9304639</v>
      </c>
      <c r="X23" s="1941"/>
      <c r="Y23" s="1942"/>
      <c r="Z23" s="1942"/>
    </row>
    <row r="24" spans="1:26" s="1943" customFormat="1" ht="25.5" customHeight="1" thickBot="1">
      <c r="A24" s="3016" t="s">
        <v>285</v>
      </c>
      <c r="B24" s="3017"/>
      <c r="C24" s="1944"/>
      <c r="D24" s="1944"/>
      <c r="E24" s="1944"/>
      <c r="F24" s="1944"/>
      <c r="G24" s="1944"/>
      <c r="H24" s="1944"/>
      <c r="I24" s="1944"/>
      <c r="J24" s="1944"/>
      <c r="K24" s="1944">
        <f>'Tab. 6B Polit społ i rozwój prz'!M158</f>
        <v>0</v>
      </c>
      <c r="L24" s="1944">
        <f>'Tab. 6B Polit społ i rozwój prz'!N158</f>
        <v>0</v>
      </c>
      <c r="M24" s="1944">
        <f>'Tab. 6B Polit społ i rozwój prz'!O158+'Tab. 6B Polit społ i rozwój prz'!O170</f>
        <v>378288</v>
      </c>
      <c r="N24" s="1944">
        <f>'Tab. 6B Polit społ i rozwój prz'!P158+'Tab. 6B Polit społ i rozwój prz'!P170</f>
        <v>1248793</v>
      </c>
      <c r="O24" s="1944">
        <f>'Tab. 6B Polit społ i rozwój prz'!Q158+'Tab. 6B Polit społ i rozwój prz'!Q170</f>
        <v>1400000</v>
      </c>
      <c r="P24" s="1944">
        <f>'Tab. 6B Polit społ i rozwój prz'!R158+'Tab. 6B Polit społ i rozwój prz'!R170</f>
        <v>1393157</v>
      </c>
      <c r="Q24" s="1944">
        <f>'Tab. 6B Polit społ i rozwój prz'!S158</f>
        <v>1900000</v>
      </c>
      <c r="R24" s="1944">
        <f>'Tab. 6B Polit społ i rozwój prz'!T158</f>
        <v>1900000</v>
      </c>
      <c r="S24" s="1944">
        <f>'Tab. 6B Polit społ i rozwój prz'!U158</f>
        <v>0</v>
      </c>
      <c r="T24" s="1944">
        <f>'Tab. 6B Polit społ i rozwój prz'!V158</f>
        <v>0</v>
      </c>
      <c r="U24" s="1944">
        <f>'Tab. 6B Polit społ i rozwój prz'!W158</f>
        <v>0</v>
      </c>
      <c r="V24" s="1944">
        <f t="shared" si="0"/>
        <v>8220238</v>
      </c>
      <c r="W24" s="1945" t="s">
        <v>77</v>
      </c>
      <c r="X24" s="1941"/>
      <c r="Y24" s="1942"/>
      <c r="Z24" s="1942"/>
    </row>
    <row r="25" spans="1:26" s="1950" customFormat="1" ht="24" customHeight="1" thickBot="1">
      <c r="A25" s="3056" t="s">
        <v>247</v>
      </c>
      <c r="B25" s="3057"/>
      <c r="C25" s="1939">
        <f>C28+C30+C32+C34</f>
        <v>441028</v>
      </c>
      <c r="D25" s="1939" t="e">
        <f t="shared" ref="D25:J25" si="1">D28+D30+D32+D34</f>
        <v>#REF!</v>
      </c>
      <c r="E25" s="1939" t="e">
        <f t="shared" si="1"/>
        <v>#REF!</v>
      </c>
      <c r="F25" s="1939" t="e">
        <f t="shared" si="1"/>
        <v>#REF!</v>
      </c>
      <c r="G25" s="1939">
        <f t="shared" si="1"/>
        <v>593171</v>
      </c>
      <c r="H25" s="1939">
        <f t="shared" si="1"/>
        <v>378013</v>
      </c>
      <c r="I25" s="1939">
        <f t="shared" si="1"/>
        <v>371670</v>
      </c>
      <c r="J25" s="1939">
        <f t="shared" si="1"/>
        <v>515365</v>
      </c>
      <c r="K25" s="1939">
        <f>K28+K30+K32+K34+K36</f>
        <v>2522246</v>
      </c>
      <c r="L25" s="1939">
        <f t="shared" ref="L25:T25" si="2">L28+L30+L32+L34+L36</f>
        <v>749109</v>
      </c>
      <c r="M25" s="1939">
        <f t="shared" si="2"/>
        <v>250952</v>
      </c>
      <c r="N25" s="1939">
        <f t="shared" si="2"/>
        <v>1311344</v>
      </c>
      <c r="O25" s="1939">
        <f t="shared" si="2"/>
        <v>33049705</v>
      </c>
      <c r="P25" s="1939">
        <f t="shared" si="2"/>
        <v>5757654</v>
      </c>
      <c r="Q25" s="1939">
        <f t="shared" si="2"/>
        <v>8220122</v>
      </c>
      <c r="R25" s="1939">
        <f t="shared" si="2"/>
        <v>424247</v>
      </c>
      <c r="S25" s="1939">
        <f t="shared" si="2"/>
        <v>280970</v>
      </c>
      <c r="T25" s="1939">
        <f t="shared" si="2"/>
        <v>280340</v>
      </c>
      <c r="U25" s="1939">
        <f t="shared" ref="U25" si="3">U28+U30+U32+U34+U36</f>
        <v>0</v>
      </c>
      <c r="V25" s="1939">
        <f t="shared" si="0"/>
        <v>52097580</v>
      </c>
      <c r="W25" s="1940">
        <f>N25+O25+P25+Q25+R25+S25+T25+U25</f>
        <v>49324382</v>
      </c>
      <c r="X25" s="1948"/>
      <c r="Y25" s="1949"/>
      <c r="Z25" s="1949"/>
    </row>
    <row r="26" spans="1:26" s="1950" customFormat="1" ht="24" customHeight="1" thickBot="1">
      <c r="A26" s="3046" t="s">
        <v>248</v>
      </c>
      <c r="B26" s="3047"/>
      <c r="C26" s="1944">
        <f>C29+C31+C33+C35</f>
        <v>3874</v>
      </c>
      <c r="D26" s="1944" t="e">
        <f t="shared" ref="D26:J26" si="4">D29+D31+D33+D35</f>
        <v>#REF!</v>
      </c>
      <c r="E26" s="1944" t="e">
        <f t="shared" si="4"/>
        <v>#REF!</v>
      </c>
      <c r="F26" s="1944" t="e">
        <f t="shared" si="4"/>
        <v>#REF!</v>
      </c>
      <c r="G26" s="1944">
        <f t="shared" si="4"/>
        <v>480461</v>
      </c>
      <c r="H26" s="1944">
        <f t="shared" si="4"/>
        <v>496759</v>
      </c>
      <c r="I26" s="1944">
        <f t="shared" si="4"/>
        <v>367095</v>
      </c>
      <c r="J26" s="1944">
        <f t="shared" si="4"/>
        <v>323542</v>
      </c>
      <c r="K26" s="1944">
        <f>K29+K31+K33+K35+K37</f>
        <v>1949109</v>
      </c>
      <c r="L26" s="1944">
        <f t="shared" ref="L26:T26" si="5">L29+L31+L33+L35+L37</f>
        <v>540433</v>
      </c>
      <c r="M26" s="1944">
        <f t="shared" si="5"/>
        <v>342136</v>
      </c>
      <c r="N26" s="1944">
        <f t="shared" si="5"/>
        <v>93910</v>
      </c>
      <c r="O26" s="1944">
        <f>O29+O31+O33+O35+O37</f>
        <v>14589157</v>
      </c>
      <c r="P26" s="1944">
        <f t="shared" si="5"/>
        <v>10684977</v>
      </c>
      <c r="Q26" s="1944">
        <f t="shared" si="5"/>
        <v>7562363</v>
      </c>
      <c r="R26" s="1944">
        <f t="shared" si="5"/>
        <v>3456750</v>
      </c>
      <c r="S26" s="1944">
        <f t="shared" si="5"/>
        <v>411927</v>
      </c>
      <c r="T26" s="1944">
        <f t="shared" si="5"/>
        <v>280770</v>
      </c>
      <c r="U26" s="1944">
        <f t="shared" ref="U26" si="6">U29+U31+U33+U35+U37</f>
        <v>280140</v>
      </c>
      <c r="V26" s="1944">
        <f t="shared" si="0"/>
        <v>39651239</v>
      </c>
      <c r="W26" s="1945" t="s">
        <v>77</v>
      </c>
      <c r="X26" s="1948"/>
      <c r="Y26" s="1949"/>
      <c r="Z26" s="1949"/>
    </row>
    <row r="27" spans="1:26" s="1950" customFormat="1" ht="15">
      <c r="A27" s="3062" t="s">
        <v>186</v>
      </c>
      <c r="B27" s="3063"/>
      <c r="C27" s="1951"/>
      <c r="D27" s="1951"/>
      <c r="E27" s="1951"/>
      <c r="F27" s="1951"/>
      <c r="G27" s="1951"/>
      <c r="H27" s="1951"/>
      <c r="I27" s="1951"/>
      <c r="J27" s="1951"/>
      <c r="K27" s="1951"/>
      <c r="L27" s="1951"/>
      <c r="M27" s="1951"/>
      <c r="N27" s="1951"/>
      <c r="O27" s="1951"/>
      <c r="P27" s="1951"/>
      <c r="Q27" s="1951"/>
      <c r="R27" s="1951"/>
      <c r="S27" s="1951"/>
      <c r="T27" s="1951"/>
      <c r="U27" s="1951"/>
      <c r="V27" s="1951">
        <f t="shared" si="0"/>
        <v>0</v>
      </c>
      <c r="W27" s="1952"/>
      <c r="X27" s="1948"/>
      <c r="Y27" s="1949"/>
      <c r="Z27" s="1949"/>
    </row>
    <row r="28" spans="1:26" s="1950" customFormat="1" ht="17.25" customHeight="1">
      <c r="A28" s="3048" t="s">
        <v>434</v>
      </c>
      <c r="B28" s="3049"/>
      <c r="C28" s="1953">
        <f>+'Tab. 6A -Drogi'!E381</f>
        <v>0</v>
      </c>
      <c r="D28" s="1953">
        <f>+'Tab. 6A -Drogi'!F381</f>
        <v>0</v>
      </c>
      <c r="E28" s="1953">
        <f>+'Tab. 6A -Drogi'!G381</f>
        <v>0</v>
      </c>
      <c r="F28" s="1953">
        <f>+'Tab. 6A -Drogi'!H381</f>
        <v>0</v>
      </c>
      <c r="G28" s="1953">
        <f>+'Tab. 6A -Drogi'!I381</f>
        <v>228400</v>
      </c>
      <c r="H28" s="1953">
        <f>+'Tab. 6A -Drogi'!J381</f>
        <v>3000</v>
      </c>
      <c r="I28" s="1953">
        <f>+'Tab. 6A -Drogi'!K381</f>
        <v>22878</v>
      </c>
      <c r="J28" s="1953">
        <f>+'Tab. 6A -Drogi'!L381</f>
        <v>137917</v>
      </c>
      <c r="K28" s="1953">
        <f>+'Tab. 6A -Drogi'!M381</f>
        <v>395660</v>
      </c>
      <c r="L28" s="1953">
        <f>+'Tab. 6A -Drogi'!N381</f>
        <v>3465</v>
      </c>
      <c r="M28" s="1953">
        <f>+'Tab. 6A -Drogi'!O381</f>
        <v>0</v>
      </c>
      <c r="N28" s="1953">
        <f>+'Tab. 6A -Drogi'!P381</f>
        <v>498816</v>
      </c>
      <c r="O28" s="1953">
        <f>+'Tab. 6A -Drogi'!Q381</f>
        <v>31790494</v>
      </c>
      <c r="P28" s="1953">
        <f>+'Tab. 6A -Drogi'!R381</f>
        <v>4637525</v>
      </c>
      <c r="Q28" s="1953">
        <f>+'Tab. 6A -Drogi'!S381</f>
        <v>7721445</v>
      </c>
      <c r="R28" s="1953">
        <f>+'Tab. 6A -Drogi'!T381</f>
        <v>0</v>
      </c>
      <c r="S28" s="1953">
        <f>+'Tab. 6A -Drogi'!U381</f>
        <v>0</v>
      </c>
      <c r="T28" s="1953">
        <f>+'Tab. 6A -Drogi'!V381</f>
        <v>0</v>
      </c>
      <c r="U28" s="1953">
        <f>+'Tab. 6A -Drogi'!W381</f>
        <v>0</v>
      </c>
      <c r="V28" s="1953">
        <f t="shared" si="0"/>
        <v>45043940</v>
      </c>
      <c r="W28" s="1954">
        <f>+N28+O28+P28+Q28+R28+S28+T28+U28</f>
        <v>44648280</v>
      </c>
      <c r="X28" s="1948"/>
      <c r="Y28" s="1949"/>
      <c r="Z28" s="1949"/>
    </row>
    <row r="29" spans="1:26" s="1950" customFormat="1" ht="17.25" customHeight="1">
      <c r="A29" s="3050" t="s">
        <v>435</v>
      </c>
      <c r="B29" s="3051"/>
      <c r="C29" s="1955">
        <f>+'Tab. 6A -Drogi'!E387</f>
        <v>0</v>
      </c>
      <c r="D29" s="1955">
        <f>+'Tab. 6A -Drogi'!F387</f>
        <v>0</v>
      </c>
      <c r="E29" s="1955">
        <f>+'Tab. 6A -Drogi'!G387</f>
        <v>0</v>
      </c>
      <c r="F29" s="1955">
        <f>+'Tab. 6A -Drogi'!H387</f>
        <v>0</v>
      </c>
      <c r="G29" s="1955">
        <f>+'Tab. 6A -Drogi'!I387</f>
        <v>0</v>
      </c>
      <c r="H29" s="1955">
        <f>+'Tab. 6A -Drogi'!J387</f>
        <v>0</v>
      </c>
      <c r="I29" s="1955">
        <f>+'Tab. 6A -Drogi'!K387</f>
        <v>22878</v>
      </c>
      <c r="J29" s="1955">
        <f>+'Tab. 6A -Drogi'!L387</f>
        <v>34125</v>
      </c>
      <c r="K29" s="1955">
        <f>+'Tab. 6A -Drogi'!M387</f>
        <v>57003</v>
      </c>
      <c r="L29" s="1955">
        <f>+'Tab. 6A -Drogi'!N387</f>
        <v>0</v>
      </c>
      <c r="M29" s="1955">
        <f>+'Tab. 6A -Drogi'!O387</f>
        <v>0</v>
      </c>
      <c r="N29" s="1955">
        <f>+'Tab. 6A -Drogi'!P387</f>
        <v>0</v>
      </c>
      <c r="O29" s="1955">
        <f>+'Tab. 6A -Drogi'!Q387</f>
        <v>13806204</v>
      </c>
      <c r="P29" s="1955">
        <f>+'Tab. 6A -Drogi'!R387</f>
        <v>9554405</v>
      </c>
      <c r="Q29" s="1955">
        <f>+'Tab. 6A -Drogi'!S387</f>
        <v>6558936</v>
      </c>
      <c r="R29" s="1955">
        <f>+'Tab. 6A -Drogi'!T387</f>
        <v>2981558</v>
      </c>
      <c r="S29" s="1955">
        <f>+'Tab. 6A -Drogi'!U387</f>
        <v>0</v>
      </c>
      <c r="T29" s="1955">
        <f>+'Tab. 6A -Drogi'!V387</f>
        <v>0</v>
      </c>
      <c r="U29" s="1955">
        <f>+'Tab. 6A -Drogi'!W387</f>
        <v>0</v>
      </c>
      <c r="V29" s="1955">
        <f t="shared" si="0"/>
        <v>32958106</v>
      </c>
      <c r="W29" s="1956" t="s">
        <v>77</v>
      </c>
      <c r="X29" s="1948"/>
      <c r="Y29" s="1949"/>
      <c r="Z29" s="1949"/>
    </row>
    <row r="30" spans="1:26" s="1950" customFormat="1" ht="17.25" customHeight="1">
      <c r="A30" s="3052" t="s">
        <v>249</v>
      </c>
      <c r="B30" s="3053"/>
      <c r="C30" s="1957">
        <f>'Tab. 6E - Administracja'!E70</f>
        <v>441028</v>
      </c>
      <c r="D30" s="1957">
        <f>'Tab. 6E - Administracja'!F70</f>
        <v>0</v>
      </c>
      <c r="E30" s="1957">
        <f>'Tab. 6E - Administracja'!G70</f>
        <v>0</v>
      </c>
      <c r="F30" s="1957">
        <f>'Tab. 6E - Administracja'!H70</f>
        <v>0</v>
      </c>
      <c r="G30" s="1957">
        <f>'Tab. 6E - Administracja'!I70</f>
        <v>364771</v>
      </c>
      <c r="H30" s="1957">
        <f>'Tab. 6E - Administracja'!J70</f>
        <v>375013</v>
      </c>
      <c r="I30" s="1957">
        <f>'Tab. 6E - Administracja'!K70</f>
        <v>348792</v>
      </c>
      <c r="J30" s="1957">
        <f>'Tab. 6E - Administracja'!L70</f>
        <v>377448</v>
      </c>
      <c r="K30" s="1957">
        <f>'Tab. 6E - Administracja'!M70</f>
        <v>2126586</v>
      </c>
      <c r="L30" s="1957">
        <f>'Tab. 6E - Administracja'!N70</f>
        <v>219534</v>
      </c>
      <c r="M30" s="1957">
        <f>'Tab. 6E - Administracja'!O70</f>
        <v>201566</v>
      </c>
      <c r="N30" s="1957">
        <f>'Tab. 6E - Administracja'!P70</f>
        <v>0</v>
      </c>
      <c r="O30" s="1957">
        <f>'Tab. 6E - Administracja'!Q70</f>
        <v>0</v>
      </c>
      <c r="P30" s="1957">
        <f>'Tab. 6E - Administracja'!R70</f>
        <v>0</v>
      </c>
      <c r="Q30" s="1957">
        <f>'Tab. 6E - Administracja'!S70</f>
        <v>0</v>
      </c>
      <c r="R30" s="1957">
        <f>'Tab. 6E - Administracja'!T70</f>
        <v>0</v>
      </c>
      <c r="S30" s="1957">
        <f>'Tab. 6E - Administracja'!U70</f>
        <v>0</v>
      </c>
      <c r="T30" s="1957">
        <f>'Tab. 6E - Administracja'!V70</f>
        <v>0</v>
      </c>
      <c r="U30" s="1957">
        <f>'Tab. 6E - Administracja'!W70</f>
        <v>0</v>
      </c>
      <c r="V30" s="1957">
        <f t="shared" si="0"/>
        <v>2328152</v>
      </c>
      <c r="W30" s="1954">
        <f>+N30+O30+P30+Q30+R30+S30+T30+U30</f>
        <v>0</v>
      </c>
      <c r="X30" s="1948">
        <f>'Tab. 6E - Administracja'!O70</f>
        <v>201566</v>
      </c>
      <c r="Y30" s="1949"/>
      <c r="Z30" s="1949"/>
    </row>
    <row r="31" spans="1:26" s="1950" customFormat="1" ht="17.25" customHeight="1">
      <c r="A31" s="3050" t="s">
        <v>250</v>
      </c>
      <c r="B31" s="3051"/>
      <c r="C31" s="1955">
        <f>'Tab. 6E - Administracja'!E75</f>
        <v>3874</v>
      </c>
      <c r="D31" s="1955">
        <f>'Tab. 6E - Administracja'!F75</f>
        <v>0</v>
      </c>
      <c r="E31" s="1955">
        <f>'Tab. 6E - Administracja'!G75</f>
        <v>0</v>
      </c>
      <c r="F31" s="1955">
        <f>'Tab. 6E - Administracja'!H75</f>
        <v>0</v>
      </c>
      <c r="G31" s="1955">
        <f>'Tab. 6E - Administracja'!I75</f>
        <v>480461</v>
      </c>
      <c r="H31" s="1955">
        <f>'Tab. 6E - Administracja'!J75</f>
        <v>496759</v>
      </c>
      <c r="I31" s="1955">
        <f>'Tab. 6E - Administracja'!K75</f>
        <v>344217</v>
      </c>
      <c r="J31" s="1955">
        <f>'Tab. 6E - Administracja'!L75</f>
        <v>289417</v>
      </c>
      <c r="K31" s="1955">
        <f>'Tab. 6E - Administracja'!M75</f>
        <v>1892106</v>
      </c>
      <c r="L31" s="1955">
        <f>'Tab. 6E - Administracja'!N75</f>
        <v>277378</v>
      </c>
      <c r="M31" s="1955">
        <f>'Tab. 6E - Administracja'!O75</f>
        <v>342136</v>
      </c>
      <c r="N31" s="1955">
        <f>'Tab. 6E - Administracja'!P75</f>
        <v>93910</v>
      </c>
      <c r="O31" s="1955">
        <f>'Tab. 6E - Administracja'!Q75</f>
        <v>0</v>
      </c>
      <c r="P31" s="1955">
        <f>'Tab. 6E - Administracja'!R75</f>
        <v>0</v>
      </c>
      <c r="Q31" s="1955">
        <f>'Tab. 6E - Administracja'!S75</f>
        <v>0</v>
      </c>
      <c r="R31" s="1955">
        <f>'Tab. 6E - Administracja'!T75</f>
        <v>0</v>
      </c>
      <c r="S31" s="1955">
        <f>'Tab. 6E - Administracja'!U75</f>
        <v>0</v>
      </c>
      <c r="T31" s="1955">
        <f>'Tab. 6E - Administracja'!V75</f>
        <v>0</v>
      </c>
      <c r="U31" s="1955">
        <f>'Tab. 6E - Administracja'!W75</f>
        <v>0</v>
      </c>
      <c r="V31" s="1955">
        <f t="shared" si="0"/>
        <v>2328152</v>
      </c>
      <c r="W31" s="1956" t="s">
        <v>77</v>
      </c>
      <c r="X31" s="1948"/>
      <c r="Y31" s="1949"/>
      <c r="Z31" s="1949"/>
    </row>
    <row r="32" spans="1:26" s="1950" customFormat="1" ht="17.25" customHeight="1">
      <c r="A32" s="3052" t="s">
        <v>464</v>
      </c>
      <c r="B32" s="3053"/>
      <c r="C32" s="1957">
        <f>'Tab.6I - Planow. przestrz.'!E26</f>
        <v>0</v>
      </c>
      <c r="D32" s="1957">
        <f>'Tab.6I - Planow. przestrz.'!F26</f>
        <v>0</v>
      </c>
      <c r="E32" s="1957">
        <f>'Tab.6I - Planow. przestrz.'!G26</f>
        <v>0</v>
      </c>
      <c r="F32" s="1957">
        <f>'Tab.6I - Planow. przestrz.'!H26</f>
        <v>0</v>
      </c>
      <c r="G32" s="1957">
        <f>'Tab.6I - Planow. przestrz.'!I26</f>
        <v>0</v>
      </c>
      <c r="H32" s="1957">
        <f>'Tab.6I - Planow. przestrz.'!J26</f>
        <v>0</v>
      </c>
      <c r="I32" s="1957">
        <f>'Tab.6I - Planow. przestrz.'!K26</f>
        <v>0</v>
      </c>
      <c r="J32" s="1957">
        <f>'Tab.6I - Planow. przestrz.'!L26</f>
        <v>0</v>
      </c>
      <c r="K32" s="1957">
        <f>'Tab.6I - Planow. przestrz.'!O26</f>
        <v>0</v>
      </c>
      <c r="L32" s="1957">
        <f>'Tab.6I - Planow. przestrz.'!N26</f>
        <v>0</v>
      </c>
      <c r="M32" s="1957">
        <f>'Tab. 6B Polit społ i rozwój prz'!O32</f>
        <v>0</v>
      </c>
      <c r="N32" s="1957">
        <f>'Tab. 6B Polit społ i rozwój prz'!P32</f>
        <v>105231</v>
      </c>
      <c r="O32" s="1957">
        <f>'Tab. 6B Polit społ i rozwój prz'!Q32</f>
        <v>182795</v>
      </c>
      <c r="P32" s="1957">
        <f>'Tab. 6B Polit społ i rozwój prz'!R32</f>
        <v>122559</v>
      </c>
      <c r="Q32" s="1957">
        <f>'Tab. 6B Polit społ i rozwój prz'!S32</f>
        <v>72320</v>
      </c>
      <c r="R32" s="1957">
        <f>'Tab. 6B Polit społ i rozwój prz'!T32</f>
        <v>16174</v>
      </c>
      <c r="S32" s="1957">
        <f>'Tab. 6B Polit społ i rozwój prz'!U32</f>
        <v>0</v>
      </c>
      <c r="T32" s="1957">
        <f>'Tab. 6B Polit społ i rozwój prz'!V32</f>
        <v>0</v>
      </c>
      <c r="U32" s="1957">
        <f>'Tab. 6B Polit społ i rozwój prz'!W32</f>
        <v>0</v>
      </c>
      <c r="V32" s="1957">
        <f t="shared" si="0"/>
        <v>499079</v>
      </c>
      <c r="W32" s="1954">
        <f>+N32+O32+P32+Q32+R32+S32+T32+U32</f>
        <v>499079</v>
      </c>
      <c r="X32" s="1948"/>
      <c r="Y32" s="1949"/>
      <c r="Z32" s="1949"/>
    </row>
    <row r="33" spans="1:26" s="1950" customFormat="1" ht="17.25" customHeight="1">
      <c r="A33" s="3050" t="s">
        <v>465</v>
      </c>
      <c r="B33" s="3051"/>
      <c r="C33" s="1955">
        <f>'Tab.6I - Planow. przestrz.'!E31</f>
        <v>0</v>
      </c>
      <c r="D33" s="1955">
        <f>'[6]Tab.6I - Planow. przestrz.'!F26</f>
        <v>0</v>
      </c>
      <c r="E33" s="1955">
        <f>'[6]Tab.6I - Planow. przestrz.'!G26</f>
        <v>0</v>
      </c>
      <c r="F33" s="1955">
        <f>'[6]Tab.6I - Planow. przestrz.'!H26</f>
        <v>0</v>
      </c>
      <c r="G33" s="1955">
        <f>'Tab.6I - Planow. przestrz.'!I31</f>
        <v>0</v>
      </c>
      <c r="H33" s="1955">
        <f>'Tab.6I - Planow. przestrz.'!J31</f>
        <v>0</v>
      </c>
      <c r="I33" s="1955">
        <f>'Tab.6I - Planow. przestrz.'!K31</f>
        <v>0</v>
      </c>
      <c r="J33" s="1955">
        <f>'Tab.6I - Planow. przestrz.'!L31</f>
        <v>0</v>
      </c>
      <c r="K33" s="1955">
        <f>'Tab.6I - Planow. przestrz.'!M39</f>
        <v>0</v>
      </c>
      <c r="L33" s="1955">
        <f>'Tab.6I - Planow. przestrz.'!N31</f>
        <v>0</v>
      </c>
      <c r="M33" s="1955">
        <f>'Tab. 6B Polit społ i rozwój prz'!O45</f>
        <v>0</v>
      </c>
      <c r="N33" s="1955">
        <f>'Tab. 6B Polit społ i rozwój prz'!P45</f>
        <v>0</v>
      </c>
      <c r="O33" s="1955">
        <f>'Tab. 6B Polit społ i rozwój prz'!Q45</f>
        <v>88766</v>
      </c>
      <c r="P33" s="1955">
        <f>'Tab. 6B Polit społ i rozwój prz'!R45</f>
        <v>154696</v>
      </c>
      <c r="Q33" s="1955">
        <f>'Tab. 6B Polit społ i rozwój prz'!S45</f>
        <v>103495</v>
      </c>
      <c r="R33" s="1955">
        <f>'Tab. 6B Polit społ i rozwój prz'!T45</f>
        <v>60792</v>
      </c>
      <c r="S33" s="1955">
        <f>'Tab. 6B Polit społ i rozwój prz'!U45</f>
        <v>13068</v>
      </c>
      <c r="T33" s="1955">
        <f>'Tab. 6B Polit społ i rozwój prz'!V45</f>
        <v>0</v>
      </c>
      <c r="U33" s="1955">
        <f>'Tab. 6B Polit społ i rozwój prz'!W45</f>
        <v>0</v>
      </c>
      <c r="V33" s="1955">
        <f>K33+M33+N33+O33+P33+Q33+R33+S33+T33+U33</f>
        <v>420817</v>
      </c>
      <c r="W33" s="1956" t="s">
        <v>77</v>
      </c>
      <c r="X33" s="1948"/>
      <c r="Y33" s="1949"/>
      <c r="Z33" s="1949"/>
    </row>
    <row r="34" spans="1:26" s="1950" customFormat="1" ht="17.25" customHeight="1">
      <c r="A34" s="3052" t="s">
        <v>251</v>
      </c>
      <c r="B34" s="3053"/>
      <c r="C34" s="1957">
        <f>'Tab. 6H - Kultura fiz. i turyst'!E22+'Tab. 6H - Kultura fiz. i turyst'!E40+'Tab. 6H - Kultura fiz. i turyst'!E31</f>
        <v>0</v>
      </c>
      <c r="D34" s="1957" t="e">
        <f>'Tab. 6H - Kultura fiz. i turyst'!F22+'Tab. 6H - Kultura fiz. i turyst'!F40+'Tab. 6G - Roln i ochrona środ.'!#REF!</f>
        <v>#REF!</v>
      </c>
      <c r="E34" s="1957" t="e">
        <f>'Tab. 6H - Kultura fiz. i turyst'!G22+'Tab. 6H - Kultura fiz. i turyst'!G40+'Tab. 6G - Roln i ochrona środ.'!#REF!</f>
        <v>#REF!</v>
      </c>
      <c r="F34" s="1957" t="e">
        <f>'Tab. 6H - Kultura fiz. i turyst'!H22+'Tab. 6H - Kultura fiz. i turyst'!H40+'Tab. 6G - Roln i ochrona środ.'!#REF!</f>
        <v>#REF!</v>
      </c>
      <c r="G34" s="1957">
        <f>'Tab. 6H - Kultura fiz. i turyst'!I22+'Tab. 6H - Kultura fiz. i turyst'!I40+'Tab. 6H - Kultura fiz. i turyst'!I31</f>
        <v>0</v>
      </c>
      <c r="H34" s="1957">
        <f>'Tab. 6H - Kultura fiz. i turyst'!J22+'Tab. 6H - Kultura fiz. i turyst'!J40+'Tab. 6H - Kultura fiz. i turyst'!J31</f>
        <v>0</v>
      </c>
      <c r="I34" s="1957">
        <f>'Tab. 6H - Kultura fiz. i turyst'!K22+'Tab. 6H - Kultura fiz. i turyst'!K40+'Tab. 6H - Kultura fiz. i turyst'!K31</f>
        <v>0</v>
      </c>
      <c r="J34" s="1957">
        <f>'Tab. 6H - Kultura fiz. i turyst'!L22+'Tab. 6H - Kultura fiz. i turyst'!L40+'Tab. 6H - Kultura fiz. i turyst'!L31</f>
        <v>0</v>
      </c>
      <c r="K34" s="1957">
        <f>'Tab. 6H - Kultura fiz. i turyst'!M22+'Tab. 6H - Kultura fiz. i turyst'!M40+'Tab. 6H - Kultura fiz. i turyst'!M31+'Tab.6I - Planow. przestrz.'!M55</f>
        <v>0</v>
      </c>
      <c r="L34" s="1957">
        <f>'Tab. 6H - Kultura fiz. i turyst'!N22+'Tab. 6H - Kultura fiz. i turyst'!N40+'Tab. 6H - Kultura fiz. i turyst'!N31+'Tab.6I - Planow. przestrz.'!N55</f>
        <v>0</v>
      </c>
      <c r="M34" s="1957">
        <f>'Tab. 6H - Kultura fiz. i turyst'!O22+'Tab. 6H - Kultura fiz. i turyst'!O40+'Tab. 6H - Kultura fiz. i turyst'!O31+'Tab.6I - Planow. przestrz.'!O55</f>
        <v>49386</v>
      </c>
      <c r="N34" s="1957">
        <f>'Tab. 6H - Kultura fiz. i turyst'!P22+'Tab. 6H - Kultura fiz. i turyst'!P40+'Tab. 6H - Kultura fiz. i turyst'!P31+'Tab.6I - Planow. przestrz.'!P55+'Tab.6I - Planow. przestrz.'!P26+'Tab.6I - Planow. przestrz.'!P35</f>
        <v>426427</v>
      </c>
      <c r="O34" s="1957">
        <f>'Tab. 6H - Kultura fiz. i turyst'!Q22+'Tab. 6H - Kultura fiz. i turyst'!Q40+'Tab. 6H - Kultura fiz. i turyst'!Q31+'Tab.6I - Planow. przestrz.'!Q55+'Tab.6I - Planow. przestrz.'!Q26+'Tab.6I - Planow. przestrz.'!Q35</f>
        <v>795346</v>
      </c>
      <c r="P34" s="1957">
        <f>'Tab. 6H - Kultura fiz. i turyst'!R22+'Tab. 6H - Kultura fiz. i turyst'!R40+'Tab. 6H - Kultura fiz. i turyst'!R31+'Tab.6I - Planow. przestrz.'!R55+'Tab.6I - Planow. przestrz.'!R26+'Tab.6I - Planow. przestrz.'!R35</f>
        <v>716400</v>
      </c>
      <c r="Q34" s="1957">
        <f>'Tab. 6H - Kultura fiz. i turyst'!S22+'Tab. 6H - Kultura fiz. i turyst'!S40+'Tab. 6H - Kultura fiz. i turyst'!S31+'Tab.6I - Planow. przestrz.'!S55+'Tab.6I - Planow. przestrz.'!S26+'Tab.6I - Planow. przestrz.'!S35</f>
        <v>145187</v>
      </c>
      <c r="R34" s="1957">
        <f>'Tab. 6H - Kultura fiz. i turyst'!T22+'Tab. 6H - Kultura fiz. i turyst'!T40+'Tab. 6H - Kultura fiz. i turyst'!T31+'Tab.6I - Planow. przestrz.'!T55+'Tab.6I - Planow. przestrz.'!T26+'Tab.6I - Planow. przestrz.'!T35</f>
        <v>126903</v>
      </c>
      <c r="S34" s="1957">
        <f>'Tab. 6H - Kultura fiz. i turyst'!U22+'Tab. 6H - Kultura fiz. i turyst'!U40+'Tab. 6H - Kultura fiz. i turyst'!U31+'Tab.6I - Planow. przestrz.'!U55+'Tab.6I - Planow. przestrz.'!U26+'Tab.6I - Planow. przestrz.'!U35</f>
        <v>0</v>
      </c>
      <c r="T34" s="1957">
        <f>'Tab. 6H - Kultura fiz. i turyst'!V22+'Tab. 6H - Kultura fiz. i turyst'!V40+'Tab. 6H - Kultura fiz. i turyst'!V31+'Tab.6I - Planow. przestrz.'!V55+'Tab.6I - Planow. przestrz.'!V26+'Tab.6I - Planow. przestrz.'!V35</f>
        <v>0</v>
      </c>
      <c r="U34" s="1957">
        <f>'Tab. 6H - Kultura fiz. i turyst'!W22+'Tab. 6H - Kultura fiz. i turyst'!W40+'Tab. 6H - Kultura fiz. i turyst'!W31+'Tab.6I - Planow. przestrz.'!W55+'Tab.6I - Planow. przestrz.'!W26+'Tab.6I - Planow. przestrz.'!W35</f>
        <v>0</v>
      </c>
      <c r="V34" s="1957">
        <f>K34+M34+N34+O34+P34+Q34+R34+S34+T34+U34</f>
        <v>2259649</v>
      </c>
      <c r="W34" s="1954">
        <f>+N34+O34+P34+Q34+R34+S34+T34+U34</f>
        <v>2210263</v>
      </c>
      <c r="X34" s="1948"/>
      <c r="Y34" s="1949"/>
      <c r="Z34" s="1949"/>
    </row>
    <row r="35" spans="1:26" s="1950" customFormat="1" ht="17.25" customHeight="1">
      <c r="A35" s="3050" t="s">
        <v>252</v>
      </c>
      <c r="B35" s="3051"/>
      <c r="C35" s="1955">
        <f>'Tab. 6H - Kultura fiz. i turyst'!E27+'Tab. 6H - Kultura fiz. i turyst'!E45+'Tab. 6H - Kultura fiz. i turyst'!E36</f>
        <v>0</v>
      </c>
      <c r="D35" s="1955" t="e">
        <f>'Tab. 6H - Kultura fiz. i turyst'!F27+'Tab. 6H - Kultura fiz. i turyst'!F45+'Tab. 6G - Roln i ochrona środ.'!#REF!</f>
        <v>#REF!</v>
      </c>
      <c r="E35" s="1955" t="e">
        <f>'Tab. 6H - Kultura fiz. i turyst'!G27+'Tab. 6H - Kultura fiz. i turyst'!G45+'Tab. 6G - Roln i ochrona środ.'!#REF!</f>
        <v>#REF!</v>
      </c>
      <c r="F35" s="1955" t="e">
        <f>'Tab. 6H - Kultura fiz. i turyst'!H27+'Tab. 6H - Kultura fiz. i turyst'!H45+'Tab. 6G - Roln i ochrona środ.'!#REF!</f>
        <v>#REF!</v>
      </c>
      <c r="G35" s="1955">
        <f>'Tab. 6H - Kultura fiz. i turyst'!I27+'Tab. 6H - Kultura fiz. i turyst'!I45+'Tab. 6H - Kultura fiz. i turyst'!I36</f>
        <v>0</v>
      </c>
      <c r="H35" s="1955">
        <f>'Tab. 6H - Kultura fiz. i turyst'!J27+'Tab. 6H - Kultura fiz. i turyst'!J45+'Tab. 6H - Kultura fiz. i turyst'!J36</f>
        <v>0</v>
      </c>
      <c r="I35" s="1955">
        <f>'Tab. 6H - Kultura fiz. i turyst'!K27+'Tab. 6H - Kultura fiz. i turyst'!K45+'Tab. 6H - Kultura fiz. i turyst'!K36</f>
        <v>0</v>
      </c>
      <c r="J35" s="1955">
        <f>'Tab. 6H - Kultura fiz. i turyst'!L27+'Tab. 6H - Kultura fiz. i turyst'!L45+'Tab. 6H - Kultura fiz. i turyst'!L36</f>
        <v>0</v>
      </c>
      <c r="K35" s="1955">
        <f>'Tab. 6H - Kultura fiz. i turyst'!M27+'Tab. 6H - Kultura fiz. i turyst'!M45+'Tab. 6H - Kultura fiz. i turyst'!M36+'Tab.6I - Planow. przestrz.'!M67</f>
        <v>0</v>
      </c>
      <c r="L35" s="1955">
        <f>'Tab. 6H - Kultura fiz. i turyst'!N27+'Tab. 6H - Kultura fiz. i turyst'!N45+'Tab. 6H - Kultura fiz. i turyst'!N36+'Tab.6I - Planow. przestrz.'!N67</f>
        <v>0</v>
      </c>
      <c r="M35" s="1955">
        <f>'Tab. 6H - Kultura fiz. i turyst'!O27+'Tab. 6H - Kultura fiz. i turyst'!O45+'Tab. 6H - Kultura fiz. i turyst'!O36+'Tab.6I - Planow. przestrz.'!O67</f>
        <v>0</v>
      </c>
      <c r="N35" s="1955">
        <f>'Tab. 6H - Kultura fiz. i turyst'!P27+'Tab. 6H - Kultura fiz. i turyst'!P45+'Tab. 6H - Kultura fiz. i turyst'!P36+'Tab.6I - Planow. przestrz.'!P67+'Tab.6I - Planow. przestrz.'!P31+'Tab.6I - Planow. przestrz.'!P40</f>
        <v>0</v>
      </c>
      <c r="O35" s="1955">
        <f>'Tab. 6H - Kultura fiz. i turyst'!Q27+'Tab. 6H - Kultura fiz. i turyst'!Q45+'Tab. 6H - Kultura fiz. i turyst'!Q36+'Tab.6I - Planow. przestrz.'!Q67+'Tab.6I - Planow. przestrz.'!Q31+'Tab.6I - Planow. przestrz.'!Q40</f>
        <v>413417</v>
      </c>
      <c r="P35" s="1955">
        <f>'Tab. 6H - Kultura fiz. i turyst'!R27+'Tab. 6H - Kultura fiz. i turyst'!R45+'Tab. 6H - Kultura fiz. i turyst'!R36+'Tab.6I - Planow. przestrz.'!R67+'Tab.6I - Planow. przestrz.'!R31+'Tab.6I - Planow. przestrz.'!R40</f>
        <v>695106</v>
      </c>
      <c r="Q35" s="1955">
        <f>'Tab. 6H - Kultura fiz. i turyst'!S27+'Tab. 6H - Kultura fiz. i turyst'!S45+'Tab. 6H - Kultura fiz. i turyst'!S36+'Tab.6I - Planow. przestrz.'!S67+'Tab.6I - Planow. przestrz.'!S31+'Tab.6I - Planow. przestrz.'!S40</f>
        <v>619162</v>
      </c>
      <c r="R35" s="1955">
        <f>'Tab. 6H - Kultura fiz. i turyst'!T27+'Tab. 6H - Kultura fiz. i turyst'!T45+'Tab. 6H - Kultura fiz. i turyst'!T36+'Tab.6I - Planow. przestrz.'!T67+'Tab.6I - Planow. przestrz.'!T31+'Tab.6I - Planow. przestrz.'!T40</f>
        <v>133630</v>
      </c>
      <c r="S35" s="1955">
        <f>'Tab. 6H - Kultura fiz. i turyst'!U27+'Tab. 6H - Kultura fiz. i turyst'!U45+'Tab. 6H - Kultura fiz. i turyst'!U36+'Tab.6I - Planow. przestrz.'!U67+'Tab.6I - Planow. przestrz.'!U31+'Tab.6I - Planow. przestrz.'!U40</f>
        <v>118089</v>
      </c>
      <c r="T35" s="1955">
        <f>'Tab. 6H - Kultura fiz. i turyst'!V27+'Tab. 6H - Kultura fiz. i turyst'!V45+'Tab. 6H - Kultura fiz. i turyst'!V36+'Tab.6I - Planow. przestrz.'!V67+'Tab.6I - Planow. przestrz.'!V31+'Tab.6I - Planow. przestrz.'!V40</f>
        <v>0</v>
      </c>
      <c r="U35" s="1955">
        <f>'Tab. 6H - Kultura fiz. i turyst'!W27+'Tab. 6H - Kultura fiz. i turyst'!W45+'Tab. 6H - Kultura fiz. i turyst'!W36+'Tab.6I - Planow. przestrz.'!W67+'Tab.6I - Planow. przestrz.'!W31+'Tab.6I - Planow. przestrz.'!W40</f>
        <v>0</v>
      </c>
      <c r="V35" s="1955">
        <f>K35+M35+N35+O35+P35+Q35+R35+S35+T35+U35</f>
        <v>1979404</v>
      </c>
      <c r="W35" s="1956" t="s">
        <v>77</v>
      </c>
      <c r="X35" s="1948"/>
      <c r="Y35" s="1949"/>
      <c r="Z35" s="1949"/>
    </row>
    <row r="36" spans="1:26" s="1950" customFormat="1" ht="29.25" customHeight="1">
      <c r="A36" s="3058" t="s">
        <v>542</v>
      </c>
      <c r="B36" s="3059"/>
      <c r="C36" s="1957"/>
      <c r="D36" s="1957"/>
      <c r="E36" s="1957"/>
      <c r="F36" s="1957"/>
      <c r="G36" s="1957"/>
      <c r="H36" s="1957"/>
      <c r="I36" s="1957"/>
      <c r="J36" s="1957"/>
      <c r="K36" s="1957">
        <f>+'Tab. 6E - Administracja'!M28</f>
        <v>0</v>
      </c>
      <c r="L36" s="1957">
        <f>+'Tab. 6E - Administracja'!N28</f>
        <v>526110</v>
      </c>
      <c r="M36" s="1957">
        <f>+'Tab. 6E - Administracja'!O28</f>
        <v>0</v>
      </c>
      <c r="N36" s="1957">
        <f>+'Tab. 6E - Administracja'!P28</f>
        <v>280870</v>
      </c>
      <c r="O36" s="1957">
        <f>+'Tab. 6E - Administracja'!Q28</f>
        <v>281070</v>
      </c>
      <c r="P36" s="1957">
        <f>+'Tab. 6E - Administracja'!R28</f>
        <v>281170</v>
      </c>
      <c r="Q36" s="1957">
        <f>+'Tab. 6E - Administracja'!S28</f>
        <v>281170</v>
      </c>
      <c r="R36" s="1957">
        <f>+'Tab. 6E - Administracja'!T28</f>
        <v>281170</v>
      </c>
      <c r="S36" s="1957">
        <f>+'Tab. 6E - Administracja'!U28</f>
        <v>280970</v>
      </c>
      <c r="T36" s="1957">
        <f>+'Tab. 6E - Administracja'!V28</f>
        <v>280340</v>
      </c>
      <c r="U36" s="1957">
        <f>+'Tab. 6E - Administracja'!W28</f>
        <v>0</v>
      </c>
      <c r="V36" s="1957">
        <f>+'Tab. 6E - Administracja'!X28</f>
        <v>1966760</v>
      </c>
      <c r="W36" s="1954">
        <f>+T36+S36+R36+Q36+P36+O36+N36</f>
        <v>1966760</v>
      </c>
      <c r="X36" s="1948"/>
      <c r="Y36" s="1949"/>
      <c r="Z36" s="1949"/>
    </row>
    <row r="37" spans="1:26" s="1950" customFormat="1" ht="29.25" customHeight="1" thickBot="1">
      <c r="A37" s="3060" t="s">
        <v>543</v>
      </c>
      <c r="B37" s="3061"/>
      <c r="C37" s="1957"/>
      <c r="D37" s="1957"/>
      <c r="E37" s="1957"/>
      <c r="F37" s="1957"/>
      <c r="G37" s="1957"/>
      <c r="H37" s="1957"/>
      <c r="I37" s="1957"/>
      <c r="J37" s="1957"/>
      <c r="K37" s="1955">
        <f>+'Tab. 6E - Administracja'!M33</f>
        <v>0</v>
      </c>
      <c r="L37" s="1955">
        <f>+'Tab. 6E - Administracja'!N35</f>
        <v>263055</v>
      </c>
      <c r="M37" s="1955">
        <f>+'Tab. 6E - Administracja'!O33</f>
        <v>0</v>
      </c>
      <c r="N37" s="1955">
        <f>+'Tab. 6E - Administracja'!P33</f>
        <v>0</v>
      </c>
      <c r="O37" s="1955">
        <f>+'Tab. 6E - Administracja'!Q33</f>
        <v>280770</v>
      </c>
      <c r="P37" s="1955">
        <f>+'Tab. 6E - Administracja'!R33</f>
        <v>280770</v>
      </c>
      <c r="Q37" s="1955">
        <f>+'Tab. 6E - Administracja'!S33</f>
        <v>280770</v>
      </c>
      <c r="R37" s="1955">
        <f>+'Tab. 6E - Administracja'!T33</f>
        <v>280770</v>
      </c>
      <c r="S37" s="1955">
        <f>+'Tab. 6E - Administracja'!U33</f>
        <v>280770</v>
      </c>
      <c r="T37" s="1955">
        <f>+'Tab. 6E - Administracja'!V33</f>
        <v>280770</v>
      </c>
      <c r="U37" s="1955">
        <f>+'Tab. 6E - Administracja'!W33</f>
        <v>280140</v>
      </c>
      <c r="V37" s="1955">
        <f>+U37+T37+S37+R37+Q37+P37+O37+N37+M37+K37:K38</f>
        <v>1964760</v>
      </c>
      <c r="W37" s="2291" t="s">
        <v>77</v>
      </c>
      <c r="X37" s="1948"/>
      <c r="Y37" s="1949"/>
      <c r="Z37" s="1949"/>
    </row>
    <row r="38" spans="1:26" s="1943" customFormat="1" ht="48" customHeight="1" thickBot="1">
      <c r="A38" s="3054" t="s">
        <v>504</v>
      </c>
      <c r="B38" s="3055"/>
      <c r="C38" s="1958">
        <f>+'Tab. 6D - Oświata'!E22+'Tab. 6D - Oświata'!E33+'Tab. 6D - Oświata'!E44</f>
        <v>0</v>
      </c>
      <c r="D38" s="1958">
        <f>+'Tab. 6D - Oświata'!F22+'Tab. 6D - Oświata'!F33+'Tab. 6D - Oświata'!F44</f>
        <v>0</v>
      </c>
      <c r="E38" s="1958">
        <f>+'Tab. 6D - Oświata'!G22+'Tab. 6D - Oświata'!G33+'Tab. 6D - Oświata'!G44</f>
        <v>0</v>
      </c>
      <c r="F38" s="1958">
        <f>+'Tab. 6D - Oświata'!H22+'Tab. 6D - Oświata'!H33+'Tab. 6D - Oświata'!H44</f>
        <v>0</v>
      </c>
      <c r="G38" s="1958">
        <f>+'Tab. 6D - Oświata'!I22+'Tab. 6D - Oświata'!I33+'Tab. 6D - Oświata'!I44</f>
        <v>0</v>
      </c>
      <c r="H38" s="1958">
        <f>+'Tab. 6D - Oświata'!J22+'Tab. 6D - Oświata'!J33+'Tab. 6D - Oświata'!J44</f>
        <v>0</v>
      </c>
      <c r="I38" s="1958">
        <f>+'Tab. 6D - Oświata'!K22+'Tab. 6D - Oświata'!K33+'Tab. 6D - Oświata'!K44</f>
        <v>0</v>
      </c>
      <c r="J38" s="1958">
        <f>+'Tab. 6D - Oświata'!L22+'Tab. 6D - Oświata'!L33+'Tab. 6D - Oświata'!L44</f>
        <v>131442</v>
      </c>
      <c r="K38" s="1958">
        <f>+'Tab. 6D - Oświata'!M22+'Tab. 6D - Oświata'!M33+'Tab. 6D - Oświata'!M44+'Tab. 6G - Roln i ochrona środ.'!M131</f>
        <v>286572</v>
      </c>
      <c r="L38" s="1958">
        <f>+'Tab. 6D - Oświata'!N22+'Tab. 6D - Oświata'!N33+'Tab. 6D - Oświata'!N44+'Tab. 6G - Roln i ochrona środ.'!N131</f>
        <v>175457</v>
      </c>
      <c r="M38" s="1958">
        <f>+'Tab. 6D - Oświata'!O22+'Tab. 6D - Oświata'!O33+'Tab. 6D - Oświata'!O44+'Tab. 6G - Roln i ochrona środ.'!O131</f>
        <v>151572</v>
      </c>
      <c r="N38" s="1958">
        <f>+'Tab. 6D - Oświata'!P22+'Tab. 6D - Oświata'!P33+'Tab. 6D - Oświata'!P44+'Tab. 6G - Roln i ochrona środ.'!P131</f>
        <v>160793</v>
      </c>
      <c r="O38" s="1958">
        <f>+'Tab. 6D - Oświata'!Q22+'Tab. 6D - Oświata'!Q33+'Tab. 6D - Oświata'!Q44+'Tab. 6G - Roln i ochrona środ.'!Q131</f>
        <v>145590</v>
      </c>
      <c r="P38" s="1958">
        <f>+'Tab. 6D - Oświata'!R22+'Tab. 6D - Oświata'!R33+'Tab. 6D - Oświata'!R44+'Tab. 6G - Roln i ochrona środ.'!R131</f>
        <v>0</v>
      </c>
      <c r="Q38" s="1958">
        <f>+'Tab. 6D - Oświata'!S22+'Tab. 6D - Oświata'!S33+'Tab. 6D - Oświata'!S44+'Tab. 6G - Roln i ochrona środ.'!S131</f>
        <v>0</v>
      </c>
      <c r="R38" s="1958">
        <f>+'Tab. 6D - Oświata'!T22+'Tab. 6D - Oświata'!T33+'Tab. 6D - Oświata'!T44+'Tab. 6G - Roln i ochrona środ.'!T131</f>
        <v>0</v>
      </c>
      <c r="S38" s="1958">
        <f>+'Tab. 6D - Oświata'!U22+'Tab. 6D - Oświata'!U33+'Tab. 6D - Oświata'!U44+'Tab. 6G - Roln i ochrona środ.'!U131</f>
        <v>0</v>
      </c>
      <c r="T38" s="1958">
        <f>+'Tab. 6D - Oświata'!V22+'Tab. 6D - Oświata'!V33+'Tab. 6D - Oświata'!V44+'Tab. 6G - Roln i ochrona środ.'!V131</f>
        <v>0</v>
      </c>
      <c r="U38" s="1958">
        <f>+'Tab. 6D - Oświata'!W22+'Tab. 6D - Oświata'!W33+'Tab. 6D - Oświata'!W44+'Tab. 6G - Roln i ochrona środ.'!W131</f>
        <v>0</v>
      </c>
      <c r="V38" s="1958">
        <f t="shared" si="0"/>
        <v>744527</v>
      </c>
      <c r="W38" s="1940">
        <f>N38+O38+P38+Q38+R38+S38+T38+U38</f>
        <v>306383</v>
      </c>
      <c r="X38" s="1941"/>
      <c r="Y38" s="1942"/>
      <c r="Z38" s="1942"/>
    </row>
    <row r="39" spans="1:26" s="1943" customFormat="1" ht="48" customHeight="1" thickBot="1">
      <c r="A39" s="3046" t="s">
        <v>505</v>
      </c>
      <c r="B39" s="3047"/>
      <c r="C39" s="1944">
        <f>+'Tab. 6D - Oświata'!E27+'Tab. 6D - Oświata'!E38+'Tab. 6D - Oświata'!E47</f>
        <v>0</v>
      </c>
      <c r="D39" s="1944">
        <f>+'Tab. 6D - Oświata'!F27+'Tab. 6D - Oświata'!F38+'Tab. 6D - Oświata'!F47</f>
        <v>0</v>
      </c>
      <c r="E39" s="1944">
        <f>+'Tab. 6D - Oświata'!G27+'Tab. 6D - Oświata'!G38+'Tab. 6D - Oświata'!G47</f>
        <v>0</v>
      </c>
      <c r="F39" s="1944">
        <f>+'Tab. 6D - Oświata'!H27+'Tab. 6D - Oświata'!H38+'Tab. 6D - Oświata'!H47</f>
        <v>0</v>
      </c>
      <c r="G39" s="1944">
        <f>+'Tab. 6D - Oświata'!I27+'Tab. 6D - Oświata'!I38+'Tab. 6D - Oświata'!I47</f>
        <v>0</v>
      </c>
      <c r="H39" s="1944">
        <f>+'Tab. 6D - Oświata'!J27+'Tab. 6D - Oświata'!J38+'Tab. 6D - Oświata'!J47</f>
        <v>0</v>
      </c>
      <c r="I39" s="1944">
        <f>+'Tab. 6D - Oświata'!K27+'Tab. 6D - Oświata'!K38+'Tab. 6D - Oświata'!K47</f>
        <v>0</v>
      </c>
      <c r="J39" s="1944">
        <f>+'Tab. 6D - Oświata'!L27+'Tab. 6D - Oświata'!L38+'Tab. 6D - Oświata'!L47+'Tab. 6G - Roln i ochrona środ.'!L134</f>
        <v>53066</v>
      </c>
      <c r="K39" s="1944">
        <f>+'Tab. 6D - Oświata'!M27+'Tab. 6D - Oświata'!M38+'Tab. 6D - Oświata'!M47+'Tab. 6G - Roln i ochrona środ.'!M134</f>
        <v>128928</v>
      </c>
      <c r="L39" s="1944">
        <f>+'Tab. 6D - Oświata'!N27+'Tab. 6D - Oświata'!N38+'Tab. 6D - Oświata'!N47+'Tab. 6G - Roln i ochrona środ.'!N134</f>
        <v>75862</v>
      </c>
      <c r="M39" s="1944">
        <f>+'Tab. 6D - Oświata'!O27+'Tab. 6D - Oświata'!O38+'Tab. 6D - Oświata'!O47+'Tab. 6G - Roln i ochrona środ.'!O134</f>
        <v>78483</v>
      </c>
      <c r="N39" s="1944">
        <f>+'Tab. 6D - Oświata'!P27+'Tab. 6D - Oświata'!P38+'Tab. 6D - Oświata'!P47+'Tab. 6G - Roln i ochrona środ.'!P134</f>
        <v>85319</v>
      </c>
      <c r="O39" s="1944">
        <f>+'Tab. 6D - Oświata'!Q27+'Tab. 6D - Oświata'!Q38+'Tab. 6D - Oświata'!Q47+'Tab. 6G - Roln i ochrona środ.'!Q134</f>
        <v>79186</v>
      </c>
      <c r="P39" s="1944">
        <f>+'Tab. 6D - Oświata'!R27+'Tab. 6D - Oświata'!R38+'Tab. 6D - Oświata'!R47+'Tab. 6G - Roln i ochrona środ.'!R134</f>
        <v>23196</v>
      </c>
      <c r="Q39" s="1944">
        <f>+'Tab. 6D - Oświata'!S27+'Tab. 6D - Oświata'!S38+'Tab. 6D - Oświata'!S47+'Tab. 6G - Roln i ochrona środ.'!S134</f>
        <v>0</v>
      </c>
      <c r="R39" s="1944">
        <f>+'Tab. 6D - Oświata'!T27+'Tab. 6D - Oświata'!T38+'Tab. 6D - Oświata'!T47+'Tab. 6G - Roln i ochrona środ.'!T134</f>
        <v>0</v>
      </c>
      <c r="S39" s="1944">
        <f>+'Tab. 6D - Oświata'!U27+'Tab. 6D - Oświata'!U38+'Tab. 6D - Oświata'!U47+'Tab. 6G - Roln i ochrona środ.'!U134</f>
        <v>0</v>
      </c>
      <c r="T39" s="1944">
        <f>+'Tab. 6D - Oświata'!V27+'Tab. 6D - Oświata'!V38+'Tab. 6D - Oświata'!V47+'Tab. 6G - Roln i ochrona środ.'!V134</f>
        <v>0</v>
      </c>
      <c r="U39" s="1944">
        <f>+'Tab. 6D - Oświata'!W27+'Tab. 6D - Oświata'!W38+'Tab. 6D - Oświata'!W47+'Tab. 6G - Roln i ochrona środ.'!W134</f>
        <v>0</v>
      </c>
      <c r="V39" s="1944">
        <f t="shared" si="0"/>
        <v>395112</v>
      </c>
      <c r="W39" s="1945" t="s">
        <v>77</v>
      </c>
      <c r="X39" s="1941">
        <f>'Tab. 6D - Oświata'!O44</f>
        <v>0</v>
      </c>
      <c r="Y39" s="1942"/>
      <c r="Z39" s="1942"/>
    </row>
    <row r="40" spans="1:26" s="1943" customFormat="1" ht="35.25" customHeight="1" thickBot="1">
      <c r="A40" s="3054" t="s">
        <v>290</v>
      </c>
      <c r="B40" s="3055"/>
      <c r="C40" s="1958"/>
      <c r="D40" s="1958"/>
      <c r="E40" s="1958"/>
      <c r="F40" s="1958"/>
      <c r="G40" s="1958"/>
      <c r="H40" s="1958"/>
      <c r="I40" s="1958"/>
      <c r="J40" s="1958"/>
      <c r="K40" s="1958">
        <f>'Tab. 6D - Oświata'!M51+'Tab. 6A -Drogi'!M518+'Tab. 6D - Oświata'!M65+'Tab. 6D - Oświata'!M60</f>
        <v>0</v>
      </c>
      <c r="L40" s="1958">
        <f>'Tab. 6D - Oświata'!N51+'Tab. 6A -Drogi'!N518+'Tab. 6D - Oświata'!N65+'Tab. 6D - Oświata'!N60</f>
        <v>0</v>
      </c>
      <c r="M40" s="1958">
        <f>'Tab. 6D - Oświata'!O51+'Tab. 6A -Drogi'!O518+'Tab. 6D - Oświata'!O65+'Tab. 6D - Oświata'!O60</f>
        <v>218855</v>
      </c>
      <c r="N40" s="1958">
        <f>'Tab. 6D - Oświata'!P51+'Tab. 6A -Drogi'!P518+'Tab. 6D - Oświata'!P65+'Tab. 6D - Oświata'!P60</f>
        <v>77833</v>
      </c>
      <c r="O40" s="1958">
        <f>'Tab. 6D - Oświata'!Q51+'Tab. 6A -Drogi'!Q518+'Tab. 6D - Oświata'!Q65+'Tab. 6D - Oświata'!Q60</f>
        <v>8200</v>
      </c>
      <c r="P40" s="1958">
        <f>'Tab. 6D - Oświata'!R51+'Tab. 6A -Drogi'!R518+'Tab. 6D - Oświata'!R65+'Tab. 6D - Oświata'!R60</f>
        <v>0</v>
      </c>
      <c r="Q40" s="1958">
        <f>'Tab. 6D - Oświata'!S51+'Tab. 6A -Drogi'!S518+'Tab. 6D - Oświata'!S65+'Tab. 6D - Oświata'!S60</f>
        <v>0</v>
      </c>
      <c r="R40" s="1958">
        <f>'Tab. 6D - Oświata'!T51+'Tab. 6A -Drogi'!T518+'Tab. 6D - Oświata'!T65+'Tab. 6D - Oświata'!T60</f>
        <v>0</v>
      </c>
      <c r="S40" s="1958">
        <f>'Tab. 6D - Oświata'!U51+'Tab. 6A -Drogi'!U518+'Tab. 6D - Oświata'!U65+'Tab. 6D - Oświata'!U60</f>
        <v>0</v>
      </c>
      <c r="T40" s="1958">
        <f>'Tab. 6D - Oświata'!V51+'Tab. 6A -Drogi'!V518+'Tab. 6D - Oświata'!V65+'Tab. 6D - Oświata'!V60</f>
        <v>0</v>
      </c>
      <c r="U40" s="1958">
        <f>'Tab. 6D - Oświata'!W51+'Tab. 6A -Drogi'!W518+'Tab. 6D - Oświata'!W65+'Tab. 6D - Oświata'!W60</f>
        <v>0</v>
      </c>
      <c r="V40" s="1958">
        <f t="shared" si="0"/>
        <v>304888</v>
      </c>
      <c r="W40" s="1940">
        <f>N40+O40+P40+Q40+R40+S40+T40+U40</f>
        <v>86033</v>
      </c>
      <c r="X40" s="1941"/>
      <c r="Y40" s="1942"/>
      <c r="Z40" s="1942"/>
    </row>
    <row r="41" spans="1:26" s="1943" customFormat="1" ht="35.25" customHeight="1" thickBot="1">
      <c r="A41" s="3046" t="s">
        <v>291</v>
      </c>
      <c r="B41" s="3047"/>
      <c r="C41" s="1944"/>
      <c r="D41" s="1944"/>
      <c r="E41" s="1944"/>
      <c r="F41" s="1944"/>
      <c r="G41" s="1944"/>
      <c r="H41" s="1944"/>
      <c r="I41" s="1944"/>
      <c r="J41" s="1944"/>
      <c r="K41" s="1944">
        <f>'Tab. 6D - Oświata'!M54+'Tab. 6A -Drogi'!M523+'Tab. 6D - Oświata'!M68+'Tab. 6D - Oświata'!M61</f>
        <v>160044</v>
      </c>
      <c r="L41" s="1944">
        <f>'Tab. 6D - Oświata'!N54+'Tab. 6A -Drogi'!N523+'Tab. 6D - Oświata'!N68+'Tab. 6D - Oświata'!N61</f>
        <v>160044</v>
      </c>
      <c r="M41" s="1944">
        <f>'Tab. 6D - Oświata'!O54+'Tab. 6A -Drogi'!O523+'Tab. 6D - Oświata'!O68+'Tab. 6D - Oświata'!O61</f>
        <v>59097</v>
      </c>
      <c r="N41" s="1944">
        <f>'Tab. 6D - Oświata'!P54+'Tab. 6A -Drogi'!P523+'Tab. 6D - Oświata'!P68+'Tab. 6D - Oświata'!P61</f>
        <v>77549</v>
      </c>
      <c r="O41" s="1944">
        <f>'Tab. 6D - Oświata'!Q54+'Tab. 6A -Drogi'!Q523+'Tab. 6D - Oświata'!Q68+'Tab. 6D - Oświata'!Q61</f>
        <v>8200</v>
      </c>
      <c r="P41" s="1944">
        <f>'Tab. 6D - Oświata'!R54+'Tab. 6A -Drogi'!R523+'Tab. 6D - Oświata'!R68+'Tab. 6D - Oświata'!R61</f>
        <v>0</v>
      </c>
      <c r="Q41" s="1944">
        <f>'Tab. 6D - Oświata'!S54+'Tab. 6A -Drogi'!S523+'Tab. 6D - Oświata'!S68+'Tab. 6D - Oświata'!S61</f>
        <v>0</v>
      </c>
      <c r="R41" s="1944">
        <f>'Tab. 6D - Oświata'!T54+'Tab. 6A -Drogi'!T523+'Tab. 6D - Oświata'!T68+'Tab. 6D - Oświata'!T61</f>
        <v>0</v>
      </c>
      <c r="S41" s="1944">
        <f>'Tab. 6D - Oświata'!U54+'Tab. 6A -Drogi'!U523+'Tab. 6D - Oświata'!U68+'Tab. 6D - Oświata'!U61</f>
        <v>0</v>
      </c>
      <c r="T41" s="1944">
        <f>'Tab. 6D - Oświata'!V54+'Tab. 6A -Drogi'!V523+'Tab. 6D - Oświata'!V68+'Tab. 6D - Oświata'!V61</f>
        <v>0</v>
      </c>
      <c r="U41" s="1944">
        <f>'Tab. 6D - Oświata'!W54+'Tab. 6A -Drogi'!W523+'Tab. 6D - Oświata'!W68+'Tab. 6D - Oświata'!W61</f>
        <v>0</v>
      </c>
      <c r="V41" s="1944">
        <f t="shared" si="0"/>
        <v>304890</v>
      </c>
      <c r="W41" s="1945" t="s">
        <v>77</v>
      </c>
      <c r="X41" s="1941"/>
      <c r="Y41" s="1942"/>
      <c r="Z41" s="1942"/>
    </row>
    <row r="42" spans="1:26" ht="13.5" thickBot="1">
      <c r="B42" s="1960"/>
      <c r="C42" s="1960"/>
      <c r="D42" s="1960"/>
      <c r="E42" s="1960"/>
      <c r="F42" s="1960"/>
      <c r="G42" s="1960"/>
      <c r="K42" s="1961"/>
      <c r="V42" s="1960"/>
      <c r="W42" s="1960"/>
    </row>
    <row r="43" spans="1:26" s="1943" customFormat="1" ht="21.75" customHeight="1" thickBot="1">
      <c r="A43" s="3056" t="s">
        <v>253</v>
      </c>
      <c r="B43" s="3057"/>
      <c r="C43" s="1939" t="e">
        <f t="shared" ref="C43:J44" si="7">C7+C9+C11+C13+C15+C17+C19+C21+C25+C38</f>
        <v>#REF!</v>
      </c>
      <c r="D43" s="1939" t="e">
        <f t="shared" si="7"/>
        <v>#REF!</v>
      </c>
      <c r="E43" s="1939" t="e">
        <f t="shared" si="7"/>
        <v>#REF!</v>
      </c>
      <c r="F43" s="1939" t="e">
        <f t="shared" si="7"/>
        <v>#REF!</v>
      </c>
      <c r="G43" s="1939" t="e">
        <f t="shared" si="7"/>
        <v>#REF!</v>
      </c>
      <c r="H43" s="1939" t="e">
        <f t="shared" si="7"/>
        <v>#REF!</v>
      </c>
      <c r="I43" s="1939" t="e">
        <f t="shared" si="7"/>
        <v>#REF!</v>
      </c>
      <c r="J43" s="1939" t="e">
        <f t="shared" si="7"/>
        <v>#REF!</v>
      </c>
      <c r="K43" s="1939">
        <f t="shared" ref="K43:V43" si="8">K7+K9+K11+K13+K15+K17+K19+K21+K25+K38+K23+K40</f>
        <v>225981806</v>
      </c>
      <c r="L43" s="1939" t="e">
        <f t="shared" si="8"/>
        <v>#REF!</v>
      </c>
      <c r="M43" s="1939">
        <f t="shared" si="8"/>
        <v>49074618</v>
      </c>
      <c r="N43" s="1939">
        <f t="shared" si="8"/>
        <v>122663024</v>
      </c>
      <c r="O43" s="1939">
        <f t="shared" si="8"/>
        <v>403158557</v>
      </c>
      <c r="P43" s="1939">
        <f t="shared" si="8"/>
        <v>277955241</v>
      </c>
      <c r="Q43" s="1939">
        <f t="shared" si="8"/>
        <v>96941001</v>
      </c>
      <c r="R43" s="1939">
        <f t="shared" si="8"/>
        <v>72889136</v>
      </c>
      <c r="S43" s="1939">
        <f t="shared" si="8"/>
        <v>39657514</v>
      </c>
      <c r="T43" s="1939">
        <f t="shared" si="8"/>
        <v>37124088</v>
      </c>
      <c r="U43" s="1939">
        <f t="shared" si="8"/>
        <v>35648428</v>
      </c>
      <c r="V43" s="1939">
        <f t="shared" si="8"/>
        <v>1361093413</v>
      </c>
      <c r="W43" s="1940">
        <f>N43+O43+P43+Q43+R43+S43+T43+U43</f>
        <v>1086036989</v>
      </c>
      <c r="X43" s="1962"/>
      <c r="Y43" s="1942"/>
      <c r="Z43" s="1942"/>
    </row>
    <row r="44" spans="1:26" s="1943" customFormat="1" ht="21.75" customHeight="1" thickBot="1">
      <c r="A44" s="3046" t="s">
        <v>254</v>
      </c>
      <c r="B44" s="3047"/>
      <c r="C44" s="1944" t="e">
        <f t="shared" si="7"/>
        <v>#REF!</v>
      </c>
      <c r="D44" s="1944" t="e">
        <f t="shared" si="7"/>
        <v>#REF!</v>
      </c>
      <c r="E44" s="1944" t="e">
        <f t="shared" si="7"/>
        <v>#REF!</v>
      </c>
      <c r="F44" s="1944" t="e">
        <f t="shared" si="7"/>
        <v>#REF!</v>
      </c>
      <c r="G44" s="1944" t="e">
        <f t="shared" si="7"/>
        <v>#REF!</v>
      </c>
      <c r="H44" s="1944" t="e">
        <f t="shared" si="7"/>
        <v>#REF!</v>
      </c>
      <c r="I44" s="1944" t="e">
        <f t="shared" si="7"/>
        <v>#REF!</v>
      </c>
      <c r="J44" s="1944" t="e">
        <f t="shared" si="7"/>
        <v>#REF!</v>
      </c>
      <c r="K44" s="1944">
        <f t="shared" ref="K44:V44" si="9">K8+K10+K12+K14+K16+K18+K20+K22+K26+K39+K24+K41</f>
        <v>194327905</v>
      </c>
      <c r="L44" s="1944" t="e">
        <f t="shared" si="9"/>
        <v>#REF!</v>
      </c>
      <c r="M44" s="1944">
        <f t="shared" si="9"/>
        <v>58325430</v>
      </c>
      <c r="N44" s="1944">
        <f t="shared" si="9"/>
        <v>120632583</v>
      </c>
      <c r="O44" s="1944">
        <f t="shared" si="9"/>
        <v>340281851</v>
      </c>
      <c r="P44" s="1944">
        <f t="shared" si="9"/>
        <v>245999277</v>
      </c>
      <c r="Q44" s="1944">
        <f t="shared" si="9"/>
        <v>90759049</v>
      </c>
      <c r="R44" s="1944">
        <f t="shared" si="9"/>
        <v>66627065</v>
      </c>
      <c r="S44" s="1944">
        <f t="shared" si="9"/>
        <v>33706857</v>
      </c>
      <c r="T44" s="1944">
        <f t="shared" si="9"/>
        <v>33241730</v>
      </c>
      <c r="U44" s="1944">
        <f t="shared" si="9"/>
        <v>31983092</v>
      </c>
      <c r="V44" s="1944">
        <f t="shared" si="9"/>
        <v>1215884839</v>
      </c>
      <c r="W44" s="1945" t="s">
        <v>77</v>
      </c>
      <c r="X44" s="1962"/>
      <c r="Y44" s="1942"/>
      <c r="Z44" s="1942"/>
    </row>
    <row r="45" spans="1:26">
      <c r="B45" s="1960"/>
      <c r="C45" s="1960"/>
      <c r="D45" s="1960"/>
      <c r="E45" s="1960"/>
      <c r="F45" s="1960"/>
      <c r="G45" s="1960"/>
      <c r="V45" s="1960"/>
      <c r="W45" s="1960"/>
    </row>
    <row r="46" spans="1:26">
      <c r="A46" s="1960" t="s">
        <v>255</v>
      </c>
      <c r="C46" s="1963" t="e">
        <f>+'Tabela nr 6'!B48</f>
        <v>#REF!</v>
      </c>
      <c r="D46" s="1963" t="e">
        <f>+'Tabela nr 6'!C48</f>
        <v>#REF!</v>
      </c>
      <c r="E46" s="1963" t="e">
        <f>+'Tabela nr 6'!D48</f>
        <v>#REF!</v>
      </c>
      <c r="F46" s="1963" t="e">
        <f>+'Tabela nr 6'!E48</f>
        <v>#REF!</v>
      </c>
      <c r="G46" s="1963" t="e">
        <f>+'Tabela nr 6'!F48</f>
        <v>#REF!</v>
      </c>
      <c r="H46" s="1963" t="e">
        <f>+'Tabela nr 6'!G48</f>
        <v>#REF!</v>
      </c>
      <c r="I46" s="1963" t="e">
        <f>+'Tabela nr 6'!H48</f>
        <v>#REF!</v>
      </c>
      <c r="J46" s="1963" t="e">
        <f>+'Tabela nr 6'!I48</f>
        <v>#REF!</v>
      </c>
      <c r="K46" s="1963">
        <f>+'Tabela nr 6'!J48</f>
        <v>225981806.30000001</v>
      </c>
      <c r="L46" s="1964" t="e">
        <f>+'Tabela nr 6'!K48</f>
        <v>#REF!</v>
      </c>
      <c r="M46" s="1963">
        <f>+'Tabela nr 6'!L48</f>
        <v>49074618</v>
      </c>
      <c r="N46" s="1963">
        <f>+'Tabela nr 6'!M48</f>
        <v>122663024</v>
      </c>
      <c r="O46" s="1963">
        <f>+'Tabela nr 6'!N48</f>
        <v>403158557</v>
      </c>
      <c r="P46" s="1963">
        <f>+'Tabela nr 6'!O48</f>
        <v>277955241</v>
      </c>
      <c r="Q46" s="1963">
        <f>+'Tabela nr 6'!P48</f>
        <v>96941001</v>
      </c>
      <c r="R46" s="1963">
        <f>+'Tabela nr 6'!Q48</f>
        <v>72889136</v>
      </c>
      <c r="S46" s="1963">
        <f>+'Tabela nr 6'!R48</f>
        <v>39657514</v>
      </c>
      <c r="T46" s="1963">
        <f>+'Tabela nr 6'!S48</f>
        <v>37124088</v>
      </c>
      <c r="U46" s="1963">
        <f>+'Tabela nr 6'!T48</f>
        <v>35648428</v>
      </c>
      <c r="V46" s="1963">
        <f>+'Tabela nr 6'!U48</f>
        <v>1361093413.3</v>
      </c>
      <c r="W46" s="1963">
        <f>'Tabela nr 6'!V12</f>
        <v>1086036989</v>
      </c>
    </row>
    <row r="47" spans="1:26">
      <c r="A47" s="1960" t="s">
        <v>256</v>
      </c>
      <c r="C47" s="1963" t="e">
        <f>+'Tabela nr 6'!B49</f>
        <v>#REF!</v>
      </c>
      <c r="D47" s="1963" t="e">
        <f>+'Tabela nr 6'!C49</f>
        <v>#REF!</v>
      </c>
      <c r="E47" s="1963" t="e">
        <f>+'Tabela nr 6'!D49</f>
        <v>#REF!</v>
      </c>
      <c r="F47" s="1963" t="e">
        <f>+'Tabela nr 6'!E49</f>
        <v>#REF!</v>
      </c>
      <c r="G47" s="1963" t="e">
        <f>+'Tabela nr 6'!F49</f>
        <v>#REF!</v>
      </c>
      <c r="H47" s="1963" t="e">
        <f>+'Tabela nr 6'!G49</f>
        <v>#REF!</v>
      </c>
      <c r="I47" s="1963" t="e">
        <f>+'Tabela nr 6'!H49</f>
        <v>#REF!</v>
      </c>
      <c r="J47" s="1963" t="e">
        <f>+'Tabela nr 6'!I49</f>
        <v>#REF!</v>
      </c>
      <c r="K47" s="1963">
        <f>+'Tabela nr 6'!J49</f>
        <v>194327905</v>
      </c>
      <c r="L47" s="1964" t="e">
        <f>+'Tabela nr 6'!K49</f>
        <v>#REF!</v>
      </c>
      <c r="M47" s="1963">
        <f>+'Tabela nr 6'!L49</f>
        <v>58325430</v>
      </c>
      <c r="N47" s="1963">
        <f>+'Tabela nr 6'!M49</f>
        <v>120632583</v>
      </c>
      <c r="O47" s="1963">
        <f>+'Tabela nr 6'!N49</f>
        <v>340281851</v>
      </c>
      <c r="P47" s="1963">
        <f>+'Tabela nr 6'!O49</f>
        <v>245999277</v>
      </c>
      <c r="Q47" s="1963">
        <f>+'Tabela nr 6'!P49</f>
        <v>90759049</v>
      </c>
      <c r="R47" s="1963">
        <f>+'Tabela nr 6'!Q49</f>
        <v>66627065</v>
      </c>
      <c r="S47" s="1963">
        <f>+'Tabela nr 6'!R49</f>
        <v>33706857</v>
      </c>
      <c r="T47" s="1963">
        <f>+'Tabela nr 6'!S49</f>
        <v>33241730</v>
      </c>
      <c r="U47" s="1963">
        <f>+'Tabela nr 6'!T49</f>
        <v>31983092</v>
      </c>
      <c r="V47" s="1963">
        <f>+'Tabela nr 6'!U49</f>
        <v>1215884839</v>
      </c>
      <c r="W47" s="2003"/>
    </row>
    <row r="48" spans="1:26">
      <c r="B48" s="1960"/>
      <c r="C48" s="1960"/>
      <c r="D48" s="1960"/>
      <c r="E48" s="1960"/>
      <c r="F48" s="1960"/>
      <c r="G48" s="1960"/>
      <c r="V48" s="1960"/>
      <c r="W48" s="1960"/>
    </row>
    <row r="49" spans="1:26">
      <c r="B49" s="1960" t="s">
        <v>257</v>
      </c>
      <c r="C49" s="1963" t="e">
        <f>+C44-C47</f>
        <v>#REF!</v>
      </c>
      <c r="D49" s="1963" t="e">
        <f t="shared" ref="D49:N50" si="10">+D43-D46</f>
        <v>#REF!</v>
      </c>
      <c r="E49" s="1963" t="e">
        <f t="shared" si="10"/>
        <v>#REF!</v>
      </c>
      <c r="F49" s="1963" t="e">
        <f t="shared" si="10"/>
        <v>#REF!</v>
      </c>
      <c r="G49" s="1963" t="e">
        <f>+G43-G46</f>
        <v>#REF!</v>
      </c>
      <c r="H49" s="1963" t="e">
        <f t="shared" si="10"/>
        <v>#REF!</v>
      </c>
      <c r="I49" s="1963" t="e">
        <f t="shared" si="10"/>
        <v>#REF!</v>
      </c>
      <c r="J49" s="1963" t="e">
        <f>+J43-J46</f>
        <v>#REF!</v>
      </c>
      <c r="K49" s="1963">
        <f>+K43-K46</f>
        <v>-0.30000001192092896</v>
      </c>
      <c r="L49" s="1964" t="e">
        <f>+L43-L46</f>
        <v>#REF!</v>
      </c>
      <c r="M49" s="1963">
        <f t="shared" si="10"/>
        <v>0</v>
      </c>
      <c r="N49" s="1963">
        <f t="shared" ref="N49:W49" si="11">+N43-N46</f>
        <v>0</v>
      </c>
      <c r="O49" s="1963">
        <f t="shared" si="11"/>
        <v>0</v>
      </c>
      <c r="P49" s="1963">
        <f t="shared" si="11"/>
        <v>0</v>
      </c>
      <c r="Q49" s="1963">
        <f t="shared" si="11"/>
        <v>0</v>
      </c>
      <c r="R49" s="1963">
        <f t="shared" si="11"/>
        <v>0</v>
      </c>
      <c r="S49" s="1963">
        <f t="shared" si="11"/>
        <v>0</v>
      </c>
      <c r="T49" s="1963">
        <f t="shared" si="11"/>
        <v>0</v>
      </c>
      <c r="U49" s="1963">
        <f t="shared" si="11"/>
        <v>0</v>
      </c>
      <c r="V49" s="1963">
        <f t="shared" si="11"/>
        <v>-0.29999995231628418</v>
      </c>
      <c r="W49" s="1963">
        <f t="shared" si="11"/>
        <v>0</v>
      </c>
    </row>
    <row r="50" spans="1:26">
      <c r="B50" s="1960"/>
      <c r="C50" s="1963" t="e">
        <f>+C44-C47</f>
        <v>#REF!</v>
      </c>
      <c r="D50" s="1963" t="e">
        <f t="shared" si="10"/>
        <v>#REF!</v>
      </c>
      <c r="E50" s="1963" t="e">
        <f t="shared" si="10"/>
        <v>#REF!</v>
      </c>
      <c r="F50" s="1963" t="e">
        <f t="shared" si="10"/>
        <v>#REF!</v>
      </c>
      <c r="G50" s="1963" t="e">
        <f t="shared" si="10"/>
        <v>#REF!</v>
      </c>
      <c r="H50" s="1963" t="e">
        <f t="shared" si="10"/>
        <v>#REF!</v>
      </c>
      <c r="I50" s="1963" t="e">
        <f t="shared" si="10"/>
        <v>#REF!</v>
      </c>
      <c r="J50" s="1963" t="e">
        <f t="shared" si="10"/>
        <v>#REF!</v>
      </c>
      <c r="K50" s="1963">
        <f>+K44-K47</f>
        <v>0</v>
      </c>
      <c r="L50" s="1964" t="e">
        <f t="shared" si="10"/>
        <v>#REF!</v>
      </c>
      <c r="M50" s="1963">
        <f t="shared" si="10"/>
        <v>0</v>
      </c>
      <c r="N50" s="1963">
        <f t="shared" si="10"/>
        <v>0</v>
      </c>
      <c r="O50" s="1963">
        <f t="shared" ref="O50:V50" si="12">+O44-O47</f>
        <v>0</v>
      </c>
      <c r="P50" s="1963">
        <f t="shared" si="12"/>
        <v>0</v>
      </c>
      <c r="Q50" s="1963">
        <f t="shared" si="12"/>
        <v>0</v>
      </c>
      <c r="R50" s="1963">
        <f t="shared" si="12"/>
        <v>0</v>
      </c>
      <c r="S50" s="1963">
        <f t="shared" si="12"/>
        <v>0</v>
      </c>
      <c r="T50" s="1963">
        <f t="shared" si="12"/>
        <v>0</v>
      </c>
      <c r="U50" s="1963">
        <f t="shared" si="12"/>
        <v>0</v>
      </c>
      <c r="V50" s="1963">
        <f t="shared" si="12"/>
        <v>0</v>
      </c>
      <c r="W50" s="1963">
        <v>0</v>
      </c>
    </row>
    <row r="51" spans="1:26">
      <c r="B51" s="1960"/>
      <c r="C51" s="1960"/>
      <c r="D51" s="1960"/>
      <c r="E51" s="1960"/>
      <c r="F51" s="1960"/>
      <c r="G51" s="1960"/>
      <c r="K51" s="1963"/>
      <c r="V51" s="1960"/>
      <c r="W51" s="1960"/>
      <c r="X51" s="1919"/>
      <c r="Y51" s="1919"/>
      <c r="Z51" s="1919"/>
    </row>
    <row r="52" spans="1:26">
      <c r="B52" s="1960"/>
      <c r="C52" s="1960"/>
      <c r="D52" s="1960"/>
      <c r="E52" s="1960"/>
      <c r="F52" s="1960"/>
      <c r="G52" s="1960"/>
      <c r="K52" s="1963"/>
      <c r="V52" s="1960"/>
      <c r="W52" s="1960"/>
      <c r="X52" s="1919"/>
      <c r="Y52" s="1919"/>
      <c r="Z52" s="1919"/>
    </row>
    <row r="53" spans="1:26">
      <c r="A53" s="1965"/>
      <c r="B53" s="1960"/>
      <c r="C53" s="1966"/>
      <c r="D53" s="1967"/>
      <c r="E53" s="1967"/>
      <c r="F53" s="1967"/>
      <c r="G53" s="1966"/>
      <c r="H53" s="1966"/>
      <c r="I53" s="1966"/>
      <c r="K53" s="1963"/>
      <c r="Q53" s="1963"/>
      <c r="V53" s="1960"/>
      <c r="W53" s="1960"/>
      <c r="X53" s="1919"/>
      <c r="Y53" s="1919"/>
      <c r="Z53" s="1919"/>
    </row>
    <row r="54" spans="1:26" ht="23.25" customHeight="1">
      <c r="B54" s="1968"/>
      <c r="C54" s="1963"/>
      <c r="D54" s="1960"/>
      <c r="E54" s="1960"/>
      <c r="F54" s="1960"/>
      <c r="G54" s="1963"/>
      <c r="H54" s="1963"/>
      <c r="I54" s="1963"/>
      <c r="K54" s="1963"/>
      <c r="P54" s="1963"/>
      <c r="V54" s="1960"/>
      <c r="W54" s="1960"/>
      <c r="X54" s="1919"/>
      <c r="Y54" s="1919"/>
      <c r="Z54" s="1919"/>
    </row>
    <row r="55" spans="1:26">
      <c r="B55" s="1960"/>
      <c r="C55" s="1960"/>
      <c r="D55" s="1960"/>
      <c r="E55" s="1960"/>
      <c r="F55" s="1960"/>
      <c r="G55" s="1960"/>
      <c r="K55" s="1963"/>
      <c r="V55" s="1960"/>
      <c r="W55" s="1960"/>
      <c r="X55" s="1919"/>
      <c r="Y55" s="1919"/>
      <c r="Z55" s="1919"/>
    </row>
    <row r="56" spans="1:26">
      <c r="A56" s="1969"/>
      <c r="B56" s="1960"/>
      <c r="C56" s="1960"/>
      <c r="D56" s="1960"/>
      <c r="E56" s="1960"/>
      <c r="F56" s="1960"/>
      <c r="G56" s="1960"/>
      <c r="K56" s="1963"/>
      <c r="V56" s="1960"/>
      <c r="W56" s="1960"/>
      <c r="X56" s="1919"/>
      <c r="Y56" s="1919"/>
      <c r="Z56" s="1919"/>
    </row>
    <row r="57" spans="1:26">
      <c r="B57" s="1960"/>
      <c r="C57" s="1963"/>
      <c r="D57" s="1960"/>
      <c r="E57" s="1960"/>
      <c r="F57" s="1960"/>
      <c r="G57" s="1963"/>
      <c r="H57" s="1963"/>
      <c r="I57" s="1963"/>
      <c r="K57" s="1963"/>
      <c r="V57" s="1960"/>
      <c r="W57" s="1960"/>
      <c r="X57" s="1919"/>
      <c r="Y57" s="1919"/>
      <c r="Z57" s="1919"/>
    </row>
    <row r="58" spans="1:26">
      <c r="B58" s="1960"/>
      <c r="C58" s="1963"/>
      <c r="D58" s="1960"/>
      <c r="E58" s="1960"/>
      <c r="F58" s="1960"/>
      <c r="G58" s="1963"/>
      <c r="H58" s="1963"/>
      <c r="I58" s="1963"/>
      <c r="V58" s="1960"/>
      <c r="W58" s="1960"/>
      <c r="X58" s="1919"/>
      <c r="Y58" s="1919"/>
      <c r="Z58" s="1919"/>
    </row>
    <row r="59" spans="1:26">
      <c r="B59" s="1960"/>
      <c r="C59" s="1966"/>
      <c r="D59" s="1967"/>
      <c r="E59" s="1967"/>
      <c r="F59" s="1967"/>
      <c r="G59" s="1966"/>
      <c r="H59" s="1966"/>
      <c r="I59" s="1966"/>
      <c r="V59" s="1960"/>
      <c r="W59" s="1960"/>
      <c r="X59" s="1919"/>
      <c r="Y59" s="1919"/>
      <c r="Z59" s="1919"/>
    </row>
    <row r="60" spans="1:26">
      <c r="B60" s="1960"/>
      <c r="C60" s="1960"/>
      <c r="D60" s="1960"/>
      <c r="E60" s="1960"/>
      <c r="F60" s="1960"/>
      <c r="G60" s="1960"/>
      <c r="V60" s="1960"/>
      <c r="W60" s="1960"/>
      <c r="X60" s="1919"/>
      <c r="Y60" s="1919"/>
      <c r="Z60" s="1919"/>
    </row>
    <row r="61" spans="1:26">
      <c r="A61" s="1969"/>
      <c r="B61" s="1960"/>
      <c r="C61" s="1966"/>
      <c r="D61" s="1967"/>
      <c r="E61" s="1967"/>
      <c r="F61" s="1967"/>
      <c r="G61" s="1966"/>
      <c r="H61" s="1966"/>
      <c r="I61" s="1966"/>
      <c r="V61" s="1960"/>
      <c r="W61" s="1960"/>
      <c r="X61" s="1919"/>
      <c r="Y61" s="1919"/>
      <c r="Z61" s="1919"/>
    </row>
    <row r="62" spans="1:26">
      <c r="B62" s="1968"/>
      <c r="C62" s="1963"/>
      <c r="D62" s="1960"/>
      <c r="E62" s="1960"/>
      <c r="F62" s="1960"/>
      <c r="G62" s="1963"/>
      <c r="V62" s="1960"/>
      <c r="W62" s="1960"/>
      <c r="X62" s="1919"/>
      <c r="Y62" s="1919"/>
      <c r="Z62" s="1919"/>
    </row>
    <row r="63" spans="1:26">
      <c r="B63" s="1960"/>
      <c r="C63" s="1960"/>
      <c r="D63" s="1960"/>
      <c r="E63" s="1960"/>
      <c r="F63" s="1960"/>
      <c r="G63" s="1960"/>
      <c r="V63" s="1960"/>
      <c r="W63" s="1960"/>
      <c r="X63" s="1919"/>
      <c r="Y63" s="1919"/>
      <c r="Z63" s="1919"/>
    </row>
    <row r="64" spans="1:26">
      <c r="B64" s="1960"/>
      <c r="C64" s="1960"/>
      <c r="D64" s="1960"/>
      <c r="E64" s="1960"/>
      <c r="F64" s="1960"/>
      <c r="G64" s="1960"/>
      <c r="V64" s="1960"/>
      <c r="W64" s="1960"/>
      <c r="X64" s="1919"/>
      <c r="Y64" s="1919"/>
      <c r="Z64" s="1919"/>
    </row>
    <row r="65" spans="1:26">
      <c r="A65" s="1919"/>
      <c r="B65" s="1960"/>
      <c r="C65" s="1960"/>
      <c r="D65" s="1960"/>
      <c r="E65" s="1960"/>
      <c r="F65" s="1960"/>
      <c r="G65" s="1960"/>
      <c r="V65" s="1960"/>
      <c r="W65" s="1960"/>
      <c r="X65" s="1919"/>
      <c r="Y65" s="1919"/>
      <c r="Z65" s="1919"/>
    </row>
    <row r="66" spans="1:26">
      <c r="A66" s="1919"/>
      <c r="B66" s="1960"/>
      <c r="C66" s="1960"/>
      <c r="D66" s="1960"/>
      <c r="E66" s="1960"/>
      <c r="F66" s="1960"/>
      <c r="G66" s="1960"/>
      <c r="V66" s="1960"/>
      <c r="W66" s="1960"/>
      <c r="X66" s="1919"/>
      <c r="Y66" s="1919"/>
      <c r="Z66" s="1919"/>
    </row>
    <row r="67" spans="1:26">
      <c r="A67" s="1919"/>
      <c r="B67" s="1960"/>
      <c r="C67" s="1960"/>
      <c r="D67" s="1960"/>
      <c r="E67" s="1960"/>
      <c r="F67" s="1960"/>
      <c r="G67" s="1960"/>
      <c r="V67" s="1960"/>
      <c r="W67" s="1960"/>
      <c r="X67" s="1919"/>
      <c r="Y67" s="1919"/>
      <c r="Z67" s="1919"/>
    </row>
    <row r="68" spans="1:26">
      <c r="A68" s="1919"/>
      <c r="B68" s="1960"/>
      <c r="C68" s="1960"/>
      <c r="D68" s="1960"/>
      <c r="E68" s="1960"/>
      <c r="F68" s="1960"/>
      <c r="G68" s="1960"/>
      <c r="V68" s="1960"/>
      <c r="W68" s="1960"/>
      <c r="X68" s="1919"/>
      <c r="Y68" s="1919"/>
      <c r="Z68" s="1919"/>
    </row>
    <row r="69" spans="1:26">
      <c r="A69" s="1919"/>
      <c r="B69" s="1960"/>
      <c r="C69" s="1960"/>
      <c r="D69" s="1960"/>
      <c r="E69" s="1960"/>
      <c r="F69" s="1960"/>
      <c r="G69" s="1960"/>
      <c r="V69" s="1960"/>
      <c r="W69" s="1960"/>
      <c r="X69" s="1919"/>
      <c r="Y69" s="1919"/>
      <c r="Z69" s="1919"/>
    </row>
    <row r="70" spans="1:26">
      <c r="A70" s="1919"/>
      <c r="B70" s="1960"/>
      <c r="C70" s="1960"/>
      <c r="D70" s="1960"/>
      <c r="E70" s="1960"/>
      <c r="F70" s="1960"/>
      <c r="G70" s="1960"/>
      <c r="V70" s="1960"/>
      <c r="W70" s="1960"/>
      <c r="X70" s="1919"/>
      <c r="Y70" s="1919"/>
      <c r="Z70" s="1919"/>
    </row>
    <row r="71" spans="1:26">
      <c r="A71" s="1919"/>
      <c r="B71" s="1960"/>
      <c r="C71" s="1960"/>
      <c r="D71" s="1960"/>
      <c r="E71" s="1960"/>
      <c r="F71" s="1960"/>
      <c r="G71" s="1960"/>
      <c r="V71" s="1960"/>
      <c r="W71" s="1960"/>
      <c r="X71" s="1919"/>
      <c r="Y71" s="1919"/>
      <c r="Z71" s="1919"/>
    </row>
    <row r="72" spans="1:26">
      <c r="A72" s="1919"/>
      <c r="B72" s="1960"/>
      <c r="C72" s="1960"/>
      <c r="D72" s="1960"/>
      <c r="E72" s="1960"/>
      <c r="F72" s="1960"/>
      <c r="G72" s="1960"/>
      <c r="V72" s="1960"/>
      <c r="W72" s="1960"/>
      <c r="X72" s="1919"/>
      <c r="Y72" s="1919"/>
      <c r="Z72" s="1919"/>
    </row>
    <row r="73" spans="1:26">
      <c r="A73" s="1919"/>
      <c r="B73" s="1960"/>
      <c r="C73" s="1960"/>
      <c r="D73" s="1960"/>
      <c r="E73" s="1960"/>
      <c r="F73" s="1960"/>
      <c r="G73" s="1960"/>
      <c r="V73" s="1960"/>
      <c r="W73" s="1960"/>
      <c r="X73" s="1919"/>
      <c r="Y73" s="1919"/>
      <c r="Z73" s="1919"/>
    </row>
    <row r="74" spans="1:26">
      <c r="A74" s="1919"/>
      <c r="B74" s="1960"/>
      <c r="C74" s="1960"/>
      <c r="D74" s="1960"/>
      <c r="E74" s="1960"/>
      <c r="F74" s="1960"/>
      <c r="G74" s="1960"/>
      <c r="V74" s="1960"/>
      <c r="W74" s="1960"/>
      <c r="X74" s="1919"/>
      <c r="Y74" s="1919"/>
      <c r="Z74" s="1919"/>
    </row>
    <row r="75" spans="1:26">
      <c r="A75" s="1919"/>
      <c r="B75" s="1960"/>
      <c r="C75" s="1960"/>
      <c r="D75" s="1960"/>
      <c r="E75" s="1960"/>
      <c r="F75" s="1960"/>
      <c r="G75" s="1960"/>
      <c r="V75" s="1960"/>
      <c r="W75" s="1960"/>
      <c r="X75" s="1919"/>
      <c r="Y75" s="1919"/>
      <c r="Z75" s="1919"/>
    </row>
    <row r="76" spans="1:26">
      <c r="A76" s="1919"/>
      <c r="B76" s="1960"/>
      <c r="C76" s="1960"/>
      <c r="D76" s="1960"/>
      <c r="E76" s="1960"/>
      <c r="F76" s="1960"/>
      <c r="G76" s="1960"/>
      <c r="V76" s="1960"/>
      <c r="W76" s="1960"/>
      <c r="X76" s="1919"/>
      <c r="Y76" s="1919"/>
      <c r="Z76" s="1919"/>
    </row>
    <row r="77" spans="1:26">
      <c r="A77" s="1919"/>
      <c r="B77" s="1960"/>
      <c r="C77" s="1960"/>
      <c r="D77" s="1960"/>
      <c r="E77" s="1960"/>
      <c r="F77" s="1960"/>
      <c r="G77" s="1960"/>
      <c r="V77" s="1960"/>
      <c r="W77" s="1960"/>
      <c r="X77" s="1919"/>
      <c r="Y77" s="1919"/>
      <c r="Z77" s="1919"/>
    </row>
    <row r="78" spans="1:26">
      <c r="A78" s="1919"/>
      <c r="B78" s="1960"/>
      <c r="C78" s="1960"/>
      <c r="D78" s="1960"/>
      <c r="E78" s="1960"/>
      <c r="F78" s="1960"/>
      <c r="G78" s="1960"/>
      <c r="V78" s="1960"/>
      <c r="W78" s="1960"/>
      <c r="X78" s="1919"/>
      <c r="Y78" s="1919"/>
      <c r="Z78" s="1919"/>
    </row>
    <row r="79" spans="1:26">
      <c r="A79" s="1919"/>
      <c r="B79" s="1960"/>
      <c r="C79" s="1960"/>
      <c r="D79" s="1960"/>
      <c r="E79" s="1960"/>
      <c r="F79" s="1960"/>
      <c r="G79" s="1960"/>
      <c r="V79" s="1960"/>
      <c r="W79" s="1960"/>
      <c r="X79" s="1919"/>
      <c r="Y79" s="1919"/>
      <c r="Z79" s="1919"/>
    </row>
    <row r="80" spans="1:26">
      <c r="A80" s="1919"/>
      <c r="B80" s="1960"/>
      <c r="C80" s="1960"/>
      <c r="D80" s="1960"/>
      <c r="E80" s="1960"/>
      <c r="F80" s="1960"/>
      <c r="G80" s="1960"/>
      <c r="V80" s="1960"/>
      <c r="W80" s="1960"/>
      <c r="X80" s="1919"/>
      <c r="Y80" s="1919"/>
      <c r="Z80" s="1919"/>
    </row>
    <row r="81" spans="1:26">
      <c r="A81" s="1919"/>
      <c r="B81" s="1960"/>
      <c r="C81" s="1960"/>
      <c r="D81" s="1960"/>
      <c r="E81" s="1960"/>
      <c r="F81" s="1960"/>
      <c r="G81" s="1960"/>
      <c r="V81" s="1960"/>
      <c r="W81" s="1960"/>
      <c r="X81" s="1919"/>
      <c r="Y81" s="1919"/>
      <c r="Z81" s="1919"/>
    </row>
    <row r="82" spans="1:26">
      <c r="A82" s="1919"/>
      <c r="B82" s="1960"/>
      <c r="C82" s="1960"/>
      <c r="D82" s="1960"/>
      <c r="E82" s="1960"/>
      <c r="F82" s="1960"/>
      <c r="G82" s="1960"/>
      <c r="V82" s="1960"/>
      <c r="W82" s="1960"/>
      <c r="X82" s="1919"/>
      <c r="Y82" s="1919"/>
      <c r="Z82" s="1919"/>
    </row>
    <row r="83" spans="1:26">
      <c r="A83" s="1919"/>
      <c r="B83" s="1960"/>
      <c r="C83" s="1960"/>
      <c r="D83" s="1960"/>
      <c r="E83" s="1960"/>
      <c r="F83" s="1960"/>
      <c r="G83" s="1960"/>
      <c r="V83" s="1960"/>
      <c r="W83" s="1960"/>
      <c r="X83" s="1919"/>
      <c r="Y83" s="1919"/>
      <c r="Z83" s="1919"/>
    </row>
    <row r="84" spans="1:26">
      <c r="A84" s="1919"/>
      <c r="B84" s="1960"/>
      <c r="C84" s="1960"/>
      <c r="D84" s="1960"/>
      <c r="E84" s="1960"/>
      <c r="F84" s="1960"/>
      <c r="G84" s="1960"/>
      <c r="V84" s="1960"/>
      <c r="W84" s="1960"/>
      <c r="X84" s="1919"/>
      <c r="Y84" s="1919"/>
      <c r="Z84" s="1919"/>
    </row>
    <row r="85" spans="1:26">
      <c r="A85" s="1919"/>
      <c r="B85" s="1960"/>
      <c r="C85" s="1960"/>
      <c r="D85" s="1960"/>
      <c r="E85" s="1960"/>
      <c r="F85" s="1960"/>
      <c r="G85" s="1960"/>
      <c r="V85" s="1960"/>
      <c r="W85" s="1960"/>
      <c r="X85" s="1919"/>
      <c r="Y85" s="1919"/>
      <c r="Z85" s="1919"/>
    </row>
    <row r="86" spans="1:26">
      <c r="A86" s="1919"/>
      <c r="B86" s="1960"/>
      <c r="C86" s="1960"/>
      <c r="D86" s="1960"/>
      <c r="E86" s="1960"/>
      <c r="F86" s="1960"/>
      <c r="G86" s="1960"/>
      <c r="V86" s="1960"/>
      <c r="W86" s="1960"/>
      <c r="X86" s="1919"/>
      <c r="Y86" s="1919"/>
      <c r="Z86" s="1919"/>
    </row>
    <row r="87" spans="1:26">
      <c r="A87" s="1919"/>
      <c r="B87" s="1960"/>
      <c r="C87" s="1960"/>
      <c r="D87" s="1960"/>
      <c r="E87" s="1960"/>
      <c r="F87" s="1960"/>
      <c r="G87" s="1960"/>
      <c r="V87" s="1960"/>
      <c r="W87" s="1960"/>
      <c r="X87" s="1919"/>
      <c r="Y87" s="1919"/>
      <c r="Z87" s="1919"/>
    </row>
    <row r="88" spans="1:26">
      <c r="A88" s="1919"/>
      <c r="B88" s="1960"/>
      <c r="C88" s="1960"/>
      <c r="D88" s="1960"/>
      <c r="E88" s="1960"/>
      <c r="F88" s="1960"/>
      <c r="G88" s="1960"/>
      <c r="V88" s="1960"/>
      <c r="W88" s="1960"/>
      <c r="X88" s="1919"/>
      <c r="Y88" s="1919"/>
      <c r="Z88" s="1919"/>
    </row>
    <row r="89" spans="1:26">
      <c r="A89" s="1919"/>
      <c r="B89" s="1960"/>
      <c r="C89" s="1960"/>
      <c r="D89" s="1960"/>
      <c r="E89" s="1960"/>
      <c r="F89" s="1960"/>
      <c r="G89" s="1960"/>
      <c r="V89" s="1960"/>
      <c r="W89" s="1960"/>
      <c r="X89" s="1919"/>
      <c r="Y89" s="1919"/>
      <c r="Z89" s="1919"/>
    </row>
    <row r="90" spans="1:26">
      <c r="A90" s="1919"/>
      <c r="B90" s="1960"/>
      <c r="C90" s="1960"/>
      <c r="D90" s="1960"/>
      <c r="E90" s="1960"/>
      <c r="F90" s="1960"/>
      <c r="G90" s="1960"/>
      <c r="V90" s="1960"/>
      <c r="W90" s="1960"/>
      <c r="X90" s="1919"/>
      <c r="Y90" s="1919"/>
      <c r="Z90" s="1919"/>
    </row>
    <row r="91" spans="1:26">
      <c r="A91" s="1919"/>
      <c r="B91" s="1960"/>
      <c r="C91" s="1960"/>
      <c r="D91" s="1960"/>
      <c r="E91" s="1960"/>
      <c r="F91" s="1960"/>
      <c r="G91" s="1960"/>
      <c r="V91" s="1960"/>
      <c r="W91" s="1960"/>
      <c r="X91" s="1919"/>
      <c r="Y91" s="1919"/>
      <c r="Z91" s="1919"/>
    </row>
    <row r="92" spans="1:26">
      <c r="A92" s="1919"/>
      <c r="B92" s="1960"/>
      <c r="C92" s="1960"/>
      <c r="D92" s="1960"/>
      <c r="E92" s="1960"/>
      <c r="F92" s="1960"/>
      <c r="G92" s="1960"/>
      <c r="V92" s="1960"/>
      <c r="W92" s="1960"/>
      <c r="X92" s="1919"/>
      <c r="Y92" s="1919"/>
      <c r="Z92" s="1919"/>
    </row>
    <row r="93" spans="1:26">
      <c r="A93" s="1919"/>
      <c r="B93" s="1960"/>
      <c r="C93" s="1960"/>
      <c r="D93" s="1960"/>
      <c r="E93" s="1960"/>
      <c r="F93" s="1960"/>
      <c r="G93" s="1960"/>
      <c r="V93" s="1960"/>
      <c r="W93" s="1960"/>
      <c r="X93" s="1919"/>
      <c r="Y93" s="1919"/>
      <c r="Z93" s="1919"/>
    </row>
    <row r="94" spans="1:26">
      <c r="A94" s="1919"/>
      <c r="B94" s="1960"/>
      <c r="C94" s="1960"/>
      <c r="D94" s="1960"/>
      <c r="E94" s="1960"/>
      <c r="F94" s="1960"/>
      <c r="G94" s="1960"/>
      <c r="V94" s="1960"/>
      <c r="W94" s="1960"/>
      <c r="X94" s="1919"/>
      <c r="Y94" s="1919"/>
      <c r="Z94" s="1919"/>
    </row>
    <row r="95" spans="1:26">
      <c r="A95" s="1919"/>
      <c r="B95" s="1960"/>
      <c r="C95" s="1960"/>
      <c r="D95" s="1960"/>
      <c r="E95" s="1960"/>
      <c r="F95" s="1960"/>
      <c r="G95" s="1960"/>
      <c r="V95" s="1960"/>
      <c r="W95" s="1960"/>
      <c r="X95" s="1919"/>
      <c r="Y95" s="1919"/>
      <c r="Z95" s="1919"/>
    </row>
    <row r="96" spans="1:26">
      <c r="A96" s="1919"/>
      <c r="B96" s="1960"/>
      <c r="C96" s="1960"/>
      <c r="D96" s="1960"/>
      <c r="E96" s="1960"/>
      <c r="F96" s="1960"/>
      <c r="G96" s="1960"/>
      <c r="V96" s="1960"/>
      <c r="W96" s="1960"/>
      <c r="X96" s="1919"/>
      <c r="Y96" s="1919"/>
      <c r="Z96" s="1919"/>
    </row>
    <row r="97" spans="1:26">
      <c r="A97" s="1919"/>
      <c r="B97" s="1960"/>
      <c r="C97" s="1960"/>
      <c r="D97" s="1960"/>
      <c r="E97" s="1960"/>
      <c r="F97" s="1960"/>
      <c r="G97" s="1960"/>
      <c r="V97" s="1960"/>
      <c r="W97" s="1960"/>
      <c r="X97" s="1919"/>
      <c r="Y97" s="1919"/>
      <c r="Z97" s="1919"/>
    </row>
    <row r="98" spans="1:26">
      <c r="A98" s="1919"/>
      <c r="B98" s="1960"/>
      <c r="C98" s="1960"/>
      <c r="D98" s="1960"/>
      <c r="E98" s="1960"/>
      <c r="F98" s="1960"/>
      <c r="G98" s="1960"/>
      <c r="V98" s="1960"/>
      <c r="W98" s="1960"/>
      <c r="X98" s="1919"/>
      <c r="Y98" s="1919"/>
      <c r="Z98" s="1919"/>
    </row>
    <row r="99" spans="1:26">
      <c r="A99" s="1919"/>
      <c r="B99" s="1960"/>
      <c r="C99" s="1960"/>
      <c r="D99" s="1960"/>
      <c r="E99" s="1960"/>
      <c r="F99" s="1960"/>
      <c r="G99" s="1960"/>
      <c r="V99" s="1960"/>
      <c r="W99" s="1960"/>
      <c r="X99" s="1919"/>
      <c r="Y99" s="1919"/>
      <c r="Z99" s="1919"/>
    </row>
    <row r="100" spans="1:26">
      <c r="A100" s="1919"/>
      <c r="B100" s="1960"/>
      <c r="C100" s="1960"/>
      <c r="D100" s="1960"/>
      <c r="E100" s="1960"/>
      <c r="F100" s="1960"/>
      <c r="G100" s="1960"/>
      <c r="V100" s="1960"/>
      <c r="W100" s="1960"/>
      <c r="X100" s="1919"/>
      <c r="Y100" s="1919"/>
      <c r="Z100" s="1919"/>
    </row>
    <row r="101" spans="1:26">
      <c r="A101" s="1919"/>
      <c r="B101" s="1960"/>
      <c r="C101" s="1960"/>
      <c r="D101" s="1960"/>
      <c r="E101" s="1960"/>
      <c r="F101" s="1960"/>
      <c r="G101" s="1960"/>
      <c r="V101" s="1960"/>
      <c r="W101" s="1960"/>
      <c r="X101" s="1919"/>
      <c r="Y101" s="1919"/>
      <c r="Z101" s="1919"/>
    </row>
    <row r="102" spans="1:26">
      <c r="A102" s="1919"/>
      <c r="B102" s="1960"/>
      <c r="C102" s="1960"/>
      <c r="D102" s="1960"/>
      <c r="E102" s="1960"/>
      <c r="F102" s="1960"/>
      <c r="G102" s="1960"/>
      <c r="V102" s="1960"/>
      <c r="W102" s="1960"/>
      <c r="X102" s="1919"/>
      <c r="Y102" s="1919"/>
      <c r="Z102" s="1919"/>
    </row>
    <row r="103" spans="1:26">
      <c r="A103" s="1919"/>
      <c r="B103" s="1960"/>
      <c r="C103" s="1960"/>
      <c r="D103" s="1960"/>
      <c r="E103" s="1960"/>
      <c r="F103" s="1960"/>
      <c r="G103" s="1960"/>
      <c r="V103" s="1960"/>
      <c r="W103" s="1960"/>
      <c r="X103" s="1919"/>
      <c r="Y103" s="1919"/>
      <c r="Z103" s="1919"/>
    </row>
    <row r="104" spans="1:26">
      <c r="A104" s="1919"/>
      <c r="B104" s="1960"/>
      <c r="C104" s="1960"/>
      <c r="D104" s="1960"/>
      <c r="E104" s="1960"/>
      <c r="F104" s="1960"/>
      <c r="G104" s="1960"/>
      <c r="V104" s="1960"/>
      <c r="W104" s="1960"/>
      <c r="X104" s="1919"/>
      <c r="Y104" s="1919"/>
      <c r="Z104" s="1919"/>
    </row>
    <row r="105" spans="1:26">
      <c r="A105" s="1919"/>
      <c r="B105" s="1960"/>
      <c r="C105" s="1960"/>
      <c r="D105" s="1960"/>
      <c r="E105" s="1960"/>
      <c r="F105" s="1960"/>
      <c r="G105" s="1960"/>
      <c r="V105" s="1960"/>
      <c r="W105" s="1960"/>
      <c r="X105" s="1919"/>
      <c r="Y105" s="1919"/>
      <c r="Z105" s="1919"/>
    </row>
    <row r="106" spans="1:26">
      <c r="A106" s="1919"/>
      <c r="B106" s="1960"/>
      <c r="C106" s="1960"/>
      <c r="D106" s="1960"/>
      <c r="E106" s="1960"/>
      <c r="F106" s="1960"/>
      <c r="G106" s="1960"/>
      <c r="V106" s="1960"/>
      <c r="W106" s="1960"/>
      <c r="X106" s="1919"/>
      <c r="Y106" s="1919"/>
      <c r="Z106" s="1919"/>
    </row>
    <row r="107" spans="1:26">
      <c r="A107" s="1919"/>
      <c r="B107" s="1960"/>
      <c r="C107" s="1960"/>
      <c r="D107" s="1960"/>
      <c r="E107" s="1960"/>
      <c r="F107" s="1960"/>
      <c r="G107" s="1960"/>
      <c r="V107" s="1960"/>
      <c r="W107" s="1960"/>
      <c r="X107" s="1919"/>
      <c r="Y107" s="1919"/>
      <c r="Z107" s="1919"/>
    </row>
    <row r="108" spans="1:26">
      <c r="A108" s="1919"/>
      <c r="B108" s="1960"/>
      <c r="C108" s="1960"/>
      <c r="D108" s="1960"/>
      <c r="E108" s="1960"/>
      <c r="F108" s="1960"/>
      <c r="G108" s="1960"/>
      <c r="V108" s="1960"/>
      <c r="W108" s="1960"/>
      <c r="X108" s="1919"/>
      <c r="Y108" s="1919"/>
      <c r="Z108" s="1919"/>
    </row>
    <row r="109" spans="1:26">
      <c r="A109" s="1919"/>
      <c r="B109" s="1960"/>
      <c r="C109" s="1960"/>
      <c r="D109" s="1960"/>
      <c r="E109" s="1960"/>
      <c r="F109" s="1960"/>
      <c r="G109" s="1960"/>
      <c r="V109" s="1960"/>
      <c r="W109" s="1960"/>
      <c r="X109" s="1919"/>
      <c r="Y109" s="1919"/>
      <c r="Z109" s="1919"/>
    </row>
    <row r="110" spans="1:26">
      <c r="A110" s="1919"/>
      <c r="B110" s="1960"/>
      <c r="C110" s="1960"/>
      <c r="D110" s="1960"/>
      <c r="E110" s="1960"/>
      <c r="F110" s="1960"/>
      <c r="G110" s="1960"/>
      <c r="V110" s="1960"/>
      <c r="W110" s="1960"/>
      <c r="X110" s="1919"/>
      <c r="Y110" s="1919"/>
      <c r="Z110" s="1919"/>
    </row>
    <row r="111" spans="1:26">
      <c r="A111" s="1919"/>
      <c r="B111" s="1960"/>
      <c r="C111" s="1960"/>
      <c r="D111" s="1960"/>
      <c r="E111" s="1960"/>
      <c r="F111" s="1960"/>
      <c r="G111" s="1960"/>
      <c r="V111" s="1960"/>
      <c r="W111" s="1960"/>
      <c r="X111" s="1919"/>
      <c r="Y111" s="1919"/>
      <c r="Z111" s="1919"/>
    </row>
    <row r="112" spans="1:26">
      <c r="A112" s="1919"/>
      <c r="B112" s="1960"/>
      <c r="C112" s="1960"/>
      <c r="D112" s="1960"/>
      <c r="E112" s="1960"/>
      <c r="F112" s="1960"/>
      <c r="G112" s="1960"/>
      <c r="V112" s="1960"/>
      <c r="W112" s="1960"/>
      <c r="X112" s="1919"/>
      <c r="Y112" s="1919"/>
      <c r="Z112" s="1919"/>
    </row>
    <row r="113" spans="1:26">
      <c r="A113" s="1919"/>
      <c r="B113" s="1960"/>
      <c r="C113" s="1960"/>
      <c r="D113" s="1960"/>
      <c r="E113" s="1960"/>
      <c r="F113" s="1960"/>
      <c r="G113" s="1960"/>
      <c r="V113" s="1960"/>
      <c r="W113" s="1960"/>
      <c r="X113" s="1919"/>
      <c r="Y113" s="1919"/>
      <c r="Z113" s="1919"/>
    </row>
    <row r="114" spans="1:26">
      <c r="A114" s="1919"/>
      <c r="B114" s="1960"/>
      <c r="C114" s="1960"/>
      <c r="D114" s="1960"/>
      <c r="E114" s="1960"/>
      <c r="F114" s="1960"/>
      <c r="G114" s="1960"/>
      <c r="V114" s="1960"/>
      <c r="W114" s="1960"/>
      <c r="X114" s="1919"/>
      <c r="Y114" s="1919"/>
      <c r="Z114" s="1919"/>
    </row>
    <row r="115" spans="1:26">
      <c r="A115" s="1919"/>
      <c r="B115" s="1960"/>
      <c r="C115" s="1960"/>
      <c r="D115" s="1960"/>
      <c r="E115" s="1960"/>
      <c r="F115" s="1960"/>
      <c r="G115" s="1960"/>
      <c r="V115" s="1960"/>
      <c r="W115" s="1960"/>
      <c r="X115" s="1919"/>
      <c r="Y115" s="1919"/>
      <c r="Z115" s="1919"/>
    </row>
    <row r="116" spans="1:26">
      <c r="A116" s="1919"/>
      <c r="B116" s="1960"/>
      <c r="C116" s="1960"/>
      <c r="D116" s="1960"/>
      <c r="E116" s="1960"/>
      <c r="F116" s="1960"/>
      <c r="G116" s="1960"/>
      <c r="V116" s="1960"/>
      <c r="W116" s="1960"/>
      <c r="X116" s="1919"/>
      <c r="Y116" s="1919"/>
      <c r="Z116" s="1919"/>
    </row>
    <row r="117" spans="1:26">
      <c r="A117" s="1919"/>
      <c r="B117" s="1960"/>
      <c r="C117" s="1960"/>
      <c r="D117" s="1960"/>
      <c r="E117" s="1960"/>
      <c r="F117" s="1960"/>
      <c r="G117" s="1960"/>
      <c r="V117" s="1960"/>
      <c r="W117" s="1960"/>
      <c r="X117" s="1919"/>
      <c r="Y117" s="1919"/>
      <c r="Z117" s="1919"/>
    </row>
    <row r="118" spans="1:26">
      <c r="A118" s="1919"/>
      <c r="B118" s="1960"/>
      <c r="C118" s="1960"/>
      <c r="D118" s="1960"/>
      <c r="E118" s="1960"/>
      <c r="F118" s="1960"/>
      <c r="G118" s="1960"/>
      <c r="V118" s="1960"/>
      <c r="W118" s="1960"/>
      <c r="X118" s="1919"/>
      <c r="Y118" s="1919"/>
      <c r="Z118" s="1919"/>
    </row>
    <row r="119" spans="1:26">
      <c r="A119" s="1919"/>
      <c r="B119" s="1960"/>
      <c r="C119" s="1960"/>
      <c r="D119" s="1960"/>
      <c r="E119" s="1960"/>
      <c r="F119" s="1960"/>
      <c r="G119" s="1960"/>
      <c r="V119" s="1960"/>
      <c r="W119" s="1960"/>
      <c r="X119" s="1919"/>
      <c r="Y119" s="1919"/>
      <c r="Z119" s="1919"/>
    </row>
    <row r="120" spans="1:26">
      <c r="A120" s="1919"/>
      <c r="B120" s="1960"/>
      <c r="C120" s="1960"/>
      <c r="D120" s="1960"/>
      <c r="E120" s="1960"/>
      <c r="F120" s="1960"/>
      <c r="G120" s="1960"/>
      <c r="V120" s="1960"/>
      <c r="W120" s="1960"/>
      <c r="X120" s="1919"/>
      <c r="Y120" s="1919"/>
      <c r="Z120" s="1919"/>
    </row>
    <row r="121" spans="1:26">
      <c r="A121" s="1919"/>
      <c r="B121" s="1960"/>
      <c r="C121" s="1960"/>
      <c r="D121" s="1960"/>
      <c r="E121" s="1960"/>
      <c r="F121" s="1960"/>
      <c r="G121" s="1960"/>
      <c r="V121" s="1960"/>
      <c r="W121" s="1960"/>
      <c r="X121" s="1919"/>
      <c r="Y121" s="1919"/>
      <c r="Z121" s="1919"/>
    </row>
    <row r="122" spans="1:26">
      <c r="A122" s="1919"/>
      <c r="B122" s="1960"/>
      <c r="C122" s="1960"/>
      <c r="D122" s="1960"/>
      <c r="E122" s="1960"/>
      <c r="F122" s="1960"/>
      <c r="G122" s="1960"/>
      <c r="V122" s="1960"/>
      <c r="W122" s="1960"/>
      <c r="X122" s="1919"/>
      <c r="Y122" s="1919"/>
      <c r="Z122" s="1919"/>
    </row>
    <row r="123" spans="1:26">
      <c r="A123" s="1919"/>
      <c r="B123" s="1960"/>
      <c r="C123" s="1960"/>
      <c r="D123" s="1960"/>
      <c r="E123" s="1960"/>
      <c r="F123" s="1960"/>
      <c r="G123" s="1960"/>
      <c r="V123" s="1960"/>
      <c r="W123" s="1960"/>
      <c r="X123" s="1919"/>
      <c r="Y123" s="1919"/>
      <c r="Z123" s="1919"/>
    </row>
    <row r="124" spans="1:26">
      <c r="A124" s="1919"/>
      <c r="B124" s="1960"/>
      <c r="C124" s="1960"/>
      <c r="D124" s="1960"/>
      <c r="E124" s="1960"/>
      <c r="F124" s="1960"/>
      <c r="G124" s="1960"/>
      <c r="V124" s="1960"/>
      <c r="W124" s="1960"/>
      <c r="X124" s="1919"/>
      <c r="Y124" s="1919"/>
      <c r="Z124" s="1919"/>
    </row>
    <row r="125" spans="1:26">
      <c r="A125" s="1919"/>
      <c r="B125" s="1960"/>
      <c r="C125" s="1960"/>
      <c r="D125" s="1960"/>
      <c r="E125" s="1960"/>
      <c r="F125" s="1960"/>
      <c r="G125" s="1960"/>
      <c r="V125" s="1960"/>
      <c r="W125" s="1960"/>
      <c r="X125" s="1919"/>
      <c r="Y125" s="1919"/>
      <c r="Z125" s="1919"/>
    </row>
    <row r="126" spans="1:26">
      <c r="A126" s="1919"/>
      <c r="B126" s="1960"/>
      <c r="C126" s="1960"/>
      <c r="D126" s="1960"/>
      <c r="E126" s="1960"/>
      <c r="F126" s="1960"/>
      <c r="G126" s="1960"/>
      <c r="V126" s="1960"/>
      <c r="W126" s="1960"/>
      <c r="X126" s="1919"/>
      <c r="Y126" s="1919"/>
      <c r="Z126" s="1919"/>
    </row>
    <row r="127" spans="1:26">
      <c r="A127" s="1919"/>
      <c r="B127" s="1960"/>
      <c r="C127" s="1960"/>
      <c r="D127" s="1960"/>
      <c r="E127" s="1960"/>
      <c r="F127" s="1960"/>
      <c r="G127" s="1960"/>
      <c r="V127" s="1960"/>
      <c r="W127" s="1960"/>
      <c r="X127" s="1919"/>
      <c r="Y127" s="1919"/>
      <c r="Z127" s="1919"/>
    </row>
    <row r="128" spans="1:26">
      <c r="A128" s="1919"/>
      <c r="B128" s="1960"/>
      <c r="C128" s="1960"/>
      <c r="D128" s="1960"/>
      <c r="E128" s="1960"/>
      <c r="F128" s="1960"/>
      <c r="G128" s="1960"/>
      <c r="V128" s="1960"/>
      <c r="W128" s="1960"/>
      <c r="X128" s="1919"/>
      <c r="Y128" s="1919"/>
      <c r="Z128" s="1919"/>
    </row>
    <row r="129" spans="1:26">
      <c r="A129" s="1919"/>
      <c r="B129" s="1960"/>
      <c r="C129" s="1960"/>
      <c r="D129" s="1960"/>
      <c r="E129" s="1960"/>
      <c r="F129" s="1960"/>
      <c r="G129" s="1960"/>
      <c r="V129" s="1960"/>
      <c r="W129" s="1960"/>
      <c r="X129" s="1919"/>
      <c r="Y129" s="1919"/>
      <c r="Z129" s="1919"/>
    </row>
    <row r="130" spans="1:26">
      <c r="A130" s="1919"/>
      <c r="B130" s="1960"/>
      <c r="C130" s="1960"/>
      <c r="D130" s="1960"/>
      <c r="E130" s="1960"/>
      <c r="F130" s="1960"/>
      <c r="G130" s="1960"/>
      <c r="V130" s="1960"/>
      <c r="W130" s="1960"/>
      <c r="X130" s="1919"/>
      <c r="Y130" s="1919"/>
      <c r="Z130" s="1919"/>
    </row>
    <row r="131" spans="1:26">
      <c r="A131" s="1919"/>
      <c r="B131" s="1960"/>
      <c r="C131" s="1960"/>
      <c r="D131" s="1960"/>
      <c r="E131" s="1960"/>
      <c r="F131" s="1960"/>
      <c r="G131" s="1960"/>
      <c r="V131" s="1960"/>
      <c r="W131" s="1960"/>
      <c r="X131" s="1919"/>
      <c r="Y131" s="1919"/>
      <c r="Z131" s="1919"/>
    </row>
    <row r="132" spans="1:26">
      <c r="A132" s="1919"/>
      <c r="B132" s="1960"/>
      <c r="C132" s="1960"/>
      <c r="D132" s="1960"/>
      <c r="E132" s="1960"/>
      <c r="F132" s="1960"/>
      <c r="G132" s="1960"/>
      <c r="V132" s="1960"/>
      <c r="W132" s="1960"/>
      <c r="X132" s="1919"/>
      <c r="Y132" s="1919"/>
      <c r="Z132" s="1919"/>
    </row>
    <row r="133" spans="1:26">
      <c r="A133" s="1919"/>
      <c r="B133" s="1960"/>
      <c r="C133" s="1960"/>
      <c r="D133" s="1960"/>
      <c r="E133" s="1960"/>
      <c r="F133" s="1960"/>
      <c r="G133" s="1960"/>
      <c r="V133" s="1960"/>
      <c r="W133" s="1960"/>
      <c r="X133" s="1919"/>
      <c r="Y133" s="1919"/>
      <c r="Z133" s="1919"/>
    </row>
    <row r="134" spans="1:26">
      <c r="A134" s="1919"/>
      <c r="B134" s="1960"/>
      <c r="C134" s="1960"/>
      <c r="D134" s="1960"/>
      <c r="E134" s="1960"/>
      <c r="F134" s="1960"/>
      <c r="G134" s="1960"/>
      <c r="V134" s="1960"/>
      <c r="W134" s="1960"/>
      <c r="X134" s="1919"/>
      <c r="Y134" s="1919"/>
      <c r="Z134" s="1919"/>
    </row>
    <row r="135" spans="1:26">
      <c r="A135" s="1919"/>
      <c r="B135" s="1960"/>
      <c r="C135" s="1960"/>
      <c r="D135" s="1960"/>
      <c r="E135" s="1960"/>
      <c r="F135" s="1960"/>
      <c r="G135" s="1960"/>
      <c r="V135" s="1960"/>
      <c r="W135" s="1960"/>
      <c r="X135" s="1919"/>
      <c r="Y135" s="1919"/>
      <c r="Z135" s="1919"/>
    </row>
    <row r="136" spans="1:26">
      <c r="A136" s="1919"/>
      <c r="B136" s="1960"/>
      <c r="C136" s="1960"/>
      <c r="D136" s="1960"/>
      <c r="E136" s="1960"/>
      <c r="F136" s="1960"/>
      <c r="G136" s="1960"/>
      <c r="V136" s="1960"/>
      <c r="W136" s="1960"/>
      <c r="X136" s="1919"/>
      <c r="Y136" s="1919"/>
      <c r="Z136" s="1919"/>
    </row>
    <row r="137" spans="1:26">
      <c r="A137" s="1919"/>
      <c r="B137" s="1960"/>
      <c r="C137" s="1960"/>
      <c r="D137" s="1960"/>
      <c r="E137" s="1960"/>
      <c r="F137" s="1960"/>
      <c r="G137" s="1960"/>
      <c r="V137" s="1960"/>
      <c r="W137" s="1960"/>
      <c r="X137" s="1919"/>
      <c r="Y137" s="1919"/>
      <c r="Z137" s="1919"/>
    </row>
    <row r="138" spans="1:26">
      <c r="A138" s="1919"/>
      <c r="B138" s="1960"/>
      <c r="C138" s="1960"/>
      <c r="D138" s="1960"/>
      <c r="E138" s="1960"/>
      <c r="F138" s="1960"/>
      <c r="G138" s="1960"/>
      <c r="V138" s="1960"/>
      <c r="W138" s="1960"/>
      <c r="X138" s="1919"/>
      <c r="Y138" s="1919"/>
      <c r="Z138" s="1919"/>
    </row>
    <row r="139" spans="1:26">
      <c r="A139" s="1919"/>
      <c r="B139" s="1960"/>
      <c r="C139" s="1960"/>
      <c r="D139" s="1960"/>
      <c r="E139" s="1960"/>
      <c r="F139" s="1960"/>
      <c r="G139" s="1960"/>
      <c r="V139" s="1960"/>
      <c r="W139" s="1960"/>
      <c r="X139" s="1919"/>
      <c r="Y139" s="1919"/>
      <c r="Z139" s="1919"/>
    </row>
    <row r="140" spans="1:26">
      <c r="A140" s="1919"/>
      <c r="B140" s="1960"/>
      <c r="C140" s="1960"/>
      <c r="D140" s="1960"/>
      <c r="E140" s="1960"/>
      <c r="F140" s="1960"/>
      <c r="G140" s="1960"/>
      <c r="V140" s="1960"/>
      <c r="W140" s="1960"/>
      <c r="X140" s="1919"/>
      <c r="Y140" s="1919"/>
      <c r="Z140" s="1919"/>
    </row>
    <row r="141" spans="1:26">
      <c r="A141" s="1919"/>
      <c r="B141" s="1960"/>
      <c r="C141" s="1960"/>
      <c r="D141" s="1960"/>
      <c r="E141" s="1960"/>
      <c r="F141" s="1960"/>
      <c r="G141" s="1960"/>
      <c r="V141" s="1960"/>
      <c r="W141" s="1960"/>
      <c r="X141" s="1919"/>
      <c r="Y141" s="1919"/>
      <c r="Z141" s="1919"/>
    </row>
    <row r="142" spans="1:26">
      <c r="A142" s="1919"/>
      <c r="B142" s="1960"/>
      <c r="C142" s="1960"/>
      <c r="D142" s="1960"/>
      <c r="E142" s="1960"/>
      <c r="F142" s="1960"/>
      <c r="G142" s="1960"/>
      <c r="V142" s="1960"/>
      <c r="W142" s="1960"/>
      <c r="X142" s="1919"/>
      <c r="Y142" s="1919"/>
      <c r="Z142" s="1919"/>
    </row>
    <row r="143" spans="1:26">
      <c r="A143" s="1919"/>
      <c r="B143" s="1960"/>
      <c r="C143" s="1960"/>
      <c r="D143" s="1960"/>
      <c r="E143" s="1960"/>
      <c r="F143" s="1960"/>
      <c r="G143" s="1960"/>
      <c r="V143" s="1960"/>
      <c r="W143" s="1960"/>
      <c r="X143" s="1919"/>
      <c r="Y143" s="1919"/>
      <c r="Z143" s="1919"/>
    </row>
    <row r="144" spans="1:26">
      <c r="A144" s="1919"/>
      <c r="B144" s="1960"/>
      <c r="C144" s="1960"/>
      <c r="D144" s="1960"/>
      <c r="E144" s="1960"/>
      <c r="F144" s="1960"/>
      <c r="G144" s="1960"/>
      <c r="V144" s="1960"/>
      <c r="W144" s="1960"/>
      <c r="X144" s="1919"/>
      <c r="Y144" s="1919"/>
      <c r="Z144" s="1919"/>
    </row>
    <row r="145" spans="1:26">
      <c r="A145" s="1919"/>
      <c r="B145" s="1960"/>
      <c r="C145" s="1960"/>
      <c r="D145" s="1960"/>
      <c r="E145" s="1960"/>
      <c r="F145" s="1960"/>
      <c r="G145" s="1960"/>
      <c r="V145" s="1960"/>
      <c r="W145" s="1960"/>
      <c r="X145" s="1919"/>
      <c r="Y145" s="1919"/>
      <c r="Z145" s="1919"/>
    </row>
    <row r="146" spans="1:26">
      <c r="A146" s="1919"/>
      <c r="B146" s="1960"/>
      <c r="C146" s="1960"/>
      <c r="D146" s="1960"/>
      <c r="E146" s="1960"/>
      <c r="F146" s="1960"/>
      <c r="G146" s="1960"/>
      <c r="V146" s="1960"/>
      <c r="W146" s="1960"/>
      <c r="X146" s="1919"/>
      <c r="Y146" s="1919"/>
      <c r="Z146" s="1919"/>
    </row>
    <row r="147" spans="1:26">
      <c r="A147" s="1919"/>
      <c r="B147" s="1960"/>
      <c r="C147" s="1960"/>
      <c r="D147" s="1960"/>
      <c r="E147" s="1960"/>
      <c r="F147" s="1960"/>
      <c r="G147" s="1960"/>
      <c r="V147" s="1960"/>
      <c r="W147" s="1960"/>
      <c r="X147" s="1919"/>
      <c r="Y147" s="1919"/>
      <c r="Z147" s="1919"/>
    </row>
    <row r="148" spans="1:26">
      <c r="A148" s="1919"/>
      <c r="B148" s="1960"/>
      <c r="C148" s="1960"/>
      <c r="D148" s="1960"/>
      <c r="E148" s="1960"/>
      <c r="F148" s="1960"/>
      <c r="G148" s="1960"/>
      <c r="V148" s="1960"/>
      <c r="W148" s="1960"/>
      <c r="X148" s="1919"/>
      <c r="Y148" s="1919"/>
      <c r="Z148" s="1919"/>
    </row>
    <row r="149" spans="1:26">
      <c r="A149" s="1919"/>
      <c r="B149" s="1960"/>
      <c r="C149" s="1960"/>
      <c r="D149" s="1960"/>
      <c r="E149" s="1960"/>
      <c r="F149" s="1960"/>
      <c r="G149" s="1960"/>
      <c r="V149" s="1960"/>
      <c r="W149" s="1960"/>
      <c r="X149" s="1919"/>
      <c r="Y149" s="1919"/>
      <c r="Z149" s="1919"/>
    </row>
    <row r="150" spans="1:26">
      <c r="A150" s="1919"/>
      <c r="B150" s="1960"/>
      <c r="C150" s="1960"/>
      <c r="D150" s="1960"/>
      <c r="E150" s="1960"/>
      <c r="F150" s="1960"/>
      <c r="G150" s="1960"/>
      <c r="V150" s="1960"/>
      <c r="W150" s="1960"/>
      <c r="X150" s="1919"/>
      <c r="Y150" s="1919"/>
      <c r="Z150" s="1919"/>
    </row>
    <row r="151" spans="1:26">
      <c r="A151" s="1919"/>
      <c r="B151" s="1960"/>
      <c r="C151" s="1960"/>
      <c r="D151" s="1960"/>
      <c r="E151" s="1960"/>
      <c r="F151" s="1960"/>
      <c r="G151" s="1960"/>
      <c r="V151" s="1960"/>
      <c r="W151" s="1960"/>
      <c r="X151" s="1919"/>
      <c r="Y151" s="1919"/>
      <c r="Z151" s="1919"/>
    </row>
    <row r="152" spans="1:26">
      <c r="A152" s="1919"/>
      <c r="B152" s="1960"/>
      <c r="C152" s="1960"/>
      <c r="D152" s="1960"/>
      <c r="E152" s="1960"/>
      <c r="F152" s="1960"/>
      <c r="G152" s="1960"/>
      <c r="V152" s="1960"/>
      <c r="W152" s="1960"/>
      <c r="X152" s="1919"/>
      <c r="Y152" s="1919"/>
      <c r="Z152" s="1919"/>
    </row>
    <row r="153" spans="1:26">
      <c r="A153" s="1919"/>
      <c r="B153" s="1960"/>
      <c r="C153" s="1960"/>
      <c r="D153" s="1960"/>
      <c r="E153" s="1960"/>
      <c r="F153" s="1960"/>
      <c r="G153" s="1960"/>
      <c r="V153" s="1960"/>
      <c r="W153" s="1960"/>
      <c r="X153" s="1919"/>
      <c r="Y153" s="1919"/>
      <c r="Z153" s="1919"/>
    </row>
    <row r="154" spans="1:26">
      <c r="A154" s="1919"/>
      <c r="B154" s="1960"/>
      <c r="C154" s="1960"/>
      <c r="D154" s="1960"/>
      <c r="E154" s="1960"/>
      <c r="F154" s="1960"/>
      <c r="G154" s="1960"/>
      <c r="V154" s="1960"/>
      <c r="W154" s="1960"/>
      <c r="X154" s="1919"/>
      <c r="Y154" s="1919"/>
      <c r="Z154" s="1919"/>
    </row>
    <row r="155" spans="1:26">
      <c r="A155" s="1919"/>
      <c r="B155" s="1960"/>
      <c r="C155" s="1960"/>
      <c r="D155" s="1960"/>
      <c r="E155" s="1960"/>
      <c r="F155" s="1960"/>
      <c r="G155" s="1960"/>
      <c r="V155" s="1960"/>
      <c r="W155" s="1960"/>
      <c r="X155" s="1919"/>
      <c r="Y155" s="1919"/>
      <c r="Z155" s="1919"/>
    </row>
    <row r="156" spans="1:26">
      <c r="A156" s="1919"/>
      <c r="B156" s="1960"/>
      <c r="C156" s="1960"/>
      <c r="D156" s="1960"/>
      <c r="E156" s="1960"/>
      <c r="F156" s="1960"/>
      <c r="G156" s="1960"/>
      <c r="V156" s="1960"/>
      <c r="W156" s="1960"/>
      <c r="X156" s="1919"/>
      <c r="Y156" s="1919"/>
      <c r="Z156" s="1919"/>
    </row>
    <row r="157" spans="1:26">
      <c r="A157" s="1919"/>
      <c r="B157" s="1960"/>
      <c r="C157" s="1960"/>
      <c r="D157" s="1960"/>
      <c r="E157" s="1960"/>
      <c r="F157" s="1960"/>
      <c r="G157" s="1960"/>
      <c r="V157" s="1960"/>
      <c r="W157" s="1960"/>
      <c r="X157" s="1919"/>
      <c r="Y157" s="1919"/>
      <c r="Z157" s="1919"/>
    </row>
    <row r="158" spans="1:26">
      <c r="A158" s="1919"/>
      <c r="B158" s="1960"/>
      <c r="C158" s="1960"/>
      <c r="D158" s="1960"/>
      <c r="E158" s="1960"/>
      <c r="F158" s="1960"/>
      <c r="G158" s="1960"/>
      <c r="V158" s="1960"/>
      <c r="W158" s="1960"/>
      <c r="X158" s="1919"/>
      <c r="Y158" s="1919"/>
      <c r="Z158" s="1919"/>
    </row>
    <row r="159" spans="1:26">
      <c r="A159" s="1919"/>
      <c r="B159" s="1960"/>
      <c r="C159" s="1960"/>
      <c r="D159" s="1960"/>
      <c r="E159" s="1960"/>
      <c r="F159" s="1960"/>
      <c r="G159" s="1960"/>
      <c r="V159" s="1960"/>
      <c r="W159" s="1960"/>
      <c r="X159" s="1919"/>
      <c r="Y159" s="1919"/>
      <c r="Z159" s="1919"/>
    </row>
    <row r="160" spans="1:26">
      <c r="A160" s="1919"/>
      <c r="B160" s="1960"/>
      <c r="C160" s="1960"/>
      <c r="D160" s="1960"/>
      <c r="E160" s="1960"/>
      <c r="F160" s="1960"/>
      <c r="G160" s="1960"/>
      <c r="V160" s="1960"/>
      <c r="W160" s="1960"/>
      <c r="X160" s="1919"/>
      <c r="Y160" s="1919"/>
      <c r="Z160" s="1919"/>
    </row>
    <row r="161" spans="1:26">
      <c r="A161" s="1919"/>
      <c r="B161" s="1960"/>
      <c r="C161" s="1960"/>
      <c r="D161" s="1960"/>
      <c r="E161" s="1960"/>
      <c r="F161" s="1960"/>
      <c r="G161" s="1960"/>
      <c r="V161" s="1960"/>
      <c r="W161" s="1960"/>
      <c r="X161" s="1919"/>
      <c r="Y161" s="1919"/>
      <c r="Z161" s="1919"/>
    </row>
    <row r="162" spans="1:26">
      <c r="A162" s="1919"/>
      <c r="B162" s="1960"/>
      <c r="C162" s="1960"/>
      <c r="D162" s="1960"/>
      <c r="E162" s="1960"/>
      <c r="F162" s="1960"/>
      <c r="G162" s="1960"/>
      <c r="V162" s="1960"/>
      <c r="W162" s="1960"/>
      <c r="X162" s="1919"/>
      <c r="Y162" s="1919"/>
      <c r="Z162" s="1919"/>
    </row>
    <row r="163" spans="1:26">
      <c r="A163" s="1919"/>
      <c r="B163" s="1960"/>
      <c r="C163" s="1960"/>
      <c r="D163" s="1960"/>
      <c r="E163" s="1960"/>
      <c r="F163" s="1960"/>
      <c r="G163" s="1960"/>
      <c r="V163" s="1960"/>
      <c r="W163" s="1960"/>
      <c r="X163" s="1919"/>
      <c r="Y163" s="1919"/>
      <c r="Z163" s="1919"/>
    </row>
    <row r="164" spans="1:26">
      <c r="A164" s="1919"/>
      <c r="B164" s="1960"/>
      <c r="C164" s="1960"/>
      <c r="D164" s="1960"/>
      <c r="E164" s="1960"/>
      <c r="F164" s="1960"/>
      <c r="G164" s="1960"/>
      <c r="V164" s="1960"/>
      <c r="W164" s="1960"/>
      <c r="X164" s="1919"/>
      <c r="Y164" s="1919"/>
      <c r="Z164" s="1919"/>
    </row>
    <row r="165" spans="1:26">
      <c r="A165" s="1919"/>
      <c r="B165" s="1960"/>
      <c r="C165" s="1960"/>
      <c r="D165" s="1960"/>
      <c r="E165" s="1960"/>
      <c r="F165" s="1960"/>
      <c r="G165" s="1960"/>
      <c r="V165" s="1960"/>
      <c r="W165" s="1960"/>
      <c r="X165" s="1919"/>
      <c r="Y165" s="1919"/>
      <c r="Z165" s="1919"/>
    </row>
    <row r="166" spans="1:26">
      <c r="A166" s="1919"/>
      <c r="B166" s="1960"/>
      <c r="C166" s="1960"/>
      <c r="D166" s="1960"/>
      <c r="E166" s="1960"/>
      <c r="F166" s="1960"/>
      <c r="G166" s="1960"/>
      <c r="V166" s="1960"/>
      <c r="W166" s="1960"/>
      <c r="X166" s="1919"/>
      <c r="Y166" s="1919"/>
      <c r="Z166" s="1919"/>
    </row>
    <row r="167" spans="1:26">
      <c r="A167" s="1919"/>
      <c r="B167" s="1960"/>
      <c r="C167" s="1960"/>
      <c r="D167" s="1960"/>
      <c r="E167" s="1960"/>
      <c r="F167" s="1960"/>
      <c r="G167" s="1960"/>
      <c r="V167" s="1960"/>
      <c r="W167" s="1960"/>
      <c r="X167" s="1919"/>
      <c r="Y167" s="1919"/>
      <c r="Z167" s="1919"/>
    </row>
    <row r="168" spans="1:26">
      <c r="A168" s="1919"/>
      <c r="B168" s="1960"/>
      <c r="C168" s="1960"/>
      <c r="D168" s="1960"/>
      <c r="E168" s="1960"/>
      <c r="F168" s="1960"/>
      <c r="G168" s="1960"/>
      <c r="V168" s="1960"/>
      <c r="W168" s="1960"/>
      <c r="X168" s="1919"/>
      <c r="Y168" s="1919"/>
      <c r="Z168" s="1919"/>
    </row>
    <row r="169" spans="1:26">
      <c r="A169" s="1919"/>
      <c r="B169" s="1960"/>
      <c r="C169" s="1960"/>
      <c r="D169" s="1960"/>
      <c r="E169" s="1960"/>
      <c r="F169" s="1960"/>
      <c r="G169" s="1960"/>
      <c r="V169" s="1960"/>
      <c r="W169" s="1960"/>
      <c r="X169" s="1919"/>
      <c r="Y169" s="1919"/>
      <c r="Z169" s="1919"/>
    </row>
    <row r="170" spans="1:26">
      <c r="A170" s="1919"/>
      <c r="B170" s="1960"/>
      <c r="C170" s="1960"/>
      <c r="D170" s="1960"/>
      <c r="E170" s="1960"/>
      <c r="F170" s="1960"/>
      <c r="G170" s="1960"/>
      <c r="V170" s="1960"/>
      <c r="W170" s="1960"/>
      <c r="X170" s="1919"/>
      <c r="Y170" s="1919"/>
      <c r="Z170" s="1919"/>
    </row>
    <row r="171" spans="1:26">
      <c r="A171" s="1919"/>
      <c r="B171" s="1960"/>
      <c r="C171" s="1960"/>
      <c r="D171" s="1960"/>
      <c r="E171" s="1960"/>
      <c r="F171" s="1960"/>
      <c r="G171" s="1960"/>
      <c r="V171" s="1960"/>
      <c r="W171" s="1960"/>
      <c r="X171" s="1919"/>
      <c r="Y171" s="1919"/>
      <c r="Z171" s="1919"/>
    </row>
    <row r="172" spans="1:26">
      <c r="A172" s="1919"/>
      <c r="B172" s="1960"/>
      <c r="C172" s="1960"/>
      <c r="D172" s="1960"/>
      <c r="E172" s="1960"/>
      <c r="F172" s="1960"/>
      <c r="G172" s="1960"/>
      <c r="V172" s="1960"/>
      <c r="W172" s="1960"/>
      <c r="X172" s="1919"/>
      <c r="Y172" s="1919"/>
      <c r="Z172" s="1919"/>
    </row>
    <row r="173" spans="1:26">
      <c r="A173" s="1919"/>
      <c r="B173" s="1960"/>
      <c r="C173" s="1960"/>
      <c r="D173" s="1960"/>
      <c r="E173" s="1960"/>
      <c r="F173" s="1960"/>
      <c r="G173" s="1960"/>
      <c r="V173" s="1960"/>
      <c r="W173" s="1960"/>
      <c r="X173" s="1919"/>
      <c r="Y173" s="1919"/>
      <c r="Z173" s="1919"/>
    </row>
    <row r="174" spans="1:26">
      <c r="A174" s="1919"/>
      <c r="B174" s="1960"/>
      <c r="C174" s="1960"/>
      <c r="D174" s="1960"/>
      <c r="E174" s="1960"/>
      <c r="F174" s="1960"/>
      <c r="G174" s="1960"/>
      <c r="V174" s="1960"/>
      <c r="W174" s="1960"/>
      <c r="X174" s="1919"/>
      <c r="Y174" s="1919"/>
      <c r="Z174" s="1919"/>
    </row>
    <row r="175" spans="1:26">
      <c r="A175" s="1919"/>
      <c r="B175" s="1960"/>
      <c r="C175" s="1960"/>
      <c r="D175" s="1960"/>
      <c r="E175" s="1960"/>
      <c r="F175" s="1960"/>
      <c r="G175" s="1960"/>
      <c r="V175" s="1960"/>
      <c r="W175" s="1960"/>
      <c r="X175" s="1919"/>
      <c r="Y175" s="1919"/>
      <c r="Z175" s="1919"/>
    </row>
    <row r="176" spans="1:26">
      <c r="A176" s="1919"/>
      <c r="B176" s="1960"/>
      <c r="C176" s="1960"/>
      <c r="D176" s="1960"/>
      <c r="E176" s="1960"/>
      <c r="F176" s="1960"/>
      <c r="G176" s="1960"/>
      <c r="V176" s="1960"/>
      <c r="W176" s="1960"/>
      <c r="X176" s="1919"/>
      <c r="Y176" s="1919"/>
      <c r="Z176" s="1919"/>
    </row>
    <row r="177" spans="1:26">
      <c r="A177" s="1919"/>
      <c r="B177" s="1960"/>
      <c r="C177" s="1960"/>
      <c r="D177" s="1960"/>
      <c r="E177" s="1960"/>
      <c r="F177" s="1960"/>
      <c r="G177" s="1960"/>
      <c r="V177" s="1960"/>
      <c r="W177" s="1960"/>
      <c r="X177" s="1919"/>
      <c r="Y177" s="1919"/>
      <c r="Z177" s="1919"/>
    </row>
    <row r="178" spans="1:26">
      <c r="A178" s="1919"/>
      <c r="B178" s="1960"/>
      <c r="C178" s="1960"/>
      <c r="D178" s="1960"/>
      <c r="E178" s="1960"/>
      <c r="F178" s="1960"/>
      <c r="G178" s="1960"/>
      <c r="V178" s="1960"/>
      <c r="W178" s="1960"/>
      <c r="X178" s="1919"/>
      <c r="Y178" s="1919"/>
      <c r="Z178" s="1919"/>
    </row>
    <row r="179" spans="1:26">
      <c r="A179" s="1919"/>
      <c r="B179" s="1960"/>
      <c r="C179" s="1960"/>
      <c r="D179" s="1960"/>
      <c r="E179" s="1960"/>
      <c r="F179" s="1960"/>
      <c r="G179" s="1960"/>
      <c r="V179" s="1960"/>
      <c r="W179" s="1960"/>
      <c r="X179" s="1919"/>
      <c r="Y179" s="1919"/>
      <c r="Z179" s="1919"/>
    </row>
    <row r="180" spans="1:26">
      <c r="A180" s="1919"/>
      <c r="B180" s="1960"/>
      <c r="C180" s="1960"/>
      <c r="D180" s="1960"/>
      <c r="E180" s="1960"/>
      <c r="F180" s="1960"/>
      <c r="G180" s="1960"/>
      <c r="V180" s="1960"/>
      <c r="W180" s="1960"/>
      <c r="X180" s="1919"/>
      <c r="Y180" s="1919"/>
      <c r="Z180" s="1919"/>
    </row>
    <row r="181" spans="1:26">
      <c r="A181" s="1919"/>
      <c r="B181" s="1960"/>
      <c r="C181" s="1960"/>
      <c r="D181" s="1960"/>
      <c r="E181" s="1960"/>
      <c r="F181" s="1960"/>
      <c r="G181" s="1960"/>
      <c r="V181" s="1960"/>
      <c r="W181" s="1960"/>
      <c r="X181" s="1919"/>
      <c r="Y181" s="1919"/>
      <c r="Z181" s="1919"/>
    </row>
    <row r="182" spans="1:26">
      <c r="A182" s="1919"/>
      <c r="B182" s="1960"/>
      <c r="C182" s="1960"/>
      <c r="D182" s="1960"/>
      <c r="E182" s="1960"/>
      <c r="F182" s="1960"/>
      <c r="G182" s="1960"/>
      <c r="V182" s="1960"/>
      <c r="W182" s="1960"/>
      <c r="X182" s="1919"/>
      <c r="Y182" s="1919"/>
      <c r="Z182" s="1919"/>
    </row>
    <row r="183" spans="1:26">
      <c r="A183" s="1919"/>
      <c r="B183" s="1960"/>
      <c r="C183" s="1960"/>
      <c r="D183" s="1960"/>
      <c r="E183" s="1960"/>
      <c r="F183" s="1960"/>
      <c r="G183" s="1960"/>
      <c r="V183" s="1960"/>
      <c r="W183" s="1960"/>
      <c r="X183" s="1919"/>
      <c r="Y183" s="1919"/>
      <c r="Z183" s="1919"/>
    </row>
    <row r="184" spans="1:26">
      <c r="A184" s="1919"/>
      <c r="B184" s="1960"/>
      <c r="C184" s="1960"/>
      <c r="D184" s="1960"/>
      <c r="E184" s="1960"/>
      <c r="F184" s="1960"/>
      <c r="G184" s="1960"/>
      <c r="V184" s="1960"/>
      <c r="W184" s="1960"/>
      <c r="X184" s="1919"/>
      <c r="Y184" s="1919"/>
      <c r="Z184" s="1919"/>
    </row>
    <row r="185" spans="1:26">
      <c r="A185" s="1919"/>
      <c r="B185" s="1960"/>
      <c r="C185" s="1960"/>
      <c r="D185" s="1960"/>
      <c r="E185" s="1960"/>
      <c r="F185" s="1960"/>
      <c r="G185" s="1960"/>
      <c r="V185" s="1960"/>
      <c r="W185" s="1960"/>
      <c r="X185" s="1919"/>
      <c r="Y185" s="1919"/>
      <c r="Z185" s="1919"/>
    </row>
    <row r="186" spans="1:26">
      <c r="A186" s="1919"/>
      <c r="B186" s="1960"/>
      <c r="C186" s="1960"/>
      <c r="D186" s="1960"/>
      <c r="E186" s="1960"/>
      <c r="F186" s="1960"/>
      <c r="G186" s="1960"/>
      <c r="V186" s="1960"/>
      <c r="W186" s="1960"/>
      <c r="X186" s="1919"/>
      <c r="Y186" s="1919"/>
      <c r="Z186" s="1919"/>
    </row>
    <row r="187" spans="1:26">
      <c r="A187" s="1919"/>
      <c r="B187" s="1960"/>
      <c r="C187" s="1960"/>
      <c r="D187" s="1960"/>
      <c r="E187" s="1960"/>
      <c r="F187" s="1960"/>
      <c r="G187" s="1960"/>
      <c r="V187" s="1960"/>
      <c r="W187" s="1960"/>
      <c r="X187" s="1919"/>
      <c r="Y187" s="1919"/>
      <c r="Z187" s="1919"/>
    </row>
    <row r="188" spans="1:26">
      <c r="A188" s="1919"/>
      <c r="B188" s="1960"/>
      <c r="C188" s="1960"/>
      <c r="D188" s="1960"/>
      <c r="E188" s="1960"/>
      <c r="F188" s="1960"/>
      <c r="G188" s="1960"/>
      <c r="V188" s="1960"/>
      <c r="W188" s="1960"/>
      <c r="X188" s="1919"/>
      <c r="Y188" s="1919"/>
      <c r="Z188" s="1919"/>
    </row>
    <row r="189" spans="1:26">
      <c r="A189" s="1919"/>
      <c r="B189" s="1960"/>
      <c r="C189" s="1960"/>
      <c r="D189" s="1960"/>
      <c r="E189" s="1960"/>
      <c r="F189" s="1960"/>
      <c r="G189" s="1960"/>
      <c r="V189" s="1960"/>
      <c r="W189" s="1960"/>
      <c r="X189" s="1919"/>
      <c r="Y189" s="1919"/>
      <c r="Z189" s="1919"/>
    </row>
    <row r="190" spans="1:26">
      <c r="A190" s="1919"/>
      <c r="B190" s="1960"/>
      <c r="C190" s="1960"/>
      <c r="D190" s="1960"/>
      <c r="E190" s="1960"/>
      <c r="F190" s="1960"/>
      <c r="G190" s="1960"/>
      <c r="V190" s="1960"/>
      <c r="W190" s="1960"/>
      <c r="X190" s="1919"/>
      <c r="Y190" s="1919"/>
      <c r="Z190" s="1919"/>
    </row>
    <row r="191" spans="1:26">
      <c r="A191" s="1919"/>
      <c r="B191" s="1960"/>
      <c r="C191" s="1960"/>
      <c r="D191" s="1960"/>
      <c r="E191" s="1960"/>
      <c r="F191" s="1960"/>
      <c r="G191" s="1960"/>
      <c r="V191" s="1960"/>
      <c r="W191" s="1960"/>
      <c r="X191" s="1919"/>
      <c r="Y191" s="1919"/>
      <c r="Z191" s="1919"/>
    </row>
    <row r="192" spans="1:26">
      <c r="A192" s="1919"/>
      <c r="B192" s="1960"/>
      <c r="C192" s="1960"/>
      <c r="D192" s="1960"/>
      <c r="E192" s="1960"/>
      <c r="F192" s="1960"/>
      <c r="G192" s="1960"/>
      <c r="V192" s="1960"/>
      <c r="W192" s="1960"/>
      <c r="X192" s="1919"/>
      <c r="Y192" s="1919"/>
      <c r="Z192" s="1919"/>
    </row>
    <row r="193" spans="1:26">
      <c r="A193" s="1919"/>
      <c r="B193" s="1960"/>
      <c r="C193" s="1960"/>
      <c r="D193" s="1960"/>
      <c r="E193" s="1960"/>
      <c r="F193" s="1960"/>
      <c r="G193" s="1960"/>
      <c r="V193" s="1960"/>
      <c r="W193" s="1960"/>
      <c r="X193" s="1919"/>
      <c r="Y193" s="1919"/>
      <c r="Z193" s="1919"/>
    </row>
    <row r="194" spans="1:26">
      <c r="A194" s="1919"/>
      <c r="B194" s="1960"/>
      <c r="C194" s="1960"/>
      <c r="D194" s="1960"/>
      <c r="E194" s="1960"/>
      <c r="F194" s="1960"/>
      <c r="G194" s="1960"/>
      <c r="V194" s="1960"/>
      <c r="W194" s="1960"/>
      <c r="X194" s="1919"/>
      <c r="Y194" s="1919"/>
      <c r="Z194" s="1919"/>
    </row>
    <row r="195" spans="1:26">
      <c r="A195" s="1919"/>
      <c r="B195" s="1960"/>
      <c r="C195" s="1960"/>
      <c r="D195" s="1960"/>
      <c r="E195" s="1960"/>
      <c r="F195" s="1960"/>
      <c r="G195" s="1960"/>
      <c r="V195" s="1960"/>
      <c r="W195" s="1960"/>
      <c r="X195" s="1919"/>
      <c r="Y195" s="1919"/>
      <c r="Z195" s="1919"/>
    </row>
    <row r="196" spans="1:26">
      <c r="A196" s="1919"/>
      <c r="B196" s="1960"/>
      <c r="C196" s="1960"/>
      <c r="D196" s="1960"/>
      <c r="E196" s="1960"/>
      <c r="F196" s="1960"/>
      <c r="G196" s="1960"/>
      <c r="V196" s="1960"/>
      <c r="W196" s="1960"/>
      <c r="X196" s="1919"/>
      <c r="Y196" s="1919"/>
      <c r="Z196" s="1919"/>
    </row>
    <row r="197" spans="1:26">
      <c r="A197" s="1919"/>
      <c r="B197" s="1960"/>
      <c r="C197" s="1960"/>
      <c r="D197" s="1960"/>
      <c r="E197" s="1960"/>
      <c r="F197" s="1960"/>
      <c r="G197" s="1960"/>
      <c r="V197" s="1960"/>
      <c r="W197" s="1960"/>
      <c r="X197" s="1919"/>
      <c r="Y197" s="1919"/>
      <c r="Z197" s="1919"/>
    </row>
    <row r="198" spans="1:26">
      <c r="A198" s="1919"/>
      <c r="B198" s="1960"/>
      <c r="C198" s="1960"/>
      <c r="D198" s="1960"/>
      <c r="E198" s="1960"/>
      <c r="F198" s="1960"/>
      <c r="G198" s="1960"/>
      <c r="V198" s="1960"/>
      <c r="W198" s="1960"/>
      <c r="X198" s="1919"/>
      <c r="Y198" s="1919"/>
      <c r="Z198" s="1919"/>
    </row>
    <row r="199" spans="1:26">
      <c r="A199" s="1919"/>
      <c r="B199" s="1960"/>
      <c r="C199" s="1960"/>
      <c r="D199" s="1960"/>
      <c r="E199" s="1960"/>
      <c r="F199" s="1960"/>
      <c r="G199" s="1960"/>
      <c r="V199" s="1960"/>
      <c r="W199" s="1960"/>
      <c r="X199" s="1919"/>
      <c r="Y199" s="1919"/>
      <c r="Z199" s="1919"/>
    </row>
    <row r="200" spans="1:26">
      <c r="A200" s="1919"/>
      <c r="B200" s="1960"/>
      <c r="C200" s="1960"/>
      <c r="D200" s="1960"/>
      <c r="E200" s="1960"/>
      <c r="F200" s="1960"/>
      <c r="G200" s="1960"/>
      <c r="V200" s="1960"/>
      <c r="W200" s="1960"/>
      <c r="X200" s="1919"/>
      <c r="Y200" s="1919"/>
      <c r="Z200" s="1919"/>
    </row>
    <row r="201" spans="1:26">
      <c r="A201" s="1919"/>
      <c r="B201" s="1960"/>
      <c r="C201" s="1960"/>
      <c r="D201" s="1960"/>
      <c r="E201" s="1960"/>
      <c r="F201" s="1960"/>
      <c r="G201" s="1960"/>
      <c r="V201" s="1960"/>
      <c r="W201" s="1960"/>
      <c r="X201" s="1919"/>
      <c r="Y201" s="1919"/>
      <c r="Z201" s="1919"/>
    </row>
    <row r="202" spans="1:26">
      <c r="A202" s="1919"/>
      <c r="B202" s="1960"/>
      <c r="C202" s="1960"/>
      <c r="D202" s="1960"/>
      <c r="E202" s="1960"/>
      <c r="F202" s="1960"/>
      <c r="G202" s="1960"/>
      <c r="V202" s="1960"/>
      <c r="W202" s="1960"/>
      <c r="X202" s="1919"/>
      <c r="Y202" s="1919"/>
      <c r="Z202" s="1919"/>
    </row>
    <row r="203" spans="1:26">
      <c r="A203" s="1919"/>
      <c r="B203" s="1960"/>
      <c r="C203" s="1960"/>
      <c r="D203" s="1960"/>
      <c r="E203" s="1960"/>
      <c r="F203" s="1960"/>
      <c r="G203" s="1960"/>
      <c r="V203" s="1960"/>
      <c r="W203" s="1960"/>
      <c r="X203" s="1919"/>
      <c r="Y203" s="1919"/>
      <c r="Z203" s="1919"/>
    </row>
    <row r="204" spans="1:26">
      <c r="A204" s="1919"/>
      <c r="B204" s="1960"/>
      <c r="C204" s="1960"/>
      <c r="D204" s="1960"/>
      <c r="E204" s="1960"/>
      <c r="F204" s="1960"/>
      <c r="G204" s="1960"/>
      <c r="V204" s="1960"/>
      <c r="W204" s="1960"/>
      <c r="X204" s="1919"/>
      <c r="Y204" s="1919"/>
      <c r="Z204" s="1919"/>
    </row>
    <row r="205" spans="1:26">
      <c r="A205" s="1919"/>
      <c r="B205" s="1960"/>
      <c r="C205" s="1960"/>
      <c r="D205" s="1960"/>
      <c r="E205" s="1960"/>
      <c r="F205" s="1960"/>
      <c r="G205" s="1960"/>
      <c r="V205" s="1960"/>
      <c r="W205" s="1960"/>
      <c r="X205" s="1919"/>
      <c r="Y205" s="1919"/>
      <c r="Z205" s="1919"/>
    </row>
    <row r="206" spans="1:26">
      <c r="A206" s="1919"/>
      <c r="B206" s="1960"/>
      <c r="C206" s="1960"/>
      <c r="D206" s="1960"/>
      <c r="E206" s="1960"/>
      <c r="F206" s="1960"/>
      <c r="G206" s="1960"/>
      <c r="V206" s="1960"/>
      <c r="W206" s="1960"/>
      <c r="X206" s="1919"/>
      <c r="Y206" s="1919"/>
      <c r="Z206" s="1919"/>
    </row>
    <row r="207" spans="1:26">
      <c r="A207" s="1919"/>
      <c r="B207" s="1960"/>
      <c r="C207" s="1960"/>
      <c r="D207" s="1960"/>
      <c r="E207" s="1960"/>
      <c r="F207" s="1960"/>
      <c r="G207" s="1960"/>
      <c r="V207" s="1960"/>
      <c r="W207" s="1960"/>
      <c r="X207" s="1919"/>
      <c r="Y207" s="1919"/>
      <c r="Z207" s="1919"/>
    </row>
    <row r="208" spans="1:26">
      <c r="A208" s="1919"/>
      <c r="B208" s="1960"/>
      <c r="C208" s="1960"/>
      <c r="D208" s="1960"/>
      <c r="E208" s="1960"/>
      <c r="F208" s="1960"/>
      <c r="G208" s="1960"/>
      <c r="V208" s="1960"/>
      <c r="W208" s="1960"/>
      <c r="X208" s="1919"/>
      <c r="Y208" s="1919"/>
      <c r="Z208" s="1919"/>
    </row>
    <row r="209" spans="1:26">
      <c r="A209" s="1919"/>
      <c r="B209" s="1960"/>
      <c r="C209" s="1960"/>
      <c r="D209" s="1960"/>
      <c r="E209" s="1960"/>
      <c r="F209" s="1960"/>
      <c r="G209" s="1960"/>
      <c r="V209" s="1960"/>
      <c r="W209" s="1960"/>
      <c r="X209" s="1919"/>
      <c r="Y209" s="1919"/>
      <c r="Z209" s="1919"/>
    </row>
    <row r="210" spans="1:26">
      <c r="A210" s="1919"/>
      <c r="B210" s="1960"/>
      <c r="C210" s="1960"/>
      <c r="D210" s="1960"/>
      <c r="E210" s="1960"/>
      <c r="F210" s="1960"/>
      <c r="G210" s="1960"/>
      <c r="V210" s="1960"/>
      <c r="W210" s="1960"/>
      <c r="X210" s="1919"/>
      <c r="Y210" s="1919"/>
      <c r="Z210" s="1919"/>
    </row>
    <row r="211" spans="1:26">
      <c r="A211" s="1919"/>
      <c r="B211" s="1960"/>
      <c r="C211" s="1960"/>
      <c r="D211" s="1960"/>
      <c r="E211" s="1960"/>
      <c r="F211" s="1960"/>
      <c r="G211" s="1960"/>
      <c r="V211" s="1960"/>
      <c r="W211" s="1960"/>
      <c r="X211" s="1919"/>
      <c r="Y211" s="1919"/>
      <c r="Z211" s="1919"/>
    </row>
    <row r="212" spans="1:26">
      <c r="A212" s="1919"/>
      <c r="B212" s="1960"/>
      <c r="C212" s="1960"/>
      <c r="D212" s="1960"/>
      <c r="E212" s="1960"/>
      <c r="F212" s="1960"/>
      <c r="G212" s="1960"/>
      <c r="V212" s="1960"/>
      <c r="W212" s="1960"/>
      <c r="X212" s="1919"/>
      <c r="Y212" s="1919"/>
      <c r="Z212" s="1919"/>
    </row>
    <row r="213" spans="1:26">
      <c r="A213" s="1919"/>
      <c r="B213" s="1960"/>
      <c r="C213" s="1960"/>
      <c r="D213" s="1960"/>
      <c r="E213" s="1960"/>
      <c r="F213" s="1960"/>
      <c r="G213" s="1960"/>
      <c r="V213" s="1960"/>
      <c r="W213" s="1960"/>
      <c r="X213" s="1919"/>
      <c r="Y213" s="1919"/>
      <c r="Z213" s="1919"/>
    </row>
    <row r="214" spans="1:26">
      <c r="A214" s="1919"/>
      <c r="B214" s="1960"/>
      <c r="C214" s="1960"/>
      <c r="D214" s="1960"/>
      <c r="E214" s="1960"/>
      <c r="F214" s="1960"/>
      <c r="G214" s="1960"/>
      <c r="V214" s="1960"/>
      <c r="W214" s="1960"/>
      <c r="X214" s="1919"/>
      <c r="Y214" s="1919"/>
      <c r="Z214" s="1919"/>
    </row>
    <row r="215" spans="1:26">
      <c r="A215" s="1919"/>
      <c r="B215" s="1960"/>
      <c r="C215" s="1960"/>
      <c r="D215" s="1960"/>
      <c r="E215" s="1960"/>
      <c r="F215" s="1960"/>
      <c r="G215" s="1960"/>
      <c r="V215" s="1960"/>
      <c r="W215" s="1960"/>
      <c r="X215" s="1919"/>
      <c r="Y215" s="1919"/>
      <c r="Z215" s="1919"/>
    </row>
    <row r="216" spans="1:26">
      <c r="A216" s="1919"/>
      <c r="B216" s="1960"/>
      <c r="C216" s="1960"/>
      <c r="D216" s="1960"/>
      <c r="E216" s="1960"/>
      <c r="F216" s="1960"/>
      <c r="G216" s="1960"/>
      <c r="V216" s="1960"/>
      <c r="W216" s="1960"/>
      <c r="X216" s="1919"/>
      <c r="Y216" s="1919"/>
      <c r="Z216" s="1919"/>
    </row>
    <row r="217" spans="1:26">
      <c r="A217" s="1919"/>
      <c r="B217" s="1960"/>
      <c r="C217" s="1960"/>
      <c r="D217" s="1960"/>
      <c r="E217" s="1960"/>
      <c r="F217" s="1960"/>
      <c r="G217" s="1960"/>
      <c r="V217" s="1960"/>
      <c r="W217" s="1960"/>
      <c r="X217" s="1919"/>
      <c r="Y217" s="1919"/>
      <c r="Z217" s="1919"/>
    </row>
    <row r="218" spans="1:26">
      <c r="A218" s="1919"/>
      <c r="B218" s="1960"/>
      <c r="C218" s="1960"/>
      <c r="D218" s="1960"/>
      <c r="E218" s="1960"/>
      <c r="F218" s="1960"/>
      <c r="G218" s="1960"/>
      <c r="V218" s="1960"/>
      <c r="W218" s="1960"/>
      <c r="X218" s="1919"/>
      <c r="Y218" s="1919"/>
      <c r="Z218" s="1919"/>
    </row>
    <row r="219" spans="1:26">
      <c r="A219" s="1919"/>
      <c r="B219" s="1960"/>
      <c r="C219" s="1960"/>
      <c r="D219" s="1960"/>
      <c r="E219" s="1960"/>
      <c r="F219" s="1960"/>
      <c r="G219" s="1960"/>
      <c r="V219" s="1960"/>
      <c r="W219" s="1960"/>
      <c r="X219" s="1919"/>
      <c r="Y219" s="1919"/>
      <c r="Z219" s="1919"/>
    </row>
    <row r="220" spans="1:26">
      <c r="A220" s="1919"/>
      <c r="B220" s="1960"/>
      <c r="C220" s="1960"/>
      <c r="D220" s="1960"/>
      <c r="E220" s="1960"/>
      <c r="F220" s="1960"/>
      <c r="G220" s="1960"/>
      <c r="V220" s="1960"/>
      <c r="W220" s="1960"/>
      <c r="X220" s="1919"/>
      <c r="Y220" s="1919"/>
      <c r="Z220" s="1919"/>
    </row>
    <row r="221" spans="1:26">
      <c r="A221" s="1919"/>
      <c r="B221" s="1960"/>
      <c r="C221" s="1960"/>
      <c r="D221" s="1960"/>
      <c r="E221" s="1960"/>
      <c r="F221" s="1960"/>
      <c r="G221" s="1960"/>
      <c r="V221" s="1960"/>
      <c r="W221" s="1960"/>
      <c r="X221" s="1919"/>
      <c r="Y221" s="1919"/>
      <c r="Z221" s="1919"/>
    </row>
    <row r="222" spans="1:26">
      <c r="A222" s="1919"/>
      <c r="B222" s="1960"/>
      <c r="C222" s="1960"/>
      <c r="D222" s="1960"/>
      <c r="E222" s="1960"/>
      <c r="F222" s="1960"/>
      <c r="G222" s="1960"/>
      <c r="V222" s="1960"/>
      <c r="W222" s="1960"/>
      <c r="X222" s="1919"/>
      <c r="Y222" s="1919"/>
      <c r="Z222" s="1919"/>
    </row>
    <row r="223" spans="1:26">
      <c r="A223" s="1919"/>
      <c r="B223" s="1960"/>
      <c r="C223" s="1960"/>
      <c r="D223" s="1960"/>
      <c r="E223" s="1960"/>
      <c r="F223" s="1960"/>
      <c r="G223" s="1960"/>
      <c r="V223" s="1960"/>
      <c r="W223" s="1960"/>
      <c r="X223" s="1919"/>
      <c r="Y223" s="1919"/>
      <c r="Z223" s="1919"/>
    </row>
    <row r="224" spans="1:26">
      <c r="A224" s="1919"/>
      <c r="B224" s="1960"/>
      <c r="C224" s="1960"/>
      <c r="D224" s="1960"/>
      <c r="E224" s="1960"/>
      <c r="F224" s="1960"/>
      <c r="G224" s="1960"/>
      <c r="V224" s="1960"/>
      <c r="W224" s="1960"/>
      <c r="X224" s="1919"/>
      <c r="Y224" s="1919"/>
      <c r="Z224" s="1919"/>
    </row>
    <row r="225" spans="1:26">
      <c r="A225" s="1919"/>
      <c r="B225" s="1960"/>
      <c r="C225" s="1960"/>
      <c r="D225" s="1960"/>
      <c r="E225" s="1960"/>
      <c r="F225" s="1960"/>
      <c r="G225" s="1960"/>
      <c r="V225" s="1960"/>
      <c r="W225" s="1960"/>
      <c r="X225" s="1919"/>
      <c r="Y225" s="1919"/>
      <c r="Z225" s="1919"/>
    </row>
    <row r="226" spans="1:26">
      <c r="A226" s="1919"/>
      <c r="B226" s="1960"/>
      <c r="C226" s="1960"/>
      <c r="D226" s="1960"/>
      <c r="E226" s="1960"/>
      <c r="F226" s="1960"/>
      <c r="G226" s="1960"/>
      <c r="V226" s="1960"/>
      <c r="W226" s="1960"/>
      <c r="X226" s="1919"/>
      <c r="Y226" s="1919"/>
      <c r="Z226" s="1919"/>
    </row>
    <row r="227" spans="1:26">
      <c r="A227" s="1919"/>
      <c r="B227" s="1960"/>
      <c r="C227" s="1960"/>
      <c r="D227" s="1960"/>
      <c r="E227" s="1960"/>
      <c r="F227" s="1960"/>
      <c r="G227" s="1960"/>
      <c r="V227" s="1960"/>
      <c r="W227" s="1960"/>
      <c r="X227" s="1919"/>
      <c r="Y227" s="1919"/>
      <c r="Z227" s="1919"/>
    </row>
    <row r="228" spans="1:26">
      <c r="A228" s="1919"/>
      <c r="B228" s="1960"/>
      <c r="C228" s="1960"/>
      <c r="D228" s="1960"/>
      <c r="E228" s="1960"/>
      <c r="F228" s="1960"/>
      <c r="G228" s="1960"/>
      <c r="V228" s="1960"/>
      <c r="W228" s="1960"/>
      <c r="X228" s="1919"/>
      <c r="Y228" s="1919"/>
      <c r="Z228" s="1919"/>
    </row>
    <row r="229" spans="1:26">
      <c r="A229" s="1919"/>
      <c r="B229" s="1960"/>
      <c r="C229" s="1960"/>
      <c r="D229" s="1960"/>
      <c r="E229" s="1960"/>
      <c r="F229" s="1960"/>
      <c r="G229" s="1960"/>
      <c r="V229" s="1960"/>
      <c r="W229" s="1960"/>
      <c r="X229" s="1919"/>
      <c r="Y229" s="1919"/>
      <c r="Z229" s="1919"/>
    </row>
    <row r="230" spans="1:26">
      <c r="A230" s="1919"/>
      <c r="B230" s="1960"/>
      <c r="C230" s="1960"/>
      <c r="D230" s="1960"/>
      <c r="E230" s="1960"/>
      <c r="F230" s="1960"/>
      <c r="G230" s="1960"/>
      <c r="V230" s="1960"/>
      <c r="W230" s="1960"/>
      <c r="X230" s="1919"/>
      <c r="Y230" s="1919"/>
      <c r="Z230" s="1919"/>
    </row>
    <row r="231" spans="1:26">
      <c r="A231" s="1919"/>
      <c r="B231" s="1960"/>
      <c r="C231" s="1960"/>
      <c r="D231" s="1960"/>
      <c r="E231" s="1960"/>
      <c r="F231" s="1960"/>
      <c r="G231" s="1960"/>
      <c r="V231" s="1960"/>
      <c r="W231" s="1960"/>
      <c r="X231" s="1919"/>
      <c r="Y231" s="1919"/>
      <c r="Z231" s="1919"/>
    </row>
    <row r="232" spans="1:26">
      <c r="A232" s="1919"/>
      <c r="B232" s="1960"/>
      <c r="C232" s="1960"/>
      <c r="D232" s="1960"/>
      <c r="E232" s="1960"/>
      <c r="F232" s="1960"/>
      <c r="G232" s="1960"/>
      <c r="V232" s="1960"/>
      <c r="W232" s="1960"/>
      <c r="X232" s="1919"/>
      <c r="Y232" s="1919"/>
      <c r="Z232" s="1919"/>
    </row>
    <row r="233" spans="1:26">
      <c r="A233" s="1919"/>
      <c r="B233" s="1960"/>
      <c r="C233" s="1960"/>
      <c r="D233" s="1960"/>
      <c r="E233" s="1960"/>
      <c r="F233" s="1960"/>
      <c r="G233" s="1960"/>
      <c r="V233" s="1960"/>
      <c r="W233" s="1960"/>
      <c r="X233" s="1919"/>
      <c r="Y233" s="1919"/>
      <c r="Z233" s="1919"/>
    </row>
    <row r="234" spans="1:26">
      <c r="A234" s="1919"/>
      <c r="B234" s="1960"/>
      <c r="C234" s="1960"/>
      <c r="D234" s="1960"/>
      <c r="E234" s="1960"/>
      <c r="F234" s="1960"/>
      <c r="G234" s="1960"/>
      <c r="V234" s="1960"/>
      <c r="W234" s="1960"/>
      <c r="X234" s="1919"/>
      <c r="Y234" s="1919"/>
      <c r="Z234" s="1919"/>
    </row>
    <row r="235" spans="1:26">
      <c r="A235" s="1919"/>
      <c r="B235" s="1960"/>
      <c r="C235" s="1960"/>
      <c r="D235" s="1960"/>
      <c r="E235" s="1960"/>
      <c r="F235" s="1960"/>
      <c r="G235" s="1960"/>
      <c r="V235" s="1960"/>
      <c r="W235" s="1960"/>
      <c r="X235" s="1919"/>
      <c r="Y235" s="1919"/>
      <c r="Z235" s="1919"/>
    </row>
    <row r="236" spans="1:26">
      <c r="A236" s="1919"/>
      <c r="B236" s="1960"/>
      <c r="C236" s="1960"/>
      <c r="D236" s="1960"/>
      <c r="E236" s="1960"/>
      <c r="F236" s="1960"/>
      <c r="G236" s="1960"/>
      <c r="V236" s="1960"/>
      <c r="W236" s="1960"/>
      <c r="X236" s="1919"/>
      <c r="Y236" s="1919"/>
      <c r="Z236" s="1919"/>
    </row>
    <row r="237" spans="1:26">
      <c r="A237" s="1919"/>
      <c r="B237" s="1960"/>
      <c r="C237" s="1960"/>
      <c r="D237" s="1960"/>
      <c r="E237" s="1960"/>
      <c r="F237" s="1960"/>
      <c r="G237" s="1960"/>
      <c r="V237" s="1960"/>
      <c r="W237" s="1960"/>
      <c r="X237" s="1919"/>
      <c r="Y237" s="1919"/>
      <c r="Z237" s="1919"/>
    </row>
    <row r="238" spans="1:26">
      <c r="A238" s="1919"/>
      <c r="B238" s="1960"/>
      <c r="C238" s="1960"/>
      <c r="D238" s="1960"/>
      <c r="E238" s="1960"/>
      <c r="F238" s="1960"/>
      <c r="G238" s="1960"/>
      <c r="V238" s="1960"/>
      <c r="W238" s="1960"/>
      <c r="X238" s="1919"/>
      <c r="Y238" s="1919"/>
      <c r="Z238" s="1919"/>
    </row>
    <row r="239" spans="1:26">
      <c r="A239" s="1919"/>
      <c r="B239" s="1960"/>
      <c r="C239" s="1960"/>
      <c r="D239" s="1960"/>
      <c r="E239" s="1960"/>
      <c r="F239" s="1960"/>
      <c r="G239" s="1960"/>
      <c r="V239" s="1960"/>
      <c r="W239" s="1960"/>
      <c r="X239" s="1919"/>
      <c r="Y239" s="1919"/>
      <c r="Z239" s="1919"/>
    </row>
    <row r="240" spans="1:26">
      <c r="A240" s="1919"/>
      <c r="B240" s="1960"/>
      <c r="C240" s="1960"/>
      <c r="D240" s="1960"/>
      <c r="E240" s="1960"/>
      <c r="F240" s="1960"/>
      <c r="G240" s="1960"/>
      <c r="V240" s="1960"/>
      <c r="W240" s="1960"/>
      <c r="X240" s="1919"/>
      <c r="Y240" s="1919"/>
      <c r="Z240" s="1919"/>
    </row>
    <row r="241" spans="1:26">
      <c r="A241" s="1919"/>
      <c r="B241" s="1960"/>
      <c r="C241" s="1960"/>
      <c r="D241" s="1960"/>
      <c r="E241" s="1960"/>
      <c r="F241" s="1960"/>
      <c r="G241" s="1960"/>
      <c r="V241" s="1960"/>
      <c r="W241" s="1960"/>
      <c r="X241" s="1919"/>
      <c r="Y241" s="1919"/>
      <c r="Z241" s="1919"/>
    </row>
    <row r="242" spans="1:26">
      <c r="A242" s="1919"/>
      <c r="B242" s="1960"/>
      <c r="C242" s="1960"/>
      <c r="D242" s="1960"/>
      <c r="E242" s="1960"/>
      <c r="F242" s="1960"/>
      <c r="G242" s="1960"/>
      <c r="V242" s="1960"/>
      <c r="W242" s="1960"/>
      <c r="X242" s="1919"/>
      <c r="Y242" s="1919"/>
      <c r="Z242" s="1919"/>
    </row>
    <row r="243" spans="1:26">
      <c r="A243" s="1919"/>
      <c r="B243" s="1960"/>
      <c r="C243" s="1960"/>
      <c r="D243" s="1960"/>
      <c r="E243" s="1960"/>
      <c r="F243" s="1960"/>
      <c r="G243" s="1960"/>
      <c r="V243" s="1960"/>
      <c r="W243" s="1960"/>
      <c r="X243" s="1919"/>
      <c r="Y243" s="1919"/>
      <c r="Z243" s="1919"/>
    </row>
    <row r="244" spans="1:26">
      <c r="A244" s="1919"/>
      <c r="B244" s="1960"/>
      <c r="C244" s="1960"/>
      <c r="D244" s="1960"/>
      <c r="E244" s="1960"/>
      <c r="F244" s="1960"/>
      <c r="G244" s="1960"/>
      <c r="V244" s="1960"/>
      <c r="W244" s="1960"/>
      <c r="X244" s="1919"/>
      <c r="Y244" s="1919"/>
      <c r="Z244" s="1919"/>
    </row>
    <row r="245" spans="1:26">
      <c r="A245" s="1919"/>
      <c r="B245" s="1960"/>
      <c r="C245" s="1960"/>
      <c r="D245" s="1960"/>
      <c r="E245" s="1960"/>
      <c r="F245" s="1960"/>
      <c r="G245" s="1960"/>
      <c r="V245" s="1960"/>
      <c r="W245" s="1960"/>
      <c r="X245" s="1919"/>
      <c r="Y245" s="1919"/>
      <c r="Z245" s="1919"/>
    </row>
    <row r="246" spans="1:26">
      <c r="A246" s="1919"/>
      <c r="B246" s="1960"/>
      <c r="C246" s="1960"/>
      <c r="D246" s="1960"/>
      <c r="E246" s="1960"/>
      <c r="F246" s="1960"/>
      <c r="G246" s="1960"/>
      <c r="V246" s="1960"/>
      <c r="W246" s="1960"/>
      <c r="X246" s="1919"/>
      <c r="Y246" s="1919"/>
      <c r="Z246" s="1919"/>
    </row>
    <row r="247" spans="1:26">
      <c r="A247" s="1919"/>
      <c r="B247" s="1960"/>
      <c r="C247" s="1960"/>
      <c r="D247" s="1960"/>
      <c r="E247" s="1960"/>
      <c r="F247" s="1960"/>
      <c r="G247" s="1960"/>
      <c r="V247" s="1960"/>
      <c r="W247" s="1960"/>
      <c r="X247" s="1919"/>
      <c r="Y247" s="1919"/>
      <c r="Z247" s="1919"/>
    </row>
    <row r="248" spans="1:26">
      <c r="A248" s="1919"/>
      <c r="B248" s="1960"/>
      <c r="C248" s="1960"/>
      <c r="D248" s="1960"/>
      <c r="E248" s="1960"/>
      <c r="F248" s="1960"/>
      <c r="G248" s="1960"/>
      <c r="V248" s="1960"/>
      <c r="W248" s="1960"/>
      <c r="X248" s="1919"/>
      <c r="Y248" s="1919"/>
      <c r="Z248" s="1919"/>
    </row>
    <row r="249" spans="1:26">
      <c r="A249" s="1919"/>
      <c r="B249" s="1960"/>
      <c r="C249" s="1960"/>
      <c r="D249" s="1960"/>
      <c r="E249" s="1960"/>
      <c r="F249" s="1960"/>
      <c r="G249" s="1960"/>
      <c r="V249" s="1960"/>
      <c r="W249" s="1960"/>
      <c r="X249" s="1919"/>
      <c r="Y249" s="1919"/>
      <c r="Z249" s="1919"/>
    </row>
    <row r="250" spans="1:26">
      <c r="A250" s="1919"/>
      <c r="B250" s="1960"/>
      <c r="C250" s="1960"/>
      <c r="D250" s="1960"/>
      <c r="E250" s="1960"/>
      <c r="F250" s="1960"/>
      <c r="G250" s="1960"/>
      <c r="V250" s="1960"/>
      <c r="W250" s="1960"/>
      <c r="X250" s="1919"/>
      <c r="Y250" s="1919"/>
      <c r="Z250" s="1919"/>
    </row>
    <row r="251" spans="1:26">
      <c r="A251" s="1919"/>
      <c r="B251" s="1960"/>
      <c r="C251" s="1960"/>
      <c r="D251" s="1960"/>
      <c r="E251" s="1960"/>
      <c r="F251" s="1960"/>
      <c r="G251" s="1960"/>
      <c r="V251" s="1960"/>
      <c r="W251" s="1960"/>
      <c r="X251" s="1919"/>
      <c r="Y251" s="1919"/>
      <c r="Z251" s="1919"/>
    </row>
    <row r="252" spans="1:26">
      <c r="A252" s="1919"/>
      <c r="B252" s="1960"/>
      <c r="C252" s="1960"/>
      <c r="D252" s="1960"/>
      <c r="E252" s="1960"/>
      <c r="F252" s="1960"/>
      <c r="G252" s="1960"/>
      <c r="V252" s="1960"/>
      <c r="W252" s="1960"/>
      <c r="X252" s="1919"/>
      <c r="Y252" s="1919"/>
      <c r="Z252" s="1919"/>
    </row>
    <row r="253" spans="1:26">
      <c r="A253" s="1919"/>
      <c r="B253" s="1960"/>
      <c r="C253" s="1960"/>
      <c r="D253" s="1960"/>
      <c r="E253" s="1960"/>
      <c r="F253" s="1960"/>
      <c r="G253" s="1960"/>
      <c r="V253" s="1960"/>
      <c r="W253" s="1960"/>
      <c r="X253" s="1919"/>
      <c r="Y253" s="1919"/>
      <c r="Z253" s="1919"/>
    </row>
    <row r="254" spans="1:26">
      <c r="A254" s="1919"/>
      <c r="B254" s="1960"/>
      <c r="C254" s="1960"/>
      <c r="D254" s="1960"/>
      <c r="E254" s="1960"/>
      <c r="F254" s="1960"/>
      <c r="G254" s="1960"/>
      <c r="V254" s="1960"/>
      <c r="W254" s="1960"/>
      <c r="X254" s="1919"/>
      <c r="Y254" s="1919"/>
      <c r="Z254" s="1919"/>
    </row>
    <row r="255" spans="1:26">
      <c r="A255" s="1919"/>
      <c r="B255" s="1960"/>
      <c r="C255" s="1960"/>
      <c r="D255" s="1960"/>
      <c r="E255" s="1960"/>
      <c r="F255" s="1960"/>
      <c r="G255" s="1960"/>
      <c r="V255" s="1960"/>
      <c r="W255" s="1960"/>
      <c r="X255" s="1919"/>
      <c r="Y255" s="1919"/>
      <c r="Z255" s="1919"/>
    </row>
    <row r="256" spans="1:26">
      <c r="A256" s="1919"/>
      <c r="B256" s="1960"/>
      <c r="C256" s="1960"/>
      <c r="D256" s="1960"/>
      <c r="E256" s="1960"/>
      <c r="F256" s="1960"/>
      <c r="G256" s="1960"/>
      <c r="V256" s="1960"/>
      <c r="W256" s="1960"/>
      <c r="X256" s="1919"/>
      <c r="Y256" s="1919"/>
      <c r="Z256" s="1919"/>
    </row>
    <row r="257" spans="1:26">
      <c r="A257" s="1919"/>
      <c r="B257" s="1960"/>
      <c r="C257" s="1960"/>
      <c r="D257" s="1960"/>
      <c r="E257" s="1960"/>
      <c r="F257" s="1960"/>
      <c r="G257" s="1960"/>
      <c r="V257" s="1960"/>
      <c r="W257" s="1960"/>
      <c r="X257" s="1919"/>
      <c r="Y257" s="1919"/>
      <c r="Z257" s="1919"/>
    </row>
    <row r="258" spans="1:26">
      <c r="A258" s="1919"/>
      <c r="B258" s="1960"/>
      <c r="C258" s="1960"/>
      <c r="D258" s="1960"/>
      <c r="E258" s="1960"/>
      <c r="F258" s="1960"/>
      <c r="G258" s="1960"/>
      <c r="V258" s="1960"/>
      <c r="W258" s="1960"/>
      <c r="X258" s="1919"/>
      <c r="Y258" s="1919"/>
      <c r="Z258" s="1919"/>
    </row>
    <row r="259" spans="1:26">
      <c r="A259" s="1919"/>
      <c r="B259" s="1960"/>
      <c r="C259" s="1960"/>
      <c r="D259" s="1960"/>
      <c r="E259" s="1960"/>
      <c r="F259" s="1960"/>
      <c r="G259" s="1960"/>
      <c r="V259" s="1960"/>
      <c r="W259" s="1960"/>
      <c r="X259" s="1919"/>
      <c r="Y259" s="1919"/>
      <c r="Z259" s="1919"/>
    </row>
    <row r="260" spans="1:26">
      <c r="A260" s="1919"/>
      <c r="B260" s="1960"/>
      <c r="C260" s="1960"/>
      <c r="D260" s="1960"/>
      <c r="E260" s="1960"/>
      <c r="F260" s="1960"/>
      <c r="G260" s="1960"/>
      <c r="V260" s="1960"/>
      <c r="W260" s="1960"/>
      <c r="X260" s="1919"/>
      <c r="Y260" s="1919"/>
      <c r="Z260" s="1919"/>
    </row>
    <row r="261" spans="1:26">
      <c r="A261" s="1919"/>
      <c r="B261" s="1960"/>
      <c r="C261" s="1960"/>
      <c r="D261" s="1960"/>
      <c r="E261" s="1960"/>
      <c r="F261" s="1960"/>
      <c r="G261" s="1960"/>
      <c r="V261" s="1960"/>
      <c r="W261" s="1960"/>
      <c r="X261" s="1919"/>
      <c r="Y261" s="1919"/>
      <c r="Z261" s="1919"/>
    </row>
    <row r="262" spans="1:26">
      <c r="A262" s="1919"/>
      <c r="B262" s="1960"/>
      <c r="C262" s="1960"/>
      <c r="D262" s="1960"/>
      <c r="E262" s="1960"/>
      <c r="F262" s="1960"/>
      <c r="G262" s="1960"/>
      <c r="V262" s="1960"/>
      <c r="W262" s="1960"/>
      <c r="X262" s="1919"/>
      <c r="Y262" s="1919"/>
      <c r="Z262" s="1919"/>
    </row>
    <row r="263" spans="1:26">
      <c r="A263" s="1919"/>
      <c r="B263" s="1960"/>
      <c r="C263" s="1960"/>
      <c r="D263" s="1960"/>
      <c r="E263" s="1960"/>
      <c r="F263" s="1960"/>
      <c r="G263" s="1960"/>
      <c r="V263" s="1960"/>
      <c r="W263" s="1960"/>
      <c r="X263" s="1919"/>
      <c r="Y263" s="1919"/>
      <c r="Z263" s="1919"/>
    </row>
    <row r="264" spans="1:26">
      <c r="A264" s="1919"/>
      <c r="B264" s="1960"/>
      <c r="C264" s="1960"/>
      <c r="D264" s="1960"/>
      <c r="E264" s="1960"/>
      <c r="F264" s="1960"/>
      <c r="G264" s="1960"/>
      <c r="V264" s="1960"/>
      <c r="W264" s="1960"/>
      <c r="X264" s="1919"/>
      <c r="Y264" s="1919"/>
      <c r="Z264" s="1919"/>
    </row>
    <row r="265" spans="1:26">
      <c r="A265" s="1919"/>
      <c r="B265" s="1960"/>
      <c r="C265" s="1960"/>
      <c r="D265" s="1960"/>
      <c r="E265" s="1960"/>
      <c r="F265" s="1960"/>
      <c r="G265" s="1960"/>
      <c r="V265" s="1960"/>
      <c r="W265" s="1960"/>
      <c r="X265" s="1919"/>
      <c r="Y265" s="1919"/>
      <c r="Z265" s="1919"/>
    </row>
    <row r="266" spans="1:26">
      <c r="A266" s="1919"/>
      <c r="B266" s="1960"/>
      <c r="C266" s="1960"/>
      <c r="D266" s="1960"/>
      <c r="E266" s="1960"/>
      <c r="F266" s="1960"/>
      <c r="G266" s="1960"/>
      <c r="V266" s="1960"/>
      <c r="W266" s="1960"/>
      <c r="X266" s="1919"/>
      <c r="Y266" s="1919"/>
      <c r="Z266" s="1919"/>
    </row>
    <row r="267" spans="1:26">
      <c r="A267" s="1919"/>
      <c r="B267" s="1960"/>
      <c r="C267" s="1960"/>
      <c r="D267" s="1960"/>
      <c r="E267" s="1960"/>
      <c r="F267" s="1960"/>
      <c r="G267" s="1960"/>
      <c r="V267" s="1960"/>
      <c r="W267" s="1960"/>
      <c r="X267" s="1919"/>
      <c r="Y267" s="1919"/>
      <c r="Z267" s="1919"/>
    </row>
    <row r="268" spans="1:26">
      <c r="A268" s="1919"/>
      <c r="B268" s="1960"/>
      <c r="C268" s="1960"/>
      <c r="D268" s="1960"/>
      <c r="E268" s="1960"/>
      <c r="F268" s="1960"/>
      <c r="G268" s="1960"/>
      <c r="V268" s="1960"/>
      <c r="W268" s="1960"/>
      <c r="X268" s="1919"/>
      <c r="Y268" s="1919"/>
      <c r="Z268" s="1919"/>
    </row>
    <row r="269" spans="1:26">
      <c r="A269" s="1919"/>
      <c r="B269" s="1960"/>
      <c r="C269" s="1960"/>
      <c r="D269" s="1960"/>
      <c r="E269" s="1960"/>
      <c r="F269" s="1960"/>
      <c r="G269" s="1960"/>
      <c r="V269" s="1960"/>
      <c r="W269" s="1960"/>
      <c r="X269" s="1919"/>
      <c r="Y269" s="1919"/>
      <c r="Z269" s="1919"/>
    </row>
    <row r="270" spans="1:26">
      <c r="A270" s="1919"/>
      <c r="B270" s="1960"/>
      <c r="C270" s="1960"/>
      <c r="D270" s="1960"/>
      <c r="E270" s="1960"/>
      <c r="F270" s="1960"/>
      <c r="G270" s="1960"/>
      <c r="V270" s="1960"/>
      <c r="W270" s="1960"/>
      <c r="X270" s="1919"/>
      <c r="Y270" s="1919"/>
      <c r="Z270" s="1919"/>
    </row>
    <row r="271" spans="1:26">
      <c r="A271" s="1919"/>
      <c r="B271" s="1960"/>
      <c r="C271" s="1960"/>
      <c r="D271" s="1960"/>
      <c r="E271" s="1960"/>
      <c r="F271" s="1960"/>
      <c r="G271" s="1960"/>
      <c r="V271" s="1960"/>
      <c r="W271" s="1960"/>
      <c r="X271" s="1919"/>
      <c r="Y271" s="1919"/>
      <c r="Z271" s="1919"/>
    </row>
    <row r="272" spans="1:26">
      <c r="A272" s="1919"/>
      <c r="B272" s="1960"/>
      <c r="C272" s="1960"/>
      <c r="D272" s="1960"/>
      <c r="E272" s="1960"/>
      <c r="F272" s="1960"/>
      <c r="G272" s="1960"/>
      <c r="V272" s="1960"/>
      <c r="W272" s="1960"/>
      <c r="X272" s="1919"/>
      <c r="Y272" s="1919"/>
      <c r="Z272" s="1919"/>
    </row>
    <row r="273" spans="1:26">
      <c r="A273" s="1919"/>
      <c r="B273" s="1960"/>
      <c r="C273" s="1960"/>
      <c r="D273" s="1960"/>
      <c r="E273" s="1960"/>
      <c r="F273" s="1960"/>
      <c r="G273" s="1960"/>
      <c r="V273" s="1960"/>
      <c r="W273" s="1960"/>
      <c r="X273" s="1919"/>
      <c r="Y273" s="1919"/>
      <c r="Z273" s="1919"/>
    </row>
    <row r="274" spans="1:26">
      <c r="A274" s="1919"/>
      <c r="B274" s="1960"/>
      <c r="C274" s="1960"/>
      <c r="D274" s="1960"/>
      <c r="E274" s="1960"/>
      <c r="F274" s="1960"/>
      <c r="G274" s="1960"/>
      <c r="V274" s="1960"/>
      <c r="W274" s="1960"/>
      <c r="X274" s="1919"/>
      <c r="Y274" s="1919"/>
      <c r="Z274" s="1919"/>
    </row>
    <row r="275" spans="1:26">
      <c r="A275" s="1919"/>
      <c r="B275" s="1960"/>
      <c r="C275" s="1960"/>
      <c r="D275" s="1960"/>
      <c r="E275" s="1960"/>
      <c r="F275" s="1960"/>
      <c r="G275" s="1960"/>
      <c r="V275" s="1960"/>
      <c r="W275" s="1960"/>
      <c r="X275" s="1919"/>
      <c r="Y275" s="1919"/>
      <c r="Z275" s="1919"/>
    </row>
    <row r="276" spans="1:26">
      <c r="A276" s="1919"/>
      <c r="B276" s="1960"/>
      <c r="C276" s="1960"/>
      <c r="D276" s="1960"/>
      <c r="E276" s="1960"/>
      <c r="F276" s="1960"/>
      <c r="G276" s="1960"/>
      <c r="V276" s="1960"/>
      <c r="W276" s="1960"/>
      <c r="X276" s="1919"/>
      <c r="Y276" s="1919"/>
      <c r="Z276" s="1919"/>
    </row>
    <row r="277" spans="1:26">
      <c r="A277" s="1919"/>
      <c r="B277" s="1960"/>
      <c r="C277" s="1960"/>
      <c r="D277" s="1960"/>
      <c r="E277" s="1960"/>
      <c r="F277" s="1960"/>
      <c r="G277" s="1960"/>
      <c r="V277" s="1960"/>
      <c r="W277" s="1960"/>
      <c r="X277" s="1919"/>
      <c r="Y277" s="1919"/>
      <c r="Z277" s="1919"/>
    </row>
    <row r="278" spans="1:26">
      <c r="A278" s="1919"/>
      <c r="B278" s="1960"/>
      <c r="C278" s="1960"/>
      <c r="D278" s="1960"/>
      <c r="E278" s="1960"/>
      <c r="F278" s="1960"/>
      <c r="G278" s="1960"/>
      <c r="V278" s="1960"/>
      <c r="W278" s="1960"/>
      <c r="X278" s="1919"/>
      <c r="Y278" s="1919"/>
      <c r="Z278" s="1919"/>
    </row>
    <row r="279" spans="1:26">
      <c r="A279" s="1919"/>
      <c r="B279" s="1960"/>
      <c r="C279" s="1960"/>
      <c r="D279" s="1960"/>
      <c r="E279" s="1960"/>
      <c r="F279" s="1960"/>
      <c r="G279" s="1960"/>
      <c r="V279" s="1960"/>
      <c r="W279" s="1960"/>
      <c r="X279" s="1919"/>
      <c r="Y279" s="1919"/>
      <c r="Z279" s="1919"/>
    </row>
    <row r="280" spans="1:26">
      <c r="A280" s="1919"/>
      <c r="B280" s="1960"/>
      <c r="C280" s="1960"/>
      <c r="D280" s="1960"/>
      <c r="E280" s="1960"/>
      <c r="F280" s="1960"/>
      <c r="G280" s="1960"/>
      <c r="V280" s="1960"/>
      <c r="W280" s="1960"/>
      <c r="X280" s="1919"/>
      <c r="Y280" s="1919"/>
      <c r="Z280" s="1919"/>
    </row>
    <row r="281" spans="1:26">
      <c r="A281" s="1919"/>
      <c r="B281" s="1960"/>
      <c r="C281" s="1960"/>
      <c r="D281" s="1960"/>
      <c r="E281" s="1960"/>
      <c r="F281" s="1960"/>
      <c r="G281" s="1960"/>
      <c r="V281" s="1960"/>
      <c r="W281" s="1960"/>
      <c r="X281" s="1919"/>
      <c r="Y281" s="1919"/>
      <c r="Z281" s="1919"/>
    </row>
    <row r="282" spans="1:26">
      <c r="A282" s="1919"/>
      <c r="B282" s="1960"/>
      <c r="C282" s="1960"/>
      <c r="D282" s="1960"/>
      <c r="E282" s="1960"/>
      <c r="F282" s="1960"/>
      <c r="G282" s="1960"/>
      <c r="V282" s="1960"/>
      <c r="W282" s="1960"/>
      <c r="X282" s="1919"/>
      <c r="Y282" s="1919"/>
      <c r="Z282" s="1919"/>
    </row>
    <row r="283" spans="1:26">
      <c r="A283" s="1919"/>
      <c r="B283" s="1960"/>
      <c r="C283" s="1960"/>
      <c r="D283" s="1960"/>
      <c r="E283" s="1960"/>
      <c r="F283" s="1960"/>
      <c r="G283" s="1960"/>
      <c r="V283" s="1960"/>
      <c r="W283" s="1960"/>
      <c r="X283" s="1919"/>
      <c r="Y283" s="1919"/>
      <c r="Z283" s="1919"/>
    </row>
    <row r="284" spans="1:26">
      <c r="A284" s="1919"/>
      <c r="B284" s="1960"/>
      <c r="C284" s="1960"/>
      <c r="D284" s="1960"/>
      <c r="E284" s="1960"/>
      <c r="F284" s="1960"/>
      <c r="G284" s="1960"/>
      <c r="V284" s="1960"/>
      <c r="W284" s="1960"/>
      <c r="X284" s="1919"/>
      <c r="Y284" s="1919"/>
      <c r="Z284" s="1919"/>
    </row>
    <row r="285" spans="1:26">
      <c r="A285" s="1919"/>
      <c r="B285" s="1960"/>
      <c r="C285" s="1960"/>
      <c r="D285" s="1960"/>
      <c r="E285" s="1960"/>
      <c r="F285" s="1960"/>
      <c r="G285" s="1960"/>
      <c r="V285" s="1960"/>
      <c r="W285" s="1960"/>
      <c r="X285" s="1919"/>
      <c r="Y285" s="1919"/>
      <c r="Z285" s="1919"/>
    </row>
    <row r="286" spans="1:26">
      <c r="A286" s="1919"/>
      <c r="B286" s="1960"/>
      <c r="C286" s="1960"/>
      <c r="D286" s="1960"/>
      <c r="E286" s="1960"/>
      <c r="F286" s="1960"/>
      <c r="G286" s="1960"/>
      <c r="V286" s="1960"/>
      <c r="W286" s="1960"/>
      <c r="X286" s="1919"/>
      <c r="Y286" s="1919"/>
      <c r="Z286" s="1919"/>
    </row>
    <row r="287" spans="1:26">
      <c r="A287" s="1919"/>
      <c r="B287" s="1960"/>
      <c r="C287" s="1960"/>
      <c r="D287" s="1960"/>
      <c r="E287" s="1960"/>
      <c r="F287" s="1960"/>
      <c r="G287" s="1960"/>
      <c r="V287" s="1960"/>
      <c r="W287" s="1960"/>
      <c r="X287" s="1919"/>
      <c r="Y287" s="1919"/>
      <c r="Z287" s="1919"/>
    </row>
    <row r="288" spans="1:26">
      <c r="A288" s="1919"/>
      <c r="B288" s="1960"/>
      <c r="C288" s="1960"/>
      <c r="D288" s="1960"/>
      <c r="E288" s="1960"/>
      <c r="F288" s="1960"/>
      <c r="G288" s="1960"/>
      <c r="V288" s="1960"/>
      <c r="W288" s="1960"/>
      <c r="X288" s="1919"/>
      <c r="Y288" s="1919"/>
      <c r="Z288" s="1919"/>
    </row>
    <row r="289" spans="1:26">
      <c r="A289" s="1919"/>
      <c r="B289" s="1960"/>
      <c r="C289" s="1960"/>
      <c r="D289" s="1960"/>
      <c r="E289" s="1960"/>
      <c r="F289" s="1960"/>
      <c r="G289" s="1960"/>
      <c r="V289" s="1960"/>
      <c r="W289" s="1960"/>
      <c r="X289" s="1919"/>
      <c r="Y289" s="1919"/>
      <c r="Z289" s="1919"/>
    </row>
    <row r="290" spans="1:26">
      <c r="A290" s="1919"/>
      <c r="B290" s="1960"/>
      <c r="C290" s="1960"/>
      <c r="D290" s="1960"/>
      <c r="E290" s="1960"/>
      <c r="F290" s="1960"/>
      <c r="G290" s="1960"/>
      <c r="V290" s="1960"/>
      <c r="W290" s="1960"/>
      <c r="X290" s="1919"/>
      <c r="Y290" s="1919"/>
      <c r="Z290" s="1919"/>
    </row>
    <row r="291" spans="1:26">
      <c r="A291" s="1919"/>
      <c r="B291" s="1960"/>
      <c r="C291" s="1960"/>
      <c r="D291" s="1960"/>
      <c r="E291" s="1960"/>
      <c r="F291" s="1960"/>
      <c r="G291" s="1960"/>
      <c r="V291" s="1960"/>
      <c r="W291" s="1960"/>
      <c r="X291" s="1919"/>
      <c r="Y291" s="1919"/>
      <c r="Z291" s="1919"/>
    </row>
    <row r="292" spans="1:26">
      <c r="A292" s="1919"/>
      <c r="B292" s="1960"/>
      <c r="C292" s="1960"/>
      <c r="D292" s="1960"/>
      <c r="E292" s="1960"/>
      <c r="F292" s="1960"/>
      <c r="G292" s="1960"/>
      <c r="V292" s="1960"/>
      <c r="W292" s="1960"/>
      <c r="X292" s="1919"/>
      <c r="Y292" s="1919"/>
      <c r="Z292" s="1919"/>
    </row>
    <row r="293" spans="1:26">
      <c r="A293" s="1919"/>
      <c r="B293" s="1960"/>
      <c r="C293" s="1960"/>
      <c r="D293" s="1960"/>
      <c r="E293" s="1960"/>
      <c r="F293" s="1960"/>
      <c r="G293" s="1960"/>
      <c r="V293" s="1960"/>
      <c r="W293" s="1960"/>
      <c r="X293" s="1919"/>
      <c r="Y293" s="1919"/>
      <c r="Z293" s="1919"/>
    </row>
    <row r="294" spans="1:26">
      <c r="A294" s="1919"/>
      <c r="B294" s="1960"/>
      <c r="C294" s="1960"/>
      <c r="D294" s="1960"/>
      <c r="E294" s="1960"/>
      <c r="F294" s="1960"/>
      <c r="G294" s="1960"/>
      <c r="V294" s="1960"/>
      <c r="W294" s="1960"/>
      <c r="X294" s="1919"/>
      <c r="Y294" s="1919"/>
      <c r="Z294" s="1919"/>
    </row>
    <row r="295" spans="1:26">
      <c r="A295" s="1919"/>
      <c r="B295" s="1960"/>
      <c r="C295" s="1960"/>
      <c r="D295" s="1960"/>
      <c r="E295" s="1960"/>
      <c r="F295" s="1960"/>
      <c r="G295" s="1960"/>
      <c r="V295" s="1960"/>
      <c r="W295" s="1960"/>
      <c r="X295" s="1919"/>
      <c r="Y295" s="1919"/>
      <c r="Z295" s="1919"/>
    </row>
    <row r="296" spans="1:26">
      <c r="A296" s="1919"/>
      <c r="B296" s="1960"/>
      <c r="C296" s="1960"/>
      <c r="D296" s="1960"/>
      <c r="E296" s="1960"/>
      <c r="F296" s="1960"/>
      <c r="G296" s="1960"/>
      <c r="V296" s="1960"/>
      <c r="W296" s="1960"/>
      <c r="X296" s="1919"/>
      <c r="Y296" s="1919"/>
      <c r="Z296" s="1919"/>
    </row>
    <row r="297" spans="1:26">
      <c r="A297" s="1919"/>
      <c r="B297" s="1960"/>
      <c r="C297" s="1960"/>
      <c r="D297" s="1960"/>
      <c r="E297" s="1960"/>
      <c r="F297" s="1960"/>
      <c r="G297" s="1960"/>
      <c r="V297" s="1960"/>
      <c r="W297" s="1960"/>
      <c r="X297" s="1919"/>
      <c r="Y297" s="1919"/>
      <c r="Z297" s="1919"/>
    </row>
    <row r="298" spans="1:26">
      <c r="A298" s="1919"/>
      <c r="B298" s="1960"/>
      <c r="C298" s="1960"/>
      <c r="D298" s="1960"/>
      <c r="E298" s="1960"/>
      <c r="F298" s="1960"/>
      <c r="G298" s="1960"/>
      <c r="V298" s="1960"/>
      <c r="W298" s="1960"/>
      <c r="X298" s="1919"/>
      <c r="Y298" s="1919"/>
      <c r="Z298" s="1919"/>
    </row>
    <row r="299" spans="1:26">
      <c r="A299" s="1919"/>
      <c r="B299" s="1960"/>
      <c r="C299" s="1960"/>
      <c r="D299" s="1960"/>
      <c r="E299" s="1960"/>
      <c r="F299" s="1960"/>
      <c r="G299" s="1960"/>
      <c r="V299" s="1960"/>
      <c r="W299" s="1960"/>
      <c r="X299" s="1919"/>
      <c r="Y299" s="1919"/>
      <c r="Z299" s="1919"/>
    </row>
    <row r="300" spans="1:26">
      <c r="A300" s="1919"/>
      <c r="B300" s="1960"/>
      <c r="C300" s="1960"/>
      <c r="D300" s="1960"/>
      <c r="E300" s="1960"/>
      <c r="F300" s="1960"/>
      <c r="G300" s="1960"/>
      <c r="V300" s="1960"/>
      <c r="W300" s="1960"/>
      <c r="X300" s="1919"/>
      <c r="Y300" s="1919"/>
      <c r="Z300" s="1919"/>
    </row>
    <row r="301" spans="1:26">
      <c r="A301" s="1919"/>
      <c r="B301" s="1960"/>
      <c r="C301" s="1960"/>
      <c r="D301" s="1960"/>
      <c r="E301" s="1960"/>
      <c r="F301" s="1960"/>
      <c r="G301" s="1960"/>
      <c r="V301" s="1960"/>
      <c r="W301" s="1960"/>
      <c r="X301" s="1919"/>
      <c r="Y301" s="1919"/>
      <c r="Z301" s="1919"/>
    </row>
    <row r="302" spans="1:26">
      <c r="A302" s="1919"/>
      <c r="B302" s="1960"/>
      <c r="C302" s="1960"/>
      <c r="D302" s="1960"/>
      <c r="E302" s="1960"/>
      <c r="F302" s="1960"/>
      <c r="G302" s="1960"/>
      <c r="V302" s="1960"/>
      <c r="W302" s="1960"/>
      <c r="X302" s="1919"/>
      <c r="Y302" s="1919"/>
      <c r="Z302" s="1919"/>
    </row>
    <row r="303" spans="1:26">
      <c r="A303" s="1919"/>
      <c r="B303" s="1960"/>
      <c r="C303" s="1960"/>
      <c r="D303" s="1960"/>
      <c r="E303" s="1960"/>
      <c r="F303" s="1960"/>
      <c r="G303" s="1960"/>
      <c r="V303" s="1960"/>
      <c r="W303" s="1960"/>
      <c r="X303" s="1919"/>
      <c r="Y303" s="1919"/>
      <c r="Z303" s="1919"/>
    </row>
    <row r="304" spans="1:26">
      <c r="A304" s="1919"/>
      <c r="B304" s="1960"/>
      <c r="C304" s="1960"/>
      <c r="D304" s="1960"/>
      <c r="E304" s="1960"/>
      <c r="F304" s="1960"/>
      <c r="G304" s="1960"/>
      <c r="V304" s="1960"/>
      <c r="W304" s="1960"/>
      <c r="X304" s="1919"/>
      <c r="Y304" s="1919"/>
      <c r="Z304" s="1919"/>
    </row>
    <row r="305" spans="1:26">
      <c r="A305" s="1919"/>
      <c r="B305" s="1960"/>
      <c r="C305" s="1960"/>
      <c r="D305" s="1960"/>
      <c r="E305" s="1960"/>
      <c r="F305" s="1960"/>
      <c r="G305" s="1960"/>
      <c r="V305" s="1960"/>
      <c r="W305" s="1960"/>
      <c r="X305" s="1919"/>
      <c r="Y305" s="1919"/>
      <c r="Z305" s="1919"/>
    </row>
    <row r="306" spans="1:26">
      <c r="A306" s="1919"/>
      <c r="B306" s="1960"/>
      <c r="C306" s="1960"/>
      <c r="D306" s="1960"/>
      <c r="E306" s="1960"/>
      <c r="F306" s="1960"/>
      <c r="G306" s="1960"/>
      <c r="V306" s="1960"/>
      <c r="W306" s="1960"/>
      <c r="X306" s="1919"/>
      <c r="Y306" s="1919"/>
      <c r="Z306" s="1919"/>
    </row>
    <row r="307" spans="1:26">
      <c r="A307" s="1919"/>
      <c r="B307" s="1960"/>
      <c r="C307" s="1960"/>
      <c r="D307" s="1960"/>
      <c r="E307" s="1960"/>
      <c r="F307" s="1960"/>
      <c r="G307" s="1960"/>
      <c r="V307" s="1960"/>
      <c r="W307" s="1960"/>
      <c r="X307" s="1919"/>
      <c r="Y307" s="1919"/>
      <c r="Z307" s="1919"/>
    </row>
    <row r="308" spans="1:26">
      <c r="A308" s="1919"/>
      <c r="B308" s="1960"/>
      <c r="C308" s="1960"/>
      <c r="D308" s="1960"/>
      <c r="E308" s="1960"/>
      <c r="F308" s="1960"/>
      <c r="G308" s="1960"/>
      <c r="V308" s="1960"/>
      <c r="W308" s="1960"/>
      <c r="X308" s="1919"/>
      <c r="Y308" s="1919"/>
      <c r="Z308" s="1919"/>
    </row>
    <row r="309" spans="1:26">
      <c r="A309" s="1919"/>
      <c r="B309" s="1960"/>
      <c r="C309" s="1960"/>
      <c r="D309" s="1960"/>
      <c r="E309" s="1960"/>
      <c r="F309" s="1960"/>
      <c r="G309" s="1960"/>
      <c r="V309" s="1960"/>
      <c r="W309" s="1960"/>
      <c r="X309" s="1919"/>
      <c r="Y309" s="1919"/>
      <c r="Z309" s="1919"/>
    </row>
    <row r="310" spans="1:26">
      <c r="A310" s="1919"/>
      <c r="B310" s="1960"/>
      <c r="C310" s="1960"/>
      <c r="D310" s="1960"/>
      <c r="E310" s="1960"/>
      <c r="F310" s="1960"/>
      <c r="G310" s="1960"/>
      <c r="V310" s="1960"/>
      <c r="W310" s="1960"/>
      <c r="X310" s="1919"/>
      <c r="Y310" s="1919"/>
      <c r="Z310" s="1919"/>
    </row>
    <row r="311" spans="1:26">
      <c r="A311" s="1919"/>
      <c r="B311" s="1960"/>
      <c r="C311" s="1960"/>
      <c r="D311" s="1960"/>
      <c r="E311" s="1960"/>
      <c r="F311" s="1960"/>
      <c r="G311" s="1960"/>
      <c r="V311" s="1960"/>
      <c r="W311" s="1960"/>
      <c r="X311" s="1919"/>
      <c r="Y311" s="1919"/>
      <c r="Z311" s="1919"/>
    </row>
    <row r="312" spans="1:26">
      <c r="A312" s="1919"/>
      <c r="B312" s="1960"/>
      <c r="C312" s="1960"/>
      <c r="D312" s="1960"/>
      <c r="E312" s="1960"/>
      <c r="F312" s="1960"/>
      <c r="G312" s="1960"/>
      <c r="V312" s="1960"/>
      <c r="W312" s="1960"/>
      <c r="X312" s="1919"/>
      <c r="Y312" s="1919"/>
      <c r="Z312" s="1919"/>
    </row>
    <row r="313" spans="1:26">
      <c r="A313" s="1919"/>
      <c r="B313" s="1960"/>
      <c r="C313" s="1960"/>
      <c r="D313" s="1960"/>
      <c r="E313" s="1960"/>
      <c r="F313" s="1960"/>
      <c r="G313" s="1960"/>
      <c r="V313" s="1960"/>
      <c r="W313" s="1960"/>
      <c r="X313" s="1919"/>
      <c r="Y313" s="1919"/>
      <c r="Z313" s="1919"/>
    </row>
    <row r="314" spans="1:26">
      <c r="A314" s="1919"/>
      <c r="B314" s="1960"/>
      <c r="C314" s="1960"/>
      <c r="D314" s="1960"/>
      <c r="E314" s="1960"/>
      <c r="F314" s="1960"/>
      <c r="G314" s="1960"/>
      <c r="V314" s="1960"/>
      <c r="W314" s="1960"/>
      <c r="X314" s="1919"/>
      <c r="Y314" s="1919"/>
      <c r="Z314" s="1919"/>
    </row>
    <row r="315" spans="1:26">
      <c r="A315" s="1919"/>
      <c r="B315" s="1960"/>
      <c r="C315" s="1960"/>
      <c r="D315" s="1960"/>
      <c r="E315" s="1960"/>
      <c r="F315" s="1960"/>
      <c r="G315" s="1960"/>
      <c r="V315" s="1960"/>
      <c r="W315" s="1960"/>
      <c r="X315" s="1919"/>
      <c r="Y315" s="1919"/>
      <c r="Z315" s="1919"/>
    </row>
    <row r="316" spans="1:26">
      <c r="A316" s="1919"/>
      <c r="B316" s="1960"/>
      <c r="C316" s="1960"/>
      <c r="D316" s="1960"/>
      <c r="E316" s="1960"/>
      <c r="F316" s="1960"/>
      <c r="G316" s="1960"/>
      <c r="V316" s="1960"/>
      <c r="W316" s="1960"/>
      <c r="X316" s="1919"/>
      <c r="Y316" s="1919"/>
      <c r="Z316" s="1919"/>
    </row>
    <row r="317" spans="1:26">
      <c r="A317" s="1919"/>
      <c r="B317" s="1960"/>
      <c r="C317" s="1960"/>
      <c r="D317" s="1960"/>
      <c r="E317" s="1960"/>
      <c r="F317" s="1960"/>
      <c r="G317" s="1960"/>
      <c r="V317" s="1960"/>
      <c r="W317" s="1960"/>
      <c r="X317" s="1919"/>
      <c r="Y317" s="1919"/>
      <c r="Z317" s="1919"/>
    </row>
    <row r="318" spans="1:26">
      <c r="A318" s="1919"/>
      <c r="B318" s="1960"/>
      <c r="C318" s="1960"/>
      <c r="D318" s="1960"/>
      <c r="E318" s="1960"/>
      <c r="F318" s="1960"/>
      <c r="G318" s="1960"/>
      <c r="V318" s="1960"/>
      <c r="W318" s="1960"/>
      <c r="X318" s="1919"/>
      <c r="Y318" s="1919"/>
      <c r="Z318" s="1919"/>
    </row>
    <row r="319" spans="1:26">
      <c r="A319" s="1919"/>
      <c r="B319" s="1960"/>
      <c r="C319" s="1960"/>
      <c r="D319" s="1960"/>
      <c r="E319" s="1960"/>
      <c r="F319" s="1960"/>
      <c r="G319" s="1960"/>
      <c r="V319" s="1960"/>
      <c r="W319" s="1960"/>
      <c r="X319" s="1919"/>
      <c r="Y319" s="1919"/>
      <c r="Z319" s="1919"/>
    </row>
    <row r="320" spans="1:26">
      <c r="A320" s="1919"/>
      <c r="B320" s="1960"/>
      <c r="C320" s="1960"/>
      <c r="D320" s="1960"/>
      <c r="E320" s="1960"/>
      <c r="F320" s="1960"/>
      <c r="G320" s="1960"/>
      <c r="V320" s="1960"/>
      <c r="W320" s="1960"/>
      <c r="X320" s="1919"/>
      <c r="Y320" s="1919"/>
      <c r="Z320" s="1919"/>
    </row>
    <row r="321" spans="1:26">
      <c r="A321" s="1919"/>
      <c r="B321" s="1960"/>
      <c r="C321" s="1960"/>
      <c r="D321" s="1960"/>
      <c r="E321" s="1960"/>
      <c r="F321" s="1960"/>
      <c r="G321" s="1960"/>
      <c r="V321" s="1960"/>
      <c r="W321" s="1960"/>
      <c r="X321" s="1919"/>
      <c r="Y321" s="1919"/>
      <c r="Z321" s="1919"/>
    </row>
    <row r="322" spans="1:26">
      <c r="A322" s="1919"/>
      <c r="B322" s="1960"/>
      <c r="C322" s="1960"/>
      <c r="D322" s="1960"/>
      <c r="E322" s="1960"/>
      <c r="F322" s="1960"/>
      <c r="G322" s="1960"/>
      <c r="V322" s="1960"/>
      <c r="W322" s="1960"/>
      <c r="X322" s="1919"/>
      <c r="Y322" s="1919"/>
      <c r="Z322" s="1919"/>
    </row>
    <row r="323" spans="1:26">
      <c r="A323" s="1919"/>
      <c r="B323" s="1960"/>
      <c r="C323" s="1960"/>
      <c r="D323" s="1960"/>
      <c r="E323" s="1960"/>
      <c r="F323" s="1960"/>
      <c r="G323" s="1960"/>
      <c r="V323" s="1960"/>
      <c r="W323" s="1960"/>
      <c r="X323" s="1919"/>
      <c r="Y323" s="1919"/>
      <c r="Z323" s="1919"/>
    </row>
    <row r="324" spans="1:26">
      <c r="A324" s="1919"/>
      <c r="B324" s="1960"/>
      <c r="C324" s="1960"/>
      <c r="D324" s="1960"/>
      <c r="E324" s="1960"/>
      <c r="F324" s="1960"/>
      <c r="G324" s="1960"/>
      <c r="V324" s="1960"/>
      <c r="W324" s="1960"/>
      <c r="X324" s="1919"/>
      <c r="Y324" s="1919"/>
      <c r="Z324" s="1919"/>
    </row>
    <row r="325" spans="1:26">
      <c r="A325" s="1919"/>
      <c r="B325" s="1960"/>
      <c r="C325" s="1960"/>
      <c r="D325" s="1960"/>
      <c r="E325" s="1960"/>
      <c r="F325" s="1960"/>
      <c r="G325" s="1960"/>
      <c r="V325" s="1960"/>
      <c r="W325" s="1960"/>
      <c r="X325" s="1919"/>
      <c r="Y325" s="1919"/>
      <c r="Z325" s="1919"/>
    </row>
    <row r="326" spans="1:26">
      <c r="A326" s="1919"/>
      <c r="B326" s="1960"/>
      <c r="C326" s="1960"/>
      <c r="D326" s="1960"/>
      <c r="E326" s="1960"/>
      <c r="F326" s="1960"/>
      <c r="G326" s="1960"/>
      <c r="V326" s="1960"/>
      <c r="W326" s="1960"/>
      <c r="X326" s="1919"/>
      <c r="Y326" s="1919"/>
      <c r="Z326" s="1919"/>
    </row>
    <row r="327" spans="1:26">
      <c r="A327" s="1919"/>
      <c r="B327" s="1960"/>
      <c r="C327" s="1960"/>
      <c r="D327" s="1960"/>
      <c r="E327" s="1960"/>
      <c r="F327" s="1960"/>
      <c r="G327" s="1960"/>
      <c r="V327" s="1960"/>
      <c r="W327" s="1960"/>
      <c r="X327" s="1919"/>
      <c r="Y327" s="1919"/>
      <c r="Z327" s="1919"/>
    </row>
    <row r="328" spans="1:26">
      <c r="A328" s="1919"/>
      <c r="B328" s="1960"/>
      <c r="C328" s="1960"/>
      <c r="D328" s="1960"/>
      <c r="E328" s="1960"/>
      <c r="F328" s="1960"/>
      <c r="G328" s="1960"/>
      <c r="V328" s="1960"/>
      <c r="W328" s="1960"/>
      <c r="X328" s="1919"/>
      <c r="Y328" s="1919"/>
      <c r="Z328" s="1919"/>
    </row>
    <row r="329" spans="1:26">
      <c r="A329" s="1919"/>
      <c r="B329" s="1960"/>
      <c r="C329" s="1960"/>
      <c r="D329" s="1960"/>
      <c r="E329" s="1960"/>
      <c r="F329" s="1960"/>
      <c r="G329" s="1960"/>
      <c r="V329" s="1960"/>
      <c r="W329" s="1960"/>
      <c r="X329" s="1919"/>
      <c r="Y329" s="1919"/>
      <c r="Z329" s="1919"/>
    </row>
    <row r="330" spans="1:26">
      <c r="A330" s="1919"/>
      <c r="B330" s="1960"/>
      <c r="C330" s="1960"/>
      <c r="D330" s="1960"/>
      <c r="E330" s="1960"/>
      <c r="F330" s="1960"/>
      <c r="G330" s="1960"/>
      <c r="V330" s="1960"/>
      <c r="W330" s="1960"/>
      <c r="X330" s="1919"/>
      <c r="Y330" s="1919"/>
      <c r="Z330" s="1919"/>
    </row>
    <row r="331" spans="1:26">
      <c r="A331" s="1919"/>
      <c r="B331" s="1960"/>
      <c r="C331" s="1960"/>
      <c r="D331" s="1960"/>
      <c r="E331" s="1960"/>
      <c r="F331" s="1960"/>
      <c r="G331" s="1960"/>
      <c r="V331" s="1960"/>
      <c r="W331" s="1960"/>
      <c r="X331" s="1919"/>
      <c r="Y331" s="1919"/>
      <c r="Z331" s="1919"/>
    </row>
    <row r="332" spans="1:26">
      <c r="A332" s="1919"/>
      <c r="B332" s="1960"/>
      <c r="C332" s="1960"/>
      <c r="D332" s="1960"/>
      <c r="E332" s="1960"/>
      <c r="F332" s="1960"/>
      <c r="G332" s="1960"/>
      <c r="V332" s="1960"/>
      <c r="W332" s="1960"/>
      <c r="X332" s="1919"/>
      <c r="Y332" s="1919"/>
      <c r="Z332" s="1919"/>
    </row>
    <row r="333" spans="1:26">
      <c r="A333" s="1919"/>
      <c r="B333" s="1960"/>
      <c r="C333" s="1960"/>
      <c r="D333" s="1960"/>
      <c r="E333" s="1960"/>
      <c r="F333" s="1960"/>
      <c r="G333" s="1960"/>
      <c r="V333" s="1960"/>
      <c r="W333" s="1960"/>
      <c r="X333" s="1919"/>
      <c r="Y333" s="1919"/>
      <c r="Z333" s="1919"/>
    </row>
    <row r="334" spans="1:26">
      <c r="A334" s="1919"/>
      <c r="B334" s="1960"/>
      <c r="C334" s="1960"/>
      <c r="D334" s="1960"/>
      <c r="E334" s="1960"/>
      <c r="F334" s="1960"/>
      <c r="G334" s="1960"/>
      <c r="V334" s="1960"/>
      <c r="W334" s="1960"/>
      <c r="X334" s="1919"/>
      <c r="Y334" s="1919"/>
      <c r="Z334" s="1919"/>
    </row>
    <row r="335" spans="1:26">
      <c r="A335" s="1919"/>
      <c r="B335" s="1960"/>
      <c r="C335" s="1960"/>
      <c r="D335" s="1960"/>
      <c r="E335" s="1960"/>
      <c r="F335" s="1960"/>
      <c r="G335" s="1960"/>
      <c r="V335" s="1960"/>
      <c r="W335" s="1960"/>
      <c r="X335" s="1919"/>
      <c r="Y335" s="1919"/>
      <c r="Z335" s="1919"/>
    </row>
    <row r="336" spans="1:26">
      <c r="A336" s="1919"/>
      <c r="B336" s="1960"/>
      <c r="C336" s="1960"/>
      <c r="D336" s="1960"/>
      <c r="E336" s="1960"/>
      <c r="F336" s="1960"/>
      <c r="G336" s="1960"/>
      <c r="V336" s="1960"/>
      <c r="W336" s="1960"/>
      <c r="X336" s="1919"/>
      <c r="Y336" s="1919"/>
      <c r="Z336" s="1919"/>
    </row>
    <row r="337" spans="1:26">
      <c r="A337" s="1919"/>
      <c r="B337" s="1960"/>
      <c r="C337" s="1960"/>
      <c r="D337" s="1960"/>
      <c r="E337" s="1960"/>
      <c r="F337" s="1960"/>
      <c r="G337" s="1960"/>
      <c r="V337" s="1960"/>
      <c r="W337" s="1960"/>
      <c r="X337" s="1919"/>
      <c r="Y337" s="1919"/>
      <c r="Z337" s="1919"/>
    </row>
    <row r="338" spans="1:26">
      <c r="A338" s="1919"/>
      <c r="B338" s="1960"/>
      <c r="C338" s="1960"/>
      <c r="D338" s="1960"/>
      <c r="E338" s="1960"/>
      <c r="F338" s="1960"/>
      <c r="G338" s="1960"/>
      <c r="V338" s="1960"/>
      <c r="W338" s="1960"/>
      <c r="X338" s="1919"/>
      <c r="Y338" s="1919"/>
      <c r="Z338" s="1919"/>
    </row>
    <row r="339" spans="1:26">
      <c r="A339" s="1919"/>
      <c r="B339" s="1960"/>
      <c r="C339" s="1960"/>
      <c r="D339" s="1960"/>
      <c r="E339" s="1960"/>
      <c r="F339" s="1960"/>
      <c r="G339" s="1960"/>
      <c r="V339" s="1960"/>
      <c r="W339" s="1960"/>
      <c r="X339" s="1919"/>
      <c r="Y339" s="1919"/>
      <c r="Z339" s="1919"/>
    </row>
    <row r="340" spans="1:26">
      <c r="A340" s="1919"/>
      <c r="B340" s="1960"/>
      <c r="C340" s="1960"/>
      <c r="D340" s="1960"/>
      <c r="E340" s="1960"/>
      <c r="F340" s="1960"/>
      <c r="G340" s="1960"/>
      <c r="V340" s="1960"/>
      <c r="W340" s="1960"/>
      <c r="X340" s="1919"/>
      <c r="Y340" s="1919"/>
      <c r="Z340" s="1919"/>
    </row>
    <row r="341" spans="1:26">
      <c r="A341" s="1919"/>
      <c r="B341" s="1960"/>
      <c r="C341" s="1960"/>
      <c r="D341" s="1960"/>
      <c r="E341" s="1960"/>
      <c r="F341" s="1960"/>
      <c r="G341" s="1960"/>
      <c r="V341" s="1960"/>
      <c r="W341" s="1960"/>
      <c r="X341" s="1919"/>
      <c r="Y341" s="1919"/>
      <c r="Z341" s="1919"/>
    </row>
    <row r="342" spans="1:26">
      <c r="A342" s="1919"/>
      <c r="B342" s="1960"/>
      <c r="C342" s="1960"/>
      <c r="D342" s="1960"/>
      <c r="E342" s="1960"/>
      <c r="F342" s="1960"/>
      <c r="G342" s="1960"/>
      <c r="V342" s="1960"/>
      <c r="W342" s="1960"/>
      <c r="X342" s="1919"/>
      <c r="Y342" s="1919"/>
      <c r="Z342" s="1919"/>
    </row>
    <row r="343" spans="1:26">
      <c r="A343" s="1919"/>
      <c r="B343" s="1960"/>
      <c r="C343" s="1960"/>
      <c r="D343" s="1960"/>
      <c r="E343" s="1960"/>
      <c r="F343" s="1960"/>
      <c r="G343" s="1960"/>
      <c r="V343" s="1960"/>
      <c r="W343" s="1960"/>
      <c r="X343" s="1919"/>
      <c r="Y343" s="1919"/>
      <c r="Z343" s="1919"/>
    </row>
    <row r="344" spans="1:26">
      <c r="A344" s="1919"/>
      <c r="B344" s="1960"/>
      <c r="C344" s="1960"/>
      <c r="D344" s="1960"/>
      <c r="E344" s="1960"/>
      <c r="F344" s="1960"/>
      <c r="G344" s="1960"/>
      <c r="V344" s="1960"/>
      <c r="W344" s="1960"/>
      <c r="X344" s="1919"/>
      <c r="Y344" s="1919"/>
      <c r="Z344" s="1919"/>
    </row>
    <row r="345" spans="1:26">
      <c r="A345" s="1919"/>
      <c r="B345" s="1960"/>
      <c r="C345" s="1960"/>
      <c r="D345" s="1960"/>
      <c r="E345" s="1960"/>
      <c r="F345" s="1960"/>
      <c r="G345" s="1960"/>
      <c r="V345" s="1960"/>
      <c r="W345" s="1960"/>
      <c r="X345" s="1919"/>
      <c r="Y345" s="1919"/>
      <c r="Z345" s="1919"/>
    </row>
    <row r="346" spans="1:26">
      <c r="A346" s="1919"/>
      <c r="B346" s="1960"/>
      <c r="C346" s="1960"/>
      <c r="D346" s="1960"/>
      <c r="E346" s="1960"/>
      <c r="F346" s="1960"/>
      <c r="G346" s="1960"/>
      <c r="V346" s="1960"/>
      <c r="W346" s="1960"/>
      <c r="X346" s="1919"/>
      <c r="Y346" s="1919"/>
      <c r="Z346" s="1919"/>
    </row>
    <row r="347" spans="1:26">
      <c r="A347" s="1919"/>
      <c r="B347" s="1960"/>
      <c r="C347" s="1960"/>
      <c r="D347" s="1960"/>
      <c r="E347" s="1960"/>
      <c r="F347" s="1960"/>
      <c r="G347" s="1960"/>
      <c r="V347" s="1960"/>
      <c r="W347" s="1960"/>
      <c r="X347" s="1919"/>
      <c r="Y347" s="1919"/>
      <c r="Z347" s="1919"/>
    </row>
    <row r="348" spans="1:26">
      <c r="A348" s="1919"/>
      <c r="B348" s="1960"/>
      <c r="C348" s="1960"/>
      <c r="D348" s="1960"/>
      <c r="E348" s="1960"/>
      <c r="F348" s="1960"/>
      <c r="G348" s="1960"/>
      <c r="V348" s="1960"/>
      <c r="W348" s="1960"/>
      <c r="X348" s="1919"/>
      <c r="Y348" s="1919"/>
      <c r="Z348" s="1919"/>
    </row>
    <row r="349" spans="1:26">
      <c r="A349" s="1919"/>
      <c r="B349" s="1960"/>
      <c r="C349" s="1960"/>
      <c r="D349" s="1960"/>
      <c r="E349" s="1960"/>
      <c r="F349" s="1960"/>
      <c r="G349" s="1960"/>
      <c r="V349" s="1960"/>
      <c r="W349" s="1960"/>
      <c r="X349" s="1919"/>
      <c r="Y349" s="1919"/>
      <c r="Z349" s="1919"/>
    </row>
    <row r="350" spans="1:26">
      <c r="A350" s="1919"/>
      <c r="B350" s="1960"/>
      <c r="C350" s="1960"/>
      <c r="D350" s="1960"/>
      <c r="E350" s="1960"/>
      <c r="F350" s="1960"/>
      <c r="G350" s="1960"/>
      <c r="V350" s="1960"/>
      <c r="W350" s="1960"/>
      <c r="X350" s="1919"/>
      <c r="Y350" s="1919"/>
      <c r="Z350" s="1919"/>
    </row>
    <row r="351" spans="1:26">
      <c r="A351" s="1919"/>
      <c r="B351" s="1960"/>
      <c r="C351" s="1960"/>
      <c r="D351" s="1960"/>
      <c r="E351" s="1960"/>
      <c r="F351" s="1960"/>
      <c r="G351" s="1960"/>
      <c r="V351" s="1960"/>
      <c r="W351" s="1960"/>
      <c r="X351" s="1919"/>
      <c r="Y351" s="1919"/>
      <c r="Z351" s="1919"/>
    </row>
    <row r="352" spans="1:26">
      <c r="A352" s="1919"/>
      <c r="B352" s="1960"/>
      <c r="C352" s="1960"/>
      <c r="D352" s="1960"/>
      <c r="E352" s="1960"/>
      <c r="F352" s="1960"/>
      <c r="G352" s="1960"/>
      <c r="V352" s="1960"/>
      <c r="W352" s="1960"/>
      <c r="X352" s="1919"/>
      <c r="Y352" s="1919"/>
      <c r="Z352" s="1919"/>
    </row>
    <row r="353" spans="1:26">
      <c r="B353" s="1960"/>
      <c r="C353" s="1960"/>
      <c r="D353" s="1960"/>
      <c r="E353" s="1960"/>
      <c r="F353" s="1960"/>
      <c r="G353" s="1960"/>
      <c r="V353" s="1960"/>
      <c r="W353" s="1960"/>
    </row>
    <row r="354" spans="1:26" ht="13.5" thickBot="1">
      <c r="B354" s="1960"/>
      <c r="C354" s="1960"/>
      <c r="D354" s="1960"/>
      <c r="E354" s="1960"/>
      <c r="F354" s="1960"/>
      <c r="G354" s="1960"/>
      <c r="V354" s="1960"/>
      <c r="W354" s="1960"/>
    </row>
    <row r="355" spans="1:26">
      <c r="A355" s="1970"/>
      <c r="B355" s="1971"/>
      <c r="C355" s="1971"/>
      <c r="D355" s="1972"/>
      <c r="E355" s="1972"/>
      <c r="F355" s="1972"/>
      <c r="G355" s="1972"/>
      <c r="H355" s="1972"/>
      <c r="I355" s="1972"/>
      <c r="J355" s="1972"/>
      <c r="K355" s="1972"/>
      <c r="L355" s="1973"/>
      <c r="M355" s="1972"/>
      <c r="N355" s="1972"/>
      <c r="O355" s="1972"/>
      <c r="P355" s="1972"/>
      <c r="Q355" s="1972"/>
      <c r="R355" s="1972"/>
      <c r="S355" s="1972"/>
      <c r="T355" s="1972"/>
      <c r="U355" s="1972"/>
      <c r="V355" s="1972"/>
      <c r="W355" s="1972"/>
      <c r="X355" s="1974"/>
      <c r="Y355" s="1975"/>
      <c r="Z355" s="1975"/>
    </row>
    <row r="356" spans="1:26">
      <c r="A356" s="1976"/>
      <c r="B356" s="1960"/>
      <c r="C356" s="1960"/>
      <c r="D356" s="1960"/>
      <c r="E356" s="1960"/>
      <c r="F356" s="1960"/>
      <c r="G356" s="1960"/>
      <c r="V356" s="1960"/>
      <c r="W356" s="1960"/>
      <c r="X356" s="1977"/>
      <c r="Y356" s="1978"/>
      <c r="Z356" s="1978"/>
    </row>
    <row r="357" spans="1:26">
      <c r="A357" s="1976"/>
      <c r="B357" s="1960"/>
      <c r="C357" s="1960"/>
      <c r="D357" s="1960"/>
      <c r="E357" s="1960"/>
      <c r="F357" s="1960"/>
      <c r="G357" s="1960"/>
      <c r="V357" s="1960"/>
      <c r="W357" s="1960"/>
      <c r="X357" s="1977"/>
      <c r="Y357" s="1978"/>
      <c r="Z357" s="1978"/>
    </row>
    <row r="358" spans="1:26">
      <c r="A358" s="1976"/>
      <c r="B358" s="1960"/>
      <c r="C358" s="1960"/>
      <c r="D358" s="1960"/>
      <c r="E358" s="1960"/>
      <c r="F358" s="1960"/>
      <c r="G358" s="1960"/>
      <c r="V358" s="1960"/>
      <c r="W358" s="1960"/>
      <c r="X358" s="1977"/>
      <c r="Y358" s="1978"/>
      <c r="Z358" s="1978"/>
    </row>
    <row r="359" spans="1:26">
      <c r="A359" s="1976"/>
      <c r="B359" s="1960"/>
      <c r="C359" s="1960"/>
      <c r="D359" s="1960"/>
      <c r="E359" s="1960"/>
      <c r="F359" s="1960"/>
      <c r="G359" s="1960"/>
      <c r="V359" s="1960"/>
      <c r="W359" s="1960"/>
      <c r="X359" s="1977"/>
      <c r="Y359" s="1978"/>
      <c r="Z359" s="1978"/>
    </row>
    <row r="360" spans="1:26">
      <c r="A360" s="1976"/>
      <c r="B360" s="1960"/>
      <c r="C360" s="1960"/>
      <c r="D360" s="1960"/>
      <c r="E360" s="1960"/>
      <c r="F360" s="1960"/>
      <c r="G360" s="1960"/>
      <c r="V360" s="1960"/>
      <c r="W360" s="1960"/>
      <c r="X360" s="1977"/>
      <c r="Y360" s="1978"/>
      <c r="Z360" s="1978"/>
    </row>
    <row r="361" spans="1:26">
      <c r="A361" s="1976"/>
      <c r="B361" s="1960"/>
      <c r="C361" s="1960"/>
      <c r="D361" s="1960"/>
      <c r="E361" s="1960"/>
      <c r="F361" s="1960"/>
      <c r="G361" s="1960"/>
      <c r="V361" s="1960"/>
      <c r="W361" s="1960"/>
      <c r="X361" s="1977"/>
      <c r="Y361" s="1978"/>
      <c r="Z361" s="1978"/>
    </row>
    <row r="362" spans="1:26">
      <c r="A362" s="1976"/>
      <c r="B362" s="1960"/>
      <c r="C362" s="1960"/>
      <c r="D362" s="1960"/>
      <c r="E362" s="1960"/>
      <c r="F362" s="1960"/>
      <c r="G362" s="1960"/>
      <c r="V362" s="1960"/>
      <c r="W362" s="1960"/>
      <c r="X362" s="1977"/>
      <c r="Y362" s="1978"/>
      <c r="Z362" s="1978"/>
    </row>
    <row r="363" spans="1:26">
      <c r="A363" s="1976"/>
      <c r="B363" s="1960"/>
      <c r="C363" s="1960"/>
      <c r="D363" s="1960"/>
      <c r="E363" s="1960"/>
      <c r="F363" s="1960"/>
      <c r="G363" s="1960"/>
      <c r="V363" s="1960"/>
      <c r="W363" s="1960"/>
      <c r="X363" s="1977"/>
      <c r="Y363" s="1978"/>
      <c r="Z363" s="1978"/>
    </row>
    <row r="364" spans="1:26">
      <c r="A364" s="1976"/>
      <c r="B364" s="1960"/>
      <c r="C364" s="1960"/>
      <c r="D364" s="1960"/>
      <c r="E364" s="1960"/>
      <c r="F364" s="1960"/>
      <c r="G364" s="1960"/>
      <c r="V364" s="1960"/>
      <c r="W364" s="1960"/>
      <c r="X364" s="1977"/>
      <c r="Y364" s="1978"/>
      <c r="Z364" s="1978"/>
    </row>
    <row r="365" spans="1:26">
      <c r="A365" s="1976"/>
      <c r="B365" s="1960"/>
      <c r="C365" s="1960"/>
      <c r="D365" s="1960"/>
      <c r="E365" s="1960"/>
      <c r="F365" s="1960"/>
      <c r="G365" s="1960"/>
      <c r="V365" s="1960"/>
      <c r="W365" s="1960"/>
      <c r="X365" s="1977"/>
      <c r="Y365" s="1978"/>
      <c r="Z365" s="1978"/>
    </row>
    <row r="366" spans="1:26" ht="13.5" thickBot="1">
      <c r="A366" s="1979"/>
      <c r="B366" s="1980"/>
      <c r="C366" s="1980"/>
      <c r="D366" s="1980"/>
      <c r="E366" s="1980"/>
      <c r="F366" s="1980"/>
      <c r="G366" s="1980"/>
      <c r="H366" s="1980"/>
      <c r="I366" s="1980"/>
      <c r="J366" s="1980"/>
      <c r="K366" s="1980"/>
      <c r="L366" s="1981"/>
      <c r="M366" s="1980"/>
      <c r="N366" s="1980"/>
      <c r="O366" s="1980"/>
      <c r="P366" s="1980"/>
      <c r="Q366" s="1980"/>
      <c r="R366" s="1980"/>
      <c r="S366" s="1980"/>
      <c r="T366" s="1980"/>
      <c r="U366" s="1980"/>
      <c r="V366" s="1980"/>
      <c r="W366" s="1980"/>
      <c r="X366" s="1982"/>
      <c r="Y366" s="1983"/>
      <c r="Z366" s="1983"/>
    </row>
    <row r="367" spans="1:26">
      <c r="B367" s="1960"/>
      <c r="C367" s="1960"/>
      <c r="D367" s="1960"/>
      <c r="E367" s="1960"/>
      <c r="F367" s="1960"/>
      <c r="G367" s="1960"/>
      <c r="V367" s="1960"/>
      <c r="W367" s="1960"/>
    </row>
    <row r="368" spans="1:26">
      <c r="B368" s="1960"/>
      <c r="C368" s="1960"/>
      <c r="D368" s="1960"/>
      <c r="E368" s="1960"/>
      <c r="F368" s="1960"/>
      <c r="G368" s="1960"/>
      <c r="V368" s="1960"/>
      <c r="W368" s="1960"/>
    </row>
    <row r="369" spans="1:26">
      <c r="A369" s="1919"/>
      <c r="B369" s="1960"/>
      <c r="C369" s="1960"/>
      <c r="D369" s="1960"/>
      <c r="E369" s="1960"/>
      <c r="F369" s="1960"/>
      <c r="G369" s="1960"/>
      <c r="V369" s="1960"/>
      <c r="W369" s="1960"/>
      <c r="X369" s="1919"/>
      <c r="Y369" s="1919"/>
      <c r="Z369" s="1919"/>
    </row>
    <row r="370" spans="1:26">
      <c r="A370" s="1919"/>
      <c r="B370" s="1960"/>
      <c r="C370" s="1960"/>
      <c r="D370" s="1960"/>
      <c r="E370" s="1960"/>
      <c r="F370" s="1960"/>
      <c r="G370" s="1960"/>
      <c r="V370" s="1960"/>
      <c r="W370" s="1960"/>
      <c r="X370" s="1919"/>
      <c r="Y370" s="1919"/>
      <c r="Z370" s="1919"/>
    </row>
    <row r="371" spans="1:26">
      <c r="A371" s="1919"/>
      <c r="B371" s="1960"/>
      <c r="C371" s="1960"/>
      <c r="D371" s="1960"/>
      <c r="E371" s="1960"/>
      <c r="F371" s="1960"/>
      <c r="G371" s="1960"/>
      <c r="V371" s="1960"/>
      <c r="W371" s="1960"/>
      <c r="X371" s="1919"/>
      <c r="Y371" s="1919"/>
      <c r="Z371" s="1919"/>
    </row>
    <row r="372" spans="1:26">
      <c r="A372" s="1919"/>
      <c r="B372" s="1960"/>
      <c r="C372" s="1960"/>
      <c r="D372" s="1960"/>
      <c r="E372" s="1960"/>
      <c r="F372" s="1960"/>
      <c r="G372" s="1960"/>
      <c r="V372" s="1960"/>
      <c r="W372" s="1960"/>
      <c r="X372" s="1919"/>
      <c r="Y372" s="1919"/>
      <c r="Z372" s="1919"/>
    </row>
    <row r="373" spans="1:26">
      <c r="A373" s="1919"/>
      <c r="B373" s="1960"/>
      <c r="C373" s="1960"/>
      <c r="D373" s="1960"/>
      <c r="E373" s="1960"/>
      <c r="F373" s="1960"/>
      <c r="G373" s="1960"/>
      <c r="V373" s="1960"/>
      <c r="W373" s="1960"/>
      <c r="X373" s="1919"/>
      <c r="Y373" s="1919"/>
      <c r="Z373" s="1919"/>
    </row>
    <row r="374" spans="1:26">
      <c r="A374" s="1919"/>
      <c r="B374" s="1960"/>
      <c r="C374" s="1960"/>
      <c r="D374" s="1960"/>
      <c r="E374" s="1960"/>
      <c r="F374" s="1960"/>
      <c r="G374" s="1960"/>
      <c r="V374" s="1960"/>
      <c r="W374" s="1960"/>
      <c r="X374" s="1919"/>
      <c r="Y374" s="1919"/>
      <c r="Z374" s="1919"/>
    </row>
    <row r="375" spans="1:26">
      <c r="A375" s="1919"/>
      <c r="B375" s="1960"/>
      <c r="C375" s="1960"/>
      <c r="D375" s="1960"/>
      <c r="E375" s="1960"/>
      <c r="F375" s="1960"/>
      <c r="G375" s="1960"/>
      <c r="V375" s="1960"/>
      <c r="W375" s="1960"/>
      <c r="X375" s="1919"/>
      <c r="Y375" s="1919"/>
      <c r="Z375" s="1919"/>
    </row>
    <row r="376" spans="1:26">
      <c r="A376" s="1919"/>
      <c r="B376" s="1960"/>
      <c r="C376" s="1960"/>
      <c r="D376" s="1960"/>
      <c r="E376" s="1960"/>
      <c r="F376" s="1960"/>
      <c r="G376" s="1960"/>
      <c r="V376" s="1960"/>
      <c r="W376" s="1960"/>
      <c r="X376" s="1919"/>
      <c r="Y376" s="1919"/>
      <c r="Z376" s="1919"/>
    </row>
    <row r="377" spans="1:26">
      <c r="A377" s="1919"/>
      <c r="B377" s="1960"/>
      <c r="C377" s="1960"/>
      <c r="D377" s="1960"/>
      <c r="E377" s="1960"/>
      <c r="F377" s="1960"/>
      <c r="G377" s="1960"/>
      <c r="V377" s="1960"/>
      <c r="W377" s="1960"/>
      <c r="X377" s="1919"/>
      <c r="Y377" s="1919"/>
      <c r="Z377" s="1919"/>
    </row>
    <row r="378" spans="1:26">
      <c r="A378" s="1919"/>
      <c r="B378" s="1960"/>
      <c r="C378" s="1960"/>
      <c r="D378" s="1960"/>
      <c r="E378" s="1960"/>
      <c r="F378" s="1960"/>
      <c r="G378" s="1960"/>
      <c r="V378" s="1960"/>
      <c r="W378" s="1960"/>
      <c r="X378" s="1919"/>
      <c r="Y378" s="1919"/>
      <c r="Z378" s="1919"/>
    </row>
    <row r="379" spans="1:26">
      <c r="A379" s="1919"/>
      <c r="B379" s="1960"/>
      <c r="C379" s="1960"/>
      <c r="D379" s="1960"/>
      <c r="E379" s="1960"/>
      <c r="F379" s="1960"/>
      <c r="G379" s="1960"/>
      <c r="V379" s="1960"/>
      <c r="W379" s="1960"/>
      <c r="X379" s="1919"/>
      <c r="Y379" s="1919"/>
      <c r="Z379" s="1919"/>
    </row>
    <row r="380" spans="1:26">
      <c r="A380" s="1919"/>
      <c r="B380" s="1960"/>
      <c r="C380" s="1960"/>
      <c r="D380" s="1960"/>
      <c r="E380" s="1960"/>
      <c r="F380" s="1960"/>
      <c r="G380" s="1960"/>
      <c r="V380" s="1960"/>
      <c r="W380" s="1960"/>
      <c r="X380" s="1919"/>
      <c r="Y380" s="1919"/>
      <c r="Z380" s="1919"/>
    </row>
    <row r="381" spans="1:26">
      <c r="A381" s="1919"/>
      <c r="B381" s="1960"/>
      <c r="C381" s="1960"/>
      <c r="D381" s="1960"/>
      <c r="E381" s="1960"/>
      <c r="F381" s="1960"/>
      <c r="G381" s="1960"/>
      <c r="V381" s="1960"/>
      <c r="W381" s="1960"/>
      <c r="X381" s="1919"/>
      <c r="Y381" s="1919"/>
      <c r="Z381" s="1919"/>
    </row>
    <row r="382" spans="1:26">
      <c r="A382" s="1919"/>
      <c r="B382" s="1960"/>
      <c r="C382" s="1960"/>
      <c r="D382" s="1960"/>
      <c r="E382" s="1960"/>
      <c r="F382" s="1960"/>
      <c r="G382" s="1960"/>
      <c r="V382" s="1960"/>
      <c r="W382" s="1960"/>
      <c r="X382" s="1919"/>
      <c r="Y382" s="1919"/>
      <c r="Z382" s="1919"/>
    </row>
    <row r="383" spans="1:26">
      <c r="A383" s="1919"/>
      <c r="B383" s="1960"/>
      <c r="C383" s="1960"/>
      <c r="D383" s="1960"/>
      <c r="E383" s="1960"/>
      <c r="F383" s="1960"/>
      <c r="G383" s="1960"/>
      <c r="V383" s="1960"/>
      <c r="W383" s="1960"/>
      <c r="X383" s="1919"/>
      <c r="Y383" s="1919"/>
      <c r="Z383" s="1919"/>
    </row>
    <row r="384" spans="1:26">
      <c r="A384" s="1919"/>
      <c r="B384" s="1960"/>
      <c r="C384" s="1960"/>
      <c r="D384" s="1960"/>
      <c r="E384" s="1960"/>
      <c r="F384" s="1960"/>
      <c r="G384" s="1960"/>
      <c r="V384" s="1960"/>
      <c r="W384" s="1960"/>
      <c r="X384" s="1919"/>
      <c r="Y384" s="1919"/>
      <c r="Z384" s="1919"/>
    </row>
    <row r="385" spans="1:26">
      <c r="A385" s="1919"/>
      <c r="B385" s="1960"/>
      <c r="C385" s="1960"/>
      <c r="D385" s="1960"/>
      <c r="E385" s="1960"/>
      <c r="F385" s="1960"/>
      <c r="G385" s="1960"/>
      <c r="V385" s="1960"/>
      <c r="W385" s="1960"/>
      <c r="X385" s="1919"/>
      <c r="Y385" s="1919"/>
      <c r="Z385" s="1919"/>
    </row>
    <row r="386" spans="1:26">
      <c r="A386" s="1919"/>
      <c r="B386" s="1960"/>
      <c r="C386" s="1960"/>
      <c r="D386" s="1960"/>
      <c r="E386" s="1960"/>
      <c r="F386" s="1960"/>
      <c r="G386" s="1960"/>
      <c r="V386" s="1960"/>
      <c r="W386" s="1960"/>
      <c r="X386" s="1919"/>
      <c r="Y386" s="1919"/>
      <c r="Z386" s="1919"/>
    </row>
    <row r="387" spans="1:26">
      <c r="A387" s="1919"/>
      <c r="B387" s="1960"/>
      <c r="C387" s="1960"/>
      <c r="D387" s="1960"/>
      <c r="E387" s="1960"/>
      <c r="F387" s="1960"/>
      <c r="G387" s="1960"/>
      <c r="V387" s="1960"/>
      <c r="W387" s="1960"/>
      <c r="X387" s="1919"/>
      <c r="Y387" s="1919"/>
      <c r="Z387" s="1919"/>
    </row>
    <row r="388" spans="1:26">
      <c r="A388" s="1919"/>
      <c r="B388" s="1960"/>
      <c r="C388" s="1960"/>
      <c r="D388" s="1960"/>
      <c r="E388" s="1960"/>
      <c r="F388" s="1960"/>
      <c r="G388" s="1960"/>
      <c r="V388" s="1960"/>
      <c r="W388" s="1960"/>
      <c r="X388" s="1919"/>
      <c r="Y388" s="1919"/>
      <c r="Z388" s="1919"/>
    </row>
    <row r="389" spans="1:26">
      <c r="A389" s="1919"/>
      <c r="B389" s="1960"/>
      <c r="C389" s="1960"/>
      <c r="D389" s="1960"/>
      <c r="E389" s="1960"/>
      <c r="F389" s="1960"/>
      <c r="G389" s="1960"/>
      <c r="V389" s="1960"/>
      <c r="W389" s="1960"/>
      <c r="X389" s="1919"/>
      <c r="Y389" s="1919"/>
      <c r="Z389" s="1919"/>
    </row>
    <row r="390" spans="1:26">
      <c r="A390" s="1919"/>
      <c r="B390" s="1960"/>
      <c r="C390" s="1960"/>
      <c r="D390" s="1960"/>
      <c r="E390" s="1960"/>
      <c r="F390" s="1960"/>
      <c r="G390" s="1960"/>
      <c r="V390" s="1960"/>
      <c r="W390" s="1960"/>
      <c r="X390" s="1919"/>
      <c r="Y390" s="1919"/>
      <c r="Z390" s="1919"/>
    </row>
    <row r="391" spans="1:26">
      <c r="A391" s="1919"/>
      <c r="B391" s="1960"/>
      <c r="C391" s="1960"/>
      <c r="D391" s="1960"/>
      <c r="E391" s="1960"/>
      <c r="F391" s="1960"/>
      <c r="G391" s="1960"/>
      <c r="V391" s="1960"/>
      <c r="W391" s="1960"/>
      <c r="X391" s="1919"/>
      <c r="Y391" s="1919"/>
      <c r="Z391" s="1919"/>
    </row>
    <row r="392" spans="1:26">
      <c r="A392" s="1919"/>
      <c r="B392" s="1960"/>
      <c r="C392" s="1960"/>
      <c r="D392" s="1960"/>
      <c r="E392" s="1960"/>
      <c r="F392" s="1960"/>
      <c r="G392" s="1960"/>
      <c r="V392" s="1960"/>
      <c r="W392" s="1960"/>
      <c r="X392" s="1919"/>
      <c r="Y392" s="1919"/>
      <c r="Z392" s="1919"/>
    </row>
    <row r="393" spans="1:26">
      <c r="A393" s="1919"/>
      <c r="B393" s="1960"/>
      <c r="C393" s="1960"/>
      <c r="D393" s="1960"/>
      <c r="E393" s="1960"/>
      <c r="F393" s="1960"/>
      <c r="G393" s="1960"/>
      <c r="V393" s="1960"/>
      <c r="W393" s="1960"/>
      <c r="X393" s="1919"/>
      <c r="Y393" s="1919"/>
      <c r="Z393" s="1919"/>
    </row>
    <row r="394" spans="1:26">
      <c r="A394" s="1919"/>
      <c r="B394" s="1960"/>
      <c r="C394" s="1960"/>
      <c r="D394" s="1960"/>
      <c r="E394" s="1960"/>
      <c r="F394" s="1960"/>
      <c r="G394" s="1960"/>
      <c r="V394" s="1960"/>
      <c r="W394" s="1960"/>
      <c r="X394" s="1919"/>
      <c r="Y394" s="1919"/>
      <c r="Z394" s="1919"/>
    </row>
    <row r="395" spans="1:26">
      <c r="A395" s="1919"/>
      <c r="B395" s="1960"/>
      <c r="C395" s="1960"/>
      <c r="D395" s="1960"/>
      <c r="E395" s="1960"/>
      <c r="F395" s="1960"/>
      <c r="G395" s="1960"/>
      <c r="V395" s="1960"/>
      <c r="W395" s="1960"/>
      <c r="X395" s="1919"/>
      <c r="Y395" s="1919"/>
      <c r="Z395" s="1919"/>
    </row>
    <row r="396" spans="1:26">
      <c r="A396" s="1919"/>
      <c r="B396" s="1960"/>
      <c r="C396" s="1960"/>
      <c r="D396" s="1960"/>
      <c r="E396" s="1960"/>
      <c r="F396" s="1960"/>
      <c r="G396" s="1960"/>
      <c r="V396" s="1960"/>
      <c r="W396" s="1960"/>
      <c r="X396" s="1919"/>
      <c r="Y396" s="1919"/>
      <c r="Z396" s="1919"/>
    </row>
    <row r="397" spans="1:26">
      <c r="A397" s="1919"/>
      <c r="B397" s="1960"/>
      <c r="C397" s="1960"/>
      <c r="D397" s="1960"/>
      <c r="E397" s="1960"/>
      <c r="F397" s="1960"/>
      <c r="G397" s="1960"/>
      <c r="V397" s="1960"/>
      <c r="W397" s="1960"/>
      <c r="X397" s="1919"/>
      <c r="Y397" s="1919"/>
      <c r="Z397" s="1919"/>
    </row>
    <row r="398" spans="1:26">
      <c r="A398" s="1919"/>
      <c r="B398" s="1960"/>
      <c r="C398" s="1960"/>
      <c r="D398" s="1960"/>
      <c r="E398" s="1960"/>
      <c r="F398" s="1960"/>
      <c r="G398" s="1960"/>
      <c r="V398" s="1960"/>
      <c r="W398" s="1960"/>
      <c r="X398" s="1919"/>
      <c r="Y398" s="1919"/>
      <c r="Z398" s="1919"/>
    </row>
    <row r="399" spans="1:26">
      <c r="A399" s="1919"/>
      <c r="B399" s="1960"/>
      <c r="C399" s="1960"/>
      <c r="D399" s="1960"/>
      <c r="E399" s="1960"/>
      <c r="F399" s="1960"/>
      <c r="G399" s="1960"/>
      <c r="V399" s="1960"/>
      <c r="W399" s="1960"/>
      <c r="X399" s="1919"/>
      <c r="Y399" s="1919"/>
      <c r="Z399" s="1919"/>
    </row>
    <row r="400" spans="1:26">
      <c r="A400" s="1919"/>
      <c r="B400" s="1960"/>
      <c r="C400" s="1960"/>
      <c r="D400" s="1960"/>
      <c r="E400" s="1960"/>
      <c r="F400" s="1960"/>
      <c r="G400" s="1960"/>
      <c r="V400" s="1960"/>
      <c r="W400" s="1960"/>
      <c r="X400" s="1919"/>
      <c r="Y400" s="1919"/>
      <c r="Z400" s="1919"/>
    </row>
    <row r="401" spans="1:26">
      <c r="A401" s="1919"/>
      <c r="B401" s="1960"/>
      <c r="C401" s="1960"/>
      <c r="D401" s="1960"/>
      <c r="E401" s="1960"/>
      <c r="F401" s="1960"/>
      <c r="G401" s="1960"/>
      <c r="V401" s="1960"/>
      <c r="W401" s="1960"/>
      <c r="X401" s="1919"/>
      <c r="Y401" s="1919"/>
      <c r="Z401" s="1919"/>
    </row>
    <row r="402" spans="1:26">
      <c r="A402" s="1919"/>
      <c r="B402" s="1960"/>
      <c r="C402" s="1960"/>
      <c r="D402" s="1960"/>
      <c r="E402" s="1960"/>
      <c r="F402" s="1960"/>
      <c r="G402" s="1960"/>
      <c r="V402" s="1960"/>
      <c r="W402" s="1960"/>
      <c r="X402" s="1919"/>
      <c r="Y402" s="1919"/>
      <c r="Z402" s="1919"/>
    </row>
    <row r="403" spans="1:26">
      <c r="A403" s="1919"/>
      <c r="B403" s="1960"/>
      <c r="C403" s="1960"/>
      <c r="D403" s="1960"/>
      <c r="E403" s="1960"/>
      <c r="F403" s="1960"/>
      <c r="G403" s="1960"/>
      <c r="V403" s="1960"/>
      <c r="W403" s="1960"/>
      <c r="X403" s="1919"/>
      <c r="Y403" s="1919"/>
      <c r="Z403" s="1919"/>
    </row>
    <row r="404" spans="1:26">
      <c r="A404" s="1919"/>
      <c r="B404" s="1960"/>
      <c r="C404" s="1960"/>
      <c r="D404" s="1960"/>
      <c r="E404" s="1960"/>
      <c r="F404" s="1960"/>
      <c r="G404" s="1960"/>
      <c r="V404" s="1960"/>
      <c r="W404" s="1960"/>
      <c r="X404" s="1919"/>
      <c r="Y404" s="1919"/>
      <c r="Z404" s="1919"/>
    </row>
    <row r="405" spans="1:26">
      <c r="A405" s="1919"/>
      <c r="B405" s="1960"/>
      <c r="C405" s="1960"/>
      <c r="D405" s="1960"/>
      <c r="E405" s="1960"/>
      <c r="F405" s="1960"/>
      <c r="G405" s="1960"/>
      <c r="V405" s="1960"/>
      <c r="W405" s="1960"/>
      <c r="X405" s="1919"/>
      <c r="Y405" s="1919"/>
      <c r="Z405" s="1919"/>
    </row>
    <row r="406" spans="1:26">
      <c r="A406" s="1919"/>
      <c r="B406" s="1960"/>
      <c r="C406" s="1960"/>
      <c r="D406" s="1960"/>
      <c r="E406" s="1960"/>
      <c r="F406" s="1960"/>
      <c r="G406" s="1960"/>
      <c r="V406" s="1960"/>
      <c r="W406" s="1960"/>
      <c r="X406" s="1919"/>
      <c r="Y406" s="1919"/>
      <c r="Z406" s="1919"/>
    </row>
    <row r="407" spans="1:26">
      <c r="A407" s="1919"/>
      <c r="B407" s="1960"/>
      <c r="C407" s="1960"/>
      <c r="D407" s="1960"/>
      <c r="E407" s="1960"/>
      <c r="F407" s="1960"/>
      <c r="G407" s="1960"/>
      <c r="V407" s="1960"/>
      <c r="W407" s="1960"/>
      <c r="X407" s="1919"/>
      <c r="Y407" s="1919"/>
      <c r="Z407" s="1919"/>
    </row>
    <row r="408" spans="1:26">
      <c r="A408" s="1919"/>
      <c r="B408" s="1960"/>
      <c r="C408" s="1960"/>
      <c r="D408" s="1960"/>
      <c r="E408" s="1960"/>
      <c r="F408" s="1960"/>
      <c r="G408" s="1960"/>
      <c r="V408" s="1960"/>
      <c r="W408" s="1960"/>
      <c r="X408" s="1919"/>
      <c r="Y408" s="1919"/>
      <c r="Z408" s="1919"/>
    </row>
    <row r="409" spans="1:26">
      <c r="A409" s="1919"/>
      <c r="B409" s="1960"/>
      <c r="C409" s="1960"/>
      <c r="D409" s="1960"/>
      <c r="E409" s="1960"/>
      <c r="F409" s="1960"/>
      <c r="G409" s="1960"/>
      <c r="V409" s="1960"/>
      <c r="W409" s="1960"/>
      <c r="X409" s="1919"/>
      <c r="Y409" s="1919"/>
      <c r="Z409" s="1919"/>
    </row>
    <row r="410" spans="1:26">
      <c r="A410" s="1919"/>
      <c r="B410" s="1960"/>
      <c r="C410" s="1960"/>
      <c r="D410" s="1960"/>
      <c r="E410" s="1960"/>
      <c r="F410" s="1960"/>
      <c r="G410" s="1960"/>
      <c r="V410" s="1960"/>
      <c r="W410" s="1960"/>
      <c r="X410" s="1919"/>
      <c r="Y410" s="1919"/>
      <c r="Z410" s="1919"/>
    </row>
    <row r="411" spans="1:26">
      <c r="A411" s="1919"/>
      <c r="B411" s="1960"/>
      <c r="C411" s="1960"/>
      <c r="D411" s="1960"/>
      <c r="E411" s="1960"/>
      <c r="F411" s="1960"/>
      <c r="G411" s="1960"/>
      <c r="V411" s="1960"/>
      <c r="W411" s="1960"/>
      <c r="X411" s="1919"/>
      <c r="Y411" s="1919"/>
      <c r="Z411" s="1919"/>
    </row>
    <row r="412" spans="1:26">
      <c r="A412" s="1919"/>
      <c r="B412" s="1960"/>
      <c r="C412" s="1960"/>
      <c r="D412" s="1960"/>
      <c r="E412" s="1960"/>
      <c r="F412" s="1960"/>
      <c r="G412" s="1960"/>
      <c r="V412" s="1960"/>
      <c r="W412" s="1960"/>
      <c r="X412" s="1919"/>
      <c r="Y412" s="1919"/>
      <c r="Z412" s="1919"/>
    </row>
    <row r="413" spans="1:26">
      <c r="A413" s="1919"/>
      <c r="B413" s="1960"/>
      <c r="C413" s="1960"/>
      <c r="D413" s="1960"/>
      <c r="E413" s="1960"/>
      <c r="F413" s="1960"/>
      <c r="G413" s="1960"/>
      <c r="V413" s="1960"/>
      <c r="W413" s="1960"/>
      <c r="X413" s="1919"/>
      <c r="Y413" s="1919"/>
      <c r="Z413" s="1919"/>
    </row>
    <row r="414" spans="1:26">
      <c r="A414" s="1919"/>
      <c r="B414" s="1960"/>
      <c r="C414" s="1960"/>
      <c r="D414" s="1960"/>
      <c r="E414" s="1960"/>
      <c r="F414" s="1960"/>
      <c r="G414" s="1960"/>
      <c r="V414" s="1960"/>
      <c r="W414" s="1960"/>
      <c r="X414" s="1919"/>
      <c r="Y414" s="1919"/>
      <c r="Z414" s="1919"/>
    </row>
    <row r="415" spans="1:26">
      <c r="A415" s="1919"/>
      <c r="B415" s="1960"/>
      <c r="C415" s="1960"/>
      <c r="D415" s="1960"/>
      <c r="E415" s="1960"/>
      <c r="F415" s="1960"/>
      <c r="G415" s="1960"/>
      <c r="V415" s="1960"/>
      <c r="W415" s="1960"/>
      <c r="X415" s="1919"/>
      <c r="Y415" s="1919"/>
      <c r="Z415" s="1919"/>
    </row>
    <row r="416" spans="1:26">
      <c r="A416" s="1919"/>
      <c r="B416" s="1960"/>
      <c r="C416" s="1960"/>
      <c r="D416" s="1960"/>
      <c r="E416" s="1960"/>
      <c r="F416" s="1960"/>
      <c r="G416" s="1960"/>
      <c r="V416" s="1960"/>
      <c r="W416" s="1960"/>
      <c r="X416" s="1919"/>
      <c r="Y416" s="1919"/>
      <c r="Z416" s="1919"/>
    </row>
    <row r="417" spans="1:26">
      <c r="A417" s="1919"/>
      <c r="B417" s="1960"/>
      <c r="C417" s="1960"/>
      <c r="D417" s="1960"/>
      <c r="E417" s="1960"/>
      <c r="F417" s="1960"/>
      <c r="G417" s="1960"/>
      <c r="V417" s="1960"/>
      <c r="W417" s="1960"/>
      <c r="X417" s="1919"/>
      <c r="Y417" s="1919"/>
      <c r="Z417" s="1919"/>
    </row>
    <row r="418" spans="1:26">
      <c r="A418" s="1919"/>
      <c r="B418" s="1960"/>
      <c r="C418" s="1960"/>
      <c r="D418" s="1960"/>
      <c r="E418" s="1960"/>
      <c r="F418" s="1960"/>
      <c r="G418" s="1960"/>
      <c r="V418" s="1960"/>
      <c r="W418" s="1960"/>
      <c r="X418" s="1919"/>
      <c r="Y418" s="1919"/>
      <c r="Z418" s="1919"/>
    </row>
    <row r="419" spans="1:26">
      <c r="A419" s="1919"/>
      <c r="B419" s="1960"/>
      <c r="C419" s="1960"/>
      <c r="D419" s="1960"/>
      <c r="E419" s="1960"/>
      <c r="F419" s="1960"/>
      <c r="G419" s="1960"/>
      <c r="V419" s="1960"/>
      <c r="W419" s="1960"/>
      <c r="X419" s="1919"/>
      <c r="Y419" s="1919"/>
      <c r="Z419" s="1919"/>
    </row>
    <row r="420" spans="1:26">
      <c r="A420" s="1919"/>
      <c r="B420" s="1960"/>
      <c r="C420" s="1960"/>
      <c r="D420" s="1960"/>
      <c r="E420" s="1960"/>
      <c r="F420" s="1960"/>
      <c r="G420" s="1960"/>
      <c r="V420" s="1960"/>
      <c r="W420" s="1960"/>
      <c r="X420" s="1919"/>
      <c r="Y420" s="1919"/>
      <c r="Z420" s="1919"/>
    </row>
    <row r="421" spans="1:26">
      <c r="A421" s="1919"/>
      <c r="B421" s="1960"/>
      <c r="C421" s="1960"/>
      <c r="D421" s="1960"/>
      <c r="E421" s="1960"/>
      <c r="F421" s="1960"/>
      <c r="G421" s="1960"/>
      <c r="V421" s="1960"/>
      <c r="W421" s="1960"/>
      <c r="X421" s="1919"/>
      <c r="Y421" s="1919"/>
      <c r="Z421" s="1919"/>
    </row>
    <row r="422" spans="1:26">
      <c r="A422" s="1919"/>
      <c r="B422" s="1960"/>
      <c r="C422" s="1960"/>
      <c r="D422" s="1960"/>
      <c r="E422" s="1960"/>
      <c r="F422" s="1960"/>
      <c r="G422" s="1960"/>
      <c r="V422" s="1960"/>
      <c r="W422" s="1960"/>
      <c r="X422" s="1919"/>
      <c r="Y422" s="1919"/>
      <c r="Z422" s="1919"/>
    </row>
    <row r="423" spans="1:26">
      <c r="A423" s="1919"/>
      <c r="B423" s="1960"/>
      <c r="C423" s="1960"/>
      <c r="D423" s="1960"/>
      <c r="E423" s="1960"/>
      <c r="F423" s="1960"/>
      <c r="G423" s="1960"/>
      <c r="V423" s="1960"/>
      <c r="W423" s="1960"/>
      <c r="X423" s="1919"/>
      <c r="Y423" s="1919"/>
      <c r="Z423" s="1919"/>
    </row>
    <row r="424" spans="1:26">
      <c r="A424" s="1919"/>
      <c r="B424" s="1960"/>
      <c r="C424" s="1960"/>
      <c r="D424" s="1960"/>
      <c r="E424" s="1960"/>
      <c r="F424" s="1960"/>
      <c r="G424" s="1960"/>
      <c r="V424" s="1960"/>
      <c r="W424" s="1960"/>
      <c r="X424" s="1919"/>
      <c r="Y424" s="1919"/>
      <c r="Z424" s="1919"/>
    </row>
    <row r="425" spans="1:26">
      <c r="A425" s="1919"/>
      <c r="B425" s="1960"/>
      <c r="C425" s="1960"/>
      <c r="D425" s="1960"/>
      <c r="E425" s="1960"/>
      <c r="F425" s="1960"/>
      <c r="G425" s="1960"/>
      <c r="V425" s="1960"/>
      <c r="W425" s="1960"/>
      <c r="X425" s="1919"/>
      <c r="Y425" s="1919"/>
      <c r="Z425" s="1919"/>
    </row>
    <row r="426" spans="1:26">
      <c r="A426" s="1919"/>
      <c r="B426" s="1960"/>
      <c r="C426" s="1960"/>
      <c r="D426" s="1960"/>
      <c r="E426" s="1960"/>
      <c r="F426" s="1960"/>
      <c r="G426" s="1960"/>
      <c r="V426" s="1960"/>
      <c r="W426" s="1960"/>
      <c r="X426" s="1919"/>
      <c r="Y426" s="1919"/>
      <c r="Z426" s="1919"/>
    </row>
    <row r="427" spans="1:26">
      <c r="A427" s="1919"/>
      <c r="B427" s="1960"/>
      <c r="C427" s="1960"/>
      <c r="D427" s="1960"/>
      <c r="E427" s="1960"/>
      <c r="F427" s="1960"/>
      <c r="G427" s="1960"/>
      <c r="V427" s="1960"/>
      <c r="W427" s="1960"/>
      <c r="X427" s="1919"/>
      <c r="Y427" s="1919"/>
      <c r="Z427" s="1919"/>
    </row>
    <row r="428" spans="1:26">
      <c r="A428" s="1919"/>
      <c r="B428" s="1960"/>
      <c r="C428" s="1960"/>
      <c r="D428" s="1960"/>
      <c r="E428" s="1960"/>
      <c r="F428" s="1960"/>
      <c r="G428" s="1960"/>
      <c r="V428" s="1960"/>
      <c r="W428" s="1960"/>
      <c r="X428" s="1919"/>
      <c r="Y428" s="1919"/>
      <c r="Z428" s="1919"/>
    </row>
    <row r="429" spans="1:26">
      <c r="A429" s="1919"/>
      <c r="B429" s="1960"/>
      <c r="C429" s="1960"/>
      <c r="D429" s="1960"/>
      <c r="E429" s="1960"/>
      <c r="F429" s="1960"/>
      <c r="G429" s="1960"/>
      <c r="V429" s="1960"/>
      <c r="W429" s="1960"/>
      <c r="X429" s="1919"/>
      <c r="Y429" s="1919"/>
      <c r="Z429" s="1919"/>
    </row>
    <row r="430" spans="1:26">
      <c r="A430" s="1919"/>
      <c r="B430" s="1960"/>
      <c r="C430" s="1960"/>
      <c r="D430" s="1960"/>
      <c r="E430" s="1960"/>
      <c r="F430" s="1960"/>
      <c r="G430" s="1960"/>
      <c r="V430" s="1960"/>
      <c r="W430" s="1960"/>
      <c r="X430" s="1919"/>
      <c r="Y430" s="1919"/>
      <c r="Z430" s="1919"/>
    </row>
    <row r="431" spans="1:26">
      <c r="A431" s="1919"/>
      <c r="B431" s="1960"/>
      <c r="C431" s="1960"/>
      <c r="D431" s="1960"/>
      <c r="E431" s="1960"/>
      <c r="F431" s="1960"/>
      <c r="G431" s="1960"/>
      <c r="V431" s="1960"/>
      <c r="W431" s="1960"/>
      <c r="X431" s="1919"/>
      <c r="Y431" s="1919"/>
      <c r="Z431" s="1919"/>
    </row>
    <row r="432" spans="1:26">
      <c r="A432" s="1919"/>
      <c r="B432" s="1960"/>
      <c r="C432" s="1960"/>
      <c r="D432" s="1960"/>
      <c r="E432" s="1960"/>
      <c r="F432" s="1960"/>
      <c r="G432" s="1960"/>
      <c r="V432" s="1960"/>
      <c r="W432" s="1960"/>
      <c r="X432" s="1919"/>
      <c r="Y432" s="1919"/>
      <c r="Z432" s="1919"/>
    </row>
    <row r="433" spans="1:26">
      <c r="A433" s="1919"/>
      <c r="B433" s="1960"/>
      <c r="C433" s="1960"/>
      <c r="D433" s="1960"/>
      <c r="E433" s="1960"/>
      <c r="F433" s="1960"/>
      <c r="G433" s="1960"/>
      <c r="V433" s="1960"/>
      <c r="W433" s="1960"/>
      <c r="X433" s="1919"/>
      <c r="Y433" s="1919"/>
      <c r="Z433" s="1919"/>
    </row>
    <row r="434" spans="1:26">
      <c r="A434" s="1919"/>
      <c r="B434" s="1960"/>
      <c r="C434" s="1960"/>
      <c r="D434" s="1960"/>
      <c r="E434" s="1960"/>
      <c r="F434" s="1960"/>
      <c r="G434" s="1960"/>
      <c r="V434" s="1960"/>
      <c r="W434" s="1960"/>
      <c r="X434" s="1919"/>
      <c r="Y434" s="1919"/>
      <c r="Z434" s="1919"/>
    </row>
    <row r="435" spans="1:26">
      <c r="A435" s="1919"/>
      <c r="B435" s="1960"/>
      <c r="C435" s="1960"/>
      <c r="D435" s="1960"/>
      <c r="E435" s="1960"/>
      <c r="F435" s="1960"/>
      <c r="G435" s="1960"/>
      <c r="V435" s="1960"/>
      <c r="W435" s="1960"/>
      <c r="X435" s="1919"/>
      <c r="Y435" s="1919"/>
      <c r="Z435" s="1919"/>
    </row>
    <row r="436" spans="1:26">
      <c r="A436" s="1919"/>
      <c r="B436" s="1960"/>
      <c r="C436" s="1960"/>
      <c r="D436" s="1960"/>
      <c r="E436" s="1960"/>
      <c r="F436" s="1960"/>
      <c r="G436" s="1960"/>
      <c r="V436" s="1960"/>
      <c r="W436" s="1960"/>
      <c r="X436" s="1919"/>
      <c r="Y436" s="1919"/>
      <c r="Z436" s="1919"/>
    </row>
    <row r="437" spans="1:26">
      <c r="A437" s="1919"/>
      <c r="B437" s="1960"/>
      <c r="C437" s="1960"/>
      <c r="D437" s="1960"/>
      <c r="E437" s="1960"/>
      <c r="F437" s="1960"/>
      <c r="G437" s="1960"/>
      <c r="V437" s="1960"/>
      <c r="W437" s="1960"/>
      <c r="X437" s="1919"/>
      <c r="Y437" s="1919"/>
      <c r="Z437" s="1919"/>
    </row>
    <row r="438" spans="1:26">
      <c r="A438" s="1919"/>
      <c r="B438" s="1960"/>
      <c r="C438" s="1960"/>
      <c r="D438" s="1960"/>
      <c r="E438" s="1960"/>
      <c r="F438" s="1960"/>
      <c r="G438" s="1960"/>
      <c r="V438" s="1960"/>
      <c r="W438" s="1960"/>
      <c r="X438" s="1919"/>
      <c r="Y438" s="1919"/>
      <c r="Z438" s="1919"/>
    </row>
    <row r="439" spans="1:26">
      <c r="A439" s="1919"/>
      <c r="B439" s="1960"/>
      <c r="C439" s="1960"/>
      <c r="D439" s="1960"/>
      <c r="E439" s="1960"/>
      <c r="F439" s="1960"/>
      <c r="G439" s="1960"/>
      <c r="V439" s="1960"/>
      <c r="W439" s="1960"/>
      <c r="X439" s="1919"/>
      <c r="Y439" s="1919"/>
      <c r="Z439" s="1919"/>
    </row>
    <row r="440" spans="1:26">
      <c r="A440" s="1919"/>
      <c r="B440" s="1960"/>
      <c r="C440" s="1960"/>
      <c r="D440" s="1960"/>
      <c r="E440" s="1960"/>
      <c r="F440" s="1960"/>
      <c r="G440" s="1960"/>
      <c r="V440" s="1960"/>
      <c r="W440" s="1960"/>
      <c r="X440" s="1919"/>
      <c r="Y440" s="1919"/>
      <c r="Z440" s="1919"/>
    </row>
    <row r="441" spans="1:26">
      <c r="A441" s="1919"/>
      <c r="B441" s="1960"/>
      <c r="C441" s="1960"/>
      <c r="D441" s="1960"/>
      <c r="E441" s="1960"/>
      <c r="F441" s="1960"/>
      <c r="G441" s="1960"/>
      <c r="V441" s="1960"/>
      <c r="W441" s="1960"/>
      <c r="X441" s="1919"/>
      <c r="Y441" s="1919"/>
      <c r="Z441" s="1919"/>
    </row>
    <row r="442" spans="1:26">
      <c r="A442" s="1919"/>
      <c r="B442" s="1960"/>
      <c r="C442" s="1960"/>
      <c r="D442" s="1960"/>
      <c r="E442" s="1960"/>
      <c r="F442" s="1960"/>
      <c r="G442" s="1960"/>
      <c r="V442" s="1960"/>
      <c r="W442" s="1960"/>
      <c r="X442" s="1919"/>
      <c r="Y442" s="1919"/>
      <c r="Z442" s="1919"/>
    </row>
    <row r="443" spans="1:26">
      <c r="A443" s="1919"/>
      <c r="B443" s="1960"/>
      <c r="C443" s="1960"/>
      <c r="D443" s="1960"/>
      <c r="E443" s="1960"/>
      <c r="F443" s="1960"/>
      <c r="G443" s="1960"/>
      <c r="V443" s="1960"/>
      <c r="W443" s="1960"/>
      <c r="X443" s="1919"/>
      <c r="Y443" s="1919"/>
      <c r="Z443" s="1919"/>
    </row>
    <row r="444" spans="1:26">
      <c r="A444" s="1919"/>
      <c r="B444" s="1960"/>
      <c r="C444" s="1960"/>
      <c r="D444" s="1960"/>
      <c r="E444" s="1960"/>
      <c r="F444" s="1960"/>
      <c r="G444" s="1960"/>
      <c r="V444" s="1960"/>
      <c r="W444" s="1960"/>
      <c r="X444" s="1919"/>
      <c r="Y444" s="1919"/>
      <c r="Z444" s="1919"/>
    </row>
    <row r="445" spans="1:26">
      <c r="A445" s="1919"/>
      <c r="B445" s="1960"/>
      <c r="C445" s="1960"/>
      <c r="D445" s="1960"/>
      <c r="E445" s="1960"/>
      <c r="F445" s="1960"/>
      <c r="G445" s="1960"/>
      <c r="V445" s="1960"/>
      <c r="W445" s="1960"/>
      <c r="X445" s="1919"/>
      <c r="Y445" s="1919"/>
      <c r="Z445" s="1919"/>
    </row>
    <row r="446" spans="1:26">
      <c r="A446" s="1919"/>
      <c r="B446" s="1960"/>
      <c r="C446" s="1960"/>
      <c r="D446" s="1960"/>
      <c r="E446" s="1960"/>
      <c r="F446" s="1960"/>
      <c r="G446" s="1960"/>
      <c r="V446" s="1960"/>
      <c r="W446" s="1960"/>
      <c r="X446" s="1919"/>
      <c r="Y446" s="1919"/>
      <c r="Z446" s="1919"/>
    </row>
    <row r="447" spans="1:26">
      <c r="A447" s="1919"/>
      <c r="B447" s="1960"/>
      <c r="C447" s="1960"/>
      <c r="D447" s="1960"/>
      <c r="E447" s="1960"/>
      <c r="F447" s="1960"/>
      <c r="G447" s="1960"/>
      <c r="V447" s="1960"/>
      <c r="W447" s="1960"/>
      <c r="X447" s="1919"/>
      <c r="Y447" s="1919"/>
      <c r="Z447" s="1919"/>
    </row>
    <row r="448" spans="1:26">
      <c r="A448" s="1919"/>
      <c r="B448" s="1960"/>
      <c r="C448" s="1960"/>
      <c r="D448" s="1960"/>
      <c r="E448" s="1960"/>
      <c r="F448" s="1960"/>
      <c r="G448" s="1960"/>
      <c r="V448" s="1960"/>
      <c r="W448" s="1960"/>
      <c r="X448" s="1919"/>
      <c r="Y448" s="1919"/>
      <c r="Z448" s="1919"/>
    </row>
    <row r="449" spans="1:26">
      <c r="A449" s="1919"/>
      <c r="B449" s="1960"/>
      <c r="C449" s="1960"/>
      <c r="D449" s="1960"/>
      <c r="E449" s="1960"/>
      <c r="F449" s="1960"/>
      <c r="G449" s="1960"/>
      <c r="V449" s="1960"/>
      <c r="W449" s="1960"/>
      <c r="X449" s="1919"/>
      <c r="Y449" s="1919"/>
      <c r="Z449" s="1919"/>
    </row>
    <row r="450" spans="1:26">
      <c r="A450" s="1919"/>
      <c r="B450" s="1960"/>
      <c r="C450" s="1960"/>
      <c r="D450" s="1960"/>
      <c r="E450" s="1960"/>
      <c r="F450" s="1960"/>
      <c r="G450" s="1960"/>
      <c r="V450" s="1960"/>
      <c r="W450" s="1960"/>
      <c r="X450" s="1919"/>
      <c r="Y450" s="1919"/>
      <c r="Z450" s="1919"/>
    </row>
    <row r="451" spans="1:26">
      <c r="A451" s="1919"/>
      <c r="B451" s="1960"/>
      <c r="C451" s="1960"/>
      <c r="D451" s="1960"/>
      <c r="E451" s="1960"/>
      <c r="F451" s="1960"/>
      <c r="G451" s="1960"/>
      <c r="V451" s="1960"/>
      <c r="W451" s="1960"/>
      <c r="X451" s="1919"/>
      <c r="Y451" s="1919"/>
      <c r="Z451" s="1919"/>
    </row>
    <row r="452" spans="1:26">
      <c r="A452" s="1919"/>
      <c r="B452" s="1960"/>
      <c r="C452" s="1960"/>
      <c r="D452" s="1960"/>
      <c r="E452" s="1960"/>
      <c r="F452" s="1960"/>
      <c r="G452" s="1960"/>
      <c r="V452" s="1960"/>
      <c r="W452" s="1960"/>
      <c r="X452" s="1919"/>
      <c r="Y452" s="1919"/>
      <c r="Z452" s="1919"/>
    </row>
    <row r="453" spans="1:26">
      <c r="A453" s="1919"/>
      <c r="B453" s="1960"/>
      <c r="C453" s="1960"/>
      <c r="D453" s="1960"/>
      <c r="E453" s="1960"/>
      <c r="F453" s="1960"/>
      <c r="G453" s="1960"/>
      <c r="V453" s="1960"/>
      <c r="W453" s="1960"/>
      <c r="X453" s="1919"/>
      <c r="Y453" s="1919"/>
      <c r="Z453" s="1919"/>
    </row>
    <row r="454" spans="1:26">
      <c r="A454" s="1919"/>
      <c r="B454" s="1960"/>
      <c r="C454" s="1960"/>
      <c r="D454" s="1960"/>
      <c r="E454" s="1960"/>
      <c r="F454" s="1960"/>
      <c r="G454" s="1960"/>
      <c r="V454" s="1960"/>
      <c r="W454" s="1960"/>
      <c r="X454" s="1919"/>
      <c r="Y454" s="1919"/>
      <c r="Z454" s="1919"/>
    </row>
    <row r="455" spans="1:26">
      <c r="A455" s="1919"/>
      <c r="B455" s="1960"/>
      <c r="C455" s="1960"/>
      <c r="D455" s="1960"/>
      <c r="E455" s="1960"/>
      <c r="F455" s="1960"/>
      <c r="G455" s="1960"/>
      <c r="V455" s="1960"/>
      <c r="W455" s="1960"/>
      <c r="X455" s="1919"/>
      <c r="Y455" s="1919"/>
      <c r="Z455" s="1919"/>
    </row>
    <row r="456" spans="1:26">
      <c r="A456" s="1919"/>
      <c r="B456" s="1960"/>
      <c r="C456" s="1960"/>
      <c r="D456" s="1960"/>
      <c r="E456" s="1960"/>
      <c r="F456" s="1960"/>
      <c r="G456" s="1960"/>
      <c r="V456" s="1960"/>
      <c r="W456" s="1960"/>
      <c r="X456" s="1919"/>
      <c r="Y456" s="1919"/>
      <c r="Z456" s="1919"/>
    </row>
    <row r="457" spans="1:26">
      <c r="A457" s="1919"/>
      <c r="B457" s="1960"/>
      <c r="C457" s="1960"/>
      <c r="D457" s="1960"/>
      <c r="E457" s="1960"/>
      <c r="F457" s="1960"/>
      <c r="G457" s="1960"/>
      <c r="V457" s="1960"/>
      <c r="W457" s="1960"/>
      <c r="X457" s="1919"/>
      <c r="Y457" s="1919"/>
      <c r="Z457" s="1919"/>
    </row>
    <row r="458" spans="1:26">
      <c r="A458" s="1919"/>
      <c r="B458" s="1960"/>
      <c r="C458" s="1960"/>
      <c r="D458" s="1960"/>
      <c r="E458" s="1960"/>
      <c r="F458" s="1960"/>
      <c r="G458" s="1960"/>
      <c r="V458" s="1960"/>
      <c r="W458" s="1960"/>
      <c r="X458" s="1919"/>
      <c r="Y458" s="1919"/>
      <c r="Z458" s="1919"/>
    </row>
    <row r="459" spans="1:26">
      <c r="A459" s="1919"/>
      <c r="B459" s="1960"/>
      <c r="C459" s="1960"/>
      <c r="D459" s="1960"/>
      <c r="E459" s="1960"/>
      <c r="F459" s="1960"/>
      <c r="G459" s="1960"/>
      <c r="V459" s="1960"/>
      <c r="W459" s="1960"/>
      <c r="X459" s="1919"/>
      <c r="Y459" s="1919"/>
      <c r="Z459" s="1919"/>
    </row>
    <row r="460" spans="1:26">
      <c r="A460" s="1919"/>
      <c r="B460" s="1960"/>
      <c r="C460" s="1960"/>
      <c r="D460" s="1960"/>
      <c r="E460" s="1960"/>
      <c r="F460" s="1960"/>
      <c r="G460" s="1960"/>
      <c r="V460" s="1960"/>
      <c r="W460" s="1960"/>
      <c r="X460" s="1919"/>
      <c r="Y460" s="1919"/>
      <c r="Z460" s="1919"/>
    </row>
    <row r="461" spans="1:26">
      <c r="A461" s="1919"/>
      <c r="B461" s="1960"/>
      <c r="C461" s="1960"/>
      <c r="D461" s="1960"/>
      <c r="E461" s="1960"/>
      <c r="F461" s="1960"/>
      <c r="G461" s="1960"/>
      <c r="V461" s="1960"/>
      <c r="W461" s="1960"/>
      <c r="X461" s="1919"/>
      <c r="Y461" s="1919"/>
      <c r="Z461" s="1919"/>
    </row>
    <row r="462" spans="1:26">
      <c r="A462" s="1919"/>
      <c r="B462" s="1960"/>
      <c r="C462" s="1960"/>
      <c r="D462" s="1960"/>
      <c r="E462" s="1960"/>
      <c r="F462" s="1960"/>
      <c r="G462" s="1960"/>
      <c r="V462" s="1960"/>
      <c r="W462" s="1960"/>
      <c r="X462" s="1919"/>
      <c r="Y462" s="1919"/>
      <c r="Z462" s="1919"/>
    </row>
    <row r="463" spans="1:26">
      <c r="A463" s="1919"/>
      <c r="B463" s="1960"/>
      <c r="C463" s="1960"/>
      <c r="D463" s="1960"/>
      <c r="E463" s="1960"/>
      <c r="F463" s="1960"/>
      <c r="G463" s="1960"/>
      <c r="V463" s="1960"/>
      <c r="W463" s="1960"/>
      <c r="X463" s="1919"/>
      <c r="Y463" s="1919"/>
      <c r="Z463" s="1919"/>
    </row>
    <row r="464" spans="1:26">
      <c r="A464" s="1919"/>
      <c r="B464" s="1960"/>
      <c r="C464" s="1960"/>
      <c r="D464" s="1960"/>
      <c r="E464" s="1960"/>
      <c r="F464" s="1960"/>
      <c r="G464" s="1960"/>
      <c r="V464" s="1960"/>
      <c r="W464" s="1960"/>
      <c r="X464" s="1919"/>
      <c r="Y464" s="1919"/>
      <c r="Z464" s="1919"/>
    </row>
    <row r="465" spans="1:26">
      <c r="A465" s="1919"/>
      <c r="B465" s="1960"/>
      <c r="C465" s="1960"/>
      <c r="D465" s="1960"/>
      <c r="E465" s="1960"/>
      <c r="F465" s="1960"/>
      <c r="G465" s="1960"/>
      <c r="V465" s="1960"/>
      <c r="W465" s="1960"/>
      <c r="X465" s="1919"/>
      <c r="Y465" s="1919"/>
      <c r="Z465" s="1919"/>
    </row>
    <row r="466" spans="1:26">
      <c r="A466" s="1919"/>
      <c r="B466" s="1960"/>
      <c r="C466" s="1960"/>
      <c r="D466" s="1960"/>
      <c r="E466" s="1960"/>
      <c r="F466" s="1960"/>
      <c r="G466" s="1960"/>
      <c r="V466" s="1960"/>
      <c r="W466" s="1960"/>
      <c r="X466" s="1919"/>
      <c r="Y466" s="1919"/>
      <c r="Z466" s="1919"/>
    </row>
    <row r="467" spans="1:26">
      <c r="A467" s="1919"/>
      <c r="B467" s="1960"/>
      <c r="C467" s="1960"/>
      <c r="D467" s="1960"/>
      <c r="E467" s="1960"/>
      <c r="F467" s="1960"/>
      <c r="G467" s="1960"/>
      <c r="V467" s="1960"/>
      <c r="W467" s="1960"/>
      <c r="X467" s="1919"/>
      <c r="Y467" s="1919"/>
      <c r="Z467" s="1919"/>
    </row>
    <row r="468" spans="1:26">
      <c r="A468" s="1919"/>
      <c r="B468" s="1960"/>
      <c r="C468" s="1960"/>
      <c r="D468" s="1960"/>
      <c r="E468" s="1960"/>
      <c r="F468" s="1960"/>
      <c r="G468" s="1960"/>
      <c r="V468" s="1960"/>
      <c r="W468" s="1960"/>
      <c r="X468" s="1919"/>
      <c r="Y468" s="1919"/>
      <c r="Z468" s="1919"/>
    </row>
    <row r="469" spans="1:26">
      <c r="A469" s="1919"/>
      <c r="B469" s="1960"/>
      <c r="C469" s="1960"/>
      <c r="D469" s="1960"/>
      <c r="E469" s="1960"/>
      <c r="F469" s="1960"/>
      <c r="G469" s="1960"/>
      <c r="V469" s="1960"/>
      <c r="W469" s="1960"/>
      <c r="X469" s="1919"/>
      <c r="Y469" s="1919"/>
      <c r="Z469" s="1919"/>
    </row>
    <row r="470" spans="1:26">
      <c r="A470" s="1919"/>
      <c r="B470" s="1960"/>
      <c r="C470" s="1960"/>
      <c r="D470" s="1960"/>
      <c r="E470" s="1960"/>
      <c r="F470" s="1960"/>
      <c r="G470" s="1960"/>
      <c r="V470" s="1960"/>
      <c r="W470" s="1960"/>
      <c r="X470" s="1919"/>
      <c r="Y470" s="1919"/>
      <c r="Z470" s="1919"/>
    </row>
    <row r="471" spans="1:26">
      <c r="A471" s="1919"/>
      <c r="B471" s="1960"/>
      <c r="C471" s="1960"/>
      <c r="D471" s="1960"/>
      <c r="E471" s="1960"/>
      <c r="F471" s="1960"/>
      <c r="G471" s="1960"/>
      <c r="V471" s="1960"/>
      <c r="W471" s="1960"/>
      <c r="X471" s="1919"/>
      <c r="Y471" s="1919"/>
      <c r="Z471" s="1919"/>
    </row>
    <row r="472" spans="1:26">
      <c r="A472" s="1919"/>
      <c r="B472" s="1960"/>
      <c r="C472" s="1960"/>
      <c r="D472" s="1960"/>
      <c r="E472" s="1960"/>
      <c r="F472" s="1960"/>
      <c r="G472" s="1960"/>
      <c r="V472" s="1960"/>
      <c r="W472" s="1960"/>
      <c r="X472" s="1919"/>
      <c r="Y472" s="1919"/>
      <c r="Z472" s="1919"/>
    </row>
    <row r="473" spans="1:26">
      <c r="A473" s="1919"/>
      <c r="B473" s="1960"/>
      <c r="C473" s="1960"/>
      <c r="D473" s="1960"/>
      <c r="E473" s="1960"/>
      <c r="F473" s="1960"/>
      <c r="G473" s="1960"/>
      <c r="V473" s="1960"/>
      <c r="W473" s="1960"/>
      <c r="X473" s="1919"/>
      <c r="Y473" s="1919"/>
      <c r="Z473" s="1919"/>
    </row>
    <row r="474" spans="1:26">
      <c r="A474" s="1919"/>
      <c r="B474" s="1960"/>
      <c r="C474" s="1960"/>
      <c r="D474" s="1960"/>
      <c r="E474" s="1960"/>
      <c r="F474" s="1960"/>
      <c r="G474" s="1960"/>
      <c r="V474" s="1960"/>
      <c r="W474" s="1960"/>
      <c r="X474" s="1919"/>
      <c r="Y474" s="1919"/>
      <c r="Z474" s="1919"/>
    </row>
    <row r="475" spans="1:26">
      <c r="A475" s="1919"/>
      <c r="B475" s="1960"/>
      <c r="C475" s="1960"/>
      <c r="D475" s="1960"/>
      <c r="E475" s="1960"/>
      <c r="F475" s="1960"/>
      <c r="G475" s="1960"/>
      <c r="V475" s="1960"/>
      <c r="W475" s="1960"/>
      <c r="X475" s="1919"/>
      <c r="Y475" s="1919"/>
      <c r="Z475" s="1919"/>
    </row>
    <row r="476" spans="1:26">
      <c r="A476" s="1919"/>
      <c r="B476" s="1960"/>
      <c r="C476" s="1960"/>
      <c r="D476" s="1960"/>
      <c r="E476" s="1960"/>
      <c r="F476" s="1960"/>
      <c r="G476" s="1960"/>
      <c r="V476" s="1960"/>
      <c r="W476" s="1960"/>
      <c r="X476" s="1919"/>
      <c r="Y476" s="1919"/>
      <c r="Z476" s="1919"/>
    </row>
    <row r="477" spans="1:26">
      <c r="A477" s="1919"/>
      <c r="B477" s="1960"/>
      <c r="C477" s="1960"/>
      <c r="D477" s="1960"/>
      <c r="E477" s="1960"/>
      <c r="F477" s="1960"/>
      <c r="G477" s="1960"/>
      <c r="V477" s="1960"/>
      <c r="W477" s="1960"/>
      <c r="X477" s="1919"/>
      <c r="Y477" s="1919"/>
      <c r="Z477" s="1919"/>
    </row>
    <row r="478" spans="1:26">
      <c r="A478" s="1919"/>
      <c r="B478" s="1960"/>
      <c r="C478" s="1960"/>
      <c r="D478" s="1960"/>
      <c r="E478" s="1960"/>
      <c r="F478" s="1960"/>
      <c r="G478" s="1960"/>
      <c r="V478" s="1960"/>
      <c r="W478" s="1960"/>
      <c r="X478" s="1919"/>
      <c r="Y478" s="1919"/>
      <c r="Z478" s="1919"/>
    </row>
    <row r="479" spans="1:26">
      <c r="A479" s="1919"/>
      <c r="B479" s="1960"/>
      <c r="C479" s="1960"/>
      <c r="D479" s="1960"/>
      <c r="E479" s="1960"/>
      <c r="F479" s="1960"/>
      <c r="G479" s="1960"/>
      <c r="V479" s="1960"/>
      <c r="W479" s="1960"/>
      <c r="X479" s="1919"/>
      <c r="Y479" s="1919"/>
      <c r="Z479" s="1919"/>
    </row>
    <row r="480" spans="1:26">
      <c r="A480" s="1919"/>
      <c r="B480" s="1960"/>
      <c r="C480" s="1960"/>
      <c r="D480" s="1960"/>
      <c r="E480" s="1960"/>
      <c r="F480" s="1960"/>
      <c r="G480" s="1960"/>
      <c r="V480" s="1960"/>
      <c r="W480" s="1960"/>
      <c r="X480" s="1919"/>
      <c r="Y480" s="1919"/>
      <c r="Z480" s="1919"/>
    </row>
    <row r="481" spans="1:26">
      <c r="A481" s="1919"/>
      <c r="B481" s="1960"/>
      <c r="C481" s="1960"/>
      <c r="D481" s="1960"/>
      <c r="E481" s="1960"/>
      <c r="F481" s="1960"/>
      <c r="G481" s="1960"/>
      <c r="V481" s="1960"/>
      <c r="W481" s="1960"/>
      <c r="X481" s="1919"/>
      <c r="Y481" s="1919"/>
      <c r="Z481" s="1919"/>
    </row>
    <row r="482" spans="1:26">
      <c r="A482" s="1919"/>
      <c r="B482" s="1960"/>
      <c r="C482" s="1960"/>
      <c r="D482" s="1960"/>
      <c r="E482" s="1960"/>
      <c r="F482" s="1960"/>
      <c r="G482" s="1960"/>
      <c r="V482" s="1960"/>
      <c r="W482" s="1960"/>
      <c r="X482" s="1919"/>
      <c r="Y482" s="1919"/>
      <c r="Z482" s="1919"/>
    </row>
    <row r="483" spans="1:26">
      <c r="A483" s="1919"/>
      <c r="B483" s="1960"/>
      <c r="C483" s="1960"/>
      <c r="D483" s="1960"/>
      <c r="E483" s="1960"/>
      <c r="F483" s="1960"/>
      <c r="G483" s="1960"/>
      <c r="V483" s="1960"/>
      <c r="W483" s="1960"/>
      <c r="X483" s="1919"/>
      <c r="Y483" s="1919"/>
      <c r="Z483" s="1919"/>
    </row>
    <row r="484" spans="1:26">
      <c r="A484" s="1919"/>
      <c r="B484" s="1960"/>
      <c r="C484" s="1960"/>
      <c r="D484" s="1960"/>
      <c r="E484" s="1960"/>
      <c r="F484" s="1960"/>
      <c r="G484" s="1960"/>
      <c r="V484" s="1960"/>
      <c r="W484" s="1960"/>
      <c r="X484" s="1919"/>
      <c r="Y484" s="1919"/>
      <c r="Z484" s="1919"/>
    </row>
    <row r="485" spans="1:26">
      <c r="A485" s="1919"/>
      <c r="B485" s="1960"/>
      <c r="C485" s="1960"/>
      <c r="D485" s="1960"/>
      <c r="E485" s="1960"/>
      <c r="F485" s="1960"/>
      <c r="G485" s="1960"/>
      <c r="V485" s="1960"/>
      <c r="W485" s="1960"/>
      <c r="X485" s="1919"/>
      <c r="Y485" s="1919"/>
      <c r="Z485" s="1919"/>
    </row>
    <row r="486" spans="1:26">
      <c r="A486" s="1919"/>
      <c r="B486" s="1960"/>
      <c r="C486" s="1960"/>
      <c r="D486" s="1960"/>
      <c r="E486" s="1960"/>
      <c r="F486" s="1960"/>
      <c r="G486" s="1960"/>
      <c r="V486" s="1960"/>
      <c r="W486" s="1960"/>
      <c r="X486" s="1919"/>
      <c r="Y486" s="1919"/>
      <c r="Z486" s="1919"/>
    </row>
    <row r="487" spans="1:26">
      <c r="A487" s="1919"/>
      <c r="B487" s="1960"/>
      <c r="C487" s="1960"/>
      <c r="D487" s="1960"/>
      <c r="E487" s="1960"/>
      <c r="F487" s="1960"/>
      <c r="G487" s="1960"/>
      <c r="V487" s="1960"/>
      <c r="W487" s="1960"/>
      <c r="X487" s="1919"/>
      <c r="Y487" s="1919"/>
      <c r="Z487" s="1919"/>
    </row>
    <row r="488" spans="1:26">
      <c r="A488" s="1919"/>
      <c r="B488" s="1960"/>
      <c r="C488" s="1960"/>
      <c r="D488" s="1960"/>
      <c r="E488" s="1960"/>
      <c r="F488" s="1960"/>
      <c r="G488" s="1960"/>
      <c r="V488" s="1960"/>
      <c r="W488" s="1960"/>
      <c r="X488" s="1919"/>
      <c r="Y488" s="1919"/>
      <c r="Z488" s="1919"/>
    </row>
    <row r="489" spans="1:26">
      <c r="A489" s="1919"/>
      <c r="B489" s="1960"/>
      <c r="C489" s="1960"/>
      <c r="D489" s="1960"/>
      <c r="E489" s="1960"/>
      <c r="F489" s="1960"/>
      <c r="G489" s="1960"/>
      <c r="V489" s="1960"/>
      <c r="W489" s="1960"/>
      <c r="X489" s="1919"/>
      <c r="Y489" s="1919"/>
      <c r="Z489" s="1919"/>
    </row>
    <row r="490" spans="1:26">
      <c r="A490" s="1919"/>
      <c r="B490" s="1960"/>
      <c r="C490" s="1960"/>
      <c r="D490" s="1960"/>
      <c r="E490" s="1960"/>
      <c r="F490" s="1960"/>
      <c r="G490" s="1960"/>
      <c r="V490" s="1960"/>
      <c r="W490" s="1960"/>
      <c r="X490" s="1919"/>
      <c r="Y490" s="1919"/>
      <c r="Z490" s="1919"/>
    </row>
    <row r="491" spans="1:26">
      <c r="A491" s="1919"/>
      <c r="B491" s="1960"/>
      <c r="C491" s="1960"/>
      <c r="D491" s="1960"/>
      <c r="E491" s="1960"/>
      <c r="F491" s="1960"/>
      <c r="G491" s="1960"/>
      <c r="V491" s="1960"/>
      <c r="W491" s="1960"/>
      <c r="X491" s="1919"/>
      <c r="Y491" s="1919"/>
      <c r="Z491" s="1919"/>
    </row>
    <row r="492" spans="1:26">
      <c r="A492" s="1919"/>
      <c r="B492" s="1960"/>
      <c r="C492" s="1960"/>
      <c r="D492" s="1960"/>
      <c r="E492" s="1960"/>
      <c r="F492" s="1960"/>
      <c r="G492" s="1960"/>
      <c r="V492" s="1960"/>
      <c r="W492" s="1960"/>
      <c r="X492" s="1919"/>
      <c r="Y492" s="1919"/>
      <c r="Z492" s="1919"/>
    </row>
    <row r="493" spans="1:26">
      <c r="A493" s="1919"/>
      <c r="B493" s="1960"/>
      <c r="C493" s="1960"/>
      <c r="D493" s="1960"/>
      <c r="E493" s="1960"/>
      <c r="F493" s="1960"/>
      <c r="G493" s="1960"/>
      <c r="V493" s="1960"/>
      <c r="W493" s="1960"/>
      <c r="X493" s="1919"/>
      <c r="Y493" s="1919"/>
      <c r="Z493" s="1919"/>
    </row>
    <row r="494" spans="1:26">
      <c r="A494" s="1919"/>
      <c r="B494" s="1960"/>
      <c r="C494" s="1960"/>
      <c r="D494" s="1960"/>
      <c r="E494" s="1960"/>
      <c r="F494" s="1960"/>
      <c r="G494" s="1960"/>
      <c r="V494" s="1960"/>
      <c r="W494" s="1960"/>
      <c r="X494" s="1919"/>
      <c r="Y494" s="1919"/>
      <c r="Z494" s="1919"/>
    </row>
    <row r="495" spans="1:26">
      <c r="A495" s="1919"/>
      <c r="B495" s="1960"/>
      <c r="C495" s="1960"/>
      <c r="D495" s="1960"/>
      <c r="E495" s="1960"/>
      <c r="F495" s="1960"/>
      <c r="G495" s="1960"/>
      <c r="V495" s="1960"/>
      <c r="W495" s="1960"/>
      <c r="X495" s="1919"/>
      <c r="Y495" s="1919"/>
      <c r="Z495" s="1919"/>
    </row>
    <row r="496" spans="1:26">
      <c r="A496" s="1919"/>
      <c r="B496" s="1960"/>
      <c r="C496" s="1960"/>
      <c r="D496" s="1960"/>
      <c r="E496" s="1960"/>
      <c r="F496" s="1960"/>
      <c r="G496" s="1960"/>
      <c r="V496" s="1960"/>
      <c r="W496" s="1960"/>
      <c r="X496" s="1919"/>
      <c r="Y496" s="1919"/>
      <c r="Z496" s="1919"/>
    </row>
    <row r="497" spans="1:26">
      <c r="A497" s="1919"/>
      <c r="B497" s="1960"/>
      <c r="C497" s="1960"/>
      <c r="D497" s="1960"/>
      <c r="E497" s="1960"/>
      <c r="F497" s="1960"/>
      <c r="G497" s="1960"/>
      <c r="V497" s="1960"/>
      <c r="W497" s="1960"/>
      <c r="X497" s="1919"/>
      <c r="Y497" s="1919"/>
      <c r="Z497" s="1919"/>
    </row>
    <row r="498" spans="1:26">
      <c r="A498" s="1919"/>
      <c r="B498" s="1960"/>
      <c r="C498" s="1960"/>
      <c r="D498" s="1960"/>
      <c r="E498" s="1960"/>
      <c r="F498" s="1960"/>
      <c r="G498" s="1960"/>
      <c r="V498" s="1960"/>
      <c r="W498" s="1960"/>
      <c r="X498" s="1919"/>
      <c r="Y498" s="1919"/>
      <c r="Z498" s="1919"/>
    </row>
    <row r="499" spans="1:26">
      <c r="A499" s="1919"/>
      <c r="B499" s="1960"/>
      <c r="C499" s="1960"/>
      <c r="D499" s="1960"/>
      <c r="E499" s="1960"/>
      <c r="F499" s="1960"/>
      <c r="G499" s="1960"/>
      <c r="V499" s="1960"/>
      <c r="W499" s="1960"/>
      <c r="X499" s="1919"/>
      <c r="Y499" s="1919"/>
      <c r="Z499" s="1919"/>
    </row>
    <row r="500" spans="1:26">
      <c r="A500" s="1919"/>
      <c r="B500" s="1960"/>
      <c r="C500" s="1960"/>
      <c r="D500" s="1960"/>
      <c r="E500" s="1960"/>
      <c r="F500" s="1960"/>
      <c r="G500" s="1960"/>
      <c r="V500" s="1960"/>
      <c r="W500" s="1960"/>
      <c r="X500" s="1919"/>
      <c r="Y500" s="1919"/>
      <c r="Z500" s="1919"/>
    </row>
    <row r="501" spans="1:26">
      <c r="A501" s="1919"/>
      <c r="B501" s="1960"/>
      <c r="C501" s="1960"/>
      <c r="D501" s="1960"/>
      <c r="E501" s="1960"/>
      <c r="F501" s="1960"/>
      <c r="G501" s="1960"/>
      <c r="V501" s="1960"/>
      <c r="W501" s="1960"/>
      <c r="X501" s="1919"/>
      <c r="Y501" s="1919"/>
      <c r="Z501" s="1919"/>
    </row>
    <row r="502" spans="1:26">
      <c r="A502" s="1919"/>
      <c r="B502" s="1960"/>
      <c r="C502" s="1960"/>
      <c r="D502" s="1960"/>
      <c r="E502" s="1960"/>
      <c r="F502" s="1960"/>
      <c r="G502" s="1960"/>
      <c r="V502" s="1960"/>
      <c r="W502" s="1960"/>
      <c r="X502" s="1919"/>
      <c r="Y502" s="1919"/>
      <c r="Z502" s="1919"/>
    </row>
    <row r="503" spans="1:26">
      <c r="A503" s="1919"/>
      <c r="B503" s="1960"/>
      <c r="C503" s="1960"/>
      <c r="D503" s="1960"/>
      <c r="E503" s="1960"/>
      <c r="F503" s="1960"/>
      <c r="G503" s="1960"/>
      <c r="V503" s="1960"/>
      <c r="W503" s="1960"/>
      <c r="X503" s="1919"/>
      <c r="Y503" s="1919"/>
      <c r="Z503" s="1919"/>
    </row>
    <row r="504" spans="1:26">
      <c r="A504" s="1919"/>
      <c r="B504" s="1960"/>
      <c r="C504" s="1960"/>
      <c r="D504" s="1960"/>
      <c r="E504" s="1960"/>
      <c r="F504" s="1960"/>
      <c r="G504" s="1960"/>
      <c r="V504" s="1960"/>
      <c r="W504" s="1960"/>
      <c r="X504" s="1919"/>
      <c r="Y504" s="1919"/>
      <c r="Z504" s="1919"/>
    </row>
    <row r="505" spans="1:26">
      <c r="A505" s="1919"/>
      <c r="B505" s="1960"/>
      <c r="C505" s="1960"/>
      <c r="D505" s="1960"/>
      <c r="E505" s="1960"/>
      <c r="F505" s="1960"/>
      <c r="G505" s="1960"/>
      <c r="V505" s="1960"/>
      <c r="W505" s="1960"/>
      <c r="X505" s="1919"/>
      <c r="Y505" s="1919"/>
      <c r="Z505" s="1919"/>
    </row>
    <row r="506" spans="1:26">
      <c r="A506" s="1919"/>
      <c r="B506" s="1960"/>
      <c r="C506" s="1960"/>
      <c r="D506" s="1960"/>
      <c r="E506" s="1960"/>
      <c r="F506" s="1960"/>
      <c r="G506" s="1960"/>
      <c r="V506" s="1960"/>
      <c r="W506" s="1960"/>
      <c r="X506" s="1919"/>
      <c r="Y506" s="1919"/>
      <c r="Z506" s="1919"/>
    </row>
    <row r="507" spans="1:26">
      <c r="A507" s="1919"/>
      <c r="B507" s="1960"/>
      <c r="C507" s="1960"/>
      <c r="D507" s="1960"/>
      <c r="E507" s="1960"/>
      <c r="F507" s="1960"/>
      <c r="G507" s="1960"/>
      <c r="V507" s="1960"/>
      <c r="W507" s="1960"/>
      <c r="X507" s="1919"/>
      <c r="Y507" s="1919"/>
      <c r="Z507" s="1919"/>
    </row>
    <row r="508" spans="1:26">
      <c r="A508" s="1919"/>
      <c r="B508" s="1960"/>
      <c r="C508" s="1960"/>
      <c r="D508" s="1960"/>
      <c r="E508" s="1960"/>
      <c r="F508" s="1960"/>
      <c r="G508" s="1960"/>
      <c r="V508" s="1960"/>
      <c r="W508" s="1960"/>
      <c r="X508" s="1919"/>
      <c r="Y508" s="1919"/>
      <c r="Z508" s="1919"/>
    </row>
    <row r="509" spans="1:26">
      <c r="A509" s="1919"/>
      <c r="B509" s="1960"/>
      <c r="C509" s="1960"/>
      <c r="D509" s="1960"/>
      <c r="E509" s="1960"/>
      <c r="F509" s="1960"/>
      <c r="G509" s="1960"/>
      <c r="V509" s="1960"/>
      <c r="W509" s="1960"/>
      <c r="X509" s="1919"/>
      <c r="Y509" s="1919"/>
      <c r="Z509" s="1919"/>
    </row>
    <row r="510" spans="1:26">
      <c r="A510" s="1919"/>
      <c r="B510" s="1960"/>
      <c r="C510" s="1960"/>
      <c r="D510" s="1960"/>
      <c r="E510" s="1960"/>
      <c r="F510" s="1960"/>
      <c r="G510" s="1960"/>
      <c r="V510" s="1960"/>
      <c r="W510" s="1960"/>
      <c r="X510" s="1919"/>
      <c r="Y510" s="1919"/>
      <c r="Z510" s="1919"/>
    </row>
    <row r="511" spans="1:26">
      <c r="A511" s="1919"/>
      <c r="B511" s="1960"/>
      <c r="C511" s="1960"/>
      <c r="D511" s="1960"/>
      <c r="E511" s="1960"/>
      <c r="F511" s="1960"/>
      <c r="G511" s="1960"/>
      <c r="V511" s="1960"/>
      <c r="W511" s="1960"/>
      <c r="X511" s="1919"/>
      <c r="Y511" s="1919"/>
      <c r="Z511" s="1919"/>
    </row>
    <row r="512" spans="1:26">
      <c r="A512" s="1919"/>
      <c r="B512" s="1960"/>
      <c r="C512" s="1960"/>
      <c r="D512" s="1960"/>
      <c r="E512" s="1960"/>
      <c r="F512" s="1960"/>
      <c r="G512" s="1960"/>
      <c r="V512" s="1960"/>
      <c r="W512" s="1960"/>
      <c r="X512" s="1919"/>
      <c r="Y512" s="1919"/>
      <c r="Z512" s="1919"/>
    </row>
    <row r="513" spans="1:26">
      <c r="A513" s="1919"/>
      <c r="B513" s="1960"/>
      <c r="C513" s="1960"/>
      <c r="D513" s="1960"/>
      <c r="E513" s="1960"/>
      <c r="F513" s="1960"/>
      <c r="G513" s="1960"/>
      <c r="V513" s="1960"/>
      <c r="W513" s="1960"/>
      <c r="X513" s="1919"/>
      <c r="Y513" s="1919"/>
      <c r="Z513" s="1919"/>
    </row>
    <row r="514" spans="1:26">
      <c r="A514" s="1919"/>
      <c r="B514" s="1960"/>
      <c r="C514" s="1960"/>
      <c r="D514" s="1960"/>
      <c r="E514" s="1960"/>
      <c r="F514" s="1960"/>
      <c r="G514" s="1960"/>
      <c r="V514" s="1960"/>
      <c r="W514" s="1960"/>
      <c r="X514" s="1919"/>
      <c r="Y514" s="1919"/>
      <c r="Z514" s="1919"/>
    </row>
    <row r="515" spans="1:26">
      <c r="A515" s="1919"/>
      <c r="B515" s="1960"/>
      <c r="C515" s="1960"/>
      <c r="D515" s="1960"/>
      <c r="E515" s="1960"/>
      <c r="F515" s="1960"/>
      <c r="G515" s="1960"/>
      <c r="V515" s="1960"/>
      <c r="W515" s="1960"/>
      <c r="X515" s="1919"/>
      <c r="Y515" s="1919"/>
      <c r="Z515" s="1919"/>
    </row>
    <row r="516" spans="1:26">
      <c r="A516" s="1919"/>
      <c r="B516" s="1960"/>
      <c r="C516" s="1960"/>
      <c r="D516" s="1960"/>
      <c r="E516" s="1960"/>
      <c r="F516" s="1960"/>
      <c r="G516" s="1960"/>
      <c r="V516" s="1960"/>
      <c r="W516" s="1960"/>
      <c r="X516" s="1919"/>
      <c r="Y516" s="1919"/>
      <c r="Z516" s="1919"/>
    </row>
    <row r="517" spans="1:26">
      <c r="A517" s="1919"/>
      <c r="B517" s="1960"/>
      <c r="C517" s="1960"/>
      <c r="D517" s="1960"/>
      <c r="E517" s="1960"/>
      <c r="F517" s="1960"/>
      <c r="G517" s="1960"/>
      <c r="V517" s="1960"/>
      <c r="W517" s="1960"/>
      <c r="X517" s="1919"/>
      <c r="Y517" s="1919"/>
      <c r="Z517" s="1919"/>
    </row>
    <row r="518" spans="1:26">
      <c r="A518" s="1919"/>
      <c r="B518" s="1960"/>
      <c r="C518" s="1960"/>
      <c r="D518" s="1960"/>
      <c r="E518" s="1960"/>
      <c r="F518" s="1960"/>
      <c r="G518" s="1960"/>
      <c r="V518" s="1960"/>
      <c r="W518" s="1960"/>
      <c r="X518" s="1919"/>
      <c r="Y518" s="1919"/>
      <c r="Z518" s="1919"/>
    </row>
    <row r="519" spans="1:26">
      <c r="A519" s="1919"/>
      <c r="B519" s="1960"/>
      <c r="C519" s="1960"/>
      <c r="D519" s="1960"/>
      <c r="E519" s="1960"/>
      <c r="F519" s="1960"/>
      <c r="G519" s="1960"/>
      <c r="V519" s="1960"/>
      <c r="W519" s="1960"/>
      <c r="X519" s="1919"/>
      <c r="Y519" s="1919"/>
      <c r="Z519" s="1919"/>
    </row>
    <row r="520" spans="1:26">
      <c r="A520" s="1919"/>
      <c r="B520" s="1960"/>
      <c r="C520" s="1960"/>
      <c r="D520" s="1960"/>
      <c r="E520" s="1960"/>
      <c r="F520" s="1960"/>
      <c r="G520" s="1960"/>
      <c r="V520" s="1960"/>
      <c r="W520" s="1960"/>
      <c r="X520" s="1919"/>
      <c r="Y520" s="1919"/>
      <c r="Z520" s="1919"/>
    </row>
    <row r="521" spans="1:26">
      <c r="A521" s="1919"/>
      <c r="B521" s="1960"/>
      <c r="C521" s="1960"/>
      <c r="D521" s="1960"/>
      <c r="E521" s="1960"/>
      <c r="F521" s="1960"/>
      <c r="G521" s="1960"/>
      <c r="V521" s="1960"/>
      <c r="W521" s="1960"/>
      <c r="X521" s="1919"/>
      <c r="Y521" s="1919"/>
      <c r="Z521" s="1919"/>
    </row>
    <row r="522" spans="1:26">
      <c r="A522" s="1919"/>
      <c r="B522" s="1960"/>
      <c r="C522" s="1960"/>
      <c r="D522" s="1960"/>
      <c r="E522" s="1960"/>
      <c r="F522" s="1960"/>
      <c r="G522" s="1960"/>
      <c r="V522" s="1960"/>
      <c r="W522" s="1960"/>
      <c r="X522" s="1919"/>
      <c r="Y522" s="1919"/>
      <c r="Z522" s="1919"/>
    </row>
    <row r="523" spans="1:26">
      <c r="A523" s="1919"/>
      <c r="B523" s="1960"/>
      <c r="C523" s="1960"/>
      <c r="D523" s="1960"/>
      <c r="E523" s="1960"/>
      <c r="F523" s="1960"/>
      <c r="G523" s="1960"/>
      <c r="V523" s="1960"/>
      <c r="W523" s="1960"/>
      <c r="X523" s="1919"/>
      <c r="Y523" s="1919"/>
      <c r="Z523" s="1919"/>
    </row>
    <row r="524" spans="1:26">
      <c r="A524" s="1919"/>
      <c r="B524" s="1960"/>
      <c r="C524" s="1960"/>
      <c r="D524" s="1960"/>
      <c r="E524" s="1960"/>
      <c r="F524" s="1960"/>
      <c r="G524" s="1960"/>
      <c r="V524" s="1960"/>
      <c r="W524" s="1960"/>
      <c r="X524" s="1919"/>
      <c r="Y524" s="1919"/>
      <c r="Z524" s="1919"/>
    </row>
    <row r="525" spans="1:26">
      <c r="A525" s="1919"/>
      <c r="B525" s="1960"/>
      <c r="C525" s="1960"/>
      <c r="D525" s="1960"/>
      <c r="E525" s="1960"/>
      <c r="F525" s="1960"/>
      <c r="G525" s="1960"/>
      <c r="V525" s="1960"/>
      <c r="W525" s="1960"/>
      <c r="X525" s="1919"/>
      <c r="Y525" s="1919"/>
      <c r="Z525" s="1919"/>
    </row>
    <row r="526" spans="1:26">
      <c r="A526" s="1919"/>
      <c r="B526" s="1960"/>
      <c r="C526" s="1960"/>
      <c r="D526" s="1960"/>
      <c r="E526" s="1960"/>
      <c r="F526" s="1960"/>
      <c r="G526" s="1960"/>
      <c r="V526" s="1960"/>
      <c r="W526" s="1960"/>
      <c r="X526" s="1919"/>
      <c r="Y526" s="1919"/>
      <c r="Z526" s="1919"/>
    </row>
    <row r="527" spans="1:26">
      <c r="A527" s="1919"/>
      <c r="B527" s="1960"/>
      <c r="C527" s="1960"/>
      <c r="D527" s="1960"/>
      <c r="E527" s="1960"/>
      <c r="F527" s="1960"/>
      <c r="G527" s="1960"/>
      <c r="V527" s="1960"/>
      <c r="W527" s="1960"/>
      <c r="X527" s="1919"/>
      <c r="Y527" s="1919"/>
      <c r="Z527" s="1919"/>
    </row>
    <row r="528" spans="1:26">
      <c r="A528" s="1919"/>
      <c r="B528" s="1960"/>
      <c r="C528" s="1960"/>
      <c r="D528" s="1960"/>
      <c r="E528" s="1960"/>
      <c r="F528" s="1960"/>
      <c r="G528" s="1960"/>
      <c r="V528" s="1960"/>
      <c r="W528" s="1960"/>
      <c r="X528" s="1919"/>
      <c r="Y528" s="1919"/>
      <c r="Z528" s="1919"/>
    </row>
    <row r="529" spans="1:26">
      <c r="A529" s="1919"/>
      <c r="B529" s="1960"/>
      <c r="C529" s="1960"/>
      <c r="D529" s="1960"/>
      <c r="E529" s="1960"/>
      <c r="F529" s="1960"/>
      <c r="G529" s="1960"/>
      <c r="V529" s="1960"/>
      <c r="W529" s="1960"/>
      <c r="X529" s="1919"/>
      <c r="Y529" s="1919"/>
      <c r="Z529" s="1919"/>
    </row>
    <row r="530" spans="1:26">
      <c r="A530" s="1919"/>
      <c r="B530" s="1960"/>
      <c r="C530" s="1960"/>
      <c r="D530" s="1960"/>
      <c r="E530" s="1960"/>
      <c r="F530" s="1960"/>
      <c r="G530" s="1960"/>
      <c r="V530" s="1960"/>
      <c r="W530" s="1960"/>
      <c r="X530" s="1919"/>
      <c r="Y530" s="1919"/>
      <c r="Z530" s="1919"/>
    </row>
    <row r="531" spans="1:26">
      <c r="A531" s="1919"/>
      <c r="B531" s="1960"/>
      <c r="C531" s="1960"/>
      <c r="D531" s="1960"/>
      <c r="E531" s="1960"/>
      <c r="F531" s="1960"/>
      <c r="G531" s="1960"/>
      <c r="V531" s="1960"/>
      <c r="W531" s="1960"/>
      <c r="X531" s="1919"/>
      <c r="Y531" s="1919"/>
      <c r="Z531" s="1919"/>
    </row>
    <row r="532" spans="1:26">
      <c r="A532" s="1919"/>
      <c r="B532" s="1960"/>
      <c r="C532" s="1960"/>
      <c r="D532" s="1960"/>
      <c r="E532" s="1960"/>
      <c r="F532" s="1960"/>
      <c r="G532" s="1960"/>
      <c r="V532" s="1960"/>
      <c r="W532" s="1960"/>
      <c r="X532" s="1919"/>
      <c r="Y532" s="1919"/>
      <c r="Z532" s="1919"/>
    </row>
    <row r="533" spans="1:26">
      <c r="A533" s="1919"/>
      <c r="B533" s="1960"/>
      <c r="C533" s="1960"/>
      <c r="D533" s="1960"/>
      <c r="E533" s="1960"/>
      <c r="F533" s="1960"/>
      <c r="G533" s="1960"/>
      <c r="V533" s="1960"/>
      <c r="W533" s="1960"/>
      <c r="X533" s="1919"/>
      <c r="Y533" s="1919"/>
      <c r="Z533" s="1919"/>
    </row>
    <row r="534" spans="1:26">
      <c r="A534" s="1919"/>
      <c r="B534" s="1960"/>
      <c r="C534" s="1960"/>
      <c r="D534" s="1960"/>
      <c r="E534" s="1960"/>
      <c r="F534" s="1960"/>
      <c r="G534" s="1960"/>
      <c r="V534" s="1960"/>
      <c r="W534" s="1960"/>
      <c r="X534" s="1919"/>
      <c r="Y534" s="1919"/>
      <c r="Z534" s="1919"/>
    </row>
    <row r="535" spans="1:26">
      <c r="A535" s="1919"/>
      <c r="B535" s="1960"/>
      <c r="C535" s="1960"/>
      <c r="D535" s="1960"/>
      <c r="E535" s="1960"/>
      <c r="F535" s="1960"/>
      <c r="G535" s="1960"/>
      <c r="V535" s="1960"/>
      <c r="W535" s="1960"/>
      <c r="X535" s="1919"/>
      <c r="Y535" s="1919"/>
      <c r="Z535" s="1919"/>
    </row>
    <row r="536" spans="1:26">
      <c r="A536" s="1919"/>
      <c r="B536" s="1960"/>
      <c r="C536" s="1960"/>
      <c r="D536" s="1960"/>
      <c r="E536" s="1960"/>
      <c r="F536" s="1960"/>
      <c r="G536" s="1960"/>
      <c r="V536" s="1960"/>
      <c r="W536" s="1960"/>
      <c r="X536" s="1919"/>
      <c r="Y536" s="1919"/>
      <c r="Z536" s="1919"/>
    </row>
    <row r="537" spans="1:26">
      <c r="A537" s="1919"/>
      <c r="B537" s="1960"/>
      <c r="C537" s="1960"/>
      <c r="D537" s="1960"/>
      <c r="E537" s="1960"/>
      <c r="F537" s="1960"/>
      <c r="G537" s="1960"/>
      <c r="V537" s="1960"/>
      <c r="W537" s="1960"/>
      <c r="X537" s="1919"/>
      <c r="Y537" s="1919"/>
      <c r="Z537" s="1919"/>
    </row>
    <row r="538" spans="1:26">
      <c r="A538" s="1919"/>
      <c r="B538" s="1960"/>
      <c r="C538" s="1960"/>
      <c r="D538" s="1960"/>
      <c r="E538" s="1960"/>
      <c r="F538" s="1960"/>
      <c r="G538" s="1960"/>
      <c r="V538" s="1960"/>
      <c r="W538" s="1960"/>
      <c r="X538" s="1919"/>
      <c r="Y538" s="1919"/>
      <c r="Z538" s="1919"/>
    </row>
    <row r="539" spans="1:26">
      <c r="A539" s="1919"/>
      <c r="B539" s="1960"/>
      <c r="C539" s="1960"/>
      <c r="D539" s="1960"/>
      <c r="E539" s="1960"/>
      <c r="F539" s="1960"/>
      <c r="G539" s="1960"/>
      <c r="V539" s="1960"/>
      <c r="W539" s="1960"/>
      <c r="X539" s="1919"/>
      <c r="Y539" s="1919"/>
      <c r="Z539" s="1919"/>
    </row>
    <row r="540" spans="1:26">
      <c r="A540" s="1919"/>
      <c r="B540" s="1960"/>
      <c r="C540" s="1960"/>
      <c r="D540" s="1960"/>
      <c r="E540" s="1960"/>
      <c r="F540" s="1960"/>
      <c r="G540" s="1960"/>
      <c r="V540" s="1960"/>
      <c r="W540" s="1960"/>
      <c r="X540" s="1919"/>
      <c r="Y540" s="1919"/>
      <c r="Z540" s="1919"/>
    </row>
    <row r="541" spans="1:26">
      <c r="A541" s="1919"/>
      <c r="B541" s="1960"/>
      <c r="C541" s="1960"/>
      <c r="D541" s="1960"/>
      <c r="E541" s="1960"/>
      <c r="F541" s="1960"/>
      <c r="G541" s="1960"/>
      <c r="V541" s="1960"/>
      <c r="W541" s="1960"/>
      <c r="X541" s="1919"/>
      <c r="Y541" s="1919"/>
      <c r="Z541" s="1919"/>
    </row>
    <row r="542" spans="1:26">
      <c r="A542" s="1919"/>
      <c r="B542" s="1960"/>
      <c r="C542" s="1960"/>
      <c r="D542" s="1960"/>
      <c r="E542" s="1960"/>
      <c r="F542" s="1960"/>
      <c r="G542" s="1960"/>
      <c r="V542" s="1960"/>
      <c r="W542" s="1960"/>
      <c r="X542" s="1919"/>
      <c r="Y542" s="1919"/>
      <c r="Z542" s="1919"/>
    </row>
    <row r="543" spans="1:26">
      <c r="A543" s="1919"/>
      <c r="B543" s="1960"/>
      <c r="C543" s="1960"/>
      <c r="D543" s="1960"/>
      <c r="E543" s="1960"/>
      <c r="F543" s="1960"/>
      <c r="G543" s="1960"/>
      <c r="V543" s="1960"/>
      <c r="W543" s="1960"/>
      <c r="X543" s="1919"/>
      <c r="Y543" s="1919"/>
      <c r="Z543" s="1919"/>
    </row>
    <row r="544" spans="1:26">
      <c r="A544" s="1919"/>
      <c r="B544" s="1960"/>
      <c r="C544" s="1960"/>
      <c r="D544" s="1960"/>
      <c r="E544" s="1960"/>
      <c r="F544" s="1960"/>
      <c r="G544" s="1960"/>
      <c r="V544" s="1960"/>
      <c r="W544" s="1960"/>
      <c r="X544" s="1919"/>
      <c r="Y544" s="1919"/>
      <c r="Z544" s="1919"/>
    </row>
    <row r="545" spans="1:26">
      <c r="A545" s="1919"/>
      <c r="B545" s="1960"/>
      <c r="C545" s="1960"/>
      <c r="D545" s="1960"/>
      <c r="E545" s="1960"/>
      <c r="F545" s="1960"/>
      <c r="G545" s="1960"/>
      <c r="V545" s="1960"/>
      <c r="W545" s="1960"/>
      <c r="X545" s="1919"/>
      <c r="Y545" s="1919"/>
      <c r="Z545" s="1919"/>
    </row>
    <row r="546" spans="1:26">
      <c r="A546" s="1919"/>
      <c r="B546" s="1960"/>
      <c r="C546" s="1960"/>
      <c r="D546" s="1960"/>
      <c r="E546" s="1960"/>
      <c r="F546" s="1960"/>
      <c r="G546" s="1960"/>
      <c r="V546" s="1960"/>
      <c r="W546" s="1960"/>
      <c r="X546" s="1919"/>
      <c r="Y546" s="1919"/>
      <c r="Z546" s="1919"/>
    </row>
    <row r="547" spans="1:26">
      <c r="A547" s="1919"/>
      <c r="B547" s="1960"/>
      <c r="C547" s="1960"/>
      <c r="D547" s="1960"/>
      <c r="E547" s="1960"/>
      <c r="F547" s="1960"/>
      <c r="G547" s="1960"/>
      <c r="V547" s="1960"/>
      <c r="W547" s="1960"/>
      <c r="X547" s="1919"/>
      <c r="Y547" s="1919"/>
      <c r="Z547" s="1919"/>
    </row>
    <row r="548" spans="1:26">
      <c r="A548" s="1919"/>
      <c r="B548" s="1960"/>
      <c r="C548" s="1960"/>
      <c r="D548" s="1960"/>
      <c r="E548" s="1960"/>
      <c r="F548" s="1960"/>
      <c r="G548" s="1960"/>
      <c r="V548" s="1960"/>
      <c r="W548" s="1960"/>
      <c r="X548" s="1919"/>
      <c r="Y548" s="1919"/>
      <c r="Z548" s="1919"/>
    </row>
    <row r="549" spans="1:26">
      <c r="A549" s="1919"/>
      <c r="B549" s="1960"/>
      <c r="C549" s="1960"/>
      <c r="D549" s="1960"/>
      <c r="E549" s="1960"/>
      <c r="F549" s="1960"/>
      <c r="G549" s="1960"/>
      <c r="V549" s="1960"/>
      <c r="W549" s="1960"/>
      <c r="X549" s="1919"/>
      <c r="Y549" s="1919"/>
      <c r="Z549" s="1919"/>
    </row>
    <row r="550" spans="1:26">
      <c r="A550" s="1919"/>
      <c r="B550" s="1960"/>
      <c r="C550" s="1960"/>
      <c r="D550" s="1960"/>
      <c r="E550" s="1960"/>
      <c r="F550" s="1960"/>
      <c r="G550" s="1960"/>
      <c r="V550" s="1960"/>
      <c r="W550" s="1960"/>
      <c r="X550" s="1919"/>
      <c r="Y550" s="1919"/>
      <c r="Z550" s="1919"/>
    </row>
    <row r="551" spans="1:26">
      <c r="A551" s="1919"/>
      <c r="B551" s="1960"/>
      <c r="C551" s="1960"/>
      <c r="D551" s="1960"/>
      <c r="E551" s="1960"/>
      <c r="F551" s="1960"/>
      <c r="G551" s="1960"/>
      <c r="V551" s="1960"/>
      <c r="W551" s="1960"/>
      <c r="X551" s="1919"/>
      <c r="Y551" s="1919"/>
      <c r="Z551" s="1919"/>
    </row>
    <row r="552" spans="1:26">
      <c r="A552" s="1919"/>
      <c r="B552" s="1960"/>
      <c r="C552" s="1960"/>
      <c r="D552" s="1960"/>
      <c r="E552" s="1960"/>
      <c r="F552" s="1960"/>
      <c r="G552" s="1960"/>
      <c r="V552" s="1960"/>
      <c r="W552" s="1960"/>
      <c r="X552" s="1919"/>
      <c r="Y552" s="1919"/>
      <c r="Z552" s="1919"/>
    </row>
    <row r="553" spans="1:26">
      <c r="A553" s="1919"/>
      <c r="B553" s="1960"/>
      <c r="C553" s="1960"/>
      <c r="D553" s="1960"/>
      <c r="E553" s="1960"/>
      <c r="F553" s="1960"/>
      <c r="G553" s="1960"/>
      <c r="V553" s="1960"/>
      <c r="W553" s="1960"/>
      <c r="X553" s="1919"/>
      <c r="Y553" s="1919"/>
      <c r="Z553" s="1919"/>
    </row>
    <row r="554" spans="1:26">
      <c r="A554" s="1919"/>
      <c r="B554" s="1960"/>
      <c r="C554" s="1960"/>
      <c r="D554" s="1960"/>
      <c r="E554" s="1960"/>
      <c r="F554" s="1960"/>
      <c r="G554" s="1960"/>
      <c r="V554" s="1960"/>
      <c r="W554" s="1960"/>
      <c r="X554" s="1919"/>
      <c r="Y554" s="1919"/>
      <c r="Z554" s="1919"/>
    </row>
    <row r="555" spans="1:26">
      <c r="A555" s="1919"/>
      <c r="B555" s="1960"/>
      <c r="C555" s="1960"/>
      <c r="D555" s="1960"/>
      <c r="E555" s="1960"/>
      <c r="F555" s="1960"/>
      <c r="G555" s="1960"/>
      <c r="V555" s="1960"/>
      <c r="W555" s="1960"/>
      <c r="X555" s="1919"/>
      <c r="Y555" s="1919"/>
      <c r="Z555" s="1919"/>
    </row>
    <row r="556" spans="1:26">
      <c r="A556" s="1919"/>
      <c r="B556" s="1960"/>
      <c r="C556" s="1960"/>
      <c r="D556" s="1960"/>
      <c r="E556" s="1960"/>
      <c r="F556" s="1960"/>
      <c r="G556" s="1960"/>
      <c r="V556" s="1960"/>
      <c r="W556" s="1960"/>
      <c r="X556" s="1919"/>
      <c r="Y556" s="1919"/>
      <c r="Z556" s="1919"/>
    </row>
    <row r="557" spans="1:26">
      <c r="A557" s="1919"/>
      <c r="B557" s="1960"/>
      <c r="C557" s="1960"/>
      <c r="D557" s="1960"/>
      <c r="E557" s="1960"/>
      <c r="F557" s="1960"/>
      <c r="G557" s="1960"/>
      <c r="V557" s="1960"/>
      <c r="W557" s="1960"/>
      <c r="X557" s="1919"/>
      <c r="Y557" s="1919"/>
      <c r="Z557" s="1919"/>
    </row>
    <row r="558" spans="1:26">
      <c r="A558" s="1919"/>
      <c r="B558" s="1960"/>
      <c r="C558" s="1960"/>
      <c r="D558" s="1960"/>
      <c r="E558" s="1960"/>
      <c r="F558" s="1960"/>
      <c r="G558" s="1960"/>
      <c r="V558" s="1960"/>
      <c r="W558" s="1960"/>
      <c r="X558" s="1919"/>
      <c r="Y558" s="1919"/>
      <c r="Z558" s="1919"/>
    </row>
    <row r="559" spans="1:26">
      <c r="A559" s="1919"/>
      <c r="B559" s="1960"/>
      <c r="C559" s="1960"/>
      <c r="D559" s="1960"/>
      <c r="E559" s="1960"/>
      <c r="F559" s="1960"/>
      <c r="G559" s="1960"/>
      <c r="V559" s="1960"/>
      <c r="W559" s="1960"/>
      <c r="X559" s="1919"/>
      <c r="Y559" s="1919"/>
      <c r="Z559" s="1919"/>
    </row>
    <row r="560" spans="1:26">
      <c r="A560" s="1919"/>
      <c r="B560" s="1960"/>
      <c r="C560" s="1960"/>
      <c r="D560" s="1960"/>
      <c r="E560" s="1960"/>
      <c r="F560" s="1960"/>
      <c r="G560" s="1960"/>
      <c r="V560" s="1960"/>
      <c r="W560" s="1960"/>
      <c r="X560" s="1919"/>
      <c r="Y560" s="1919"/>
      <c r="Z560" s="1919"/>
    </row>
    <row r="561" spans="1:26">
      <c r="A561" s="1919"/>
      <c r="B561" s="1960"/>
      <c r="C561" s="1960"/>
      <c r="D561" s="1960"/>
      <c r="E561" s="1960"/>
      <c r="F561" s="1960"/>
      <c r="G561" s="1960"/>
      <c r="V561" s="1960"/>
      <c r="W561" s="1960"/>
      <c r="X561" s="1919"/>
      <c r="Y561" s="1919"/>
      <c r="Z561" s="1919"/>
    </row>
    <row r="562" spans="1:26">
      <c r="A562" s="1919"/>
      <c r="B562" s="1960"/>
      <c r="C562" s="1960"/>
      <c r="D562" s="1960"/>
      <c r="E562" s="1960"/>
      <c r="F562" s="1960"/>
      <c r="G562" s="1960"/>
      <c r="V562" s="1960"/>
      <c r="W562" s="1960"/>
      <c r="X562" s="1919"/>
      <c r="Y562" s="1919"/>
      <c r="Z562" s="1919"/>
    </row>
    <row r="563" spans="1:26">
      <c r="A563" s="1919"/>
      <c r="B563" s="1960"/>
      <c r="C563" s="1960"/>
      <c r="D563" s="1960"/>
      <c r="E563" s="1960"/>
      <c r="F563" s="1960"/>
      <c r="G563" s="1960"/>
      <c r="V563" s="1960"/>
      <c r="W563" s="1960"/>
      <c r="X563" s="1919"/>
      <c r="Y563" s="1919"/>
      <c r="Z563" s="1919"/>
    </row>
    <row r="564" spans="1:26">
      <c r="A564" s="1919"/>
      <c r="B564" s="1960"/>
      <c r="C564" s="1960"/>
      <c r="D564" s="1960"/>
      <c r="E564" s="1960"/>
      <c r="F564" s="1960"/>
      <c r="G564" s="1960"/>
      <c r="V564" s="1960"/>
      <c r="W564" s="1960"/>
      <c r="X564" s="1919"/>
      <c r="Y564" s="1919"/>
      <c r="Z564" s="1919"/>
    </row>
    <row r="565" spans="1:26">
      <c r="A565" s="1919"/>
      <c r="B565" s="1960"/>
      <c r="C565" s="1960"/>
      <c r="D565" s="1960"/>
      <c r="E565" s="1960"/>
      <c r="F565" s="1960"/>
      <c r="G565" s="1960"/>
      <c r="V565" s="1960"/>
      <c r="W565" s="1960"/>
      <c r="X565" s="1919"/>
      <c r="Y565" s="1919"/>
      <c r="Z565" s="1919"/>
    </row>
    <row r="566" spans="1:26">
      <c r="A566" s="1919"/>
      <c r="B566" s="1960"/>
      <c r="C566" s="1960"/>
      <c r="D566" s="1960"/>
      <c r="E566" s="1960"/>
      <c r="F566" s="1960"/>
      <c r="G566" s="1960"/>
      <c r="V566" s="1960"/>
      <c r="W566" s="1960"/>
      <c r="X566" s="1919"/>
      <c r="Y566" s="1919"/>
      <c r="Z566" s="1919"/>
    </row>
    <row r="567" spans="1:26">
      <c r="A567" s="1919"/>
      <c r="B567" s="1960"/>
      <c r="C567" s="1960"/>
      <c r="D567" s="1960"/>
      <c r="E567" s="1960"/>
      <c r="F567" s="1960"/>
      <c r="G567" s="1960"/>
      <c r="V567" s="1960"/>
      <c r="W567" s="1960"/>
      <c r="X567" s="1919"/>
      <c r="Y567" s="1919"/>
      <c r="Z567" s="1919"/>
    </row>
    <row r="568" spans="1:26">
      <c r="A568" s="1919"/>
      <c r="B568" s="1960"/>
      <c r="C568" s="1960"/>
      <c r="D568" s="1960"/>
      <c r="E568" s="1960"/>
      <c r="F568" s="1960"/>
      <c r="G568" s="1960"/>
      <c r="V568" s="1960"/>
      <c r="W568" s="1960"/>
      <c r="X568" s="1919"/>
      <c r="Y568" s="1919"/>
      <c r="Z568" s="1919"/>
    </row>
    <row r="569" spans="1:26">
      <c r="A569" s="1919"/>
      <c r="B569" s="1960"/>
      <c r="C569" s="1960"/>
      <c r="D569" s="1960"/>
      <c r="E569" s="1960"/>
      <c r="F569" s="1960"/>
      <c r="G569" s="1960"/>
      <c r="V569" s="1960"/>
      <c r="W569" s="1960"/>
      <c r="X569" s="1919"/>
      <c r="Y569" s="1919"/>
      <c r="Z569" s="1919"/>
    </row>
    <row r="570" spans="1:26">
      <c r="A570" s="1919"/>
      <c r="B570" s="1960"/>
      <c r="C570" s="1960"/>
      <c r="D570" s="1960"/>
      <c r="E570" s="1960"/>
      <c r="F570" s="1960"/>
      <c r="G570" s="1960"/>
      <c r="V570" s="1960"/>
      <c r="W570" s="1960"/>
      <c r="X570" s="1919"/>
      <c r="Y570" s="1919"/>
      <c r="Z570" s="1919"/>
    </row>
    <row r="571" spans="1:26">
      <c r="A571" s="1919"/>
      <c r="B571" s="1960"/>
      <c r="C571" s="1960"/>
      <c r="D571" s="1960"/>
      <c r="E571" s="1960"/>
      <c r="F571" s="1960"/>
      <c r="G571" s="1960"/>
      <c r="V571" s="1960"/>
      <c r="W571" s="1960"/>
      <c r="X571" s="1919"/>
      <c r="Y571" s="1919"/>
      <c r="Z571" s="1919"/>
    </row>
    <row r="572" spans="1:26">
      <c r="A572" s="1919"/>
      <c r="B572" s="1960"/>
      <c r="C572" s="1960"/>
      <c r="D572" s="1960"/>
      <c r="E572" s="1960"/>
      <c r="F572" s="1960"/>
      <c r="G572" s="1960"/>
      <c r="V572" s="1960"/>
      <c r="W572" s="1960"/>
      <c r="X572" s="1919"/>
      <c r="Y572" s="1919"/>
      <c r="Z572" s="1919"/>
    </row>
    <row r="573" spans="1:26">
      <c r="A573" s="1919"/>
      <c r="B573" s="1960"/>
      <c r="C573" s="1960"/>
      <c r="D573" s="1960"/>
      <c r="E573" s="1960"/>
      <c r="F573" s="1960"/>
      <c r="G573" s="1960"/>
      <c r="V573" s="1960"/>
      <c r="W573" s="1960"/>
      <c r="X573" s="1919"/>
      <c r="Y573" s="1919"/>
      <c r="Z573" s="1919"/>
    </row>
    <row r="574" spans="1:26">
      <c r="A574" s="1919"/>
      <c r="B574" s="1960"/>
      <c r="C574" s="1960"/>
      <c r="D574" s="1960"/>
      <c r="E574" s="1960"/>
      <c r="F574" s="1960"/>
      <c r="G574" s="1960"/>
      <c r="V574" s="1960"/>
      <c r="W574" s="1960"/>
      <c r="X574" s="1919"/>
      <c r="Y574" s="1919"/>
      <c r="Z574" s="1919"/>
    </row>
    <row r="575" spans="1:26">
      <c r="A575" s="1919"/>
      <c r="B575" s="1960"/>
      <c r="C575" s="1960"/>
      <c r="D575" s="1960"/>
      <c r="E575" s="1960"/>
      <c r="F575" s="1960"/>
      <c r="G575" s="1960"/>
      <c r="V575" s="1960"/>
      <c r="W575" s="1960"/>
      <c r="X575" s="1919"/>
      <c r="Y575" s="1919"/>
      <c r="Z575" s="1919"/>
    </row>
    <row r="576" spans="1:26">
      <c r="A576" s="1919"/>
      <c r="B576" s="1960"/>
      <c r="C576" s="1960"/>
      <c r="D576" s="1960"/>
      <c r="E576" s="1960"/>
      <c r="F576" s="1960"/>
      <c r="G576" s="1960"/>
      <c r="V576" s="1960"/>
      <c r="W576" s="1960"/>
      <c r="X576" s="1919"/>
      <c r="Y576" s="1919"/>
      <c r="Z576" s="1919"/>
    </row>
    <row r="577" spans="1:26">
      <c r="A577" s="1919"/>
      <c r="B577" s="1960"/>
      <c r="C577" s="1960"/>
      <c r="D577" s="1960"/>
      <c r="E577" s="1960"/>
      <c r="F577" s="1960"/>
      <c r="G577" s="1960"/>
      <c r="V577" s="1960"/>
      <c r="W577" s="1960"/>
      <c r="X577" s="1919"/>
      <c r="Y577" s="1919"/>
      <c r="Z577" s="1919"/>
    </row>
    <row r="578" spans="1:26">
      <c r="A578" s="1919"/>
      <c r="B578" s="1960"/>
      <c r="C578" s="1960"/>
      <c r="D578" s="1960"/>
      <c r="E578" s="1960"/>
      <c r="F578" s="1960"/>
      <c r="G578" s="1960"/>
      <c r="V578" s="1960"/>
      <c r="W578" s="1960"/>
      <c r="X578" s="1919"/>
      <c r="Y578" s="1919"/>
      <c r="Z578" s="1919"/>
    </row>
    <row r="579" spans="1:26">
      <c r="A579" s="1919"/>
      <c r="B579" s="1960"/>
      <c r="C579" s="1960"/>
      <c r="D579" s="1960"/>
      <c r="E579" s="1960"/>
      <c r="F579" s="1960"/>
      <c r="G579" s="1960"/>
      <c r="V579" s="1960"/>
      <c r="W579" s="1960"/>
      <c r="X579" s="1919"/>
      <c r="Y579" s="1919"/>
      <c r="Z579" s="1919"/>
    </row>
    <row r="580" spans="1:26">
      <c r="A580" s="1919"/>
      <c r="B580" s="1960"/>
      <c r="C580" s="1960"/>
      <c r="D580" s="1960"/>
      <c r="E580" s="1960"/>
      <c r="F580" s="1960"/>
      <c r="G580" s="1960"/>
      <c r="V580" s="1960"/>
      <c r="W580" s="1960"/>
      <c r="X580" s="1919"/>
      <c r="Y580" s="1919"/>
      <c r="Z580" s="1919"/>
    </row>
    <row r="581" spans="1:26">
      <c r="A581" s="1919"/>
      <c r="B581" s="1960"/>
      <c r="C581" s="1960"/>
      <c r="D581" s="1960"/>
      <c r="E581" s="1960"/>
      <c r="F581" s="1960"/>
      <c r="G581" s="1960"/>
      <c r="V581" s="1960"/>
      <c r="W581" s="1960"/>
      <c r="X581" s="1919"/>
      <c r="Y581" s="1919"/>
      <c r="Z581" s="1919"/>
    </row>
    <row r="582" spans="1:26">
      <c r="A582" s="1919"/>
      <c r="B582" s="1960"/>
      <c r="C582" s="1960"/>
      <c r="D582" s="1960"/>
      <c r="E582" s="1960"/>
      <c r="F582" s="1960"/>
      <c r="G582" s="1960"/>
      <c r="V582" s="1960"/>
      <c r="W582" s="1960"/>
      <c r="X582" s="1919"/>
      <c r="Y582" s="1919"/>
      <c r="Z582" s="1919"/>
    </row>
    <row r="583" spans="1:26">
      <c r="A583" s="1919"/>
      <c r="B583" s="1960"/>
      <c r="C583" s="1960"/>
      <c r="D583" s="1960"/>
      <c r="E583" s="1960"/>
      <c r="F583" s="1960"/>
      <c r="G583" s="1960"/>
      <c r="V583" s="1960"/>
      <c r="W583" s="1960"/>
      <c r="X583" s="1919"/>
      <c r="Y583" s="1919"/>
      <c r="Z583" s="1919"/>
    </row>
    <row r="584" spans="1:26">
      <c r="A584" s="1919"/>
      <c r="B584" s="1960"/>
      <c r="C584" s="1960"/>
      <c r="D584" s="1960"/>
      <c r="E584" s="1960"/>
      <c r="F584" s="1960"/>
      <c r="G584" s="1960"/>
      <c r="V584" s="1960"/>
      <c r="W584" s="1960"/>
      <c r="X584" s="1919"/>
      <c r="Y584" s="1919"/>
      <c r="Z584" s="1919"/>
    </row>
    <row r="585" spans="1:26">
      <c r="A585" s="1919"/>
      <c r="B585" s="1960"/>
      <c r="C585" s="1960"/>
      <c r="D585" s="1960"/>
      <c r="E585" s="1960"/>
      <c r="F585" s="1960"/>
      <c r="G585" s="1960"/>
      <c r="V585" s="1960"/>
      <c r="W585" s="1960"/>
      <c r="X585" s="1919"/>
      <c r="Y585" s="1919"/>
      <c r="Z585" s="1919"/>
    </row>
    <row r="586" spans="1:26">
      <c r="A586" s="1919"/>
      <c r="B586" s="1960"/>
      <c r="C586" s="1960"/>
      <c r="D586" s="1960"/>
      <c r="E586" s="1960"/>
      <c r="F586" s="1960"/>
      <c r="G586" s="1960"/>
      <c r="V586" s="1960"/>
      <c r="W586" s="1960"/>
      <c r="X586" s="1919"/>
      <c r="Y586" s="1919"/>
      <c r="Z586" s="1919"/>
    </row>
    <row r="587" spans="1:26">
      <c r="A587" s="1919"/>
      <c r="B587" s="1960"/>
      <c r="C587" s="1960"/>
      <c r="D587" s="1960"/>
      <c r="E587" s="1960"/>
      <c r="F587" s="1960"/>
      <c r="G587" s="1960"/>
      <c r="V587" s="1960"/>
      <c r="W587" s="1960"/>
      <c r="X587" s="1919"/>
      <c r="Y587" s="1919"/>
      <c r="Z587" s="1919"/>
    </row>
    <row r="588" spans="1:26">
      <c r="A588" s="1919"/>
      <c r="B588" s="1960"/>
      <c r="C588" s="1960"/>
      <c r="D588" s="1960"/>
      <c r="E588" s="1960"/>
      <c r="F588" s="1960"/>
      <c r="G588" s="1960"/>
      <c r="V588" s="1960"/>
      <c r="W588" s="1960"/>
      <c r="X588" s="1919"/>
      <c r="Y588" s="1919"/>
      <c r="Z588" s="1919"/>
    </row>
    <row r="589" spans="1:26">
      <c r="A589" s="1919"/>
      <c r="B589" s="1960"/>
      <c r="C589" s="1960"/>
      <c r="D589" s="1960"/>
      <c r="E589" s="1960"/>
      <c r="F589" s="1960"/>
      <c r="G589" s="1960"/>
      <c r="V589" s="1960"/>
      <c r="W589" s="1960"/>
      <c r="X589" s="1919"/>
      <c r="Y589" s="1919"/>
      <c r="Z589" s="1919"/>
    </row>
    <row r="590" spans="1:26">
      <c r="A590" s="1919"/>
      <c r="B590" s="1960"/>
      <c r="C590" s="1960"/>
      <c r="D590" s="1960"/>
      <c r="E590" s="1960"/>
      <c r="F590" s="1960"/>
      <c r="G590" s="1960"/>
      <c r="V590" s="1960"/>
      <c r="W590" s="1960"/>
      <c r="X590" s="1919"/>
      <c r="Y590" s="1919"/>
      <c r="Z590" s="1919"/>
    </row>
    <row r="591" spans="1:26">
      <c r="A591" s="1919"/>
      <c r="B591" s="1960"/>
      <c r="C591" s="1960"/>
      <c r="D591" s="1960"/>
      <c r="E591" s="1960"/>
      <c r="F591" s="1960"/>
      <c r="G591" s="1960"/>
      <c r="V591" s="1960"/>
      <c r="W591" s="1960"/>
      <c r="X591" s="1919"/>
      <c r="Y591" s="1919"/>
      <c r="Z591" s="1919"/>
    </row>
    <row r="592" spans="1:26">
      <c r="A592" s="1919"/>
      <c r="B592" s="1960"/>
      <c r="C592" s="1960"/>
      <c r="D592" s="1960"/>
      <c r="E592" s="1960"/>
      <c r="F592" s="1960"/>
      <c r="G592" s="1960"/>
      <c r="V592" s="1960"/>
      <c r="W592" s="1960"/>
      <c r="X592" s="1919"/>
      <c r="Y592" s="1919"/>
      <c r="Z592" s="1919"/>
    </row>
    <row r="593" spans="1:26">
      <c r="A593" s="1919"/>
      <c r="B593" s="1960"/>
      <c r="C593" s="1960"/>
      <c r="D593" s="1960"/>
      <c r="E593" s="1960"/>
      <c r="F593" s="1960"/>
      <c r="G593" s="1960"/>
      <c r="V593" s="1960"/>
      <c r="W593" s="1960"/>
      <c r="X593" s="1919"/>
      <c r="Y593" s="1919"/>
      <c r="Z593" s="1919"/>
    </row>
    <row r="594" spans="1:26">
      <c r="A594" s="1919"/>
      <c r="B594" s="1960"/>
      <c r="C594" s="1960"/>
      <c r="D594" s="1960"/>
      <c r="E594" s="1960"/>
      <c r="F594" s="1960"/>
      <c r="G594" s="1960"/>
      <c r="V594" s="1960"/>
      <c r="W594" s="1960"/>
      <c r="X594" s="1919"/>
      <c r="Y594" s="1919"/>
      <c r="Z594" s="1919"/>
    </row>
    <row r="595" spans="1:26">
      <c r="A595" s="1919"/>
      <c r="B595" s="1960"/>
      <c r="C595" s="1960"/>
      <c r="D595" s="1960"/>
      <c r="E595" s="1960"/>
      <c r="F595" s="1960"/>
      <c r="G595" s="1960"/>
      <c r="V595" s="1960"/>
      <c r="W595" s="1960"/>
      <c r="X595" s="1919"/>
      <c r="Y595" s="1919"/>
      <c r="Z595" s="1919"/>
    </row>
    <row r="596" spans="1:26">
      <c r="A596" s="1919"/>
      <c r="B596" s="1960"/>
      <c r="C596" s="1960"/>
      <c r="D596" s="1960"/>
      <c r="E596" s="1960"/>
      <c r="F596" s="1960"/>
      <c r="G596" s="1960"/>
      <c r="V596" s="1960"/>
      <c r="W596" s="1960"/>
      <c r="X596" s="1919"/>
      <c r="Y596" s="1919"/>
      <c r="Z596" s="1919"/>
    </row>
    <row r="597" spans="1:26">
      <c r="A597" s="1919"/>
      <c r="B597" s="1960"/>
      <c r="C597" s="1960"/>
      <c r="D597" s="1960"/>
      <c r="E597" s="1960"/>
      <c r="F597" s="1960"/>
      <c r="G597" s="1960"/>
      <c r="V597" s="1960"/>
      <c r="W597" s="1960"/>
      <c r="X597" s="1919"/>
      <c r="Y597" s="1919"/>
      <c r="Z597" s="1919"/>
    </row>
    <row r="598" spans="1:26">
      <c r="A598" s="1919"/>
      <c r="B598" s="1960"/>
      <c r="C598" s="1960"/>
      <c r="D598" s="1960"/>
      <c r="E598" s="1960"/>
      <c r="F598" s="1960"/>
      <c r="G598" s="1960"/>
      <c r="V598" s="1960"/>
      <c r="W598" s="1960"/>
      <c r="X598" s="1919"/>
      <c r="Y598" s="1919"/>
      <c r="Z598" s="1919"/>
    </row>
    <row r="599" spans="1:26">
      <c r="A599" s="1919"/>
      <c r="B599" s="1960"/>
      <c r="C599" s="1960"/>
      <c r="D599" s="1960"/>
      <c r="E599" s="1960"/>
      <c r="F599" s="1960"/>
      <c r="G599" s="1960"/>
      <c r="V599" s="1960"/>
      <c r="W599" s="1960"/>
      <c r="X599" s="1919"/>
      <c r="Y599" s="1919"/>
      <c r="Z599" s="1919"/>
    </row>
    <row r="600" spans="1:26">
      <c r="A600" s="1919"/>
      <c r="B600" s="1960"/>
      <c r="C600" s="1960"/>
      <c r="D600" s="1960"/>
      <c r="E600" s="1960"/>
      <c r="F600" s="1960"/>
      <c r="G600" s="1960"/>
      <c r="V600" s="1960"/>
      <c r="W600" s="1960"/>
      <c r="X600" s="1919"/>
      <c r="Y600" s="1919"/>
      <c r="Z600" s="1919"/>
    </row>
    <row r="601" spans="1:26">
      <c r="A601" s="1919"/>
      <c r="B601" s="1960"/>
      <c r="C601" s="1960"/>
      <c r="D601" s="1960"/>
      <c r="E601" s="1960"/>
      <c r="F601" s="1960"/>
      <c r="G601" s="1960"/>
      <c r="V601" s="1960"/>
      <c r="W601" s="1960"/>
      <c r="X601" s="1919"/>
      <c r="Y601" s="1919"/>
      <c r="Z601" s="1919"/>
    </row>
    <row r="602" spans="1:26">
      <c r="A602" s="1919"/>
      <c r="B602" s="1960"/>
      <c r="C602" s="1960"/>
      <c r="D602" s="1960"/>
      <c r="E602" s="1960"/>
      <c r="F602" s="1960"/>
      <c r="G602" s="1960"/>
      <c r="V602" s="1960"/>
      <c r="W602" s="1960"/>
      <c r="X602" s="1919"/>
      <c r="Y602" s="1919"/>
      <c r="Z602" s="1919"/>
    </row>
    <row r="603" spans="1:26">
      <c r="A603" s="1919"/>
      <c r="B603" s="1960"/>
      <c r="C603" s="1960"/>
      <c r="D603" s="1960"/>
      <c r="E603" s="1960"/>
      <c r="F603" s="1960"/>
      <c r="G603" s="1960"/>
      <c r="V603" s="1960"/>
      <c r="W603" s="1960"/>
      <c r="X603" s="1919"/>
      <c r="Y603" s="1919"/>
      <c r="Z603" s="1919"/>
    </row>
    <row r="604" spans="1:26">
      <c r="A604" s="1919"/>
      <c r="B604" s="1960"/>
      <c r="C604" s="1960"/>
      <c r="D604" s="1960"/>
      <c r="E604" s="1960"/>
      <c r="F604" s="1960"/>
      <c r="G604" s="1960"/>
      <c r="V604" s="1960"/>
      <c r="W604" s="1960"/>
      <c r="X604" s="1919"/>
      <c r="Y604" s="1919"/>
      <c r="Z604" s="1919"/>
    </row>
    <row r="605" spans="1:26">
      <c r="A605" s="1919"/>
      <c r="B605" s="1960"/>
      <c r="C605" s="1960"/>
      <c r="D605" s="1960"/>
      <c r="E605" s="1960"/>
      <c r="F605" s="1960"/>
      <c r="G605" s="1960"/>
      <c r="V605" s="1960"/>
      <c r="W605" s="1960"/>
      <c r="X605" s="1919"/>
      <c r="Y605" s="1919"/>
      <c r="Z605" s="1919"/>
    </row>
    <row r="606" spans="1:26">
      <c r="A606" s="1919"/>
      <c r="B606" s="1960"/>
      <c r="C606" s="1960"/>
      <c r="D606" s="1960"/>
      <c r="E606" s="1960"/>
      <c r="F606" s="1960"/>
      <c r="G606" s="1960"/>
      <c r="V606" s="1960"/>
      <c r="W606" s="1960"/>
      <c r="X606" s="1919"/>
      <c r="Y606" s="1919"/>
      <c r="Z606" s="1919"/>
    </row>
    <row r="607" spans="1:26">
      <c r="A607" s="1919"/>
      <c r="B607" s="1960"/>
      <c r="C607" s="1960"/>
      <c r="D607" s="1960"/>
      <c r="E607" s="1960"/>
      <c r="F607" s="1960"/>
      <c r="G607" s="1960"/>
      <c r="V607" s="1960"/>
      <c r="W607" s="1960"/>
      <c r="X607" s="1919"/>
      <c r="Y607" s="1919"/>
      <c r="Z607" s="1919"/>
    </row>
    <row r="608" spans="1:26">
      <c r="A608" s="1919"/>
      <c r="B608" s="1960"/>
      <c r="C608" s="1960"/>
      <c r="D608" s="1960"/>
      <c r="E608" s="1960"/>
      <c r="F608" s="1960"/>
      <c r="G608" s="1960"/>
      <c r="V608" s="1960"/>
      <c r="W608" s="1960"/>
      <c r="X608" s="1919"/>
      <c r="Y608" s="1919"/>
      <c r="Z608" s="1919"/>
    </row>
    <row r="609" spans="1:26">
      <c r="A609" s="1919"/>
      <c r="B609" s="1960"/>
      <c r="C609" s="1960"/>
      <c r="D609" s="1960"/>
      <c r="E609" s="1960"/>
      <c r="F609" s="1960"/>
      <c r="G609" s="1960"/>
      <c r="V609" s="1960"/>
      <c r="W609" s="1960"/>
      <c r="X609" s="1919"/>
      <c r="Y609" s="1919"/>
      <c r="Z609" s="1919"/>
    </row>
    <row r="610" spans="1:26">
      <c r="A610" s="1919"/>
      <c r="B610" s="1960"/>
      <c r="C610" s="1960"/>
      <c r="D610" s="1960"/>
      <c r="E610" s="1960"/>
      <c r="F610" s="1960"/>
      <c r="G610" s="1960"/>
      <c r="V610" s="1960"/>
      <c r="W610" s="1960"/>
      <c r="X610" s="1919"/>
      <c r="Y610" s="1919"/>
      <c r="Z610" s="1919"/>
    </row>
    <row r="611" spans="1:26">
      <c r="A611" s="1919"/>
      <c r="B611" s="1960"/>
      <c r="C611" s="1960"/>
      <c r="D611" s="1960"/>
      <c r="E611" s="1960"/>
      <c r="F611" s="1960"/>
      <c r="G611" s="1960"/>
      <c r="V611" s="1960"/>
      <c r="W611" s="1960"/>
      <c r="X611" s="1919"/>
      <c r="Y611" s="1919"/>
      <c r="Z611" s="1919"/>
    </row>
    <row r="612" spans="1:26">
      <c r="A612" s="1919"/>
      <c r="B612" s="1960"/>
      <c r="C612" s="1960"/>
      <c r="D612" s="1960"/>
      <c r="E612" s="1960"/>
      <c r="F612" s="1960"/>
      <c r="G612" s="1960"/>
      <c r="V612" s="1960"/>
      <c r="W612" s="1960"/>
      <c r="X612" s="1919"/>
      <c r="Y612" s="1919"/>
      <c r="Z612" s="1919"/>
    </row>
    <row r="613" spans="1:26">
      <c r="A613" s="1919"/>
      <c r="B613" s="1960"/>
      <c r="C613" s="1960"/>
      <c r="D613" s="1960"/>
      <c r="E613" s="1960"/>
      <c r="F613" s="1960"/>
      <c r="G613" s="1960"/>
      <c r="V613" s="1960"/>
      <c r="W613" s="1960"/>
      <c r="X613" s="1919"/>
      <c r="Y613" s="1919"/>
      <c r="Z613" s="1919"/>
    </row>
    <row r="614" spans="1:26">
      <c r="A614" s="1919"/>
      <c r="B614" s="1960"/>
      <c r="C614" s="1960"/>
      <c r="D614" s="1960"/>
      <c r="E614" s="1960"/>
      <c r="F614" s="1960"/>
      <c r="G614" s="1960"/>
      <c r="V614" s="1960"/>
      <c r="W614" s="1960"/>
      <c r="X614" s="1919"/>
      <c r="Y614" s="1919"/>
      <c r="Z614" s="1919"/>
    </row>
    <row r="615" spans="1:26">
      <c r="A615" s="1919"/>
      <c r="B615" s="1960"/>
      <c r="C615" s="1960"/>
      <c r="D615" s="1960"/>
      <c r="E615" s="1960"/>
      <c r="F615" s="1960"/>
      <c r="G615" s="1960"/>
      <c r="V615" s="1960"/>
      <c r="W615" s="1960"/>
      <c r="X615" s="1919"/>
      <c r="Y615" s="1919"/>
      <c r="Z615" s="1919"/>
    </row>
    <row r="616" spans="1:26">
      <c r="A616" s="1919"/>
      <c r="B616" s="1960"/>
      <c r="C616" s="1960"/>
      <c r="D616" s="1960"/>
      <c r="E616" s="1960"/>
      <c r="F616" s="1960"/>
      <c r="G616" s="1960"/>
      <c r="V616" s="1960"/>
      <c r="W616" s="1960"/>
      <c r="X616" s="1919"/>
      <c r="Y616" s="1919"/>
      <c r="Z616" s="1919"/>
    </row>
    <row r="617" spans="1:26">
      <c r="A617" s="1919"/>
      <c r="B617" s="1960"/>
      <c r="C617" s="1960"/>
      <c r="D617" s="1960"/>
      <c r="E617" s="1960"/>
      <c r="F617" s="1960"/>
      <c r="G617" s="1960"/>
      <c r="V617" s="1960"/>
      <c r="W617" s="1960"/>
      <c r="X617" s="1919"/>
      <c r="Y617" s="1919"/>
      <c r="Z617" s="1919"/>
    </row>
    <row r="618" spans="1:26">
      <c r="A618" s="1919"/>
      <c r="B618" s="1960"/>
      <c r="C618" s="1960"/>
      <c r="D618" s="1960"/>
      <c r="E618" s="1960"/>
      <c r="F618" s="1960"/>
      <c r="G618" s="1960"/>
      <c r="V618" s="1960"/>
      <c r="W618" s="1960"/>
      <c r="X618" s="1919"/>
      <c r="Y618" s="1919"/>
      <c r="Z618" s="1919"/>
    </row>
    <row r="619" spans="1:26">
      <c r="A619" s="1919"/>
      <c r="B619" s="1960"/>
      <c r="C619" s="1960"/>
      <c r="D619" s="1960"/>
      <c r="E619" s="1960"/>
      <c r="F619" s="1960"/>
      <c r="G619" s="1960"/>
      <c r="V619" s="1960"/>
      <c r="W619" s="1960"/>
      <c r="X619" s="1919"/>
      <c r="Y619" s="1919"/>
      <c r="Z619" s="1919"/>
    </row>
    <row r="620" spans="1:26">
      <c r="A620" s="1919"/>
      <c r="B620" s="1960"/>
      <c r="C620" s="1960"/>
      <c r="D620" s="1960"/>
      <c r="E620" s="1960"/>
      <c r="F620" s="1960"/>
      <c r="G620" s="1960"/>
      <c r="V620" s="1960"/>
      <c r="W620" s="1960"/>
      <c r="X620" s="1919"/>
      <c r="Y620" s="1919"/>
      <c r="Z620" s="1919"/>
    </row>
    <row r="621" spans="1:26">
      <c r="A621" s="1919"/>
      <c r="B621" s="1960"/>
      <c r="C621" s="1960"/>
      <c r="D621" s="1960"/>
      <c r="E621" s="1960"/>
      <c r="F621" s="1960"/>
      <c r="G621" s="1960"/>
      <c r="V621" s="1960"/>
      <c r="W621" s="1960"/>
      <c r="X621" s="1919"/>
      <c r="Y621" s="1919"/>
      <c r="Z621" s="1919"/>
    </row>
    <row r="622" spans="1:26">
      <c r="A622" s="1919"/>
      <c r="B622" s="1960"/>
      <c r="C622" s="1960"/>
      <c r="D622" s="1960"/>
      <c r="E622" s="1960"/>
      <c r="F622" s="1960"/>
      <c r="G622" s="1960"/>
      <c r="V622" s="1960"/>
      <c r="W622" s="1960"/>
      <c r="X622" s="1919"/>
      <c r="Y622" s="1919"/>
      <c r="Z622" s="1919"/>
    </row>
    <row r="623" spans="1:26">
      <c r="A623" s="1919"/>
      <c r="B623" s="1960"/>
      <c r="C623" s="1960"/>
      <c r="D623" s="1960"/>
      <c r="E623" s="1960"/>
      <c r="F623" s="1960"/>
      <c r="G623" s="1960"/>
      <c r="V623" s="1960"/>
      <c r="W623" s="1960"/>
      <c r="X623" s="1919"/>
      <c r="Y623" s="1919"/>
      <c r="Z623" s="1919"/>
    </row>
    <row r="624" spans="1:26">
      <c r="A624" s="1919"/>
      <c r="B624" s="1960"/>
      <c r="C624" s="1960"/>
      <c r="D624" s="1960"/>
      <c r="E624" s="1960"/>
      <c r="F624" s="1960"/>
      <c r="G624" s="1960"/>
      <c r="V624" s="1960"/>
      <c r="W624" s="1960"/>
      <c r="X624" s="1919"/>
      <c r="Y624" s="1919"/>
      <c r="Z624" s="1919"/>
    </row>
    <row r="625" spans="1:26">
      <c r="A625" s="1919"/>
      <c r="B625" s="1960"/>
      <c r="C625" s="1960"/>
      <c r="D625" s="1960"/>
      <c r="E625" s="1960"/>
      <c r="F625" s="1960"/>
      <c r="G625" s="1960"/>
      <c r="V625" s="1960"/>
      <c r="W625" s="1960"/>
      <c r="X625" s="1919"/>
      <c r="Y625" s="1919"/>
      <c r="Z625" s="1919"/>
    </row>
    <row r="626" spans="1:26">
      <c r="A626" s="1919"/>
      <c r="B626" s="1960"/>
      <c r="C626" s="1960"/>
      <c r="D626" s="1960"/>
      <c r="E626" s="1960"/>
      <c r="F626" s="1960"/>
      <c r="G626" s="1960"/>
      <c r="V626" s="1960"/>
      <c r="W626" s="1960"/>
      <c r="X626" s="1919"/>
      <c r="Y626" s="1919"/>
      <c r="Z626" s="1919"/>
    </row>
    <row r="627" spans="1:26">
      <c r="A627" s="1919"/>
      <c r="B627" s="1960"/>
      <c r="C627" s="1960"/>
      <c r="D627" s="1960"/>
      <c r="E627" s="1960"/>
      <c r="F627" s="1960"/>
      <c r="G627" s="1960"/>
      <c r="V627" s="1960"/>
      <c r="W627" s="1960"/>
      <c r="X627" s="1919"/>
      <c r="Y627" s="1919"/>
      <c r="Z627" s="1919"/>
    </row>
    <row r="628" spans="1:26">
      <c r="A628" s="1919"/>
      <c r="B628" s="1960"/>
      <c r="C628" s="1960"/>
      <c r="D628" s="1960"/>
      <c r="E628" s="1960"/>
      <c r="F628" s="1960"/>
      <c r="G628" s="1960"/>
      <c r="V628" s="1960"/>
      <c r="W628" s="1960"/>
      <c r="X628" s="1919"/>
      <c r="Y628" s="1919"/>
      <c r="Z628" s="1919"/>
    </row>
    <row r="629" spans="1:26">
      <c r="A629" s="1919"/>
      <c r="B629" s="1960"/>
      <c r="C629" s="1960"/>
      <c r="D629" s="1960"/>
      <c r="E629" s="1960"/>
      <c r="F629" s="1960"/>
      <c r="G629" s="1960"/>
      <c r="V629" s="1960"/>
      <c r="W629" s="1960"/>
      <c r="X629" s="1919"/>
      <c r="Y629" s="1919"/>
      <c r="Z629" s="1919"/>
    </row>
    <row r="630" spans="1:26">
      <c r="A630" s="1919"/>
      <c r="B630" s="1960"/>
      <c r="C630" s="1960"/>
      <c r="D630" s="1960"/>
      <c r="E630" s="1960"/>
      <c r="F630" s="1960"/>
      <c r="G630" s="1960"/>
      <c r="V630" s="1960"/>
      <c r="W630" s="1960"/>
      <c r="X630" s="1919"/>
      <c r="Y630" s="1919"/>
      <c r="Z630" s="1919"/>
    </row>
    <row r="631" spans="1:26">
      <c r="A631" s="1919"/>
      <c r="B631" s="1960"/>
      <c r="C631" s="1960"/>
      <c r="D631" s="1960"/>
      <c r="E631" s="1960"/>
      <c r="F631" s="1960"/>
      <c r="G631" s="1960"/>
      <c r="V631" s="1960"/>
      <c r="W631" s="1960"/>
      <c r="X631" s="1919"/>
      <c r="Y631" s="1919"/>
      <c r="Z631" s="1919"/>
    </row>
    <row r="632" spans="1:26">
      <c r="A632" s="1919"/>
      <c r="B632" s="1960"/>
      <c r="C632" s="1960"/>
      <c r="D632" s="1960"/>
      <c r="E632" s="1960"/>
      <c r="F632" s="1960"/>
      <c r="G632" s="1960"/>
      <c r="V632" s="1960"/>
      <c r="W632" s="1960"/>
      <c r="X632" s="1919"/>
      <c r="Y632" s="1919"/>
      <c r="Z632" s="1919"/>
    </row>
    <row r="633" spans="1:26">
      <c r="A633" s="1919"/>
      <c r="B633" s="1960"/>
      <c r="C633" s="1960"/>
      <c r="D633" s="1960"/>
      <c r="E633" s="1960"/>
      <c r="F633" s="1960"/>
      <c r="G633" s="1960"/>
      <c r="V633" s="1960"/>
      <c r="W633" s="1960"/>
      <c r="X633" s="1919"/>
      <c r="Y633" s="1919"/>
      <c r="Z633" s="1919"/>
    </row>
    <row r="634" spans="1:26">
      <c r="A634" s="1919"/>
      <c r="B634" s="1960"/>
      <c r="C634" s="1960"/>
      <c r="D634" s="1960"/>
      <c r="E634" s="1960"/>
      <c r="F634" s="1960"/>
      <c r="G634" s="1960"/>
      <c r="V634" s="1960"/>
      <c r="W634" s="1960"/>
      <c r="X634" s="1919"/>
      <c r="Y634" s="1919"/>
      <c r="Z634" s="1919"/>
    </row>
    <row r="635" spans="1:26">
      <c r="A635" s="1919"/>
      <c r="B635" s="1960"/>
      <c r="C635" s="1960"/>
      <c r="D635" s="1960"/>
      <c r="E635" s="1960"/>
      <c r="F635" s="1960"/>
      <c r="G635" s="1960"/>
      <c r="V635" s="1960"/>
      <c r="W635" s="1960"/>
      <c r="X635" s="1919"/>
      <c r="Y635" s="1919"/>
      <c r="Z635" s="1919"/>
    </row>
    <row r="636" spans="1:26">
      <c r="A636" s="1919"/>
      <c r="B636" s="1960"/>
      <c r="C636" s="1960"/>
      <c r="D636" s="1960"/>
      <c r="E636" s="1960"/>
      <c r="F636" s="1960"/>
      <c r="G636" s="1960"/>
      <c r="V636" s="1960"/>
      <c r="W636" s="1960"/>
      <c r="X636" s="1919"/>
      <c r="Y636" s="1919"/>
      <c r="Z636" s="1919"/>
    </row>
    <row r="637" spans="1:26">
      <c r="A637" s="1919"/>
      <c r="B637" s="1960"/>
      <c r="C637" s="1960"/>
      <c r="D637" s="1960"/>
      <c r="E637" s="1960"/>
      <c r="F637" s="1960"/>
      <c r="G637" s="1960"/>
      <c r="V637" s="1960"/>
      <c r="W637" s="1960"/>
      <c r="X637" s="1919"/>
      <c r="Y637" s="1919"/>
      <c r="Z637" s="1919"/>
    </row>
    <row r="638" spans="1:26">
      <c r="A638" s="1919"/>
      <c r="B638" s="1960"/>
      <c r="C638" s="1960"/>
      <c r="D638" s="1960"/>
      <c r="E638" s="1960"/>
      <c r="F638" s="1960"/>
      <c r="G638" s="1960"/>
      <c r="V638" s="1960"/>
      <c r="W638" s="1960"/>
      <c r="X638" s="1919"/>
      <c r="Y638" s="1919"/>
      <c r="Z638" s="1919"/>
    </row>
    <row r="639" spans="1:26">
      <c r="A639" s="1919"/>
      <c r="B639" s="1960"/>
      <c r="C639" s="1960"/>
      <c r="D639" s="1960"/>
      <c r="E639" s="1960"/>
      <c r="F639" s="1960"/>
      <c r="G639" s="1960"/>
      <c r="V639" s="1960"/>
      <c r="W639" s="1960"/>
      <c r="X639" s="1919"/>
      <c r="Y639" s="1919"/>
      <c r="Z639" s="1919"/>
    </row>
    <row r="640" spans="1:26">
      <c r="A640" s="1919"/>
      <c r="B640" s="1960"/>
      <c r="C640" s="1960"/>
      <c r="D640" s="1960"/>
      <c r="E640" s="1960"/>
      <c r="F640" s="1960"/>
      <c r="G640" s="1960"/>
      <c r="V640" s="1960"/>
      <c r="W640" s="1960"/>
      <c r="X640" s="1919"/>
      <c r="Y640" s="1919"/>
      <c r="Z640" s="1919"/>
    </row>
    <row r="641" spans="1:26">
      <c r="A641" s="1919"/>
      <c r="B641" s="1960"/>
      <c r="C641" s="1960"/>
      <c r="D641" s="1960"/>
      <c r="E641" s="1960"/>
      <c r="F641" s="1960"/>
      <c r="G641" s="1960"/>
      <c r="V641" s="1960"/>
      <c r="W641" s="1960"/>
      <c r="X641" s="1919"/>
      <c r="Y641" s="1919"/>
      <c r="Z641" s="1919"/>
    </row>
    <row r="642" spans="1:26">
      <c r="A642" s="1919"/>
      <c r="B642" s="1960"/>
      <c r="C642" s="1960"/>
      <c r="D642" s="1960"/>
      <c r="E642" s="1960"/>
      <c r="F642" s="1960"/>
      <c r="G642" s="1960"/>
      <c r="V642" s="1960"/>
      <c r="W642" s="1960"/>
      <c r="X642" s="1919"/>
      <c r="Y642" s="1919"/>
      <c r="Z642" s="1919"/>
    </row>
    <row r="643" spans="1:26">
      <c r="A643" s="1919"/>
      <c r="B643" s="1960"/>
      <c r="C643" s="1960"/>
      <c r="D643" s="1960"/>
      <c r="E643" s="1960"/>
      <c r="F643" s="1960"/>
      <c r="G643" s="1960"/>
      <c r="V643" s="1960"/>
      <c r="W643" s="1960"/>
      <c r="X643" s="1919"/>
      <c r="Y643" s="1919"/>
      <c r="Z643" s="1919"/>
    </row>
    <row r="644" spans="1:26">
      <c r="A644" s="1919"/>
      <c r="B644" s="1960"/>
      <c r="C644" s="1960"/>
      <c r="D644" s="1960"/>
      <c r="E644" s="1960"/>
      <c r="F644" s="1960"/>
      <c r="G644" s="1960"/>
      <c r="V644" s="1960"/>
      <c r="W644" s="1960"/>
      <c r="X644" s="1919"/>
      <c r="Y644" s="1919"/>
      <c r="Z644" s="1919"/>
    </row>
    <row r="645" spans="1:26">
      <c r="A645" s="1919"/>
      <c r="B645" s="1960"/>
      <c r="C645" s="1960"/>
      <c r="D645" s="1960"/>
      <c r="E645" s="1960"/>
      <c r="F645" s="1960"/>
      <c r="G645" s="1960"/>
      <c r="V645" s="1960"/>
      <c r="W645" s="1960"/>
      <c r="X645" s="1919"/>
      <c r="Y645" s="1919"/>
      <c r="Z645" s="1919"/>
    </row>
    <row r="646" spans="1:26">
      <c r="A646" s="1919"/>
      <c r="B646" s="1960"/>
      <c r="C646" s="1960"/>
      <c r="D646" s="1960"/>
      <c r="E646" s="1960"/>
      <c r="F646" s="1960"/>
      <c r="G646" s="1960"/>
      <c r="V646" s="1960"/>
      <c r="W646" s="1960"/>
      <c r="X646" s="1919"/>
      <c r="Y646" s="1919"/>
      <c r="Z646" s="1919"/>
    </row>
    <row r="647" spans="1:26">
      <c r="A647" s="1919"/>
      <c r="B647" s="1960"/>
      <c r="C647" s="1960"/>
      <c r="D647" s="1960"/>
      <c r="E647" s="1960"/>
      <c r="F647" s="1960"/>
      <c r="G647" s="1960"/>
      <c r="V647" s="1960"/>
      <c r="W647" s="1960"/>
      <c r="X647" s="1919"/>
      <c r="Y647" s="1919"/>
      <c r="Z647" s="1919"/>
    </row>
    <row r="648" spans="1:26">
      <c r="A648" s="1919"/>
      <c r="B648" s="1960"/>
      <c r="C648" s="1960"/>
      <c r="D648" s="1960"/>
      <c r="E648" s="1960"/>
      <c r="F648" s="1960"/>
      <c r="G648" s="1960"/>
      <c r="V648" s="1960"/>
      <c r="W648" s="1960"/>
      <c r="X648" s="1919"/>
      <c r="Y648" s="1919"/>
      <c r="Z648" s="1919"/>
    </row>
    <row r="649" spans="1:26">
      <c r="A649" s="1919"/>
      <c r="B649" s="1960"/>
      <c r="C649" s="1960"/>
      <c r="D649" s="1960"/>
      <c r="E649" s="1960"/>
      <c r="F649" s="1960"/>
      <c r="G649" s="1960"/>
      <c r="V649" s="1960"/>
      <c r="W649" s="1960"/>
      <c r="X649" s="1919"/>
      <c r="Y649" s="1919"/>
      <c r="Z649" s="1919"/>
    </row>
    <row r="650" spans="1:26">
      <c r="A650" s="1919"/>
      <c r="B650" s="1960"/>
      <c r="C650" s="1960"/>
      <c r="D650" s="1960"/>
      <c r="E650" s="1960"/>
      <c r="F650" s="1960"/>
      <c r="G650" s="1960"/>
      <c r="V650" s="1960"/>
      <c r="W650" s="1960"/>
      <c r="X650" s="1919"/>
      <c r="Y650" s="1919"/>
      <c r="Z650" s="1919"/>
    </row>
    <row r="651" spans="1:26">
      <c r="A651" s="1919"/>
      <c r="B651" s="1960"/>
      <c r="C651" s="1960"/>
      <c r="D651" s="1960"/>
      <c r="E651" s="1960"/>
      <c r="F651" s="1960"/>
      <c r="G651" s="1960"/>
      <c r="V651" s="1960"/>
      <c r="W651" s="1960"/>
      <c r="X651" s="1919"/>
      <c r="Y651" s="1919"/>
      <c r="Z651" s="1919"/>
    </row>
    <row r="652" spans="1:26">
      <c r="A652" s="1919"/>
      <c r="B652" s="1960"/>
      <c r="C652" s="1960"/>
      <c r="D652" s="1960"/>
      <c r="E652" s="1960"/>
      <c r="F652" s="1960"/>
      <c r="G652" s="1960"/>
      <c r="V652" s="1960"/>
      <c r="W652" s="1960"/>
      <c r="X652" s="1919"/>
      <c r="Y652" s="1919"/>
      <c r="Z652" s="1919"/>
    </row>
    <row r="653" spans="1:26">
      <c r="A653" s="1919"/>
      <c r="B653" s="1960"/>
      <c r="C653" s="1960"/>
      <c r="D653" s="1960"/>
      <c r="E653" s="1960"/>
      <c r="F653" s="1960"/>
      <c r="G653" s="1960"/>
      <c r="V653" s="1960"/>
      <c r="W653" s="1960"/>
      <c r="X653" s="1919"/>
      <c r="Y653" s="1919"/>
      <c r="Z653" s="1919"/>
    </row>
    <row r="654" spans="1:26">
      <c r="A654" s="1919"/>
      <c r="B654" s="1960"/>
      <c r="C654" s="1960"/>
      <c r="D654" s="1960"/>
      <c r="E654" s="1960"/>
      <c r="F654" s="1960"/>
      <c r="G654" s="1960"/>
      <c r="V654" s="1960"/>
      <c r="W654" s="1960"/>
      <c r="X654" s="1919"/>
      <c r="Y654" s="1919"/>
      <c r="Z654" s="1919"/>
    </row>
    <row r="655" spans="1:26">
      <c r="A655" s="1919"/>
      <c r="B655" s="1960"/>
      <c r="C655" s="1960"/>
      <c r="D655" s="1960"/>
      <c r="E655" s="1960"/>
      <c r="F655" s="1960"/>
      <c r="G655" s="1960"/>
      <c r="V655" s="1960"/>
      <c r="W655" s="1960"/>
      <c r="X655" s="1919"/>
      <c r="Y655" s="1919"/>
      <c r="Z655" s="1919"/>
    </row>
    <row r="656" spans="1:26">
      <c r="A656" s="1919"/>
      <c r="B656" s="1960"/>
      <c r="C656" s="1960"/>
      <c r="D656" s="1960"/>
      <c r="E656" s="1960"/>
      <c r="F656" s="1960"/>
      <c r="G656" s="1960"/>
      <c r="V656" s="1960"/>
      <c r="W656" s="1960"/>
      <c r="X656" s="1919"/>
      <c r="Y656" s="1919"/>
      <c r="Z656" s="1919"/>
    </row>
    <row r="657" spans="1:26">
      <c r="A657" s="1919"/>
      <c r="B657" s="1960"/>
      <c r="C657" s="1960"/>
      <c r="D657" s="1960"/>
      <c r="E657" s="1960"/>
      <c r="F657" s="1960"/>
      <c r="G657" s="1960"/>
      <c r="V657" s="1960"/>
      <c r="W657" s="1960"/>
      <c r="X657" s="1919"/>
      <c r="Y657" s="1919"/>
      <c r="Z657" s="1919"/>
    </row>
    <row r="658" spans="1:26">
      <c r="A658" s="1919"/>
      <c r="B658" s="1960"/>
      <c r="C658" s="1960"/>
      <c r="D658" s="1960"/>
      <c r="E658" s="1960"/>
      <c r="F658" s="1960"/>
      <c r="G658" s="1960"/>
      <c r="V658" s="1960"/>
      <c r="W658" s="1960"/>
      <c r="X658" s="1919"/>
      <c r="Y658" s="1919"/>
      <c r="Z658" s="1919"/>
    </row>
    <row r="659" spans="1:26">
      <c r="A659" s="1919"/>
      <c r="B659" s="1960"/>
      <c r="C659" s="1960"/>
      <c r="D659" s="1960"/>
      <c r="E659" s="1960"/>
      <c r="F659" s="1960"/>
      <c r="G659" s="1960"/>
      <c r="V659" s="1960"/>
      <c r="W659" s="1960"/>
      <c r="X659" s="1919"/>
      <c r="Y659" s="1919"/>
      <c r="Z659" s="1919"/>
    </row>
    <row r="660" spans="1:26">
      <c r="A660" s="1919"/>
      <c r="B660" s="1960"/>
      <c r="C660" s="1960"/>
      <c r="D660" s="1960"/>
      <c r="E660" s="1960"/>
      <c r="F660" s="1960"/>
      <c r="G660" s="1960"/>
      <c r="V660" s="1960"/>
      <c r="W660" s="1960"/>
      <c r="X660" s="1919"/>
      <c r="Y660" s="1919"/>
      <c r="Z660" s="1919"/>
    </row>
    <row r="661" spans="1:26">
      <c r="A661" s="1919"/>
      <c r="B661" s="1960"/>
      <c r="C661" s="1960"/>
      <c r="D661" s="1960"/>
      <c r="E661" s="1960"/>
      <c r="F661" s="1960"/>
      <c r="G661" s="1960"/>
      <c r="V661" s="1960"/>
      <c r="W661" s="1960"/>
      <c r="X661" s="1919"/>
      <c r="Y661" s="1919"/>
      <c r="Z661" s="1919"/>
    </row>
    <row r="662" spans="1:26">
      <c r="A662" s="1919"/>
      <c r="B662" s="1960"/>
      <c r="C662" s="1960"/>
      <c r="D662" s="1960"/>
      <c r="E662" s="1960"/>
      <c r="F662" s="1960"/>
      <c r="G662" s="1960"/>
      <c r="V662" s="1960"/>
      <c r="W662" s="1960"/>
      <c r="X662" s="1919"/>
      <c r="Y662" s="1919"/>
      <c r="Z662" s="1919"/>
    </row>
    <row r="663" spans="1:26">
      <c r="A663" s="1919"/>
      <c r="B663" s="1960"/>
      <c r="C663" s="1960"/>
      <c r="D663" s="1960"/>
      <c r="E663" s="1960"/>
      <c r="F663" s="1960"/>
      <c r="G663" s="1960"/>
      <c r="V663" s="1960"/>
      <c r="W663" s="1960"/>
      <c r="X663" s="1919"/>
      <c r="Y663" s="1919"/>
      <c r="Z663" s="1919"/>
    </row>
    <row r="664" spans="1:26">
      <c r="A664" s="1919"/>
      <c r="B664" s="1960"/>
      <c r="C664" s="1960"/>
      <c r="D664" s="1960"/>
      <c r="E664" s="1960"/>
      <c r="F664" s="1960"/>
      <c r="G664" s="1960"/>
      <c r="V664" s="1960"/>
      <c r="W664" s="1960"/>
      <c r="X664" s="1919"/>
      <c r="Y664" s="1919"/>
      <c r="Z664" s="1919"/>
    </row>
    <row r="665" spans="1:26">
      <c r="A665" s="1919"/>
      <c r="B665" s="1960"/>
      <c r="C665" s="1960"/>
      <c r="D665" s="1960"/>
      <c r="E665" s="1960"/>
      <c r="F665" s="1960"/>
      <c r="G665" s="1960"/>
      <c r="V665" s="1960"/>
      <c r="W665" s="1960"/>
      <c r="X665" s="1919"/>
      <c r="Y665" s="1919"/>
      <c r="Z665" s="1919"/>
    </row>
    <row r="666" spans="1:26">
      <c r="A666" s="1919"/>
      <c r="B666" s="1960"/>
      <c r="C666" s="1960"/>
      <c r="D666" s="1960"/>
      <c r="E666" s="1960"/>
      <c r="F666" s="1960"/>
      <c r="G666" s="1960"/>
      <c r="V666" s="1960"/>
      <c r="W666" s="1960"/>
      <c r="X666" s="1919"/>
      <c r="Y666" s="1919"/>
      <c r="Z666" s="1919"/>
    </row>
    <row r="667" spans="1:26">
      <c r="A667" s="1919"/>
      <c r="B667" s="1960"/>
      <c r="C667" s="1960"/>
      <c r="D667" s="1960"/>
      <c r="E667" s="1960"/>
      <c r="F667" s="1960"/>
      <c r="G667" s="1960"/>
      <c r="V667" s="1960"/>
      <c r="W667" s="1960"/>
      <c r="X667" s="1919"/>
      <c r="Y667" s="1919"/>
      <c r="Z667" s="1919"/>
    </row>
    <row r="668" spans="1:26">
      <c r="A668" s="1919"/>
      <c r="B668" s="1960"/>
      <c r="C668" s="1960"/>
      <c r="D668" s="1960"/>
      <c r="E668" s="1960"/>
      <c r="F668" s="1960"/>
      <c r="G668" s="1960"/>
      <c r="V668" s="1960"/>
      <c r="W668" s="1960"/>
      <c r="X668" s="1919"/>
      <c r="Y668" s="1919"/>
      <c r="Z668" s="1919"/>
    </row>
    <row r="669" spans="1:26">
      <c r="A669" s="1919"/>
      <c r="B669" s="1960"/>
      <c r="C669" s="1960"/>
      <c r="D669" s="1960"/>
      <c r="E669" s="1960"/>
      <c r="F669" s="1960"/>
      <c r="G669" s="1960"/>
      <c r="V669" s="1960"/>
      <c r="W669" s="1960"/>
      <c r="X669" s="1919"/>
      <c r="Y669" s="1919"/>
      <c r="Z669" s="1919"/>
    </row>
    <row r="670" spans="1:26">
      <c r="A670" s="1919"/>
      <c r="B670" s="1960"/>
      <c r="C670" s="1960"/>
      <c r="D670" s="1960"/>
      <c r="E670" s="1960"/>
      <c r="F670" s="1960"/>
      <c r="G670" s="1960"/>
      <c r="V670" s="1960"/>
      <c r="W670" s="1960"/>
      <c r="X670" s="1919"/>
      <c r="Y670" s="1919"/>
      <c r="Z670" s="1919"/>
    </row>
    <row r="671" spans="1:26">
      <c r="A671" s="1919"/>
      <c r="B671" s="1960"/>
      <c r="C671" s="1960"/>
      <c r="D671" s="1960"/>
      <c r="E671" s="1960"/>
      <c r="F671" s="1960"/>
      <c r="G671" s="1960"/>
      <c r="V671" s="1960"/>
      <c r="W671" s="1960"/>
      <c r="X671" s="1919"/>
      <c r="Y671" s="1919"/>
      <c r="Z671" s="1919"/>
    </row>
    <row r="672" spans="1:26">
      <c r="A672" s="1919"/>
      <c r="B672" s="1960"/>
      <c r="C672" s="1960"/>
      <c r="D672" s="1960"/>
      <c r="E672" s="1960"/>
      <c r="F672" s="1960"/>
      <c r="G672" s="1960"/>
      <c r="V672" s="1960"/>
      <c r="W672" s="1960"/>
      <c r="X672" s="1919"/>
      <c r="Y672" s="1919"/>
      <c r="Z672" s="1919"/>
    </row>
    <row r="673" spans="1:26">
      <c r="A673" s="1919"/>
      <c r="B673" s="1960"/>
      <c r="C673" s="1960"/>
      <c r="D673" s="1960"/>
      <c r="E673" s="1960"/>
      <c r="F673" s="1960"/>
      <c r="G673" s="1960"/>
      <c r="V673" s="1960"/>
      <c r="W673" s="1960"/>
      <c r="X673" s="1919"/>
      <c r="Y673" s="1919"/>
      <c r="Z673" s="1919"/>
    </row>
    <row r="674" spans="1:26">
      <c r="A674" s="1919"/>
      <c r="B674" s="1960"/>
      <c r="C674" s="1960"/>
      <c r="D674" s="1960"/>
      <c r="E674" s="1960"/>
      <c r="F674" s="1960"/>
      <c r="G674" s="1960"/>
      <c r="V674" s="1960"/>
      <c r="W674" s="1960"/>
      <c r="X674" s="1919"/>
      <c r="Y674" s="1919"/>
      <c r="Z674" s="1919"/>
    </row>
    <row r="675" spans="1:26">
      <c r="A675" s="1919"/>
      <c r="B675" s="1960"/>
      <c r="C675" s="1960"/>
      <c r="D675" s="1960"/>
      <c r="E675" s="1960"/>
      <c r="F675" s="1960"/>
      <c r="G675" s="1960"/>
      <c r="V675" s="1960"/>
      <c r="W675" s="1960"/>
      <c r="X675" s="1919"/>
      <c r="Y675" s="1919"/>
      <c r="Z675" s="1919"/>
    </row>
    <row r="676" spans="1:26">
      <c r="A676" s="1919"/>
      <c r="B676" s="1960"/>
      <c r="C676" s="1960"/>
      <c r="D676" s="1960"/>
      <c r="E676" s="1960"/>
      <c r="F676" s="1960"/>
      <c r="G676" s="1960"/>
      <c r="V676" s="1960"/>
      <c r="W676" s="1960"/>
      <c r="X676" s="1919"/>
      <c r="Y676" s="1919"/>
      <c r="Z676" s="1919"/>
    </row>
    <row r="677" spans="1:26">
      <c r="A677" s="1919"/>
      <c r="B677" s="1960"/>
      <c r="C677" s="1960"/>
      <c r="D677" s="1960"/>
      <c r="E677" s="1960"/>
      <c r="F677" s="1960"/>
      <c r="G677" s="1960"/>
      <c r="V677" s="1960"/>
      <c r="W677" s="1960"/>
      <c r="X677" s="1919"/>
      <c r="Y677" s="1919"/>
      <c r="Z677" s="1919"/>
    </row>
    <row r="678" spans="1:26">
      <c r="A678" s="1919"/>
      <c r="B678" s="1960"/>
      <c r="C678" s="1960"/>
      <c r="D678" s="1960"/>
      <c r="E678" s="1960"/>
      <c r="F678" s="1960"/>
      <c r="G678" s="1960"/>
      <c r="V678" s="1960"/>
      <c r="W678" s="1960"/>
      <c r="X678" s="1919"/>
      <c r="Y678" s="1919"/>
      <c r="Z678" s="1919"/>
    </row>
    <row r="679" spans="1:26">
      <c r="A679" s="1919"/>
      <c r="B679" s="1960"/>
      <c r="C679" s="1960"/>
      <c r="D679" s="1960"/>
      <c r="E679" s="1960"/>
      <c r="F679" s="1960"/>
      <c r="G679" s="1960"/>
      <c r="V679" s="1960"/>
      <c r="W679" s="1960"/>
      <c r="X679" s="1919"/>
      <c r="Y679" s="1919"/>
      <c r="Z679" s="1919"/>
    </row>
    <row r="680" spans="1:26">
      <c r="A680" s="1919"/>
      <c r="B680" s="1960"/>
      <c r="C680" s="1960"/>
      <c r="D680" s="1960"/>
      <c r="E680" s="1960"/>
      <c r="F680" s="1960"/>
      <c r="G680" s="1960"/>
      <c r="V680" s="1960"/>
      <c r="W680" s="1960"/>
      <c r="X680" s="1919"/>
      <c r="Y680" s="1919"/>
      <c r="Z680" s="1919"/>
    </row>
    <row r="681" spans="1:26">
      <c r="A681" s="1919"/>
      <c r="B681" s="1960"/>
      <c r="C681" s="1960"/>
      <c r="D681" s="1960"/>
      <c r="E681" s="1960"/>
      <c r="F681" s="1960"/>
      <c r="G681" s="1960"/>
      <c r="V681" s="1960"/>
      <c r="W681" s="1960"/>
      <c r="X681" s="1919"/>
      <c r="Y681" s="1919"/>
      <c r="Z681" s="1919"/>
    </row>
    <row r="682" spans="1:26">
      <c r="A682" s="1919"/>
      <c r="B682" s="1960"/>
      <c r="C682" s="1960"/>
      <c r="D682" s="1960"/>
      <c r="E682" s="1960"/>
      <c r="F682" s="1960"/>
      <c r="G682" s="1960"/>
      <c r="V682" s="1960"/>
      <c r="W682" s="1960"/>
      <c r="X682" s="1919"/>
      <c r="Y682" s="1919"/>
      <c r="Z682" s="1919"/>
    </row>
    <row r="683" spans="1:26">
      <c r="A683" s="1919"/>
      <c r="B683" s="1960"/>
      <c r="C683" s="1960"/>
      <c r="D683" s="1960"/>
      <c r="E683" s="1960"/>
      <c r="F683" s="1960"/>
      <c r="G683" s="1960"/>
      <c r="V683" s="1960"/>
      <c r="W683" s="1960"/>
      <c r="X683" s="1919"/>
      <c r="Y683" s="1919"/>
      <c r="Z683" s="1919"/>
    </row>
    <row r="684" spans="1:26">
      <c r="A684" s="1919"/>
      <c r="B684" s="1960"/>
      <c r="C684" s="1960"/>
      <c r="D684" s="1960"/>
      <c r="E684" s="1960"/>
      <c r="F684" s="1960"/>
      <c r="G684" s="1960"/>
      <c r="V684" s="1960"/>
      <c r="W684" s="1960"/>
      <c r="X684" s="1919"/>
      <c r="Y684" s="1919"/>
      <c r="Z684" s="1919"/>
    </row>
    <row r="685" spans="1:26">
      <c r="A685" s="1919"/>
      <c r="B685" s="1960"/>
      <c r="C685" s="1960"/>
      <c r="D685" s="1960"/>
      <c r="E685" s="1960"/>
      <c r="F685" s="1960"/>
      <c r="G685" s="1960"/>
      <c r="V685" s="1960"/>
      <c r="W685" s="1960"/>
      <c r="X685" s="1919"/>
      <c r="Y685" s="1919"/>
      <c r="Z685" s="1919"/>
    </row>
    <row r="686" spans="1:26">
      <c r="A686" s="1919"/>
      <c r="B686" s="1960"/>
      <c r="C686" s="1960"/>
      <c r="D686" s="1960"/>
      <c r="E686" s="1960"/>
      <c r="F686" s="1960"/>
      <c r="G686" s="1960"/>
      <c r="V686" s="1960"/>
      <c r="W686" s="1960"/>
      <c r="X686" s="1919"/>
      <c r="Y686" s="1919"/>
      <c r="Z686" s="1919"/>
    </row>
    <row r="687" spans="1:26">
      <c r="A687" s="1919"/>
      <c r="B687" s="1960"/>
      <c r="C687" s="1960"/>
      <c r="D687" s="1960"/>
      <c r="E687" s="1960"/>
      <c r="F687" s="1960"/>
      <c r="G687" s="1960"/>
      <c r="V687" s="1960"/>
      <c r="W687" s="1960"/>
      <c r="X687" s="1919"/>
      <c r="Y687" s="1919"/>
      <c r="Z687" s="1919"/>
    </row>
    <row r="688" spans="1:26">
      <c r="A688" s="1919"/>
      <c r="B688" s="1960"/>
      <c r="C688" s="1960"/>
      <c r="D688" s="1960"/>
      <c r="E688" s="1960"/>
      <c r="F688" s="1960"/>
      <c r="G688" s="1960"/>
      <c r="V688" s="1960"/>
      <c r="W688" s="1960"/>
      <c r="X688" s="1919"/>
      <c r="Y688" s="1919"/>
      <c r="Z688" s="1919"/>
    </row>
    <row r="689" spans="1:26">
      <c r="A689" s="1919"/>
      <c r="B689" s="1960"/>
      <c r="C689" s="1960"/>
      <c r="D689" s="1960"/>
      <c r="E689" s="1960"/>
      <c r="F689" s="1960"/>
      <c r="G689" s="1960"/>
      <c r="V689" s="1960"/>
      <c r="W689" s="1960"/>
      <c r="X689" s="1919"/>
      <c r="Y689" s="1919"/>
      <c r="Z689" s="1919"/>
    </row>
    <row r="690" spans="1:26">
      <c r="A690" s="1919"/>
      <c r="B690" s="1960"/>
      <c r="C690" s="1960"/>
      <c r="D690" s="1960"/>
      <c r="E690" s="1960"/>
      <c r="F690" s="1960"/>
      <c r="G690" s="1960"/>
      <c r="V690" s="1960"/>
      <c r="W690" s="1960"/>
      <c r="X690" s="1919"/>
      <c r="Y690" s="1919"/>
      <c r="Z690" s="1919"/>
    </row>
    <row r="691" spans="1:26">
      <c r="A691" s="1919"/>
      <c r="B691" s="1960"/>
      <c r="C691" s="1960"/>
      <c r="D691" s="1960"/>
      <c r="E691" s="1960"/>
      <c r="F691" s="1960"/>
      <c r="G691" s="1960"/>
      <c r="V691" s="1960"/>
      <c r="W691" s="1960"/>
      <c r="X691" s="1919"/>
      <c r="Y691" s="1919"/>
      <c r="Z691" s="1919"/>
    </row>
    <row r="692" spans="1:26">
      <c r="A692" s="1919"/>
      <c r="B692" s="1960"/>
      <c r="C692" s="1960"/>
      <c r="D692" s="1960"/>
      <c r="E692" s="1960"/>
      <c r="F692" s="1960"/>
      <c r="G692" s="1960"/>
      <c r="V692" s="1960"/>
      <c r="W692" s="1960"/>
      <c r="X692" s="1919"/>
      <c r="Y692" s="1919"/>
      <c r="Z692" s="1919"/>
    </row>
    <row r="693" spans="1:26">
      <c r="A693" s="1919"/>
      <c r="B693" s="1960"/>
      <c r="C693" s="1960"/>
      <c r="D693" s="1960"/>
      <c r="E693" s="1960"/>
      <c r="F693" s="1960"/>
      <c r="G693" s="1960"/>
      <c r="V693" s="1960"/>
      <c r="W693" s="1960"/>
      <c r="X693" s="1919"/>
      <c r="Y693" s="1919"/>
      <c r="Z693" s="1919"/>
    </row>
    <row r="694" spans="1:26">
      <c r="A694" s="1919"/>
      <c r="B694" s="1960"/>
      <c r="C694" s="1960"/>
      <c r="D694" s="1960"/>
      <c r="E694" s="1960"/>
      <c r="F694" s="1960"/>
      <c r="G694" s="1960"/>
      <c r="V694" s="1960"/>
      <c r="W694" s="1960"/>
      <c r="X694" s="1919"/>
      <c r="Y694" s="1919"/>
      <c r="Z694" s="1919"/>
    </row>
    <row r="695" spans="1:26">
      <c r="A695" s="1919"/>
      <c r="B695" s="1960"/>
      <c r="C695" s="1960"/>
      <c r="D695" s="1960"/>
      <c r="E695" s="1960"/>
      <c r="F695" s="1960"/>
      <c r="G695" s="1960"/>
      <c r="V695" s="1960"/>
      <c r="W695" s="1960"/>
      <c r="X695" s="1919"/>
      <c r="Y695" s="1919"/>
      <c r="Z695" s="1919"/>
    </row>
    <row r="696" spans="1:26">
      <c r="A696" s="1919"/>
      <c r="B696" s="1960"/>
      <c r="C696" s="1960"/>
      <c r="D696" s="1960"/>
      <c r="E696" s="1960"/>
      <c r="F696" s="1960"/>
      <c r="G696" s="1960"/>
      <c r="V696" s="1960"/>
      <c r="W696" s="1960"/>
      <c r="X696" s="1919"/>
      <c r="Y696" s="1919"/>
      <c r="Z696" s="1919"/>
    </row>
    <row r="697" spans="1:26">
      <c r="A697" s="1919"/>
      <c r="B697" s="1960"/>
      <c r="C697" s="1960"/>
      <c r="D697" s="1960"/>
      <c r="E697" s="1960"/>
      <c r="F697" s="1960"/>
      <c r="G697" s="1960"/>
      <c r="V697" s="1960"/>
      <c r="W697" s="1960"/>
      <c r="X697" s="1919"/>
      <c r="Y697" s="1919"/>
      <c r="Z697" s="1919"/>
    </row>
    <row r="698" spans="1:26">
      <c r="A698" s="1919"/>
      <c r="B698" s="1960"/>
      <c r="C698" s="1960"/>
      <c r="D698" s="1960"/>
      <c r="E698" s="1960"/>
      <c r="F698" s="1960"/>
      <c r="G698" s="1960"/>
      <c r="V698" s="1960"/>
      <c r="W698" s="1960"/>
      <c r="X698" s="1919"/>
      <c r="Y698" s="1919"/>
      <c r="Z698" s="1919"/>
    </row>
    <row r="699" spans="1:26">
      <c r="A699" s="1919"/>
      <c r="B699" s="1960"/>
      <c r="C699" s="1960"/>
      <c r="D699" s="1960"/>
      <c r="E699" s="1960"/>
      <c r="F699" s="1960"/>
      <c r="G699" s="1960"/>
      <c r="V699" s="1960"/>
      <c r="W699" s="1960"/>
      <c r="X699" s="1919"/>
      <c r="Y699" s="1919"/>
      <c r="Z699" s="1919"/>
    </row>
    <row r="700" spans="1:26">
      <c r="A700" s="1919"/>
      <c r="B700" s="1960"/>
      <c r="C700" s="1960"/>
      <c r="D700" s="1960"/>
      <c r="E700" s="1960"/>
      <c r="F700" s="1960"/>
      <c r="G700" s="1960"/>
      <c r="V700" s="1960"/>
      <c r="W700" s="1960"/>
      <c r="X700" s="1919"/>
      <c r="Y700" s="1919"/>
      <c r="Z700" s="1919"/>
    </row>
    <row r="701" spans="1:26">
      <c r="A701" s="1919"/>
      <c r="B701" s="1960"/>
      <c r="C701" s="1960"/>
      <c r="D701" s="1960"/>
      <c r="E701" s="1960"/>
      <c r="F701" s="1960"/>
      <c r="G701" s="1960"/>
      <c r="V701" s="1960"/>
      <c r="W701" s="1960"/>
      <c r="X701" s="1919"/>
      <c r="Y701" s="1919"/>
      <c r="Z701" s="1919"/>
    </row>
    <row r="702" spans="1:26">
      <c r="A702" s="1919"/>
      <c r="B702" s="1960"/>
      <c r="C702" s="1960"/>
      <c r="D702" s="1960"/>
      <c r="E702" s="1960"/>
      <c r="F702" s="1960"/>
      <c r="G702" s="1960"/>
      <c r="V702" s="1960"/>
      <c r="W702" s="1960"/>
      <c r="X702" s="1919"/>
      <c r="Y702" s="1919"/>
      <c r="Z702" s="1919"/>
    </row>
    <row r="703" spans="1:26">
      <c r="A703" s="1919"/>
      <c r="B703" s="1960"/>
      <c r="C703" s="1960"/>
      <c r="D703" s="1960"/>
      <c r="E703" s="1960"/>
      <c r="F703" s="1960"/>
      <c r="G703" s="1960"/>
      <c r="V703" s="1960"/>
      <c r="W703" s="1960"/>
      <c r="X703" s="1919"/>
      <c r="Y703" s="1919"/>
      <c r="Z703" s="1919"/>
    </row>
    <row r="704" spans="1:26">
      <c r="A704" s="1919"/>
      <c r="B704" s="1960"/>
      <c r="C704" s="1960"/>
      <c r="D704" s="1960"/>
      <c r="E704" s="1960"/>
      <c r="F704" s="1960"/>
      <c r="G704" s="1960"/>
      <c r="V704" s="1960"/>
      <c r="W704" s="1960"/>
      <c r="X704" s="1919"/>
      <c r="Y704" s="1919"/>
      <c r="Z704" s="1919"/>
    </row>
    <row r="705" spans="1:26">
      <c r="A705" s="1919"/>
      <c r="B705" s="1960"/>
      <c r="C705" s="1960"/>
      <c r="D705" s="1960"/>
      <c r="E705" s="1960"/>
      <c r="F705" s="1960"/>
      <c r="G705" s="1960"/>
      <c r="V705" s="1960"/>
      <c r="W705" s="1960"/>
      <c r="X705" s="1919"/>
      <c r="Y705" s="1919"/>
      <c r="Z705" s="1919"/>
    </row>
    <row r="706" spans="1:26">
      <c r="A706" s="1919"/>
      <c r="B706" s="1960"/>
      <c r="C706" s="1960"/>
      <c r="D706" s="1960"/>
      <c r="E706" s="1960"/>
      <c r="F706" s="1960"/>
      <c r="G706" s="1960"/>
      <c r="V706" s="1960"/>
      <c r="W706" s="1960"/>
      <c r="X706" s="1919"/>
      <c r="Y706" s="1919"/>
      <c r="Z706" s="1919"/>
    </row>
    <row r="707" spans="1:26">
      <c r="A707" s="1919"/>
      <c r="B707" s="1960"/>
      <c r="C707" s="1960"/>
      <c r="D707" s="1960"/>
      <c r="E707" s="1960"/>
      <c r="F707" s="1960"/>
      <c r="G707" s="1960"/>
      <c r="V707" s="1960"/>
      <c r="W707" s="1960"/>
      <c r="X707" s="1919"/>
      <c r="Y707" s="1919"/>
      <c r="Z707" s="1919"/>
    </row>
    <row r="708" spans="1:26">
      <c r="A708" s="1919"/>
      <c r="B708" s="1960"/>
      <c r="C708" s="1960"/>
      <c r="D708" s="1960"/>
      <c r="E708" s="1960"/>
      <c r="F708" s="1960"/>
      <c r="G708" s="1960"/>
      <c r="V708" s="1960"/>
      <c r="W708" s="1960"/>
      <c r="X708" s="1919"/>
      <c r="Y708" s="1919"/>
      <c r="Z708" s="1919"/>
    </row>
    <row r="709" spans="1:26">
      <c r="A709" s="1919"/>
      <c r="B709" s="1960"/>
      <c r="C709" s="1960"/>
      <c r="D709" s="1960"/>
      <c r="E709" s="1960"/>
      <c r="F709" s="1960"/>
      <c r="G709" s="1960"/>
      <c r="V709" s="1960"/>
      <c r="W709" s="1960"/>
      <c r="X709" s="1919"/>
      <c r="Y709" s="1919"/>
      <c r="Z709" s="1919"/>
    </row>
    <row r="710" spans="1:26">
      <c r="A710" s="1919"/>
      <c r="B710" s="1960"/>
      <c r="C710" s="1960"/>
      <c r="D710" s="1960"/>
      <c r="E710" s="1960"/>
      <c r="F710" s="1960"/>
      <c r="G710" s="1960"/>
      <c r="V710" s="1960"/>
      <c r="W710" s="1960"/>
      <c r="X710" s="1919"/>
      <c r="Y710" s="1919"/>
      <c r="Z710" s="1919"/>
    </row>
    <row r="711" spans="1:26">
      <c r="A711" s="1919"/>
      <c r="B711" s="1960"/>
      <c r="C711" s="1960"/>
      <c r="D711" s="1960"/>
      <c r="E711" s="1960"/>
      <c r="F711" s="1960"/>
      <c r="G711" s="1960"/>
      <c r="V711" s="1960"/>
      <c r="W711" s="1960"/>
      <c r="X711" s="1919"/>
      <c r="Y711" s="1919"/>
      <c r="Z711" s="1919"/>
    </row>
    <row r="712" spans="1:26">
      <c r="A712" s="1919"/>
      <c r="B712" s="1960"/>
      <c r="C712" s="1960"/>
      <c r="D712" s="1960"/>
      <c r="E712" s="1960"/>
      <c r="F712" s="1960"/>
      <c r="G712" s="1960"/>
      <c r="V712" s="1960"/>
      <c r="W712" s="1960"/>
      <c r="X712" s="1919"/>
      <c r="Y712" s="1919"/>
      <c r="Z712" s="1919"/>
    </row>
    <row r="713" spans="1:26">
      <c r="A713" s="1919"/>
      <c r="B713" s="1960"/>
      <c r="C713" s="1960"/>
      <c r="D713" s="1960"/>
      <c r="E713" s="1960"/>
      <c r="F713" s="1960"/>
      <c r="G713" s="1960"/>
      <c r="V713" s="1960"/>
      <c r="W713" s="1960"/>
      <c r="X713" s="1919"/>
      <c r="Y713" s="1919"/>
      <c r="Z713" s="1919"/>
    </row>
    <row r="714" spans="1:26">
      <c r="A714" s="1919"/>
      <c r="B714" s="1960"/>
      <c r="C714" s="1960"/>
      <c r="D714" s="1960"/>
      <c r="E714" s="1960"/>
      <c r="F714" s="1960"/>
      <c r="G714" s="1960"/>
      <c r="V714" s="1960"/>
      <c r="W714" s="1960"/>
      <c r="X714" s="1919"/>
      <c r="Y714" s="1919"/>
      <c r="Z714" s="1919"/>
    </row>
    <row r="715" spans="1:26">
      <c r="A715" s="1919"/>
      <c r="B715" s="1960"/>
      <c r="C715" s="1960"/>
      <c r="D715" s="1960"/>
      <c r="E715" s="1960"/>
      <c r="F715" s="1960"/>
      <c r="G715" s="1960"/>
      <c r="V715" s="1960"/>
      <c r="W715" s="1960"/>
      <c r="X715" s="1919"/>
      <c r="Y715" s="1919"/>
      <c r="Z715" s="1919"/>
    </row>
    <row r="716" spans="1:26">
      <c r="A716" s="1919"/>
      <c r="B716" s="1960"/>
      <c r="C716" s="1960"/>
      <c r="D716" s="1960"/>
      <c r="E716" s="1960"/>
      <c r="F716" s="1960"/>
      <c r="G716" s="1960"/>
      <c r="V716" s="1960"/>
      <c r="W716" s="1960"/>
      <c r="X716" s="1919"/>
      <c r="Y716" s="1919"/>
      <c r="Z716" s="1919"/>
    </row>
    <row r="717" spans="1:26">
      <c r="A717" s="1919"/>
      <c r="B717" s="1960"/>
      <c r="C717" s="1960"/>
      <c r="D717" s="1960"/>
      <c r="E717" s="1960"/>
      <c r="F717" s="1960"/>
      <c r="G717" s="1960"/>
      <c r="V717" s="1960"/>
      <c r="W717" s="1960"/>
      <c r="X717" s="1919"/>
      <c r="Y717" s="1919"/>
      <c r="Z717" s="1919"/>
    </row>
    <row r="718" spans="1:26">
      <c r="A718" s="1919"/>
      <c r="B718" s="1960"/>
      <c r="C718" s="1960"/>
      <c r="D718" s="1960"/>
      <c r="E718" s="1960"/>
      <c r="F718" s="1960"/>
      <c r="G718" s="1960"/>
      <c r="V718" s="1960"/>
      <c r="W718" s="1960"/>
      <c r="X718" s="1919"/>
      <c r="Y718" s="1919"/>
      <c r="Z718" s="1919"/>
    </row>
    <row r="719" spans="1:26">
      <c r="A719" s="1919"/>
      <c r="B719" s="1960"/>
      <c r="C719" s="1960"/>
      <c r="D719" s="1960"/>
      <c r="E719" s="1960"/>
      <c r="F719" s="1960"/>
      <c r="G719" s="1960"/>
      <c r="V719" s="1960"/>
      <c r="W719" s="1960"/>
      <c r="X719" s="1919"/>
      <c r="Y719" s="1919"/>
      <c r="Z719" s="1919"/>
    </row>
    <row r="720" spans="1:26">
      <c r="A720" s="1919"/>
      <c r="B720" s="1960"/>
      <c r="C720" s="1960"/>
      <c r="D720" s="1960"/>
      <c r="E720" s="1960"/>
      <c r="F720" s="1960"/>
      <c r="G720" s="1960"/>
      <c r="V720" s="1960"/>
      <c r="W720" s="1960"/>
      <c r="X720" s="1919"/>
      <c r="Y720" s="1919"/>
      <c r="Z720" s="1919"/>
    </row>
    <row r="721" spans="1:26">
      <c r="A721" s="1919"/>
      <c r="B721" s="1960"/>
      <c r="C721" s="1960"/>
      <c r="D721" s="1960"/>
      <c r="E721" s="1960"/>
      <c r="F721" s="1960"/>
      <c r="G721" s="1960"/>
      <c r="V721" s="1960"/>
      <c r="W721" s="1960"/>
      <c r="X721" s="1919"/>
      <c r="Y721" s="1919"/>
      <c r="Z721" s="1919"/>
    </row>
    <row r="722" spans="1:26">
      <c r="A722" s="1919"/>
      <c r="B722" s="1960"/>
      <c r="C722" s="1960"/>
      <c r="D722" s="1960"/>
      <c r="E722" s="1960"/>
      <c r="F722" s="1960"/>
      <c r="G722" s="1960"/>
      <c r="V722" s="1960"/>
      <c r="W722" s="1960"/>
      <c r="X722" s="1919"/>
      <c r="Y722" s="1919"/>
      <c r="Z722" s="1919"/>
    </row>
    <row r="723" spans="1:26">
      <c r="A723" s="1919"/>
      <c r="B723" s="1960"/>
      <c r="C723" s="1960"/>
      <c r="D723" s="1960"/>
      <c r="E723" s="1960"/>
      <c r="F723" s="1960"/>
      <c r="G723" s="1960"/>
      <c r="V723" s="1960"/>
      <c r="W723" s="1960"/>
      <c r="X723" s="1919"/>
      <c r="Y723" s="1919"/>
      <c r="Z723" s="1919"/>
    </row>
    <row r="724" spans="1:26">
      <c r="A724" s="1919"/>
      <c r="B724" s="1960"/>
      <c r="C724" s="1960"/>
      <c r="D724" s="1960"/>
      <c r="E724" s="1960"/>
      <c r="F724" s="1960"/>
      <c r="G724" s="1960"/>
      <c r="V724" s="1960"/>
      <c r="W724" s="1960"/>
      <c r="X724" s="1919"/>
      <c r="Y724" s="1919"/>
      <c r="Z724" s="1919"/>
    </row>
    <row r="725" spans="1:26">
      <c r="A725" s="1919"/>
      <c r="B725" s="1960"/>
      <c r="C725" s="1960"/>
      <c r="D725" s="1960"/>
      <c r="E725" s="1960"/>
      <c r="F725" s="1960"/>
      <c r="G725" s="1960"/>
      <c r="V725" s="1960"/>
      <c r="W725" s="1960"/>
      <c r="X725" s="1919"/>
      <c r="Y725" s="1919"/>
      <c r="Z725" s="1919"/>
    </row>
    <row r="726" spans="1:26">
      <c r="A726" s="1919"/>
      <c r="B726" s="1960"/>
      <c r="C726" s="1960"/>
      <c r="D726" s="1960"/>
      <c r="E726" s="1960"/>
      <c r="F726" s="1960"/>
      <c r="G726" s="1960"/>
      <c r="V726" s="1960"/>
      <c r="W726" s="1960"/>
      <c r="X726" s="1919"/>
      <c r="Y726" s="1919"/>
      <c r="Z726" s="1919"/>
    </row>
    <row r="727" spans="1:26">
      <c r="A727" s="1919"/>
      <c r="B727" s="1960"/>
      <c r="C727" s="1960"/>
      <c r="D727" s="1960"/>
      <c r="E727" s="1960"/>
      <c r="F727" s="1960"/>
      <c r="G727" s="1960"/>
      <c r="V727" s="1960"/>
      <c r="W727" s="1960"/>
      <c r="X727" s="1919"/>
      <c r="Y727" s="1919"/>
      <c r="Z727" s="1919"/>
    </row>
    <row r="728" spans="1:26">
      <c r="A728" s="1919"/>
      <c r="B728" s="1960"/>
      <c r="C728" s="1960"/>
      <c r="D728" s="1960"/>
      <c r="E728" s="1960"/>
      <c r="F728" s="1960"/>
      <c r="G728" s="1960"/>
      <c r="V728" s="1960"/>
      <c r="W728" s="1960"/>
      <c r="X728" s="1919"/>
      <c r="Y728" s="1919"/>
      <c r="Z728" s="1919"/>
    </row>
    <row r="729" spans="1:26">
      <c r="A729" s="1919"/>
      <c r="B729" s="1960"/>
      <c r="C729" s="1960"/>
      <c r="D729" s="1960"/>
      <c r="E729" s="1960"/>
      <c r="F729" s="1960"/>
      <c r="G729" s="1960"/>
      <c r="V729" s="1960"/>
      <c r="W729" s="1960"/>
      <c r="X729" s="1919"/>
      <c r="Y729" s="1919"/>
      <c r="Z729" s="1919"/>
    </row>
    <row r="730" spans="1:26">
      <c r="A730" s="1919"/>
      <c r="B730" s="1960"/>
      <c r="C730" s="1960"/>
      <c r="D730" s="1960"/>
      <c r="E730" s="1960"/>
      <c r="F730" s="1960"/>
      <c r="G730" s="1960"/>
      <c r="V730" s="1960"/>
      <c r="W730" s="1960"/>
      <c r="X730" s="1919"/>
      <c r="Y730" s="1919"/>
      <c r="Z730" s="1919"/>
    </row>
    <row r="731" spans="1:26">
      <c r="A731" s="1919"/>
      <c r="B731" s="1960"/>
      <c r="C731" s="1960"/>
      <c r="D731" s="1960"/>
      <c r="E731" s="1960"/>
      <c r="F731" s="1960"/>
      <c r="G731" s="1960"/>
      <c r="V731" s="1960"/>
      <c r="W731" s="1960"/>
      <c r="X731" s="1919"/>
      <c r="Y731" s="1919"/>
      <c r="Z731" s="1919"/>
    </row>
    <row r="732" spans="1:26">
      <c r="A732" s="1919"/>
      <c r="B732" s="1960"/>
      <c r="C732" s="1960"/>
      <c r="D732" s="1960"/>
      <c r="E732" s="1960"/>
      <c r="F732" s="1960"/>
      <c r="G732" s="1960"/>
      <c r="V732" s="1960"/>
      <c r="W732" s="1960"/>
      <c r="X732" s="1919"/>
      <c r="Y732" s="1919"/>
      <c r="Z732" s="1919"/>
    </row>
    <row r="733" spans="1:26">
      <c r="A733" s="1919"/>
      <c r="B733" s="1960"/>
      <c r="C733" s="1960"/>
      <c r="D733" s="1960"/>
      <c r="E733" s="1960"/>
      <c r="F733" s="1960"/>
      <c r="G733" s="1960"/>
      <c r="V733" s="1960"/>
      <c r="W733" s="1960"/>
      <c r="X733" s="1919"/>
      <c r="Y733" s="1919"/>
      <c r="Z733" s="1919"/>
    </row>
    <row r="734" spans="1:26">
      <c r="A734" s="1919"/>
      <c r="B734" s="1960"/>
      <c r="C734" s="1960"/>
      <c r="D734" s="1960"/>
      <c r="E734" s="1960"/>
      <c r="F734" s="1960"/>
      <c r="G734" s="1960"/>
      <c r="V734" s="1960"/>
      <c r="W734" s="1960"/>
      <c r="X734" s="1919"/>
      <c r="Y734" s="1919"/>
      <c r="Z734" s="1919"/>
    </row>
    <row r="735" spans="1:26">
      <c r="A735" s="1919"/>
      <c r="B735" s="1960"/>
      <c r="C735" s="1960"/>
      <c r="D735" s="1960"/>
      <c r="E735" s="1960"/>
      <c r="F735" s="1960"/>
      <c r="G735" s="1960"/>
      <c r="V735" s="1960"/>
      <c r="W735" s="1960"/>
      <c r="X735" s="1919"/>
      <c r="Y735" s="1919"/>
      <c r="Z735" s="1919"/>
    </row>
    <row r="736" spans="1:26">
      <c r="A736" s="1919"/>
      <c r="B736" s="1960"/>
      <c r="C736" s="1960"/>
      <c r="D736" s="1960"/>
      <c r="E736" s="1960"/>
      <c r="F736" s="1960"/>
      <c r="G736" s="1960"/>
      <c r="V736" s="1960"/>
      <c r="W736" s="1960"/>
      <c r="X736" s="1919"/>
      <c r="Y736" s="1919"/>
      <c r="Z736" s="1919"/>
    </row>
    <row r="737" spans="1:26">
      <c r="A737" s="1919"/>
      <c r="B737" s="1960"/>
      <c r="C737" s="1960"/>
      <c r="D737" s="1960"/>
      <c r="E737" s="1960"/>
      <c r="F737" s="1960"/>
      <c r="G737" s="1960"/>
      <c r="V737" s="1960"/>
      <c r="W737" s="1960"/>
      <c r="X737" s="1919"/>
      <c r="Y737" s="1919"/>
      <c r="Z737" s="1919"/>
    </row>
    <row r="738" spans="1:26">
      <c r="A738" s="1919"/>
      <c r="B738" s="1960"/>
      <c r="C738" s="1960"/>
      <c r="D738" s="1960"/>
      <c r="E738" s="1960"/>
      <c r="F738" s="1960"/>
      <c r="G738" s="1960"/>
      <c r="V738" s="1960"/>
      <c r="W738" s="1960"/>
      <c r="X738" s="1919"/>
      <c r="Y738" s="1919"/>
      <c r="Z738" s="1919"/>
    </row>
    <row r="739" spans="1:26">
      <c r="A739" s="1919"/>
      <c r="B739" s="1960"/>
      <c r="C739" s="1960"/>
      <c r="D739" s="1960"/>
      <c r="E739" s="1960"/>
      <c r="F739" s="1960"/>
      <c r="G739" s="1960"/>
      <c r="V739" s="1960"/>
      <c r="W739" s="1960"/>
      <c r="X739" s="1919"/>
      <c r="Y739" s="1919"/>
      <c r="Z739" s="1919"/>
    </row>
    <row r="740" spans="1:26">
      <c r="A740" s="1919"/>
      <c r="B740" s="1960"/>
      <c r="C740" s="1960"/>
      <c r="D740" s="1960"/>
      <c r="E740" s="1960"/>
      <c r="F740" s="1960"/>
      <c r="G740" s="1960"/>
      <c r="V740" s="1960"/>
      <c r="W740" s="1960"/>
      <c r="X740" s="1919"/>
      <c r="Y740" s="1919"/>
      <c r="Z740" s="1919"/>
    </row>
    <row r="741" spans="1:26">
      <c r="A741" s="1919"/>
      <c r="B741" s="1960"/>
      <c r="C741" s="1960"/>
      <c r="D741" s="1960"/>
      <c r="E741" s="1960"/>
      <c r="F741" s="1960"/>
      <c r="G741" s="1960"/>
      <c r="V741" s="1960"/>
      <c r="W741" s="1960"/>
      <c r="X741" s="1919"/>
      <c r="Y741" s="1919"/>
      <c r="Z741" s="1919"/>
    </row>
    <row r="742" spans="1:26">
      <c r="A742" s="1919"/>
      <c r="B742" s="1960"/>
      <c r="C742" s="1960"/>
      <c r="D742" s="1960"/>
      <c r="E742" s="1960"/>
      <c r="F742" s="1960"/>
      <c r="G742" s="1960"/>
      <c r="V742" s="1960"/>
      <c r="W742" s="1960"/>
      <c r="X742" s="1919"/>
      <c r="Y742" s="1919"/>
      <c r="Z742" s="1919"/>
    </row>
    <row r="743" spans="1:26">
      <c r="A743" s="1919"/>
      <c r="B743" s="1960"/>
      <c r="C743" s="1960"/>
      <c r="D743" s="1960"/>
      <c r="E743" s="1960"/>
      <c r="F743" s="1960"/>
      <c r="G743" s="1960"/>
      <c r="V743" s="1960"/>
      <c r="W743" s="1960"/>
      <c r="X743" s="1919"/>
      <c r="Y743" s="1919"/>
      <c r="Z743" s="1919"/>
    </row>
    <row r="744" spans="1:26">
      <c r="A744" s="1919"/>
      <c r="B744" s="1960"/>
      <c r="C744" s="1960"/>
      <c r="D744" s="1960"/>
      <c r="E744" s="1960"/>
      <c r="F744" s="1960"/>
      <c r="G744" s="1960"/>
      <c r="V744" s="1960"/>
      <c r="W744" s="1960"/>
      <c r="X744" s="1919"/>
      <c r="Y744" s="1919"/>
      <c r="Z744" s="1919"/>
    </row>
    <row r="745" spans="1:26">
      <c r="A745" s="1919"/>
      <c r="B745" s="1960"/>
      <c r="C745" s="1960"/>
      <c r="D745" s="1960"/>
      <c r="E745" s="1960"/>
      <c r="F745" s="1960"/>
      <c r="G745" s="1960"/>
      <c r="V745" s="1960"/>
      <c r="W745" s="1960"/>
      <c r="X745" s="1919"/>
      <c r="Y745" s="1919"/>
      <c r="Z745" s="1919"/>
    </row>
    <row r="746" spans="1:26">
      <c r="A746" s="1919"/>
      <c r="B746" s="1960"/>
      <c r="C746" s="1960"/>
      <c r="D746" s="1960"/>
      <c r="E746" s="1960"/>
      <c r="F746" s="1960"/>
      <c r="G746" s="1960"/>
      <c r="V746" s="1960"/>
      <c r="W746" s="1960"/>
      <c r="X746" s="1919"/>
      <c r="Y746" s="1919"/>
      <c r="Z746" s="1919"/>
    </row>
    <row r="747" spans="1:26">
      <c r="A747" s="1919"/>
      <c r="B747" s="1960"/>
      <c r="C747" s="1960"/>
      <c r="D747" s="1960"/>
      <c r="E747" s="1960"/>
      <c r="F747" s="1960"/>
      <c r="G747" s="1960"/>
      <c r="V747" s="1960"/>
      <c r="W747" s="1960"/>
      <c r="X747" s="1919"/>
      <c r="Y747" s="1919"/>
      <c r="Z747" s="1919"/>
    </row>
    <row r="748" spans="1:26">
      <c r="A748" s="1919"/>
      <c r="B748" s="1960"/>
      <c r="C748" s="1960"/>
      <c r="D748" s="1960"/>
      <c r="E748" s="1960"/>
      <c r="F748" s="1960"/>
      <c r="G748" s="1960"/>
      <c r="V748" s="1960"/>
      <c r="W748" s="1960"/>
      <c r="X748" s="1919"/>
      <c r="Y748" s="1919"/>
      <c r="Z748" s="1919"/>
    </row>
    <row r="749" spans="1:26">
      <c r="A749" s="1919"/>
      <c r="B749" s="1960"/>
      <c r="C749" s="1960"/>
      <c r="D749" s="1960"/>
      <c r="E749" s="1960"/>
      <c r="F749" s="1960"/>
      <c r="G749" s="1960"/>
      <c r="V749" s="1960"/>
      <c r="W749" s="1960"/>
      <c r="X749" s="1919"/>
      <c r="Y749" s="1919"/>
      <c r="Z749" s="1919"/>
    </row>
    <row r="750" spans="1:26">
      <c r="A750" s="1919"/>
      <c r="B750" s="1960"/>
      <c r="C750" s="1960"/>
      <c r="D750" s="1960"/>
      <c r="E750" s="1960"/>
      <c r="F750" s="1960"/>
      <c r="G750" s="1960"/>
      <c r="V750" s="1960"/>
      <c r="W750" s="1960"/>
      <c r="X750" s="1919"/>
      <c r="Y750" s="1919"/>
      <c r="Z750" s="1919"/>
    </row>
    <row r="751" spans="1:26">
      <c r="A751" s="1919"/>
      <c r="B751" s="1960"/>
      <c r="C751" s="1960"/>
      <c r="D751" s="1960"/>
      <c r="E751" s="1960"/>
      <c r="F751" s="1960"/>
      <c r="G751" s="1960"/>
      <c r="V751" s="1960"/>
      <c r="W751" s="1960"/>
      <c r="X751" s="1919"/>
      <c r="Y751" s="1919"/>
      <c r="Z751" s="1919"/>
    </row>
    <row r="752" spans="1:26">
      <c r="A752" s="1919"/>
      <c r="B752" s="1960"/>
      <c r="C752" s="1960"/>
      <c r="D752" s="1960"/>
      <c r="E752" s="1960"/>
      <c r="F752" s="1960"/>
      <c r="G752" s="1960"/>
      <c r="V752" s="1960"/>
      <c r="W752" s="1960"/>
      <c r="X752" s="1919"/>
      <c r="Y752" s="1919"/>
      <c r="Z752" s="1919"/>
    </row>
    <row r="753" spans="1:26">
      <c r="A753" s="1919"/>
      <c r="B753" s="1960"/>
      <c r="C753" s="1960"/>
      <c r="D753" s="1960"/>
      <c r="E753" s="1960"/>
      <c r="F753" s="1960"/>
      <c r="G753" s="1960"/>
      <c r="V753" s="1960"/>
      <c r="W753" s="1960"/>
      <c r="X753" s="1919"/>
      <c r="Y753" s="1919"/>
      <c r="Z753" s="1919"/>
    </row>
    <row r="754" spans="1:26">
      <c r="A754" s="1919"/>
      <c r="B754" s="1960"/>
      <c r="C754" s="1960"/>
      <c r="D754" s="1960"/>
      <c r="E754" s="1960"/>
      <c r="F754" s="1960"/>
      <c r="G754" s="1960"/>
      <c r="V754" s="1960"/>
      <c r="W754" s="1960"/>
      <c r="X754" s="1919"/>
      <c r="Y754" s="1919"/>
      <c r="Z754" s="1919"/>
    </row>
    <row r="755" spans="1:26">
      <c r="A755" s="1919"/>
      <c r="B755" s="1960"/>
      <c r="C755" s="1960"/>
      <c r="D755" s="1960"/>
      <c r="E755" s="1960"/>
      <c r="F755" s="1960"/>
      <c r="G755" s="1960"/>
      <c r="V755" s="1960"/>
      <c r="W755" s="1960"/>
      <c r="X755" s="1919"/>
      <c r="Y755" s="1919"/>
      <c r="Z755" s="1919"/>
    </row>
    <row r="756" spans="1:26">
      <c r="A756" s="1919"/>
      <c r="B756" s="1960"/>
      <c r="C756" s="1960"/>
      <c r="D756" s="1960"/>
      <c r="E756" s="1960"/>
      <c r="F756" s="1960"/>
      <c r="G756" s="1960"/>
      <c r="V756" s="1960"/>
      <c r="W756" s="1960"/>
      <c r="X756" s="1919"/>
      <c r="Y756" s="1919"/>
      <c r="Z756" s="1919"/>
    </row>
    <row r="757" spans="1:26">
      <c r="A757" s="1919"/>
      <c r="B757" s="1960"/>
      <c r="C757" s="1960"/>
      <c r="D757" s="1960"/>
      <c r="E757" s="1960"/>
      <c r="F757" s="1960"/>
      <c r="G757" s="1960"/>
      <c r="V757" s="1960"/>
      <c r="W757" s="1960"/>
      <c r="X757" s="1919"/>
      <c r="Y757" s="1919"/>
      <c r="Z757" s="1919"/>
    </row>
    <row r="758" spans="1:26">
      <c r="A758" s="1919"/>
      <c r="B758" s="1960"/>
      <c r="C758" s="1960"/>
      <c r="D758" s="1960"/>
      <c r="E758" s="1960"/>
      <c r="F758" s="1960"/>
      <c r="G758" s="1960"/>
      <c r="V758" s="1960"/>
      <c r="W758" s="1960"/>
      <c r="X758" s="1919"/>
      <c r="Y758" s="1919"/>
      <c r="Z758" s="1919"/>
    </row>
    <row r="759" spans="1:26">
      <c r="A759" s="1919"/>
      <c r="B759" s="1960"/>
      <c r="C759" s="1960"/>
      <c r="D759" s="1960"/>
      <c r="E759" s="1960"/>
      <c r="F759" s="1960"/>
      <c r="G759" s="1960"/>
      <c r="V759" s="1960"/>
      <c r="W759" s="1960"/>
      <c r="X759" s="1919"/>
      <c r="Y759" s="1919"/>
      <c r="Z759" s="1919"/>
    </row>
    <row r="760" spans="1:26">
      <c r="A760" s="1919"/>
      <c r="B760" s="1960"/>
      <c r="C760" s="1960"/>
      <c r="D760" s="1960"/>
      <c r="E760" s="1960"/>
      <c r="F760" s="1960"/>
      <c r="G760" s="1960"/>
      <c r="V760" s="1960"/>
      <c r="W760" s="1960"/>
      <c r="X760" s="1919"/>
      <c r="Y760" s="1919"/>
      <c r="Z760" s="1919"/>
    </row>
    <row r="761" spans="1:26">
      <c r="A761" s="1919"/>
      <c r="B761" s="1960"/>
      <c r="C761" s="1960"/>
      <c r="D761" s="1960"/>
      <c r="E761" s="1960"/>
      <c r="F761" s="1960"/>
      <c r="G761" s="1960"/>
      <c r="V761" s="1960"/>
      <c r="W761" s="1960"/>
      <c r="X761" s="1919"/>
      <c r="Y761" s="1919"/>
      <c r="Z761" s="1919"/>
    </row>
    <row r="762" spans="1:26">
      <c r="A762" s="1919"/>
      <c r="B762" s="1960"/>
      <c r="C762" s="1960"/>
      <c r="D762" s="1960"/>
      <c r="E762" s="1960"/>
      <c r="F762" s="1960"/>
      <c r="G762" s="1960"/>
      <c r="V762" s="1960"/>
      <c r="W762" s="1960"/>
      <c r="X762" s="1919"/>
      <c r="Y762" s="1919"/>
      <c r="Z762" s="1919"/>
    </row>
    <row r="763" spans="1:26">
      <c r="A763" s="1919"/>
      <c r="B763" s="1960"/>
      <c r="C763" s="1960"/>
      <c r="D763" s="1960"/>
      <c r="E763" s="1960"/>
      <c r="F763" s="1960"/>
      <c r="G763" s="1960"/>
      <c r="V763" s="1960"/>
      <c r="W763" s="1960"/>
      <c r="X763" s="1919"/>
      <c r="Y763" s="1919"/>
      <c r="Z763" s="1919"/>
    </row>
    <row r="764" spans="1:26">
      <c r="A764" s="1919"/>
      <c r="B764" s="1960"/>
      <c r="C764" s="1960"/>
      <c r="D764" s="1960"/>
      <c r="E764" s="1960"/>
      <c r="F764" s="1960"/>
      <c r="G764" s="1960"/>
      <c r="V764" s="1960"/>
      <c r="W764" s="1960"/>
      <c r="X764" s="1919"/>
      <c r="Y764" s="1919"/>
      <c r="Z764" s="1919"/>
    </row>
    <row r="765" spans="1:26">
      <c r="A765" s="1919"/>
      <c r="B765" s="1960"/>
      <c r="C765" s="1960"/>
      <c r="D765" s="1960"/>
      <c r="E765" s="1960"/>
      <c r="F765" s="1960"/>
      <c r="G765" s="1960"/>
      <c r="V765" s="1960"/>
      <c r="W765" s="1960"/>
      <c r="X765" s="1919"/>
      <c r="Y765" s="1919"/>
      <c r="Z765" s="1919"/>
    </row>
    <row r="766" spans="1:26">
      <c r="A766" s="1919"/>
      <c r="B766" s="1960"/>
      <c r="C766" s="1960"/>
      <c r="D766" s="1960"/>
      <c r="E766" s="1960"/>
      <c r="F766" s="1960"/>
      <c r="G766" s="1960"/>
      <c r="V766" s="1960"/>
      <c r="W766" s="1960"/>
      <c r="X766" s="1919"/>
      <c r="Y766" s="1919"/>
      <c r="Z766" s="1919"/>
    </row>
    <row r="767" spans="1:26">
      <c r="A767" s="1919"/>
      <c r="B767" s="1960"/>
      <c r="C767" s="1960"/>
      <c r="D767" s="1960"/>
      <c r="E767" s="1960"/>
      <c r="F767" s="1960"/>
      <c r="G767" s="1960"/>
      <c r="V767" s="1960"/>
      <c r="W767" s="1960"/>
      <c r="X767" s="1919"/>
      <c r="Y767" s="1919"/>
      <c r="Z767" s="1919"/>
    </row>
    <row r="768" spans="1:26">
      <c r="A768" s="1919"/>
      <c r="B768" s="1960"/>
      <c r="C768" s="1960"/>
      <c r="D768" s="1960"/>
      <c r="E768" s="1960"/>
      <c r="F768" s="1960"/>
      <c r="G768" s="1960"/>
      <c r="V768" s="1960"/>
      <c r="W768" s="1960"/>
      <c r="X768" s="1919"/>
      <c r="Y768" s="1919"/>
      <c r="Z768" s="1919"/>
    </row>
    <row r="769" spans="1:26">
      <c r="A769" s="1919"/>
      <c r="B769" s="1960"/>
      <c r="C769" s="1960"/>
      <c r="D769" s="1960"/>
      <c r="E769" s="1960"/>
      <c r="F769" s="1960"/>
      <c r="G769" s="1960"/>
      <c r="V769" s="1960"/>
      <c r="W769" s="1960"/>
      <c r="X769" s="1919"/>
      <c r="Y769" s="1919"/>
      <c r="Z769" s="1919"/>
    </row>
    <row r="770" spans="1:26">
      <c r="A770" s="1919"/>
      <c r="B770" s="1960"/>
      <c r="C770" s="1960"/>
      <c r="D770" s="1960"/>
      <c r="E770" s="1960"/>
      <c r="F770" s="1960"/>
      <c r="G770" s="1960"/>
      <c r="V770" s="1960"/>
      <c r="W770" s="1960"/>
      <c r="X770" s="1919"/>
      <c r="Y770" s="1919"/>
      <c r="Z770" s="1919"/>
    </row>
    <row r="771" spans="1:26">
      <c r="A771" s="1919"/>
      <c r="B771" s="1960"/>
      <c r="C771" s="1960"/>
      <c r="D771" s="1960"/>
      <c r="E771" s="1960"/>
      <c r="F771" s="1960"/>
      <c r="G771" s="1960"/>
      <c r="V771" s="1960"/>
      <c r="W771" s="1960"/>
      <c r="X771" s="1919"/>
      <c r="Y771" s="1919"/>
      <c r="Z771" s="1919"/>
    </row>
    <row r="772" spans="1:26">
      <c r="A772" s="1919"/>
      <c r="B772" s="1960"/>
      <c r="C772" s="1960"/>
      <c r="D772" s="1960"/>
      <c r="E772" s="1960"/>
      <c r="F772" s="1960"/>
      <c r="G772" s="1960"/>
      <c r="V772" s="1960"/>
      <c r="W772" s="1960"/>
      <c r="X772" s="1919"/>
      <c r="Y772" s="1919"/>
      <c r="Z772" s="1919"/>
    </row>
    <row r="773" spans="1:26">
      <c r="A773" s="1919"/>
      <c r="B773" s="1960"/>
      <c r="C773" s="1960"/>
      <c r="D773" s="1960"/>
      <c r="E773" s="1960"/>
      <c r="F773" s="1960"/>
      <c r="G773" s="1960"/>
      <c r="V773" s="1960"/>
      <c r="W773" s="1960"/>
      <c r="X773" s="1919"/>
      <c r="Y773" s="1919"/>
      <c r="Z773" s="1919"/>
    </row>
    <row r="774" spans="1:26">
      <c r="A774" s="1919"/>
      <c r="B774" s="1960"/>
      <c r="C774" s="1960"/>
      <c r="D774" s="1960"/>
      <c r="E774" s="1960"/>
      <c r="F774" s="1960"/>
      <c r="G774" s="1960"/>
      <c r="V774" s="1960"/>
      <c r="W774" s="1960"/>
      <c r="X774" s="1919"/>
      <c r="Y774" s="1919"/>
      <c r="Z774" s="1919"/>
    </row>
    <row r="775" spans="1:26">
      <c r="A775" s="1919"/>
      <c r="B775" s="1960"/>
      <c r="C775" s="1960"/>
      <c r="D775" s="1960"/>
      <c r="E775" s="1960"/>
      <c r="F775" s="1960"/>
      <c r="G775" s="1960"/>
      <c r="V775" s="1960"/>
      <c r="W775" s="1960"/>
      <c r="X775" s="1919"/>
      <c r="Y775" s="1919"/>
      <c r="Z775" s="1919"/>
    </row>
    <row r="776" spans="1:26">
      <c r="A776" s="1919"/>
      <c r="B776" s="1960"/>
      <c r="C776" s="1960"/>
      <c r="D776" s="1960"/>
      <c r="E776" s="1960"/>
      <c r="F776" s="1960"/>
      <c r="G776" s="1960"/>
      <c r="V776" s="1960"/>
      <c r="W776" s="1960"/>
      <c r="X776" s="1919"/>
      <c r="Y776" s="1919"/>
      <c r="Z776" s="1919"/>
    </row>
    <row r="777" spans="1:26">
      <c r="A777" s="1919"/>
      <c r="B777" s="1960"/>
      <c r="C777" s="1960"/>
      <c r="D777" s="1960"/>
      <c r="E777" s="1960"/>
      <c r="F777" s="1960"/>
      <c r="G777" s="1960"/>
      <c r="V777" s="1960"/>
      <c r="W777" s="1960"/>
      <c r="X777" s="1919"/>
      <c r="Y777" s="1919"/>
      <c r="Z777" s="1919"/>
    </row>
    <row r="778" spans="1:26">
      <c r="A778" s="1919"/>
      <c r="B778" s="1960"/>
      <c r="C778" s="1960"/>
      <c r="D778" s="1960"/>
      <c r="E778" s="1960"/>
      <c r="F778" s="1960"/>
      <c r="G778" s="1960"/>
      <c r="V778" s="1960"/>
      <c r="W778" s="1960"/>
      <c r="X778" s="1919"/>
      <c r="Y778" s="1919"/>
      <c r="Z778" s="1919"/>
    </row>
    <row r="779" spans="1:26">
      <c r="A779" s="1919"/>
      <c r="B779" s="1960"/>
      <c r="C779" s="1960"/>
      <c r="D779" s="1960"/>
      <c r="E779" s="1960"/>
      <c r="F779" s="1960"/>
      <c r="G779" s="1960"/>
      <c r="V779" s="1960"/>
      <c r="W779" s="1960"/>
      <c r="X779" s="1919"/>
      <c r="Y779" s="1919"/>
      <c r="Z779" s="1919"/>
    </row>
    <row r="780" spans="1:26">
      <c r="A780" s="1919"/>
      <c r="B780" s="1960"/>
      <c r="C780" s="1960"/>
      <c r="D780" s="1960"/>
      <c r="E780" s="1960"/>
      <c r="F780" s="1960"/>
      <c r="G780" s="1960"/>
      <c r="V780" s="1960"/>
      <c r="W780" s="1960"/>
      <c r="X780" s="1919"/>
      <c r="Y780" s="1919"/>
      <c r="Z780" s="1919"/>
    </row>
    <row r="781" spans="1:26">
      <c r="A781" s="1919"/>
      <c r="B781" s="1960"/>
      <c r="C781" s="1960"/>
      <c r="D781" s="1960"/>
      <c r="E781" s="1960"/>
      <c r="F781" s="1960"/>
      <c r="G781" s="1960"/>
      <c r="V781" s="1960"/>
      <c r="W781" s="1960"/>
      <c r="X781" s="1919"/>
      <c r="Y781" s="1919"/>
      <c r="Z781" s="1919"/>
    </row>
    <row r="782" spans="1:26">
      <c r="A782" s="1919"/>
      <c r="B782" s="1960"/>
      <c r="C782" s="1960"/>
      <c r="D782" s="1960"/>
      <c r="E782" s="1960"/>
      <c r="F782" s="1960"/>
      <c r="G782" s="1960"/>
      <c r="V782" s="1960"/>
      <c r="W782" s="1960"/>
      <c r="X782" s="1919"/>
      <c r="Y782" s="1919"/>
      <c r="Z782" s="1919"/>
    </row>
    <row r="783" spans="1:26">
      <c r="A783" s="1919"/>
      <c r="B783" s="1960"/>
      <c r="C783" s="1960"/>
      <c r="D783" s="1960"/>
      <c r="E783" s="1960"/>
      <c r="F783" s="1960"/>
      <c r="G783" s="1960"/>
      <c r="V783" s="1960"/>
      <c r="W783" s="1960"/>
      <c r="X783" s="1919"/>
      <c r="Y783" s="1919"/>
      <c r="Z783" s="1919"/>
    </row>
    <row r="784" spans="1:26">
      <c r="A784" s="1919"/>
      <c r="B784" s="1960"/>
      <c r="C784" s="1960"/>
      <c r="D784" s="1960"/>
      <c r="E784" s="1960"/>
      <c r="F784" s="1960"/>
      <c r="G784" s="1960"/>
      <c r="V784" s="1960"/>
      <c r="W784" s="1960"/>
      <c r="X784" s="1919"/>
      <c r="Y784" s="1919"/>
      <c r="Z784" s="1919"/>
    </row>
    <row r="785" spans="1:26">
      <c r="A785" s="1919"/>
      <c r="B785" s="1960"/>
      <c r="C785" s="1960"/>
      <c r="D785" s="1960"/>
      <c r="E785" s="1960"/>
      <c r="F785" s="1960"/>
      <c r="G785" s="1960"/>
      <c r="V785" s="1960"/>
      <c r="W785" s="1960"/>
      <c r="X785" s="1919"/>
      <c r="Y785" s="1919"/>
      <c r="Z785" s="1919"/>
    </row>
    <row r="786" spans="1:26">
      <c r="A786" s="1919"/>
      <c r="B786" s="1960"/>
      <c r="C786" s="1960"/>
      <c r="D786" s="1960"/>
      <c r="E786" s="1960"/>
      <c r="F786" s="1960"/>
      <c r="G786" s="1960"/>
      <c r="V786" s="1960"/>
      <c r="W786" s="1960"/>
      <c r="X786" s="1919"/>
      <c r="Y786" s="1919"/>
      <c r="Z786" s="1919"/>
    </row>
    <row r="787" spans="1:26">
      <c r="A787" s="1919"/>
      <c r="B787" s="1960"/>
      <c r="C787" s="1960"/>
      <c r="D787" s="1960"/>
      <c r="E787" s="1960"/>
      <c r="F787" s="1960"/>
      <c r="G787" s="1960"/>
      <c r="V787" s="1960"/>
      <c r="W787" s="1960"/>
      <c r="X787" s="1919"/>
      <c r="Y787" s="1919"/>
      <c r="Z787" s="1919"/>
    </row>
    <row r="788" spans="1:26">
      <c r="A788" s="1919"/>
      <c r="B788" s="1960"/>
      <c r="C788" s="1960"/>
      <c r="D788" s="1960"/>
      <c r="E788" s="1960"/>
      <c r="F788" s="1960"/>
      <c r="G788" s="1960"/>
      <c r="V788" s="1960"/>
      <c r="W788" s="1960"/>
      <c r="X788" s="1919"/>
      <c r="Y788" s="1919"/>
      <c r="Z788" s="1919"/>
    </row>
    <row r="789" spans="1:26">
      <c r="A789" s="1919"/>
      <c r="B789" s="1960"/>
      <c r="C789" s="1960"/>
      <c r="D789" s="1960"/>
      <c r="E789" s="1960"/>
      <c r="F789" s="1960"/>
      <c r="G789" s="1960"/>
      <c r="V789" s="1960"/>
      <c r="W789" s="1960"/>
      <c r="X789" s="1919"/>
      <c r="Y789" s="1919"/>
      <c r="Z789" s="1919"/>
    </row>
    <row r="790" spans="1:26">
      <c r="A790" s="1919"/>
      <c r="B790" s="1960"/>
      <c r="C790" s="1960"/>
      <c r="D790" s="1960"/>
      <c r="E790" s="1960"/>
      <c r="F790" s="1960"/>
      <c r="G790" s="1960"/>
      <c r="V790" s="1960"/>
      <c r="W790" s="1960"/>
      <c r="X790" s="1919"/>
      <c r="Y790" s="1919"/>
      <c r="Z790" s="1919"/>
    </row>
    <row r="791" spans="1:26">
      <c r="A791" s="1919"/>
      <c r="B791" s="1960"/>
      <c r="C791" s="1960"/>
      <c r="D791" s="1960"/>
      <c r="E791" s="1960"/>
      <c r="F791" s="1960"/>
      <c r="G791" s="1960"/>
      <c r="V791" s="1960"/>
      <c r="W791" s="1960"/>
      <c r="X791" s="1919"/>
      <c r="Y791" s="1919"/>
      <c r="Z791" s="1919"/>
    </row>
    <row r="792" spans="1:26">
      <c r="A792" s="1919"/>
      <c r="B792" s="1960"/>
      <c r="C792" s="1960"/>
      <c r="D792" s="1960"/>
      <c r="E792" s="1960"/>
      <c r="F792" s="1960"/>
      <c r="G792" s="1960"/>
      <c r="V792" s="1960"/>
      <c r="W792" s="1960"/>
      <c r="X792" s="1919"/>
      <c r="Y792" s="1919"/>
      <c r="Z792" s="1919"/>
    </row>
    <row r="793" spans="1:26">
      <c r="A793" s="1919"/>
      <c r="B793" s="1960"/>
      <c r="C793" s="1960"/>
      <c r="D793" s="1960"/>
      <c r="E793" s="1960"/>
      <c r="F793" s="1960"/>
      <c r="G793" s="1960"/>
      <c r="V793" s="1960"/>
      <c r="W793" s="1960"/>
      <c r="X793" s="1919"/>
      <c r="Y793" s="1919"/>
      <c r="Z793" s="1919"/>
    </row>
    <row r="794" spans="1:26">
      <c r="A794" s="1919"/>
      <c r="B794" s="1960"/>
      <c r="C794" s="1960"/>
      <c r="D794" s="1960"/>
      <c r="E794" s="1960"/>
      <c r="F794" s="1960"/>
      <c r="G794" s="1960"/>
      <c r="V794" s="1960"/>
      <c r="W794" s="1960"/>
      <c r="X794" s="1919"/>
      <c r="Y794" s="1919"/>
      <c r="Z794" s="1919"/>
    </row>
    <row r="795" spans="1:26">
      <c r="A795" s="1919"/>
      <c r="B795" s="1960"/>
      <c r="C795" s="1960"/>
      <c r="D795" s="1960"/>
      <c r="E795" s="1960"/>
      <c r="F795" s="1960"/>
      <c r="G795" s="1960"/>
      <c r="V795" s="1960"/>
      <c r="W795" s="1960"/>
      <c r="X795" s="1919"/>
      <c r="Y795" s="1919"/>
      <c r="Z795" s="1919"/>
    </row>
    <row r="796" spans="1:26">
      <c r="A796" s="1919"/>
      <c r="B796" s="1960"/>
      <c r="C796" s="1960"/>
      <c r="D796" s="1960"/>
      <c r="E796" s="1960"/>
      <c r="F796" s="1960"/>
      <c r="G796" s="1960"/>
      <c r="V796" s="1960"/>
      <c r="W796" s="1960"/>
      <c r="X796" s="1919"/>
      <c r="Y796" s="1919"/>
      <c r="Z796" s="1919"/>
    </row>
    <row r="797" spans="1:26">
      <c r="A797" s="1919"/>
      <c r="B797" s="1960"/>
      <c r="C797" s="1960"/>
      <c r="D797" s="1960"/>
      <c r="E797" s="1960"/>
      <c r="F797" s="1960"/>
      <c r="G797" s="1960"/>
      <c r="V797" s="1960"/>
      <c r="W797" s="1960"/>
      <c r="X797" s="1919"/>
      <c r="Y797" s="1919"/>
      <c r="Z797" s="1919"/>
    </row>
    <row r="798" spans="1:26">
      <c r="A798" s="1919"/>
      <c r="B798" s="1960"/>
      <c r="C798" s="1960"/>
      <c r="D798" s="1960"/>
      <c r="E798" s="1960"/>
      <c r="F798" s="1960"/>
      <c r="G798" s="1960"/>
      <c r="V798" s="1960"/>
      <c r="W798" s="1960"/>
      <c r="X798" s="1919"/>
      <c r="Y798" s="1919"/>
      <c r="Z798" s="1919"/>
    </row>
    <row r="799" spans="1:26">
      <c r="A799" s="1919"/>
      <c r="B799" s="1960"/>
      <c r="C799" s="1960"/>
      <c r="D799" s="1960"/>
      <c r="E799" s="1960"/>
      <c r="F799" s="1960"/>
      <c r="G799" s="1960"/>
      <c r="V799" s="1960"/>
      <c r="W799" s="1960"/>
      <c r="X799" s="1919"/>
      <c r="Y799" s="1919"/>
      <c r="Z799" s="1919"/>
    </row>
    <row r="800" spans="1:26">
      <c r="A800" s="1919"/>
      <c r="B800" s="1960"/>
      <c r="C800" s="1960"/>
      <c r="D800" s="1960"/>
      <c r="E800" s="1960"/>
      <c r="F800" s="1960"/>
      <c r="G800" s="1960"/>
      <c r="V800" s="1960"/>
      <c r="W800" s="1960"/>
      <c r="X800" s="1919"/>
      <c r="Y800" s="1919"/>
      <c r="Z800" s="1919"/>
    </row>
    <row r="801" spans="1:26">
      <c r="A801" s="1919"/>
      <c r="B801" s="1960"/>
      <c r="C801" s="1960"/>
      <c r="D801" s="1960"/>
      <c r="E801" s="1960"/>
      <c r="F801" s="1960"/>
      <c r="G801" s="1960"/>
      <c r="V801" s="1960"/>
      <c r="W801" s="1960"/>
      <c r="X801" s="1919"/>
      <c r="Y801" s="1919"/>
      <c r="Z801" s="1919"/>
    </row>
    <row r="802" spans="1:26">
      <c r="A802" s="1919"/>
      <c r="B802" s="1960"/>
      <c r="C802" s="1960"/>
      <c r="D802" s="1960"/>
      <c r="E802" s="1960"/>
      <c r="F802" s="1960"/>
      <c r="G802" s="1960"/>
      <c r="V802" s="1960"/>
      <c r="W802" s="1960"/>
      <c r="X802" s="1919"/>
      <c r="Y802" s="1919"/>
      <c r="Z802" s="1919"/>
    </row>
    <row r="803" spans="1:26">
      <c r="A803" s="1919"/>
      <c r="B803" s="1960"/>
      <c r="C803" s="1960"/>
      <c r="D803" s="1960"/>
      <c r="E803" s="1960"/>
      <c r="F803" s="1960"/>
      <c r="G803" s="1960"/>
      <c r="V803" s="1960"/>
      <c r="W803" s="1960"/>
      <c r="X803" s="1919"/>
      <c r="Y803" s="1919"/>
      <c r="Z803" s="1919"/>
    </row>
    <row r="804" spans="1:26">
      <c r="A804" s="1919"/>
      <c r="B804" s="1960"/>
      <c r="C804" s="1960"/>
      <c r="D804" s="1960"/>
      <c r="E804" s="1960"/>
      <c r="F804" s="1960"/>
      <c r="G804" s="1960"/>
      <c r="V804" s="1960"/>
      <c r="W804" s="1960"/>
      <c r="X804" s="1919"/>
      <c r="Y804" s="1919"/>
      <c r="Z804" s="1919"/>
    </row>
    <row r="805" spans="1:26">
      <c r="A805" s="1919"/>
      <c r="B805" s="1960"/>
      <c r="C805" s="1960"/>
      <c r="D805" s="1960"/>
      <c r="E805" s="1960"/>
      <c r="F805" s="1960"/>
      <c r="G805" s="1960"/>
      <c r="V805" s="1960"/>
      <c r="W805" s="1960"/>
      <c r="X805" s="1919"/>
      <c r="Y805" s="1919"/>
      <c r="Z805" s="1919"/>
    </row>
    <row r="806" spans="1:26">
      <c r="A806" s="1919"/>
      <c r="B806" s="1960"/>
      <c r="C806" s="1960"/>
      <c r="D806" s="1960"/>
      <c r="E806" s="1960"/>
      <c r="F806" s="1960"/>
      <c r="G806" s="1960"/>
      <c r="V806" s="1960"/>
      <c r="W806" s="1960"/>
      <c r="X806" s="1919"/>
      <c r="Y806" s="1919"/>
      <c r="Z806" s="1919"/>
    </row>
    <row r="807" spans="1:26">
      <c r="A807" s="1919"/>
      <c r="B807" s="1960"/>
      <c r="C807" s="1960"/>
      <c r="D807" s="1960"/>
      <c r="E807" s="1960"/>
      <c r="F807" s="1960"/>
      <c r="G807" s="1960"/>
      <c r="V807" s="1960"/>
      <c r="W807" s="1960"/>
      <c r="X807" s="1919"/>
      <c r="Y807" s="1919"/>
      <c r="Z807" s="1919"/>
    </row>
    <row r="808" spans="1:26">
      <c r="A808" s="1919"/>
      <c r="B808" s="1960"/>
      <c r="C808" s="1960"/>
      <c r="D808" s="1960"/>
      <c r="E808" s="1960"/>
      <c r="F808" s="1960"/>
      <c r="G808" s="1960"/>
      <c r="V808" s="1960"/>
      <c r="W808" s="1960"/>
      <c r="X808" s="1919"/>
      <c r="Y808" s="1919"/>
      <c r="Z808" s="1919"/>
    </row>
    <row r="809" spans="1:26">
      <c r="A809" s="1919"/>
      <c r="B809" s="1960"/>
      <c r="C809" s="1960"/>
      <c r="D809" s="1960"/>
      <c r="E809" s="1960"/>
      <c r="F809" s="1960"/>
      <c r="G809" s="1960"/>
      <c r="V809" s="1960"/>
      <c r="W809" s="1960"/>
      <c r="X809" s="1919"/>
      <c r="Y809" s="1919"/>
      <c r="Z809" s="1919"/>
    </row>
    <row r="810" spans="1:26">
      <c r="A810" s="1919"/>
      <c r="B810" s="1960"/>
      <c r="C810" s="1960"/>
      <c r="D810" s="1960"/>
      <c r="E810" s="1960"/>
      <c r="F810" s="1960"/>
      <c r="G810" s="1960"/>
      <c r="V810" s="1960"/>
      <c r="W810" s="1960"/>
      <c r="X810" s="1919"/>
      <c r="Y810" s="1919"/>
      <c r="Z810" s="1919"/>
    </row>
    <row r="811" spans="1:26">
      <c r="A811" s="1919"/>
      <c r="B811" s="1960"/>
      <c r="C811" s="1960"/>
      <c r="D811" s="1960"/>
      <c r="E811" s="1960"/>
      <c r="F811" s="1960"/>
      <c r="G811" s="1960"/>
      <c r="V811" s="1960"/>
      <c r="W811" s="1960"/>
      <c r="X811" s="1919"/>
      <c r="Y811" s="1919"/>
      <c r="Z811" s="1919"/>
    </row>
    <row r="812" spans="1:26">
      <c r="A812" s="1919"/>
      <c r="B812" s="1960"/>
      <c r="C812" s="1960"/>
      <c r="D812" s="1960"/>
      <c r="E812" s="1960"/>
      <c r="F812" s="1960"/>
      <c r="G812" s="1960"/>
      <c r="V812" s="1960"/>
      <c r="W812" s="1960"/>
      <c r="X812" s="1919"/>
      <c r="Y812" s="1919"/>
      <c r="Z812" s="1919"/>
    </row>
    <row r="813" spans="1:26">
      <c r="A813" s="1919"/>
      <c r="B813" s="1960"/>
      <c r="C813" s="1960"/>
      <c r="D813" s="1960"/>
      <c r="E813" s="1960"/>
      <c r="F813" s="1960"/>
      <c r="G813" s="1960"/>
      <c r="V813" s="1960"/>
      <c r="W813" s="1960"/>
      <c r="X813" s="1919"/>
      <c r="Y813" s="1919"/>
      <c r="Z813" s="1919"/>
    </row>
    <row r="814" spans="1:26">
      <c r="A814" s="1919"/>
      <c r="B814" s="1960"/>
      <c r="C814" s="1960"/>
      <c r="D814" s="1960"/>
      <c r="E814" s="1960"/>
      <c r="F814" s="1960"/>
      <c r="G814" s="1960"/>
      <c r="V814" s="1960"/>
      <c r="W814" s="1960"/>
      <c r="X814" s="1919"/>
      <c r="Y814" s="1919"/>
      <c r="Z814" s="1919"/>
    </row>
    <row r="815" spans="1:26">
      <c r="A815" s="1919"/>
      <c r="B815" s="1960"/>
      <c r="C815" s="1960"/>
      <c r="D815" s="1960"/>
      <c r="E815" s="1960"/>
      <c r="F815" s="1960"/>
      <c r="G815" s="1960"/>
      <c r="V815" s="1960"/>
      <c r="W815" s="1960"/>
      <c r="X815" s="1919"/>
      <c r="Y815" s="1919"/>
      <c r="Z815" s="1919"/>
    </row>
    <row r="816" spans="1:26">
      <c r="A816" s="1919"/>
      <c r="B816" s="1960"/>
      <c r="C816" s="1960"/>
      <c r="D816" s="1960"/>
      <c r="E816" s="1960"/>
      <c r="F816" s="1960"/>
      <c r="G816" s="1960"/>
      <c r="V816" s="1960"/>
      <c r="W816" s="1960"/>
      <c r="X816" s="1919"/>
      <c r="Y816" s="1919"/>
      <c r="Z816" s="1919"/>
    </row>
    <row r="817" spans="1:26">
      <c r="A817" s="1919"/>
      <c r="B817" s="1960"/>
      <c r="C817" s="1960"/>
      <c r="D817" s="1960"/>
      <c r="E817" s="1960"/>
      <c r="F817" s="1960"/>
      <c r="G817" s="1960"/>
      <c r="V817" s="1960"/>
      <c r="W817" s="1960"/>
      <c r="X817" s="1919"/>
      <c r="Y817" s="1919"/>
      <c r="Z817" s="1919"/>
    </row>
    <row r="818" spans="1:26">
      <c r="A818" s="1919"/>
      <c r="B818" s="1960"/>
      <c r="C818" s="1960"/>
      <c r="D818" s="1960"/>
      <c r="E818" s="1960"/>
      <c r="F818" s="1960"/>
      <c r="G818" s="1960"/>
      <c r="V818" s="1960"/>
      <c r="W818" s="1960"/>
      <c r="X818" s="1919"/>
      <c r="Y818" s="1919"/>
      <c r="Z818" s="1919"/>
    </row>
    <row r="819" spans="1:26">
      <c r="A819" s="1919"/>
      <c r="B819" s="1960"/>
      <c r="C819" s="1960"/>
      <c r="D819" s="1960"/>
      <c r="E819" s="1960"/>
      <c r="F819" s="1960"/>
      <c r="G819" s="1960"/>
      <c r="V819" s="1960"/>
      <c r="W819" s="1960"/>
      <c r="X819" s="1919"/>
      <c r="Y819" s="1919"/>
      <c r="Z819" s="1919"/>
    </row>
    <row r="820" spans="1:26">
      <c r="A820" s="1919"/>
      <c r="B820" s="1960"/>
      <c r="C820" s="1960"/>
      <c r="D820" s="1960"/>
      <c r="E820" s="1960"/>
      <c r="F820" s="1960"/>
      <c r="G820" s="1960"/>
      <c r="V820" s="1960"/>
      <c r="W820" s="1960"/>
      <c r="X820" s="1919"/>
      <c r="Y820" s="1919"/>
      <c r="Z820" s="1919"/>
    </row>
    <row r="821" spans="1:26">
      <c r="A821" s="1919"/>
      <c r="B821" s="1960"/>
      <c r="C821" s="1960"/>
      <c r="D821" s="1960"/>
      <c r="E821" s="1960"/>
      <c r="F821" s="1960"/>
      <c r="G821" s="1960"/>
      <c r="V821" s="1960"/>
      <c r="W821" s="1960"/>
      <c r="X821" s="1919"/>
      <c r="Y821" s="1919"/>
      <c r="Z821" s="1919"/>
    </row>
    <row r="822" spans="1:26">
      <c r="A822" s="1919"/>
      <c r="B822" s="1960"/>
      <c r="C822" s="1960"/>
      <c r="D822" s="1960"/>
      <c r="E822" s="1960"/>
      <c r="F822" s="1960"/>
      <c r="G822" s="1960"/>
      <c r="V822" s="1960"/>
      <c r="W822" s="1960"/>
      <c r="X822" s="1919"/>
      <c r="Y822" s="1919"/>
      <c r="Z822" s="1919"/>
    </row>
    <row r="823" spans="1:26">
      <c r="A823" s="1919"/>
      <c r="B823" s="1960"/>
      <c r="C823" s="1960"/>
      <c r="D823" s="1960"/>
      <c r="E823" s="1960"/>
      <c r="F823" s="1960"/>
      <c r="G823" s="1960"/>
      <c r="V823" s="1960"/>
      <c r="W823" s="1960"/>
      <c r="X823" s="1919"/>
      <c r="Y823" s="1919"/>
      <c r="Z823" s="1919"/>
    </row>
    <row r="824" spans="1:26">
      <c r="A824" s="1919"/>
      <c r="B824" s="1960"/>
      <c r="C824" s="1960"/>
      <c r="D824" s="1960"/>
      <c r="E824" s="1960"/>
      <c r="F824" s="1960"/>
      <c r="G824" s="1960"/>
      <c r="V824" s="1960"/>
      <c r="W824" s="1960"/>
      <c r="X824" s="1919"/>
      <c r="Y824" s="1919"/>
      <c r="Z824" s="1919"/>
    </row>
    <row r="825" spans="1:26">
      <c r="A825" s="1919"/>
      <c r="B825" s="1960"/>
      <c r="C825" s="1960"/>
      <c r="D825" s="1960"/>
      <c r="E825" s="1960"/>
      <c r="F825" s="1960"/>
      <c r="G825" s="1960"/>
      <c r="V825" s="1960"/>
      <c r="W825" s="1960"/>
      <c r="X825" s="1919"/>
      <c r="Y825" s="1919"/>
      <c r="Z825" s="1919"/>
    </row>
    <row r="826" spans="1:26">
      <c r="A826" s="1919"/>
      <c r="B826" s="1960"/>
      <c r="C826" s="1960"/>
      <c r="D826" s="1960"/>
      <c r="E826" s="1960"/>
      <c r="F826" s="1960"/>
      <c r="G826" s="1960"/>
      <c r="V826" s="1960"/>
      <c r="W826" s="1960"/>
      <c r="X826" s="1919"/>
      <c r="Y826" s="1919"/>
      <c r="Z826" s="1919"/>
    </row>
    <row r="827" spans="1:26">
      <c r="A827" s="1919"/>
      <c r="B827" s="1960"/>
      <c r="C827" s="1960"/>
      <c r="D827" s="1960"/>
      <c r="E827" s="1960"/>
      <c r="F827" s="1960"/>
      <c r="G827" s="1960"/>
      <c r="V827" s="1960"/>
      <c r="W827" s="1960"/>
      <c r="X827" s="1919"/>
      <c r="Y827" s="1919"/>
      <c r="Z827" s="1919"/>
    </row>
    <row r="828" spans="1:26">
      <c r="A828" s="1919"/>
      <c r="B828" s="1960"/>
      <c r="C828" s="1960"/>
      <c r="D828" s="1960"/>
      <c r="E828" s="1960"/>
      <c r="F828" s="1960"/>
      <c r="G828" s="1960"/>
      <c r="V828" s="1960"/>
      <c r="W828" s="1960"/>
      <c r="X828" s="1919"/>
      <c r="Y828" s="1919"/>
      <c r="Z828" s="1919"/>
    </row>
    <row r="829" spans="1:26">
      <c r="A829" s="1919"/>
      <c r="B829" s="1960"/>
      <c r="C829" s="1960"/>
      <c r="D829" s="1960"/>
      <c r="E829" s="1960"/>
      <c r="F829" s="1960"/>
      <c r="G829" s="1960"/>
      <c r="V829" s="1960"/>
      <c r="W829" s="1960"/>
      <c r="X829" s="1919"/>
      <c r="Y829" s="1919"/>
      <c r="Z829" s="1919"/>
    </row>
    <row r="830" spans="1:26">
      <c r="A830" s="1919"/>
      <c r="B830" s="1960"/>
      <c r="C830" s="1960"/>
      <c r="D830" s="1960"/>
      <c r="E830" s="1960"/>
      <c r="F830" s="1960"/>
      <c r="G830" s="1960"/>
      <c r="V830" s="1960"/>
      <c r="W830" s="1960"/>
      <c r="X830" s="1919"/>
      <c r="Y830" s="1919"/>
      <c r="Z830" s="1919"/>
    </row>
    <row r="831" spans="1:26">
      <c r="A831" s="1919"/>
      <c r="B831" s="1960"/>
      <c r="C831" s="1960"/>
      <c r="D831" s="1960"/>
      <c r="E831" s="1960"/>
      <c r="F831" s="1960"/>
      <c r="G831" s="1960"/>
      <c r="V831" s="1960"/>
      <c r="W831" s="1960"/>
      <c r="X831" s="1919"/>
      <c r="Y831" s="1919"/>
      <c r="Z831" s="1919"/>
    </row>
    <row r="832" spans="1:26">
      <c r="A832" s="1919"/>
      <c r="B832" s="1960"/>
      <c r="C832" s="1960"/>
      <c r="D832" s="1960"/>
      <c r="E832" s="1960"/>
      <c r="F832" s="1960"/>
      <c r="G832" s="1960"/>
      <c r="V832" s="1960"/>
      <c r="W832" s="1960"/>
      <c r="X832" s="1919"/>
      <c r="Y832" s="1919"/>
      <c r="Z832" s="1919"/>
    </row>
    <row r="833" spans="1:26">
      <c r="A833" s="1919"/>
      <c r="B833" s="1960"/>
      <c r="C833" s="1960"/>
      <c r="D833" s="1960"/>
      <c r="E833" s="1960"/>
      <c r="F833" s="1960"/>
      <c r="G833" s="1960"/>
      <c r="V833" s="1960"/>
      <c r="W833" s="1960"/>
      <c r="X833" s="1919"/>
      <c r="Y833" s="1919"/>
      <c r="Z833" s="1919"/>
    </row>
    <row r="834" spans="1:26">
      <c r="A834" s="1919"/>
      <c r="B834" s="1960"/>
      <c r="C834" s="1960"/>
      <c r="D834" s="1960"/>
      <c r="E834" s="1960"/>
      <c r="F834" s="1960"/>
      <c r="G834" s="1960"/>
      <c r="V834" s="1960"/>
      <c r="W834" s="1960"/>
      <c r="X834" s="1919"/>
      <c r="Y834" s="1919"/>
      <c r="Z834" s="1919"/>
    </row>
    <row r="835" spans="1:26">
      <c r="A835" s="1919"/>
      <c r="B835" s="1960"/>
      <c r="C835" s="1960"/>
      <c r="D835" s="1960"/>
      <c r="E835" s="1960"/>
      <c r="F835" s="1960"/>
      <c r="G835" s="1960"/>
      <c r="V835" s="1960"/>
      <c r="W835" s="1960"/>
      <c r="X835" s="1919"/>
      <c r="Y835" s="1919"/>
      <c r="Z835" s="1919"/>
    </row>
    <row r="836" spans="1:26">
      <c r="A836" s="1919"/>
      <c r="B836" s="1960"/>
      <c r="C836" s="1960"/>
      <c r="D836" s="1960"/>
      <c r="E836" s="1960"/>
      <c r="F836" s="1960"/>
      <c r="G836" s="1960"/>
      <c r="V836" s="1960"/>
      <c r="W836" s="1960"/>
      <c r="X836" s="1919"/>
      <c r="Y836" s="1919"/>
      <c r="Z836" s="1919"/>
    </row>
    <row r="837" spans="1:26">
      <c r="A837" s="1919"/>
      <c r="B837" s="1960"/>
      <c r="C837" s="1960"/>
      <c r="D837" s="1960"/>
      <c r="E837" s="1960"/>
      <c r="F837" s="1960"/>
      <c r="G837" s="1960"/>
      <c r="V837" s="1960"/>
      <c r="W837" s="1960"/>
      <c r="X837" s="1919"/>
      <c r="Y837" s="1919"/>
      <c r="Z837" s="1919"/>
    </row>
    <row r="838" spans="1:26">
      <c r="A838" s="1919"/>
      <c r="B838" s="1960"/>
      <c r="C838" s="1960"/>
      <c r="D838" s="1960"/>
      <c r="E838" s="1960"/>
      <c r="F838" s="1960"/>
      <c r="G838" s="1960"/>
      <c r="V838" s="1960"/>
      <c r="W838" s="1960"/>
      <c r="X838" s="1919"/>
      <c r="Y838" s="1919"/>
      <c r="Z838" s="1919"/>
    </row>
    <row r="839" spans="1:26">
      <c r="A839" s="1919"/>
      <c r="B839" s="1960"/>
      <c r="C839" s="1960"/>
      <c r="D839" s="1960"/>
      <c r="E839" s="1960"/>
      <c r="F839" s="1960"/>
      <c r="G839" s="1960"/>
      <c r="V839" s="1960"/>
      <c r="W839" s="1960"/>
      <c r="X839" s="1919"/>
      <c r="Y839" s="1919"/>
      <c r="Z839" s="1919"/>
    </row>
    <row r="840" spans="1:26">
      <c r="A840" s="1919"/>
      <c r="B840" s="1960"/>
      <c r="C840" s="1960"/>
      <c r="D840" s="1960"/>
      <c r="E840" s="1960"/>
      <c r="F840" s="1960"/>
      <c r="G840" s="1960"/>
      <c r="V840" s="1960"/>
      <c r="W840" s="1960"/>
      <c r="X840" s="1919"/>
      <c r="Y840" s="1919"/>
      <c r="Z840" s="1919"/>
    </row>
    <row r="841" spans="1:26">
      <c r="A841" s="1919"/>
      <c r="B841" s="1960"/>
      <c r="C841" s="1960"/>
      <c r="D841" s="1960"/>
      <c r="E841" s="1960"/>
      <c r="F841" s="1960"/>
      <c r="G841" s="1960"/>
      <c r="V841" s="1960"/>
      <c r="W841" s="1960"/>
      <c r="X841" s="1919"/>
      <c r="Y841" s="1919"/>
      <c r="Z841" s="1919"/>
    </row>
    <row r="842" spans="1:26">
      <c r="A842" s="1919"/>
      <c r="B842" s="1960"/>
      <c r="C842" s="1960"/>
      <c r="D842" s="1960"/>
      <c r="E842" s="1960"/>
      <c r="F842" s="1960"/>
      <c r="G842" s="1960"/>
      <c r="V842" s="1960"/>
      <c r="W842" s="1960"/>
      <c r="X842" s="1919"/>
      <c r="Y842" s="1919"/>
      <c r="Z842" s="1919"/>
    </row>
    <row r="843" spans="1:26">
      <c r="A843" s="1919"/>
      <c r="B843" s="1960"/>
      <c r="C843" s="1960"/>
      <c r="D843" s="1960"/>
      <c r="E843" s="1960"/>
      <c r="F843" s="1960"/>
      <c r="G843" s="1960"/>
      <c r="V843" s="1960"/>
      <c r="W843" s="1960"/>
      <c r="X843" s="1919"/>
      <c r="Y843" s="1919"/>
      <c r="Z843" s="1919"/>
    </row>
    <row r="844" spans="1:26">
      <c r="A844" s="1919"/>
      <c r="B844" s="1960"/>
      <c r="C844" s="1960"/>
      <c r="D844" s="1960"/>
      <c r="E844" s="1960"/>
      <c r="F844" s="1960"/>
      <c r="G844" s="1960"/>
      <c r="V844" s="1960"/>
      <c r="W844" s="1960"/>
      <c r="X844" s="1919"/>
      <c r="Y844" s="1919"/>
      <c r="Z844" s="1919"/>
    </row>
    <row r="845" spans="1:26">
      <c r="A845" s="1919"/>
      <c r="B845" s="1960"/>
      <c r="C845" s="1960"/>
      <c r="D845" s="1960"/>
      <c r="E845" s="1960"/>
      <c r="F845" s="1960"/>
      <c r="G845" s="1960"/>
      <c r="V845" s="1960"/>
      <c r="W845" s="1960"/>
      <c r="X845" s="1919"/>
      <c r="Y845" s="1919"/>
      <c r="Z845" s="1919"/>
    </row>
    <row r="846" spans="1:26">
      <c r="A846" s="1919"/>
      <c r="B846" s="1960"/>
      <c r="C846" s="1960"/>
      <c r="D846" s="1960"/>
      <c r="E846" s="1960"/>
      <c r="F846" s="1960"/>
      <c r="G846" s="1960"/>
      <c r="V846" s="1960"/>
      <c r="W846" s="1960"/>
      <c r="X846" s="1919"/>
      <c r="Y846" s="1919"/>
      <c r="Z846" s="1919"/>
    </row>
    <row r="847" spans="1:26">
      <c r="A847" s="1919"/>
      <c r="B847" s="1960"/>
      <c r="C847" s="1960"/>
      <c r="D847" s="1960"/>
      <c r="E847" s="1960"/>
      <c r="F847" s="1960"/>
      <c r="G847" s="1960"/>
      <c r="V847" s="1960"/>
      <c r="W847" s="1960"/>
      <c r="X847" s="1919"/>
      <c r="Y847" s="1919"/>
      <c r="Z847" s="1919"/>
    </row>
    <row r="848" spans="1:26">
      <c r="A848" s="1919"/>
      <c r="B848" s="1960"/>
      <c r="C848" s="1960"/>
      <c r="D848" s="1960"/>
      <c r="E848" s="1960"/>
      <c r="F848" s="1960"/>
      <c r="G848" s="1960"/>
      <c r="V848" s="1960"/>
      <c r="W848" s="1960"/>
      <c r="X848" s="1919"/>
      <c r="Y848" s="1919"/>
      <c r="Z848" s="1919"/>
    </row>
    <row r="849" spans="1:26">
      <c r="A849" s="1919"/>
      <c r="B849" s="1960"/>
      <c r="C849" s="1960"/>
      <c r="D849" s="1960"/>
      <c r="E849" s="1960"/>
      <c r="F849" s="1960"/>
      <c r="G849" s="1960"/>
      <c r="V849" s="1960"/>
      <c r="W849" s="1960"/>
      <c r="X849" s="1919"/>
      <c r="Y849" s="1919"/>
      <c r="Z849" s="1919"/>
    </row>
    <row r="850" spans="1:26">
      <c r="A850" s="1919"/>
      <c r="B850" s="1960"/>
      <c r="C850" s="1960"/>
      <c r="D850" s="1960"/>
      <c r="E850" s="1960"/>
      <c r="F850" s="1960"/>
      <c r="G850" s="1960"/>
      <c r="V850" s="1960"/>
      <c r="W850" s="1960"/>
      <c r="X850" s="1919"/>
      <c r="Y850" s="1919"/>
      <c r="Z850" s="1919"/>
    </row>
    <row r="851" spans="1:26">
      <c r="A851" s="1919"/>
      <c r="B851" s="1960"/>
      <c r="C851" s="1960"/>
      <c r="D851" s="1960"/>
      <c r="E851" s="1960"/>
      <c r="F851" s="1960"/>
      <c r="G851" s="1960"/>
      <c r="V851" s="1960"/>
      <c r="W851" s="1960"/>
      <c r="X851" s="1919"/>
      <c r="Y851" s="1919"/>
      <c r="Z851" s="1919"/>
    </row>
    <row r="852" spans="1:26">
      <c r="A852" s="1919"/>
      <c r="B852" s="1960"/>
      <c r="C852" s="1960"/>
      <c r="D852" s="1960"/>
      <c r="E852" s="1960"/>
      <c r="F852" s="1960"/>
      <c r="G852" s="1960"/>
      <c r="V852" s="1960"/>
      <c r="W852" s="1960"/>
      <c r="X852" s="1919"/>
      <c r="Y852" s="1919"/>
      <c r="Z852" s="1919"/>
    </row>
    <row r="853" spans="1:26">
      <c r="A853" s="1919"/>
      <c r="B853" s="1960"/>
      <c r="C853" s="1960"/>
      <c r="D853" s="1960"/>
      <c r="E853" s="1960"/>
      <c r="F853" s="1960"/>
      <c r="G853" s="1960"/>
      <c r="V853" s="1960"/>
      <c r="W853" s="1960"/>
      <c r="X853" s="1919"/>
      <c r="Y853" s="1919"/>
      <c r="Z853" s="1919"/>
    </row>
    <row r="854" spans="1:26">
      <c r="A854" s="1919"/>
      <c r="B854" s="1960"/>
      <c r="C854" s="1960"/>
      <c r="D854" s="1960"/>
      <c r="E854" s="1960"/>
      <c r="F854" s="1960"/>
      <c r="G854" s="1960"/>
      <c r="V854" s="1960"/>
      <c r="W854" s="1960"/>
      <c r="X854" s="1919"/>
      <c r="Y854" s="1919"/>
      <c r="Z854" s="1919"/>
    </row>
    <row r="855" spans="1:26">
      <c r="A855" s="1919"/>
      <c r="B855" s="1960"/>
      <c r="C855" s="1960"/>
      <c r="D855" s="1960"/>
      <c r="E855" s="1960"/>
      <c r="F855" s="1960"/>
      <c r="G855" s="1960"/>
      <c r="V855" s="1960"/>
      <c r="W855" s="1960"/>
      <c r="X855" s="1919"/>
      <c r="Y855" s="1919"/>
      <c r="Z855" s="1919"/>
    </row>
    <row r="856" spans="1:26">
      <c r="A856" s="1919"/>
      <c r="B856" s="1960"/>
      <c r="C856" s="1960"/>
      <c r="D856" s="1960"/>
      <c r="E856" s="1960"/>
      <c r="F856" s="1960"/>
      <c r="G856" s="1960"/>
      <c r="V856" s="1960"/>
      <c r="W856" s="1960"/>
      <c r="X856" s="1919"/>
      <c r="Y856" s="1919"/>
      <c r="Z856" s="1919"/>
    </row>
    <row r="857" spans="1:26">
      <c r="A857" s="1919"/>
      <c r="B857" s="1960"/>
      <c r="C857" s="1960"/>
      <c r="D857" s="1960"/>
      <c r="E857" s="1960"/>
      <c r="F857" s="1960"/>
      <c r="G857" s="1960"/>
      <c r="V857" s="1960"/>
      <c r="W857" s="1960"/>
      <c r="X857" s="1919"/>
      <c r="Y857" s="1919"/>
      <c r="Z857" s="1919"/>
    </row>
    <row r="858" spans="1:26">
      <c r="A858" s="1919"/>
      <c r="B858" s="1960"/>
      <c r="C858" s="1960"/>
      <c r="D858" s="1960"/>
      <c r="E858" s="1960"/>
      <c r="F858" s="1960"/>
      <c r="G858" s="1960"/>
      <c r="V858" s="1960"/>
      <c r="W858" s="1960"/>
      <c r="X858" s="1919"/>
      <c r="Y858" s="1919"/>
      <c r="Z858" s="1919"/>
    </row>
    <row r="859" spans="1:26">
      <c r="A859" s="1919"/>
      <c r="B859" s="1960"/>
      <c r="C859" s="1960"/>
      <c r="D859" s="1960"/>
      <c r="E859" s="1960"/>
      <c r="F859" s="1960"/>
      <c r="G859" s="1960"/>
      <c r="V859" s="1960"/>
      <c r="W859" s="1960"/>
      <c r="X859" s="1919"/>
      <c r="Y859" s="1919"/>
      <c r="Z859" s="1919"/>
    </row>
    <row r="860" spans="1:26">
      <c r="A860" s="1919"/>
      <c r="B860" s="1960"/>
      <c r="C860" s="1960"/>
      <c r="D860" s="1960"/>
      <c r="E860" s="1960"/>
      <c r="F860" s="1960"/>
      <c r="G860" s="1960"/>
      <c r="V860" s="1960"/>
      <c r="W860" s="1960"/>
      <c r="X860" s="1919"/>
      <c r="Y860" s="1919"/>
      <c r="Z860" s="1919"/>
    </row>
    <row r="861" spans="1:26">
      <c r="A861" s="1919"/>
      <c r="B861" s="1960"/>
      <c r="C861" s="1960"/>
      <c r="D861" s="1960"/>
      <c r="E861" s="1960"/>
      <c r="F861" s="1960"/>
      <c r="G861" s="1960"/>
      <c r="V861" s="1960"/>
      <c r="W861" s="1960"/>
      <c r="X861" s="1919"/>
      <c r="Y861" s="1919"/>
      <c r="Z861" s="1919"/>
    </row>
    <row r="862" spans="1:26">
      <c r="A862" s="1919"/>
      <c r="B862" s="1960"/>
      <c r="C862" s="1960"/>
      <c r="D862" s="1960"/>
      <c r="E862" s="1960"/>
      <c r="F862" s="1960"/>
      <c r="G862" s="1960"/>
      <c r="V862" s="1960"/>
      <c r="W862" s="1960"/>
      <c r="X862" s="1919"/>
      <c r="Y862" s="1919"/>
      <c r="Z862" s="1919"/>
    </row>
    <row r="863" spans="1:26">
      <c r="A863" s="1919"/>
      <c r="B863" s="1960"/>
      <c r="C863" s="1960"/>
      <c r="D863" s="1960"/>
      <c r="E863" s="1960"/>
      <c r="F863" s="1960"/>
      <c r="G863" s="1960"/>
      <c r="V863" s="1960"/>
      <c r="W863" s="1960"/>
      <c r="X863" s="1919"/>
      <c r="Y863" s="1919"/>
      <c r="Z863" s="1919"/>
    </row>
    <row r="864" spans="1:26">
      <c r="A864" s="1919"/>
      <c r="B864" s="1960"/>
      <c r="C864" s="1960"/>
      <c r="D864" s="1960"/>
      <c r="E864" s="1960"/>
      <c r="F864" s="1960"/>
      <c r="G864" s="1960"/>
      <c r="V864" s="1960"/>
      <c r="W864" s="1960"/>
      <c r="X864" s="1919"/>
      <c r="Y864" s="1919"/>
      <c r="Z864" s="1919"/>
    </row>
    <row r="865" spans="1:26">
      <c r="A865" s="1919"/>
      <c r="B865" s="1960"/>
      <c r="C865" s="1960"/>
      <c r="D865" s="1960"/>
      <c r="E865" s="1960"/>
      <c r="F865" s="1960"/>
      <c r="G865" s="1960"/>
      <c r="V865" s="1960"/>
      <c r="W865" s="1960"/>
      <c r="X865" s="1919"/>
      <c r="Y865" s="1919"/>
      <c r="Z865" s="1919"/>
    </row>
    <row r="866" spans="1:26">
      <c r="A866" s="1919"/>
      <c r="B866" s="1960"/>
      <c r="C866" s="1960"/>
      <c r="D866" s="1960"/>
      <c r="E866" s="1960"/>
      <c r="F866" s="1960"/>
      <c r="G866" s="1960"/>
      <c r="V866" s="1960"/>
      <c r="W866" s="1960"/>
      <c r="X866" s="1919"/>
      <c r="Y866" s="1919"/>
      <c r="Z866" s="1919"/>
    </row>
    <row r="867" spans="1:26">
      <c r="A867" s="1919"/>
      <c r="B867" s="1960"/>
      <c r="C867" s="1960"/>
      <c r="D867" s="1960"/>
      <c r="E867" s="1960"/>
      <c r="F867" s="1960"/>
      <c r="G867" s="1960"/>
      <c r="V867" s="1960"/>
      <c r="W867" s="1960"/>
      <c r="X867" s="1919"/>
      <c r="Y867" s="1919"/>
      <c r="Z867" s="1919"/>
    </row>
    <row r="868" spans="1:26">
      <c r="A868" s="1919"/>
      <c r="B868" s="1960"/>
      <c r="C868" s="1960"/>
      <c r="D868" s="1960"/>
      <c r="E868" s="1960"/>
      <c r="F868" s="1960"/>
      <c r="G868" s="1960"/>
      <c r="V868" s="1960"/>
      <c r="W868" s="1960"/>
      <c r="X868" s="1919"/>
      <c r="Y868" s="1919"/>
      <c r="Z868" s="1919"/>
    </row>
    <row r="869" spans="1:26">
      <c r="A869" s="1919"/>
      <c r="B869" s="1960"/>
      <c r="C869" s="1960"/>
      <c r="D869" s="1960"/>
      <c r="E869" s="1960"/>
      <c r="F869" s="1960"/>
      <c r="G869" s="1960"/>
      <c r="V869" s="1960"/>
      <c r="W869" s="1960"/>
      <c r="X869" s="1919"/>
      <c r="Y869" s="1919"/>
      <c r="Z869" s="1919"/>
    </row>
    <row r="870" spans="1:26">
      <c r="A870" s="1919"/>
      <c r="B870" s="1960"/>
      <c r="C870" s="1960"/>
      <c r="D870" s="1960"/>
      <c r="E870" s="1960"/>
      <c r="F870" s="1960"/>
      <c r="G870" s="1960"/>
      <c r="V870" s="1960"/>
      <c r="W870" s="1960"/>
      <c r="X870" s="1919"/>
      <c r="Y870" s="1919"/>
      <c r="Z870" s="1919"/>
    </row>
    <row r="871" spans="1:26">
      <c r="A871" s="1919"/>
      <c r="B871" s="1960"/>
      <c r="C871" s="1960"/>
      <c r="D871" s="1960"/>
      <c r="E871" s="1960"/>
      <c r="F871" s="1960"/>
      <c r="G871" s="1960"/>
      <c r="V871" s="1960"/>
      <c r="W871" s="1960"/>
      <c r="X871" s="1919"/>
      <c r="Y871" s="1919"/>
      <c r="Z871" s="1919"/>
    </row>
    <row r="872" spans="1:26">
      <c r="A872" s="1919"/>
      <c r="B872" s="1960"/>
      <c r="C872" s="1960"/>
      <c r="D872" s="1960"/>
      <c r="E872" s="1960"/>
      <c r="F872" s="1960"/>
      <c r="G872" s="1960"/>
      <c r="V872" s="1960"/>
      <c r="W872" s="1960"/>
      <c r="X872" s="1919"/>
      <c r="Y872" s="1919"/>
      <c r="Z872" s="1919"/>
    </row>
    <row r="873" spans="1:26">
      <c r="A873" s="1919"/>
      <c r="B873" s="1960"/>
      <c r="C873" s="1960"/>
      <c r="D873" s="1960"/>
      <c r="E873" s="1960"/>
      <c r="F873" s="1960"/>
      <c r="G873" s="1960"/>
      <c r="V873" s="1960"/>
      <c r="W873" s="1960"/>
      <c r="X873" s="1919"/>
      <c r="Y873" s="1919"/>
      <c r="Z873" s="1919"/>
    </row>
    <row r="874" spans="1:26">
      <c r="A874" s="1919"/>
      <c r="B874" s="1960"/>
      <c r="C874" s="1960"/>
      <c r="D874" s="1960"/>
      <c r="E874" s="1960"/>
      <c r="F874" s="1960"/>
      <c r="G874" s="1960"/>
      <c r="V874" s="1960"/>
      <c r="W874" s="1960"/>
      <c r="X874" s="1919"/>
      <c r="Y874" s="1919"/>
      <c r="Z874" s="1919"/>
    </row>
    <row r="875" spans="1:26">
      <c r="A875" s="1919"/>
      <c r="B875" s="1960"/>
      <c r="C875" s="1960"/>
      <c r="D875" s="1960"/>
      <c r="E875" s="1960"/>
      <c r="F875" s="1960"/>
      <c r="G875" s="1960"/>
      <c r="V875" s="1960"/>
      <c r="W875" s="1960"/>
      <c r="X875" s="1919"/>
      <c r="Y875" s="1919"/>
      <c r="Z875" s="1919"/>
    </row>
    <row r="876" spans="1:26">
      <c r="A876" s="1919"/>
      <c r="B876" s="1960"/>
      <c r="C876" s="1960"/>
      <c r="D876" s="1960"/>
      <c r="E876" s="1960"/>
      <c r="F876" s="1960"/>
      <c r="G876" s="1960"/>
      <c r="V876" s="1960"/>
      <c r="W876" s="1960"/>
      <c r="X876" s="1919"/>
      <c r="Y876" s="1919"/>
      <c r="Z876" s="1919"/>
    </row>
    <row r="877" spans="1:26">
      <c r="A877" s="1919"/>
      <c r="B877" s="1960"/>
      <c r="C877" s="1960"/>
      <c r="D877" s="1960"/>
      <c r="E877" s="1960"/>
      <c r="F877" s="1960"/>
      <c r="G877" s="1960"/>
      <c r="V877" s="1960"/>
      <c r="W877" s="1960"/>
      <c r="X877" s="1919"/>
      <c r="Y877" s="1919"/>
      <c r="Z877" s="1919"/>
    </row>
    <row r="878" spans="1:26">
      <c r="A878" s="1919"/>
      <c r="B878" s="1960"/>
      <c r="C878" s="1960"/>
      <c r="D878" s="1960"/>
      <c r="E878" s="1960"/>
      <c r="F878" s="1960"/>
      <c r="G878" s="1960"/>
      <c r="V878" s="1960"/>
      <c r="W878" s="1960"/>
      <c r="X878" s="1919"/>
      <c r="Y878" s="1919"/>
      <c r="Z878" s="1919"/>
    </row>
    <row r="879" spans="1:26">
      <c r="A879" s="1919"/>
      <c r="B879" s="1960"/>
      <c r="C879" s="1960"/>
      <c r="D879" s="1960"/>
      <c r="E879" s="1960"/>
      <c r="F879" s="1960"/>
      <c r="G879" s="1960"/>
      <c r="V879" s="1960"/>
      <c r="W879" s="1960"/>
      <c r="X879" s="1919"/>
      <c r="Y879" s="1919"/>
      <c r="Z879" s="1919"/>
    </row>
    <row r="880" spans="1:26">
      <c r="A880" s="1919"/>
      <c r="B880" s="1960"/>
      <c r="C880" s="1960"/>
      <c r="D880" s="1960"/>
      <c r="E880" s="1960"/>
      <c r="F880" s="1960"/>
      <c r="G880" s="1960"/>
      <c r="V880" s="1960"/>
      <c r="W880" s="1960"/>
      <c r="X880" s="1919"/>
      <c r="Y880" s="1919"/>
      <c r="Z880" s="1919"/>
    </row>
    <row r="881" spans="1:26">
      <c r="A881" s="1919"/>
      <c r="B881" s="1960"/>
      <c r="C881" s="1960"/>
      <c r="D881" s="1960"/>
      <c r="E881" s="1960"/>
      <c r="F881" s="1960"/>
      <c r="G881" s="1960"/>
      <c r="V881" s="1960"/>
      <c r="W881" s="1960"/>
      <c r="X881" s="1919"/>
      <c r="Y881" s="1919"/>
      <c r="Z881" s="1919"/>
    </row>
    <row r="882" spans="1:26">
      <c r="A882" s="1919"/>
      <c r="B882" s="1960"/>
      <c r="C882" s="1960"/>
      <c r="D882" s="1960"/>
      <c r="E882" s="1960"/>
      <c r="F882" s="1960"/>
      <c r="G882" s="1960"/>
      <c r="V882" s="1960"/>
      <c r="W882" s="1960"/>
      <c r="X882" s="1919"/>
      <c r="Y882" s="1919"/>
      <c r="Z882" s="1919"/>
    </row>
    <row r="883" spans="1:26">
      <c r="A883" s="1919"/>
      <c r="B883" s="1960"/>
      <c r="C883" s="1960"/>
      <c r="D883" s="1960"/>
      <c r="E883" s="1960"/>
      <c r="F883" s="1960"/>
      <c r="G883" s="1960"/>
      <c r="V883" s="1960"/>
      <c r="W883" s="1960"/>
      <c r="X883" s="1919"/>
      <c r="Y883" s="1919"/>
      <c r="Z883" s="1919"/>
    </row>
    <row r="884" spans="1:26">
      <c r="A884" s="1919"/>
      <c r="B884" s="1960"/>
      <c r="C884" s="1960"/>
      <c r="D884" s="1960"/>
      <c r="E884" s="1960"/>
      <c r="F884" s="1960"/>
      <c r="G884" s="1960"/>
      <c r="V884" s="1960"/>
      <c r="W884" s="1960"/>
      <c r="X884" s="1919"/>
      <c r="Y884" s="1919"/>
      <c r="Z884" s="1919"/>
    </row>
    <row r="885" spans="1:26">
      <c r="A885" s="1919"/>
      <c r="B885" s="1960"/>
      <c r="C885" s="1960"/>
      <c r="D885" s="1960"/>
      <c r="E885" s="1960"/>
      <c r="F885" s="1960"/>
      <c r="G885" s="1960"/>
      <c r="V885" s="1960"/>
      <c r="W885" s="1960"/>
      <c r="X885" s="1919"/>
      <c r="Y885" s="1919"/>
      <c r="Z885" s="1919"/>
    </row>
    <row r="886" spans="1:26">
      <c r="A886" s="1919"/>
      <c r="B886" s="1960"/>
      <c r="C886" s="1960"/>
      <c r="D886" s="1960"/>
      <c r="E886" s="1960"/>
      <c r="F886" s="1960"/>
      <c r="G886" s="1960"/>
      <c r="V886" s="1960"/>
      <c r="W886" s="1960"/>
      <c r="X886" s="1919"/>
      <c r="Y886" s="1919"/>
      <c r="Z886" s="1919"/>
    </row>
    <row r="887" spans="1:26">
      <c r="A887" s="1919"/>
      <c r="B887" s="1960"/>
      <c r="C887" s="1960"/>
      <c r="D887" s="1960"/>
      <c r="E887" s="1960"/>
      <c r="F887" s="1960"/>
      <c r="G887" s="1960"/>
      <c r="V887" s="1960"/>
      <c r="W887" s="1960"/>
      <c r="X887" s="1919"/>
      <c r="Y887" s="1919"/>
      <c r="Z887" s="1919"/>
    </row>
    <row r="888" spans="1:26">
      <c r="A888" s="1919"/>
      <c r="B888" s="1960"/>
      <c r="C888" s="1960"/>
      <c r="D888" s="1960"/>
      <c r="E888" s="1960"/>
      <c r="F888" s="1960"/>
      <c r="G888" s="1960"/>
      <c r="V888" s="1960"/>
      <c r="W888" s="1960"/>
      <c r="X888" s="1919"/>
      <c r="Y888" s="1919"/>
      <c r="Z888" s="1919"/>
    </row>
    <row r="889" spans="1:26">
      <c r="A889" s="1919"/>
      <c r="B889" s="1960"/>
      <c r="C889" s="1960"/>
      <c r="D889" s="1960"/>
      <c r="E889" s="1960"/>
      <c r="F889" s="1960"/>
      <c r="G889" s="1960"/>
      <c r="V889" s="1960"/>
      <c r="W889" s="1960"/>
      <c r="X889" s="1919"/>
      <c r="Y889" s="1919"/>
      <c r="Z889" s="1919"/>
    </row>
    <row r="890" spans="1:26">
      <c r="A890" s="1919"/>
      <c r="B890" s="1960"/>
      <c r="C890" s="1960"/>
      <c r="D890" s="1960"/>
      <c r="E890" s="1960"/>
      <c r="F890" s="1960"/>
      <c r="G890" s="1960"/>
      <c r="V890" s="1960"/>
      <c r="W890" s="1960"/>
      <c r="X890" s="1919"/>
      <c r="Y890" s="1919"/>
      <c r="Z890" s="1919"/>
    </row>
    <row r="891" spans="1:26">
      <c r="A891" s="1919"/>
      <c r="B891" s="1960"/>
      <c r="C891" s="1960"/>
      <c r="D891" s="1960"/>
      <c r="E891" s="1960"/>
      <c r="F891" s="1960"/>
      <c r="G891" s="1960"/>
      <c r="V891" s="1960"/>
      <c r="W891" s="1960"/>
      <c r="X891" s="1919"/>
      <c r="Y891" s="1919"/>
      <c r="Z891" s="1919"/>
    </row>
    <row r="892" spans="1:26">
      <c r="A892" s="1919"/>
      <c r="B892" s="1960"/>
      <c r="C892" s="1960"/>
      <c r="D892" s="1960"/>
      <c r="E892" s="1960"/>
      <c r="F892" s="1960"/>
      <c r="G892" s="1960"/>
      <c r="V892" s="1960"/>
      <c r="W892" s="1960"/>
      <c r="X892" s="1919"/>
      <c r="Y892" s="1919"/>
      <c r="Z892" s="1919"/>
    </row>
    <row r="893" spans="1:26">
      <c r="A893" s="1919"/>
      <c r="B893" s="1960"/>
      <c r="C893" s="1960"/>
      <c r="D893" s="1960"/>
      <c r="E893" s="1960"/>
      <c r="F893" s="1960"/>
      <c r="G893" s="1960"/>
      <c r="V893" s="1960"/>
      <c r="W893" s="1960"/>
      <c r="X893" s="1919"/>
      <c r="Y893" s="1919"/>
      <c r="Z893" s="1919"/>
    </row>
    <row r="894" spans="1:26">
      <c r="A894" s="1919"/>
      <c r="B894" s="1960"/>
      <c r="C894" s="1960"/>
      <c r="D894" s="1960"/>
      <c r="E894" s="1960"/>
      <c r="F894" s="1960"/>
      <c r="G894" s="1960"/>
      <c r="V894" s="1960"/>
      <c r="W894" s="1960"/>
      <c r="X894" s="1919"/>
      <c r="Y894" s="1919"/>
      <c r="Z894" s="1919"/>
    </row>
    <row r="895" spans="1:26">
      <c r="A895" s="1919"/>
      <c r="B895" s="1960"/>
      <c r="C895" s="1960"/>
      <c r="D895" s="1960"/>
      <c r="E895" s="1960"/>
      <c r="F895" s="1960"/>
      <c r="G895" s="1960"/>
      <c r="V895" s="1960"/>
      <c r="W895" s="1960"/>
      <c r="X895" s="1919"/>
      <c r="Y895" s="1919"/>
      <c r="Z895" s="1919"/>
    </row>
    <row r="896" spans="1:26">
      <c r="A896" s="1919"/>
      <c r="B896" s="1960"/>
      <c r="C896" s="1960"/>
      <c r="D896" s="1960"/>
      <c r="E896" s="1960"/>
      <c r="F896" s="1960"/>
      <c r="G896" s="1960"/>
      <c r="V896" s="1960"/>
      <c r="W896" s="1960"/>
      <c r="X896" s="1919"/>
      <c r="Y896" s="1919"/>
      <c r="Z896" s="1919"/>
    </row>
    <row r="897" spans="1:26">
      <c r="A897" s="1919"/>
      <c r="B897" s="1960"/>
      <c r="C897" s="1960"/>
      <c r="D897" s="1960"/>
      <c r="E897" s="1960"/>
      <c r="F897" s="1960"/>
      <c r="G897" s="1960"/>
      <c r="V897" s="1960"/>
      <c r="W897" s="1960"/>
      <c r="X897" s="1919"/>
      <c r="Y897" s="1919"/>
      <c r="Z897" s="1919"/>
    </row>
    <row r="898" spans="1:26">
      <c r="A898" s="1919"/>
      <c r="B898" s="1960"/>
      <c r="C898" s="1960"/>
      <c r="D898" s="1960"/>
      <c r="E898" s="1960"/>
      <c r="F898" s="1960"/>
      <c r="G898" s="1960"/>
      <c r="V898" s="1960"/>
      <c r="W898" s="1960"/>
      <c r="X898" s="1919"/>
      <c r="Y898" s="1919"/>
      <c r="Z898" s="1919"/>
    </row>
    <row r="899" spans="1:26">
      <c r="A899" s="1919"/>
      <c r="B899" s="1960"/>
      <c r="C899" s="1960"/>
      <c r="D899" s="1960"/>
      <c r="E899" s="1960"/>
      <c r="F899" s="1960"/>
      <c r="G899" s="1960"/>
      <c r="V899" s="1960"/>
      <c r="W899" s="1960"/>
      <c r="X899" s="1919"/>
      <c r="Y899" s="1919"/>
      <c r="Z899" s="1919"/>
    </row>
    <row r="900" spans="1:26">
      <c r="A900" s="1919"/>
      <c r="B900" s="1960"/>
      <c r="C900" s="1960"/>
      <c r="D900" s="1960"/>
      <c r="E900" s="1960"/>
      <c r="F900" s="1960"/>
      <c r="G900" s="1960"/>
      <c r="V900" s="1960"/>
      <c r="W900" s="1960"/>
      <c r="X900" s="1919"/>
      <c r="Y900" s="1919"/>
      <c r="Z900" s="1919"/>
    </row>
    <row r="901" spans="1:26">
      <c r="A901" s="1919"/>
      <c r="B901" s="1960"/>
      <c r="C901" s="1960"/>
      <c r="D901" s="1960"/>
      <c r="E901" s="1960"/>
      <c r="F901" s="1960"/>
      <c r="G901" s="1960"/>
      <c r="V901" s="1960"/>
      <c r="W901" s="1960"/>
      <c r="X901" s="1919"/>
      <c r="Y901" s="1919"/>
      <c r="Z901" s="1919"/>
    </row>
    <row r="902" spans="1:26">
      <c r="A902" s="1919"/>
      <c r="B902" s="1960"/>
      <c r="C902" s="1960"/>
      <c r="D902" s="1960"/>
      <c r="E902" s="1960"/>
      <c r="F902" s="1960"/>
      <c r="G902" s="1960"/>
      <c r="V902" s="1960"/>
      <c r="W902" s="1960"/>
      <c r="X902" s="1919"/>
      <c r="Y902" s="1919"/>
      <c r="Z902" s="1919"/>
    </row>
    <row r="903" spans="1:26">
      <c r="A903" s="1919"/>
      <c r="B903" s="1960"/>
      <c r="C903" s="1960"/>
      <c r="D903" s="1960"/>
      <c r="E903" s="1960"/>
      <c r="F903" s="1960"/>
      <c r="G903" s="1960"/>
      <c r="V903" s="1960"/>
      <c r="W903" s="1960"/>
      <c r="X903" s="1919"/>
      <c r="Y903" s="1919"/>
      <c r="Z903" s="1919"/>
    </row>
    <row r="904" spans="1:26">
      <c r="A904" s="1919"/>
      <c r="B904" s="1960"/>
      <c r="C904" s="1960"/>
      <c r="D904" s="1960"/>
      <c r="E904" s="1960"/>
      <c r="F904" s="1960"/>
      <c r="G904" s="1960"/>
      <c r="V904" s="1960"/>
      <c r="W904" s="1960"/>
      <c r="X904" s="1919"/>
      <c r="Y904" s="1919"/>
      <c r="Z904" s="1919"/>
    </row>
    <row r="905" spans="1:26">
      <c r="A905" s="1919"/>
      <c r="B905" s="1960"/>
      <c r="C905" s="1960"/>
      <c r="D905" s="1960"/>
      <c r="E905" s="1960"/>
      <c r="F905" s="1960"/>
      <c r="G905" s="1960"/>
      <c r="V905" s="1960"/>
      <c r="W905" s="1960"/>
      <c r="X905" s="1919"/>
      <c r="Y905" s="1919"/>
      <c r="Z905" s="1919"/>
    </row>
    <row r="906" spans="1:26">
      <c r="A906" s="1919"/>
      <c r="B906" s="1960"/>
      <c r="C906" s="1960"/>
      <c r="D906" s="1960"/>
      <c r="E906" s="1960"/>
      <c r="F906" s="1960"/>
      <c r="G906" s="1960"/>
      <c r="V906" s="1960"/>
      <c r="W906" s="1960"/>
      <c r="X906" s="1919"/>
      <c r="Y906" s="1919"/>
      <c r="Z906" s="1919"/>
    </row>
    <row r="907" spans="1:26">
      <c r="A907" s="1919"/>
      <c r="B907" s="1960"/>
      <c r="C907" s="1960"/>
      <c r="D907" s="1960"/>
      <c r="E907" s="1960"/>
      <c r="F907" s="1960"/>
      <c r="G907" s="1960"/>
      <c r="V907" s="1960"/>
      <c r="W907" s="1960"/>
      <c r="X907" s="1919"/>
      <c r="Y907" s="1919"/>
      <c r="Z907" s="1919"/>
    </row>
    <row r="908" spans="1:26">
      <c r="A908" s="1919"/>
      <c r="B908" s="1960"/>
      <c r="C908" s="1960"/>
      <c r="D908" s="1960"/>
      <c r="E908" s="1960"/>
      <c r="F908" s="1960"/>
      <c r="G908" s="1960"/>
      <c r="V908" s="1960"/>
      <c r="W908" s="1960"/>
      <c r="X908" s="1919"/>
      <c r="Y908" s="1919"/>
      <c r="Z908" s="1919"/>
    </row>
    <row r="909" spans="1:26">
      <c r="A909" s="1919"/>
      <c r="B909" s="1960"/>
      <c r="C909" s="1960"/>
      <c r="D909" s="1960"/>
      <c r="E909" s="1960"/>
      <c r="F909" s="1960"/>
      <c r="G909" s="1960"/>
      <c r="V909" s="1960"/>
      <c r="W909" s="1960"/>
      <c r="X909" s="1919"/>
      <c r="Y909" s="1919"/>
      <c r="Z909" s="1919"/>
    </row>
    <row r="910" spans="1:26">
      <c r="A910" s="1919"/>
      <c r="B910" s="1960"/>
      <c r="C910" s="1960"/>
      <c r="D910" s="1960"/>
      <c r="E910" s="1960"/>
      <c r="F910" s="1960"/>
      <c r="G910" s="1960"/>
      <c r="V910" s="1960"/>
      <c r="W910" s="1960"/>
      <c r="X910" s="1919"/>
      <c r="Y910" s="1919"/>
      <c r="Z910" s="1919"/>
    </row>
    <row r="911" spans="1:26">
      <c r="A911" s="1919"/>
      <c r="B911" s="1960"/>
      <c r="C911" s="1960"/>
      <c r="D911" s="1960"/>
      <c r="E911" s="1960"/>
      <c r="F911" s="1960"/>
      <c r="G911" s="1960"/>
      <c r="V911" s="1960"/>
      <c r="W911" s="1960"/>
      <c r="X911" s="1919"/>
      <c r="Y911" s="1919"/>
      <c r="Z911" s="1919"/>
    </row>
    <row r="912" spans="1:26">
      <c r="A912" s="1919"/>
      <c r="B912" s="1960"/>
      <c r="C912" s="1960"/>
      <c r="D912" s="1960"/>
      <c r="E912" s="1960"/>
      <c r="F912" s="1960"/>
      <c r="G912" s="1960"/>
      <c r="V912" s="1960"/>
      <c r="W912" s="1960"/>
      <c r="X912" s="1919"/>
      <c r="Y912" s="1919"/>
      <c r="Z912" s="1919"/>
    </row>
    <row r="913" spans="1:26">
      <c r="A913" s="1919"/>
      <c r="B913" s="1960"/>
      <c r="C913" s="1960"/>
      <c r="D913" s="1960"/>
      <c r="E913" s="1960"/>
      <c r="F913" s="1960"/>
      <c r="G913" s="1960"/>
      <c r="V913" s="1960"/>
      <c r="W913" s="1960"/>
      <c r="X913" s="1919"/>
      <c r="Y913" s="1919"/>
      <c r="Z913" s="1919"/>
    </row>
    <row r="914" spans="1:26">
      <c r="A914" s="1919"/>
      <c r="B914" s="1960"/>
      <c r="C914" s="1960"/>
      <c r="D914" s="1960"/>
      <c r="E914" s="1960"/>
      <c r="F914" s="1960"/>
      <c r="G914" s="1960"/>
      <c r="V914" s="1960"/>
      <c r="W914" s="1960"/>
      <c r="X914" s="1919"/>
      <c r="Y914" s="1919"/>
      <c r="Z914" s="1919"/>
    </row>
    <row r="915" spans="1:26">
      <c r="A915" s="1919"/>
      <c r="B915" s="1960"/>
      <c r="C915" s="1960"/>
      <c r="D915" s="1960"/>
      <c r="E915" s="1960"/>
      <c r="F915" s="1960"/>
      <c r="G915" s="1960"/>
      <c r="V915" s="1960"/>
      <c r="W915" s="1960"/>
      <c r="X915" s="1919"/>
      <c r="Y915" s="1919"/>
      <c r="Z915" s="1919"/>
    </row>
    <row r="916" spans="1:26">
      <c r="A916" s="1919"/>
      <c r="B916" s="1960"/>
      <c r="C916" s="1960"/>
      <c r="D916" s="1960"/>
      <c r="E916" s="1960"/>
      <c r="F916" s="1960"/>
      <c r="G916" s="1960"/>
      <c r="V916" s="1960"/>
      <c r="W916" s="1960"/>
      <c r="X916" s="1919"/>
      <c r="Y916" s="1919"/>
      <c r="Z916" s="1919"/>
    </row>
    <row r="917" spans="1:26">
      <c r="A917" s="1919"/>
      <c r="B917" s="1960"/>
      <c r="C917" s="1960"/>
      <c r="D917" s="1960"/>
      <c r="E917" s="1960"/>
      <c r="F917" s="1960"/>
      <c r="G917" s="1960"/>
      <c r="V917" s="1960"/>
      <c r="W917" s="1960"/>
      <c r="X917" s="1919"/>
      <c r="Y917" s="1919"/>
      <c r="Z917" s="1919"/>
    </row>
    <row r="918" spans="1:26">
      <c r="A918" s="1919"/>
      <c r="B918" s="1960"/>
      <c r="C918" s="1960"/>
      <c r="D918" s="1960"/>
      <c r="E918" s="1960"/>
      <c r="F918" s="1960"/>
      <c r="G918" s="1960"/>
      <c r="V918" s="1960"/>
      <c r="W918" s="1960"/>
      <c r="X918" s="1919"/>
      <c r="Y918" s="1919"/>
      <c r="Z918" s="1919"/>
    </row>
    <row r="919" spans="1:26">
      <c r="A919" s="1919"/>
      <c r="B919" s="1960"/>
      <c r="C919" s="1960"/>
      <c r="D919" s="1960"/>
      <c r="E919" s="1960"/>
      <c r="F919" s="1960"/>
      <c r="G919" s="1960"/>
      <c r="V919" s="1960"/>
      <c r="W919" s="1960"/>
      <c r="X919" s="1919"/>
      <c r="Y919" s="1919"/>
      <c r="Z919" s="1919"/>
    </row>
    <row r="920" spans="1:26">
      <c r="A920" s="1919"/>
      <c r="B920" s="1960"/>
      <c r="C920" s="1960"/>
      <c r="D920" s="1960"/>
      <c r="E920" s="1960"/>
      <c r="F920" s="1960"/>
      <c r="G920" s="1960"/>
      <c r="V920" s="1960"/>
      <c r="W920" s="1960"/>
      <c r="X920" s="1919"/>
      <c r="Y920" s="1919"/>
      <c r="Z920" s="1919"/>
    </row>
    <row r="921" spans="1:26">
      <c r="A921" s="1919"/>
      <c r="B921" s="1960"/>
      <c r="C921" s="1960"/>
      <c r="D921" s="1960"/>
      <c r="E921" s="1960"/>
      <c r="F921" s="1960"/>
      <c r="G921" s="1960"/>
      <c r="V921" s="1960"/>
      <c r="W921" s="1960"/>
      <c r="X921" s="1919"/>
      <c r="Y921" s="1919"/>
      <c r="Z921" s="1919"/>
    </row>
    <row r="922" spans="1:26">
      <c r="A922" s="1919"/>
      <c r="B922" s="1960"/>
      <c r="C922" s="1960"/>
      <c r="D922" s="1960"/>
      <c r="E922" s="1960"/>
      <c r="F922" s="1960"/>
      <c r="G922" s="1960"/>
      <c r="V922" s="1960"/>
      <c r="W922" s="1960"/>
      <c r="X922" s="1919"/>
      <c r="Y922" s="1919"/>
      <c r="Z922" s="1919"/>
    </row>
    <row r="923" spans="1:26">
      <c r="A923" s="1919"/>
      <c r="B923" s="1960"/>
      <c r="C923" s="1960"/>
      <c r="D923" s="1960"/>
      <c r="E923" s="1960"/>
      <c r="F923" s="1960"/>
      <c r="G923" s="1960"/>
      <c r="V923" s="1960"/>
      <c r="W923" s="1960"/>
      <c r="X923" s="1919"/>
      <c r="Y923" s="1919"/>
      <c r="Z923" s="1919"/>
    </row>
    <row r="924" spans="1:26">
      <c r="A924" s="1919"/>
      <c r="B924" s="1960"/>
      <c r="C924" s="1960"/>
      <c r="D924" s="1960"/>
      <c r="E924" s="1960"/>
      <c r="F924" s="1960"/>
      <c r="G924" s="1960"/>
      <c r="V924" s="1960"/>
      <c r="W924" s="1960"/>
      <c r="X924" s="1919"/>
      <c r="Y924" s="1919"/>
      <c r="Z924" s="1919"/>
    </row>
    <row r="925" spans="1:26">
      <c r="A925" s="1919"/>
      <c r="B925" s="1960"/>
      <c r="C925" s="1960"/>
      <c r="D925" s="1960"/>
      <c r="E925" s="1960"/>
      <c r="F925" s="1960"/>
      <c r="G925" s="1960"/>
      <c r="V925" s="1960"/>
      <c r="W925" s="1960"/>
      <c r="X925" s="1919"/>
      <c r="Y925" s="1919"/>
      <c r="Z925" s="1919"/>
    </row>
    <row r="926" spans="1:26">
      <c r="A926" s="1919"/>
      <c r="B926" s="1960"/>
      <c r="C926" s="1960"/>
      <c r="D926" s="1960"/>
      <c r="E926" s="1960"/>
      <c r="F926" s="1960"/>
      <c r="G926" s="1960"/>
      <c r="V926" s="1960"/>
      <c r="W926" s="1960"/>
      <c r="X926" s="1919"/>
      <c r="Y926" s="1919"/>
      <c r="Z926" s="1919"/>
    </row>
    <row r="927" spans="1:26">
      <c r="A927" s="1919"/>
      <c r="B927" s="1960"/>
      <c r="C927" s="1960"/>
      <c r="D927" s="1960"/>
      <c r="E927" s="1960"/>
      <c r="F927" s="1960"/>
      <c r="G927" s="1960"/>
      <c r="V927" s="1960"/>
      <c r="W927" s="1960"/>
      <c r="X927" s="1919"/>
      <c r="Y927" s="1919"/>
      <c r="Z927" s="1919"/>
    </row>
    <row r="928" spans="1:26">
      <c r="A928" s="1919"/>
      <c r="B928" s="1960"/>
      <c r="C928" s="1960"/>
      <c r="D928" s="1960"/>
      <c r="E928" s="1960"/>
      <c r="F928" s="1960"/>
      <c r="G928" s="1960"/>
      <c r="V928" s="1960"/>
      <c r="W928" s="1960"/>
      <c r="X928" s="1919"/>
      <c r="Y928" s="1919"/>
      <c r="Z928" s="1919"/>
    </row>
    <row r="929" spans="1:26">
      <c r="A929" s="1919"/>
      <c r="B929" s="1960"/>
      <c r="C929" s="1960"/>
      <c r="D929" s="1960"/>
      <c r="E929" s="1960"/>
      <c r="F929" s="1960"/>
      <c r="G929" s="1960"/>
      <c r="V929" s="1960"/>
      <c r="W929" s="1960"/>
      <c r="X929" s="1919"/>
      <c r="Y929" s="1919"/>
      <c r="Z929" s="1919"/>
    </row>
    <row r="930" spans="1:26">
      <c r="A930" s="1919"/>
      <c r="B930" s="1960"/>
      <c r="C930" s="1960"/>
      <c r="D930" s="1960"/>
      <c r="E930" s="1960"/>
      <c r="F930" s="1960"/>
      <c r="G930" s="1960"/>
      <c r="V930" s="1960"/>
      <c r="W930" s="1960"/>
      <c r="X930" s="1919"/>
      <c r="Y930" s="1919"/>
      <c r="Z930" s="1919"/>
    </row>
    <row r="931" spans="1:26">
      <c r="A931" s="1919"/>
      <c r="B931" s="1960"/>
      <c r="C931" s="1960"/>
      <c r="D931" s="1960"/>
      <c r="E931" s="1960"/>
      <c r="F931" s="1960"/>
      <c r="G931" s="1960"/>
      <c r="V931" s="1960"/>
      <c r="W931" s="1960"/>
      <c r="X931" s="1919"/>
      <c r="Y931" s="1919"/>
      <c r="Z931" s="1919"/>
    </row>
    <row r="932" spans="1:26">
      <c r="A932" s="1919"/>
      <c r="B932" s="1960"/>
      <c r="C932" s="1960"/>
      <c r="D932" s="1960"/>
      <c r="E932" s="1960"/>
      <c r="F932" s="1960"/>
      <c r="G932" s="1960"/>
      <c r="V932" s="1960"/>
      <c r="W932" s="1960"/>
      <c r="X932" s="1919"/>
      <c r="Y932" s="1919"/>
      <c r="Z932" s="1919"/>
    </row>
    <row r="933" spans="1:26">
      <c r="A933" s="1919"/>
      <c r="B933" s="1960"/>
      <c r="C933" s="1960"/>
      <c r="D933" s="1960"/>
      <c r="E933" s="1960"/>
      <c r="F933" s="1960"/>
      <c r="G933" s="1960"/>
      <c r="V933" s="1960"/>
      <c r="W933" s="1960"/>
      <c r="X933" s="1919"/>
      <c r="Y933" s="1919"/>
      <c r="Z933" s="1919"/>
    </row>
    <row r="934" spans="1:26">
      <c r="A934" s="1919"/>
      <c r="B934" s="1960"/>
      <c r="C934" s="1960"/>
      <c r="D934" s="1960"/>
      <c r="E934" s="1960"/>
      <c r="F934" s="1960"/>
      <c r="G934" s="1960"/>
      <c r="V934" s="1960"/>
      <c r="W934" s="1960"/>
      <c r="X934" s="1919"/>
      <c r="Y934" s="1919"/>
      <c r="Z934" s="1919"/>
    </row>
    <row r="935" spans="1:26">
      <c r="A935" s="1919"/>
      <c r="B935" s="1960"/>
      <c r="C935" s="1960"/>
      <c r="D935" s="1960"/>
      <c r="E935" s="1960"/>
      <c r="F935" s="1960"/>
      <c r="G935" s="1960"/>
      <c r="V935" s="1960"/>
      <c r="W935" s="1960"/>
      <c r="X935" s="1919"/>
      <c r="Y935" s="1919"/>
      <c r="Z935" s="1919"/>
    </row>
    <row r="936" spans="1:26">
      <c r="A936" s="1919"/>
      <c r="B936" s="1960"/>
      <c r="C936" s="1960"/>
      <c r="D936" s="1960"/>
      <c r="E936" s="1960"/>
      <c r="F936" s="1960"/>
      <c r="G936" s="1960"/>
      <c r="V936" s="1960"/>
      <c r="W936" s="1960"/>
      <c r="X936" s="1919"/>
      <c r="Y936" s="1919"/>
      <c r="Z936" s="1919"/>
    </row>
    <row r="937" spans="1:26">
      <c r="A937" s="1919"/>
      <c r="B937" s="1960"/>
      <c r="C937" s="1960"/>
      <c r="D937" s="1960"/>
      <c r="E937" s="1960"/>
      <c r="F937" s="1960"/>
      <c r="G937" s="1960"/>
      <c r="V937" s="1960"/>
      <c r="W937" s="1960"/>
      <c r="X937" s="1919"/>
      <c r="Y937" s="1919"/>
      <c r="Z937" s="1919"/>
    </row>
    <row r="938" spans="1:26">
      <c r="A938" s="1919"/>
      <c r="B938" s="1960"/>
      <c r="C938" s="1960"/>
      <c r="D938" s="1960"/>
      <c r="E938" s="1960"/>
      <c r="F938" s="1960"/>
      <c r="G938" s="1960"/>
      <c r="V938" s="1960"/>
      <c r="W938" s="1960"/>
      <c r="X938" s="1919"/>
      <c r="Y938" s="1919"/>
      <c r="Z938" s="1919"/>
    </row>
    <row r="939" spans="1:26">
      <c r="A939" s="1919"/>
      <c r="B939" s="1960"/>
      <c r="C939" s="1960"/>
      <c r="D939" s="1960"/>
      <c r="E939" s="1960"/>
      <c r="F939" s="1960"/>
      <c r="G939" s="1960"/>
      <c r="V939" s="1960"/>
      <c r="W939" s="1960"/>
      <c r="X939" s="1919"/>
      <c r="Y939" s="1919"/>
      <c r="Z939" s="1919"/>
    </row>
    <row r="940" spans="1:26">
      <c r="A940" s="1919"/>
      <c r="B940" s="1960"/>
      <c r="C940" s="1960"/>
      <c r="D940" s="1960"/>
      <c r="E940" s="1960"/>
      <c r="F940" s="1960"/>
      <c r="G940" s="1960"/>
      <c r="V940" s="1960"/>
      <c r="W940" s="1960"/>
      <c r="X940" s="1919"/>
      <c r="Y940" s="1919"/>
      <c r="Z940" s="1919"/>
    </row>
    <row r="941" spans="1:26">
      <c r="A941" s="1919"/>
      <c r="B941" s="1960"/>
      <c r="C941" s="1960"/>
      <c r="D941" s="1960"/>
      <c r="E941" s="1960"/>
      <c r="F941" s="1960"/>
      <c r="G941" s="1960"/>
      <c r="V941" s="1960"/>
      <c r="W941" s="1960"/>
      <c r="X941" s="1919"/>
      <c r="Y941" s="1919"/>
      <c r="Z941" s="1919"/>
    </row>
    <row r="942" spans="1:26">
      <c r="A942" s="1919"/>
      <c r="B942" s="1960"/>
      <c r="C942" s="1960"/>
      <c r="D942" s="1960"/>
      <c r="E942" s="1960"/>
      <c r="F942" s="1960"/>
      <c r="G942" s="1960"/>
      <c r="V942" s="1960"/>
      <c r="W942" s="1960"/>
      <c r="X942" s="1919"/>
      <c r="Y942" s="1919"/>
      <c r="Z942" s="1919"/>
    </row>
    <row r="943" spans="1:26">
      <c r="A943" s="1919"/>
      <c r="B943" s="1960"/>
      <c r="C943" s="1960"/>
      <c r="D943" s="1960"/>
      <c r="E943" s="1960"/>
      <c r="F943" s="1960"/>
      <c r="G943" s="1960"/>
      <c r="V943" s="1960"/>
      <c r="W943" s="1960"/>
      <c r="X943" s="1919"/>
      <c r="Y943" s="1919"/>
      <c r="Z943" s="1919"/>
    </row>
    <row r="944" spans="1:26">
      <c r="A944" s="1919"/>
      <c r="B944" s="1960"/>
      <c r="C944" s="1960"/>
      <c r="D944" s="1960"/>
      <c r="E944" s="1960"/>
      <c r="F944" s="1960"/>
      <c r="G944" s="1960"/>
      <c r="V944" s="1960"/>
      <c r="W944" s="1960"/>
      <c r="X944" s="1919"/>
      <c r="Y944" s="1919"/>
      <c r="Z944" s="1919"/>
    </row>
    <row r="945" spans="1:26">
      <c r="A945" s="1919"/>
      <c r="B945" s="1960"/>
      <c r="C945" s="1960"/>
      <c r="D945" s="1960"/>
      <c r="E945" s="1960"/>
      <c r="F945" s="1960"/>
      <c r="G945" s="1960"/>
      <c r="V945" s="1960"/>
      <c r="W945" s="1960"/>
      <c r="X945" s="1919"/>
      <c r="Y945" s="1919"/>
      <c r="Z945" s="1919"/>
    </row>
    <row r="946" spans="1:26">
      <c r="A946" s="1919"/>
      <c r="B946" s="1960"/>
      <c r="C946" s="1960"/>
      <c r="D946" s="1960"/>
      <c r="E946" s="1960"/>
      <c r="F946" s="1960"/>
      <c r="G946" s="1960"/>
      <c r="V946" s="1960"/>
      <c r="W946" s="1960"/>
      <c r="X946" s="1919"/>
      <c r="Y946" s="1919"/>
      <c r="Z946" s="1919"/>
    </row>
    <row r="947" spans="1:26">
      <c r="A947" s="1919"/>
      <c r="B947" s="1960"/>
      <c r="C947" s="1960"/>
      <c r="D947" s="1960"/>
      <c r="E947" s="1960"/>
      <c r="F947" s="1960"/>
      <c r="G947" s="1960"/>
      <c r="V947" s="1960"/>
      <c r="W947" s="1960"/>
      <c r="X947" s="1919"/>
      <c r="Y947" s="1919"/>
      <c r="Z947" s="1919"/>
    </row>
    <row r="948" spans="1:26">
      <c r="A948" s="1919"/>
      <c r="B948" s="1960"/>
      <c r="C948" s="1960"/>
      <c r="D948" s="1960"/>
      <c r="E948" s="1960"/>
      <c r="F948" s="1960"/>
      <c r="G948" s="1960"/>
      <c r="V948" s="1960"/>
      <c r="W948" s="1960"/>
      <c r="X948" s="1919"/>
      <c r="Y948" s="1919"/>
      <c r="Z948" s="1919"/>
    </row>
    <row r="949" spans="1:26">
      <c r="A949" s="1919"/>
      <c r="B949" s="1960"/>
      <c r="C949" s="1960"/>
      <c r="D949" s="1960"/>
      <c r="E949" s="1960"/>
      <c r="F949" s="1960"/>
      <c r="G949" s="1960"/>
      <c r="V949" s="1960"/>
      <c r="W949" s="1960"/>
      <c r="X949" s="1919"/>
      <c r="Y949" s="1919"/>
      <c r="Z949" s="1919"/>
    </row>
    <row r="950" spans="1:26">
      <c r="A950" s="1919"/>
      <c r="B950" s="1960"/>
      <c r="C950" s="1960"/>
      <c r="D950" s="1960"/>
      <c r="E950" s="1960"/>
      <c r="F950" s="1960"/>
      <c r="G950" s="1960"/>
      <c r="V950" s="1960"/>
      <c r="W950" s="1960"/>
      <c r="X950" s="1919"/>
      <c r="Y950" s="1919"/>
      <c r="Z950" s="1919"/>
    </row>
    <row r="951" spans="1:26">
      <c r="A951" s="1919"/>
      <c r="B951" s="1960"/>
      <c r="C951" s="1960"/>
      <c r="D951" s="1960"/>
      <c r="E951" s="1960"/>
      <c r="F951" s="1960"/>
      <c r="G951" s="1960"/>
      <c r="V951" s="1960"/>
      <c r="W951" s="1960"/>
      <c r="X951" s="1919"/>
      <c r="Y951" s="1919"/>
      <c r="Z951" s="1919"/>
    </row>
    <row r="952" spans="1:26">
      <c r="A952" s="1919"/>
      <c r="B952" s="1960"/>
      <c r="C952" s="1960"/>
      <c r="D952" s="1960"/>
      <c r="E952" s="1960"/>
      <c r="F952" s="1960"/>
      <c r="G952" s="1960"/>
      <c r="V952" s="1960"/>
      <c r="W952" s="1960"/>
      <c r="X952" s="1919"/>
      <c r="Y952" s="1919"/>
      <c r="Z952" s="1919"/>
    </row>
    <row r="953" spans="1:26">
      <c r="A953" s="1919"/>
      <c r="B953" s="1960"/>
      <c r="C953" s="1960"/>
      <c r="D953" s="1960"/>
      <c r="E953" s="1960"/>
      <c r="F953" s="1960"/>
      <c r="G953" s="1960"/>
      <c r="V953" s="1960"/>
      <c r="W953" s="1960"/>
      <c r="X953" s="1919"/>
      <c r="Y953" s="1919"/>
      <c r="Z953" s="1919"/>
    </row>
    <row r="954" spans="1:26">
      <c r="A954" s="1919"/>
      <c r="B954" s="1960"/>
      <c r="C954" s="1960"/>
      <c r="D954" s="1960"/>
      <c r="E954" s="1960"/>
      <c r="F954" s="1960"/>
      <c r="G954" s="1960"/>
      <c r="V954" s="1960"/>
      <c r="W954" s="1960"/>
      <c r="X954" s="1919"/>
      <c r="Y954" s="1919"/>
      <c r="Z954" s="1919"/>
    </row>
    <row r="955" spans="1:26">
      <c r="A955" s="1919"/>
      <c r="B955" s="1960"/>
      <c r="C955" s="1960"/>
      <c r="D955" s="1960"/>
      <c r="E955" s="1960"/>
      <c r="F955" s="1960"/>
      <c r="G955" s="1960"/>
      <c r="V955" s="1960"/>
      <c r="W955" s="1960"/>
      <c r="X955" s="1919"/>
      <c r="Y955" s="1919"/>
      <c r="Z955" s="1919"/>
    </row>
    <row r="956" spans="1:26">
      <c r="A956" s="1919"/>
      <c r="B956" s="1960"/>
      <c r="C956" s="1960"/>
      <c r="D956" s="1960"/>
      <c r="E956" s="1960"/>
      <c r="F956" s="1960"/>
      <c r="G956" s="1960"/>
      <c r="V956" s="1960"/>
      <c r="W956" s="1960"/>
      <c r="X956" s="1919"/>
      <c r="Y956" s="1919"/>
      <c r="Z956" s="1919"/>
    </row>
    <row r="957" spans="1:26">
      <c r="A957" s="1919"/>
      <c r="B957" s="1960"/>
      <c r="C957" s="1960"/>
      <c r="D957" s="1960"/>
      <c r="E957" s="1960"/>
      <c r="F957" s="1960"/>
      <c r="G957" s="1960"/>
      <c r="V957" s="1960"/>
      <c r="W957" s="1960"/>
      <c r="X957" s="1919"/>
      <c r="Y957" s="1919"/>
      <c r="Z957" s="1919"/>
    </row>
    <row r="958" spans="1:26">
      <c r="A958" s="1919"/>
      <c r="B958" s="1960"/>
      <c r="C958" s="1960"/>
      <c r="D958" s="1960"/>
      <c r="E958" s="1960"/>
      <c r="F958" s="1960"/>
      <c r="G958" s="1960"/>
      <c r="V958" s="1960"/>
      <c r="W958" s="1960"/>
      <c r="X958" s="1919"/>
      <c r="Y958" s="1919"/>
      <c r="Z958" s="1919"/>
    </row>
    <row r="959" spans="1:26">
      <c r="A959" s="1919"/>
      <c r="B959" s="1960"/>
      <c r="C959" s="1960"/>
      <c r="D959" s="1960"/>
      <c r="E959" s="1960"/>
      <c r="F959" s="1960"/>
      <c r="G959" s="1960"/>
      <c r="V959" s="1960"/>
      <c r="W959" s="1960"/>
      <c r="X959" s="1919"/>
      <c r="Y959" s="1919"/>
      <c r="Z959" s="1919"/>
    </row>
    <row r="960" spans="1:26">
      <c r="A960" s="1919"/>
      <c r="B960" s="1960"/>
      <c r="C960" s="1960"/>
      <c r="D960" s="1960"/>
      <c r="E960" s="1960"/>
      <c r="F960" s="1960"/>
      <c r="G960" s="1960"/>
      <c r="V960" s="1960"/>
      <c r="W960" s="1960"/>
      <c r="X960" s="1919"/>
      <c r="Y960" s="1919"/>
      <c r="Z960" s="1919"/>
    </row>
    <row r="961" spans="1:26">
      <c r="A961" s="1919"/>
      <c r="B961" s="1960"/>
      <c r="C961" s="1960"/>
      <c r="D961" s="1960"/>
      <c r="E961" s="1960"/>
      <c r="F961" s="1960"/>
      <c r="G961" s="1960"/>
      <c r="V961" s="1960"/>
      <c r="W961" s="1960"/>
      <c r="X961" s="1919"/>
      <c r="Y961" s="1919"/>
      <c r="Z961" s="1919"/>
    </row>
    <row r="962" spans="1:26">
      <c r="A962" s="1919"/>
      <c r="B962" s="1960"/>
      <c r="C962" s="1960"/>
      <c r="D962" s="1960"/>
      <c r="E962" s="1960"/>
      <c r="F962" s="1960"/>
      <c r="G962" s="1960"/>
      <c r="V962" s="1960"/>
      <c r="W962" s="1960"/>
      <c r="X962" s="1919"/>
      <c r="Y962" s="1919"/>
      <c r="Z962" s="1919"/>
    </row>
    <row r="963" spans="1:26">
      <c r="A963" s="1919"/>
      <c r="B963" s="1960"/>
      <c r="C963" s="1960"/>
      <c r="D963" s="1960"/>
      <c r="E963" s="1960"/>
      <c r="F963" s="1960"/>
      <c r="G963" s="1960"/>
      <c r="V963" s="1960"/>
      <c r="W963" s="1960"/>
      <c r="X963" s="1919"/>
      <c r="Y963" s="1919"/>
      <c r="Z963" s="1919"/>
    </row>
    <row r="964" spans="1:26">
      <c r="A964" s="1919"/>
      <c r="B964" s="1960"/>
      <c r="C964" s="1960"/>
      <c r="D964" s="1960"/>
      <c r="E964" s="1960"/>
      <c r="F964" s="1960"/>
      <c r="G964" s="1960"/>
      <c r="V964" s="1960"/>
      <c r="W964" s="1960"/>
      <c r="X964" s="1919"/>
      <c r="Y964" s="1919"/>
      <c r="Z964" s="1919"/>
    </row>
    <row r="965" spans="1:26">
      <c r="A965" s="1919"/>
      <c r="B965" s="1960"/>
      <c r="C965" s="1960"/>
      <c r="D965" s="1960"/>
      <c r="E965" s="1960"/>
      <c r="F965" s="1960"/>
      <c r="G965" s="1960"/>
      <c r="V965" s="1960"/>
      <c r="W965" s="1960"/>
      <c r="X965" s="1919"/>
      <c r="Y965" s="1919"/>
      <c r="Z965" s="1919"/>
    </row>
    <row r="966" spans="1:26">
      <c r="A966" s="1919"/>
      <c r="B966" s="1960"/>
      <c r="C966" s="1960"/>
      <c r="D966" s="1960"/>
      <c r="E966" s="1960"/>
      <c r="F966" s="1960"/>
      <c r="G966" s="1960"/>
      <c r="V966" s="1960"/>
      <c r="W966" s="1960"/>
      <c r="X966" s="1919"/>
      <c r="Y966" s="1919"/>
      <c r="Z966" s="1919"/>
    </row>
    <row r="967" spans="1:26">
      <c r="A967" s="1919"/>
      <c r="B967" s="1960"/>
      <c r="C967" s="1960"/>
      <c r="D967" s="1960"/>
      <c r="E967" s="1960"/>
      <c r="F967" s="1960"/>
      <c r="G967" s="1960"/>
      <c r="V967" s="1960"/>
      <c r="W967" s="1960"/>
      <c r="X967" s="1919"/>
      <c r="Y967" s="1919"/>
      <c r="Z967" s="1919"/>
    </row>
    <row r="968" spans="1:26">
      <c r="A968" s="1919"/>
      <c r="B968" s="1960"/>
      <c r="C968" s="1960"/>
      <c r="D968" s="1960"/>
      <c r="E968" s="1960"/>
      <c r="F968" s="1960"/>
      <c r="G968" s="1960"/>
      <c r="V968" s="1960"/>
      <c r="W968" s="1960"/>
      <c r="X968" s="1919"/>
      <c r="Y968" s="1919"/>
      <c r="Z968" s="1919"/>
    </row>
    <row r="969" spans="1:26">
      <c r="A969" s="1919"/>
      <c r="B969" s="1960"/>
      <c r="C969" s="1960"/>
      <c r="D969" s="1960"/>
      <c r="E969" s="1960"/>
      <c r="F969" s="1960"/>
      <c r="G969" s="1960"/>
      <c r="V969" s="1960"/>
      <c r="W969" s="1960"/>
      <c r="X969" s="1919"/>
      <c r="Y969" s="1919"/>
      <c r="Z969" s="1919"/>
    </row>
    <row r="970" spans="1:26">
      <c r="A970" s="1919"/>
      <c r="B970" s="1960"/>
      <c r="C970" s="1960"/>
      <c r="D970" s="1960"/>
      <c r="E970" s="1960"/>
      <c r="F970" s="1960"/>
      <c r="G970" s="1960"/>
      <c r="V970" s="1960"/>
      <c r="W970" s="1960"/>
      <c r="X970" s="1919"/>
      <c r="Y970" s="1919"/>
      <c r="Z970" s="1919"/>
    </row>
    <row r="971" spans="1:26">
      <c r="A971" s="1919"/>
      <c r="B971" s="1960"/>
      <c r="C971" s="1960"/>
      <c r="D971" s="1960"/>
      <c r="E971" s="1960"/>
      <c r="F971" s="1960"/>
      <c r="G971" s="1960"/>
      <c r="V971" s="1960"/>
      <c r="W971" s="1960"/>
      <c r="X971" s="1919"/>
      <c r="Y971" s="1919"/>
      <c r="Z971" s="1919"/>
    </row>
    <row r="972" spans="1:26">
      <c r="A972" s="1919"/>
      <c r="B972" s="1960"/>
      <c r="C972" s="1960"/>
      <c r="D972" s="1960"/>
      <c r="E972" s="1960"/>
      <c r="F972" s="1960"/>
      <c r="G972" s="1960"/>
      <c r="V972" s="1960"/>
      <c r="W972" s="1960"/>
      <c r="X972" s="1919"/>
      <c r="Y972" s="1919"/>
      <c r="Z972" s="1919"/>
    </row>
    <row r="973" spans="1:26">
      <c r="A973" s="1919"/>
      <c r="B973" s="1960"/>
      <c r="C973" s="1960"/>
      <c r="D973" s="1960"/>
      <c r="E973" s="1960"/>
      <c r="F973" s="1960"/>
      <c r="G973" s="1960"/>
      <c r="V973" s="1960"/>
      <c r="W973" s="1960"/>
      <c r="X973" s="1919"/>
      <c r="Y973" s="1919"/>
      <c r="Z973" s="1919"/>
    </row>
    <row r="974" spans="1:26">
      <c r="A974" s="1919"/>
      <c r="B974" s="1960"/>
      <c r="C974" s="1960"/>
      <c r="D974" s="1960"/>
      <c r="E974" s="1960"/>
      <c r="F974" s="1960"/>
      <c r="G974" s="1960"/>
      <c r="V974" s="1960"/>
      <c r="W974" s="1960"/>
      <c r="X974" s="1919"/>
      <c r="Y974" s="1919"/>
      <c r="Z974" s="1919"/>
    </row>
    <row r="975" spans="1:26">
      <c r="A975" s="1919"/>
      <c r="B975" s="1960"/>
      <c r="C975" s="1960"/>
      <c r="D975" s="1960"/>
      <c r="E975" s="1960"/>
      <c r="F975" s="1960"/>
      <c r="G975" s="1960"/>
      <c r="V975" s="1960"/>
      <c r="W975" s="1960"/>
      <c r="X975" s="1919"/>
      <c r="Y975" s="1919"/>
      <c r="Z975" s="1919"/>
    </row>
    <row r="976" spans="1:26">
      <c r="A976" s="1919"/>
      <c r="B976" s="1960"/>
      <c r="C976" s="1960"/>
      <c r="D976" s="1960"/>
      <c r="E976" s="1960"/>
      <c r="F976" s="1960"/>
      <c r="G976" s="1960"/>
      <c r="V976" s="1960"/>
      <c r="W976" s="1960"/>
      <c r="X976" s="1919"/>
      <c r="Y976" s="1919"/>
      <c r="Z976" s="1919"/>
    </row>
    <row r="977" spans="1:26">
      <c r="A977" s="1919"/>
      <c r="B977" s="1960"/>
      <c r="C977" s="1960"/>
      <c r="D977" s="1960"/>
      <c r="E977" s="1960"/>
      <c r="F977" s="1960"/>
      <c r="G977" s="1960"/>
      <c r="V977" s="1960"/>
      <c r="W977" s="1960"/>
      <c r="X977" s="1919"/>
      <c r="Y977" s="1919"/>
      <c r="Z977" s="1919"/>
    </row>
    <row r="978" spans="1:26">
      <c r="A978" s="1919"/>
      <c r="B978" s="1960"/>
      <c r="C978" s="1960"/>
      <c r="D978" s="1960"/>
      <c r="E978" s="1960"/>
      <c r="F978" s="1960"/>
      <c r="G978" s="1960"/>
      <c r="V978" s="1960"/>
      <c r="W978" s="1960"/>
      <c r="X978" s="1919"/>
      <c r="Y978" s="1919"/>
      <c r="Z978" s="1919"/>
    </row>
    <row r="979" spans="1:26">
      <c r="A979" s="1919"/>
      <c r="B979" s="1960"/>
      <c r="C979" s="1960"/>
      <c r="D979" s="1960"/>
      <c r="E979" s="1960"/>
      <c r="F979" s="1960"/>
      <c r="G979" s="1960"/>
      <c r="V979" s="1960"/>
      <c r="W979" s="1960"/>
      <c r="X979" s="1919"/>
      <c r="Y979" s="1919"/>
      <c r="Z979" s="1919"/>
    </row>
    <row r="980" spans="1:26">
      <c r="A980" s="1919"/>
      <c r="B980" s="1960"/>
      <c r="C980" s="1960"/>
      <c r="D980" s="1960"/>
      <c r="E980" s="1960"/>
      <c r="F980" s="1960"/>
      <c r="G980" s="1960"/>
      <c r="V980" s="1960"/>
      <c r="W980" s="1960"/>
      <c r="X980" s="1919"/>
      <c r="Y980" s="1919"/>
      <c r="Z980" s="1919"/>
    </row>
    <row r="981" spans="1:26">
      <c r="A981" s="1919"/>
      <c r="B981" s="1960"/>
      <c r="C981" s="1960"/>
      <c r="D981" s="1960"/>
      <c r="E981" s="1960"/>
      <c r="F981" s="1960"/>
      <c r="G981" s="1960"/>
      <c r="V981" s="1960"/>
      <c r="W981" s="1960"/>
      <c r="X981" s="1919"/>
      <c r="Y981" s="1919"/>
      <c r="Z981" s="1919"/>
    </row>
    <row r="982" spans="1:26">
      <c r="A982" s="1919"/>
      <c r="B982" s="1960"/>
      <c r="C982" s="1960"/>
      <c r="D982" s="1960"/>
      <c r="E982" s="1960"/>
      <c r="F982" s="1960"/>
      <c r="G982" s="1960"/>
      <c r="V982" s="1960"/>
      <c r="W982" s="1960"/>
      <c r="X982" s="1919"/>
      <c r="Y982" s="1919"/>
      <c r="Z982" s="1919"/>
    </row>
    <row r="983" spans="1:26">
      <c r="A983" s="1919"/>
      <c r="B983" s="1960"/>
      <c r="C983" s="1960"/>
      <c r="D983" s="1960"/>
      <c r="E983" s="1960"/>
      <c r="F983" s="1960"/>
      <c r="G983" s="1960"/>
      <c r="V983" s="1960"/>
      <c r="W983" s="1960"/>
      <c r="X983" s="1919"/>
      <c r="Y983" s="1919"/>
      <c r="Z983" s="1919"/>
    </row>
    <row r="984" spans="1:26">
      <c r="A984" s="1919"/>
      <c r="B984" s="1960"/>
      <c r="C984" s="1960"/>
      <c r="D984" s="1960"/>
      <c r="E984" s="1960"/>
      <c r="F984" s="1960"/>
      <c r="G984" s="1960"/>
      <c r="V984" s="1960"/>
      <c r="W984" s="1960"/>
      <c r="X984" s="1919"/>
      <c r="Y984" s="1919"/>
      <c r="Z984" s="1919"/>
    </row>
    <row r="985" spans="1:26">
      <c r="A985" s="1919"/>
      <c r="B985" s="1960"/>
      <c r="C985" s="1960"/>
      <c r="D985" s="1960"/>
      <c r="E985" s="1960"/>
      <c r="F985" s="1960"/>
      <c r="G985" s="1960"/>
      <c r="V985" s="1960"/>
      <c r="W985" s="1960"/>
      <c r="X985" s="1919"/>
      <c r="Y985" s="1919"/>
      <c r="Z985" s="1919"/>
    </row>
    <row r="986" spans="1:26">
      <c r="A986" s="1919"/>
      <c r="B986" s="1960"/>
      <c r="C986" s="1960"/>
      <c r="D986" s="1960"/>
      <c r="E986" s="1960"/>
      <c r="F986" s="1960"/>
      <c r="G986" s="1960"/>
      <c r="V986" s="1960"/>
      <c r="W986" s="1960"/>
      <c r="X986" s="1919"/>
      <c r="Y986" s="1919"/>
      <c r="Z986" s="1919"/>
    </row>
    <row r="987" spans="1:26">
      <c r="A987" s="1919"/>
      <c r="B987" s="1960"/>
      <c r="C987" s="1960"/>
      <c r="D987" s="1960"/>
      <c r="E987" s="1960"/>
      <c r="F987" s="1960"/>
      <c r="G987" s="1960"/>
      <c r="V987" s="1960"/>
      <c r="W987" s="1960"/>
      <c r="X987" s="1919"/>
      <c r="Y987" s="1919"/>
      <c r="Z987" s="1919"/>
    </row>
    <row r="988" spans="1:26">
      <c r="A988" s="1919"/>
      <c r="B988" s="1960"/>
      <c r="C988" s="1960"/>
      <c r="D988" s="1960"/>
      <c r="E988" s="1960"/>
      <c r="F988" s="1960"/>
      <c r="G988" s="1960"/>
      <c r="V988" s="1960"/>
      <c r="W988" s="1960"/>
      <c r="X988" s="1919"/>
      <c r="Y988" s="1919"/>
      <c r="Z988" s="1919"/>
    </row>
    <row r="989" spans="1:26">
      <c r="A989" s="1919"/>
      <c r="B989" s="1960"/>
      <c r="C989" s="1960"/>
      <c r="D989" s="1960"/>
      <c r="E989" s="1960"/>
      <c r="F989" s="1960"/>
      <c r="G989" s="1960"/>
      <c r="V989" s="1960"/>
      <c r="W989" s="1960"/>
      <c r="X989" s="1919"/>
      <c r="Y989" s="1919"/>
      <c r="Z989" s="1919"/>
    </row>
    <row r="990" spans="1:26">
      <c r="A990" s="1919"/>
      <c r="B990" s="1960"/>
      <c r="C990" s="1960"/>
      <c r="D990" s="1960"/>
      <c r="E990" s="1960"/>
      <c r="F990" s="1960"/>
      <c r="G990" s="1960"/>
      <c r="V990" s="1960"/>
      <c r="W990" s="1960"/>
      <c r="X990" s="1919"/>
      <c r="Y990" s="1919"/>
      <c r="Z990" s="1919"/>
    </row>
    <row r="991" spans="1:26">
      <c r="A991" s="1919"/>
      <c r="B991" s="1960"/>
      <c r="C991" s="1960"/>
      <c r="D991" s="1960"/>
      <c r="E991" s="1960"/>
      <c r="F991" s="1960"/>
      <c r="G991" s="1960"/>
      <c r="V991" s="1960"/>
      <c r="W991" s="1960"/>
      <c r="X991" s="1919"/>
      <c r="Y991" s="1919"/>
      <c r="Z991" s="1919"/>
    </row>
    <row r="992" spans="1:26">
      <c r="A992" s="1919"/>
      <c r="B992" s="1960"/>
      <c r="C992" s="1960"/>
      <c r="D992" s="1960"/>
      <c r="E992" s="1960"/>
      <c r="F992" s="1960"/>
      <c r="G992" s="1960"/>
      <c r="V992" s="1960"/>
      <c r="W992" s="1960"/>
      <c r="X992" s="1919"/>
      <c r="Y992" s="1919"/>
      <c r="Z992" s="1919"/>
    </row>
    <row r="993" spans="1:26">
      <c r="A993" s="1919"/>
      <c r="B993" s="1960"/>
      <c r="C993" s="1960"/>
      <c r="D993" s="1960"/>
      <c r="E993" s="1960"/>
      <c r="F993" s="1960"/>
      <c r="G993" s="1960"/>
      <c r="V993" s="1960"/>
      <c r="W993" s="1960"/>
      <c r="X993" s="1919"/>
      <c r="Y993" s="1919"/>
      <c r="Z993" s="1919"/>
    </row>
    <row r="994" spans="1:26">
      <c r="A994" s="1919"/>
      <c r="B994" s="1960"/>
      <c r="C994" s="1960"/>
      <c r="D994" s="1960"/>
      <c r="E994" s="1960"/>
      <c r="F994" s="1960"/>
      <c r="G994" s="1960"/>
      <c r="V994" s="1960"/>
      <c r="W994" s="1960"/>
      <c r="X994" s="1919"/>
      <c r="Y994" s="1919"/>
      <c r="Z994" s="1919"/>
    </row>
    <row r="995" spans="1:26">
      <c r="A995" s="1919"/>
      <c r="B995" s="1960"/>
      <c r="C995" s="1960"/>
      <c r="D995" s="1960"/>
      <c r="E995" s="1960"/>
      <c r="F995" s="1960"/>
      <c r="G995" s="1960"/>
      <c r="V995" s="1960"/>
      <c r="W995" s="1960"/>
      <c r="X995" s="1919"/>
      <c r="Y995" s="1919"/>
      <c r="Z995" s="1919"/>
    </row>
    <row r="996" spans="1:26">
      <c r="A996" s="1919"/>
      <c r="B996" s="1960"/>
      <c r="C996" s="1960"/>
      <c r="D996" s="1960"/>
      <c r="E996" s="1960"/>
      <c r="F996" s="1960"/>
      <c r="G996" s="1960"/>
      <c r="V996" s="1960"/>
      <c r="W996" s="1960"/>
      <c r="X996" s="1919"/>
      <c r="Y996" s="1919"/>
      <c r="Z996" s="1919"/>
    </row>
    <row r="997" spans="1:26">
      <c r="A997" s="1919"/>
      <c r="B997" s="1960"/>
      <c r="C997" s="1960"/>
      <c r="D997" s="1960"/>
      <c r="E997" s="1960"/>
      <c r="F997" s="1960"/>
      <c r="G997" s="1960"/>
      <c r="V997" s="1960"/>
      <c r="W997" s="1960"/>
      <c r="X997" s="1919"/>
      <c r="Y997" s="1919"/>
      <c r="Z997" s="1919"/>
    </row>
    <row r="998" spans="1:26">
      <c r="A998" s="1919"/>
      <c r="B998" s="1960"/>
      <c r="C998" s="1960"/>
      <c r="D998" s="1960"/>
      <c r="E998" s="1960"/>
      <c r="F998" s="1960"/>
      <c r="G998" s="1960"/>
      <c r="V998" s="1960"/>
      <c r="W998" s="1960"/>
      <c r="X998" s="1919"/>
      <c r="Y998" s="1919"/>
      <c r="Z998" s="1919"/>
    </row>
    <row r="999" spans="1:26">
      <c r="A999" s="1919"/>
      <c r="B999" s="1960"/>
      <c r="C999" s="1960"/>
      <c r="D999" s="1960"/>
      <c r="E999" s="1960"/>
      <c r="F999" s="1960"/>
      <c r="G999" s="1960"/>
      <c r="V999" s="1960"/>
      <c r="W999" s="1960"/>
      <c r="X999" s="1919"/>
      <c r="Y999" s="1919"/>
      <c r="Z999" s="1919"/>
    </row>
    <row r="1000" spans="1:26">
      <c r="A1000" s="1919"/>
      <c r="B1000" s="1960"/>
      <c r="C1000" s="1960"/>
      <c r="D1000" s="1960"/>
      <c r="E1000" s="1960"/>
      <c r="F1000" s="1960"/>
      <c r="G1000" s="1960"/>
      <c r="V1000" s="1960"/>
      <c r="W1000" s="1960"/>
      <c r="X1000" s="1919"/>
      <c r="Y1000" s="1919"/>
      <c r="Z1000" s="1919"/>
    </row>
    <row r="1001" spans="1:26">
      <c r="A1001" s="1919"/>
      <c r="B1001" s="1960"/>
      <c r="C1001" s="1960"/>
      <c r="D1001" s="1960"/>
      <c r="E1001" s="1960"/>
      <c r="F1001" s="1960"/>
      <c r="G1001" s="1960"/>
      <c r="V1001" s="1960"/>
      <c r="W1001" s="1960"/>
      <c r="X1001" s="1919"/>
      <c r="Y1001" s="1919"/>
      <c r="Z1001" s="1919"/>
    </row>
    <row r="1002" spans="1:26">
      <c r="A1002" s="1919"/>
      <c r="B1002" s="1960"/>
      <c r="C1002" s="1960"/>
      <c r="D1002" s="1960"/>
      <c r="E1002" s="1960"/>
      <c r="F1002" s="1960"/>
      <c r="G1002" s="1960"/>
      <c r="V1002" s="1960"/>
      <c r="W1002" s="1960"/>
      <c r="X1002" s="1919"/>
      <c r="Y1002" s="1919"/>
      <c r="Z1002" s="1919"/>
    </row>
    <row r="1003" spans="1:26">
      <c r="A1003" s="1919"/>
      <c r="B1003" s="1960"/>
      <c r="C1003" s="1960"/>
      <c r="D1003" s="1960"/>
      <c r="E1003" s="1960"/>
      <c r="F1003" s="1960"/>
      <c r="G1003" s="1960"/>
      <c r="V1003" s="1960"/>
      <c r="W1003" s="1960"/>
      <c r="X1003" s="1919"/>
      <c r="Y1003" s="1919"/>
      <c r="Z1003" s="1919"/>
    </row>
    <row r="1004" spans="1:26">
      <c r="A1004" s="1919"/>
      <c r="B1004" s="1960"/>
      <c r="C1004" s="1960"/>
      <c r="D1004" s="1960"/>
      <c r="E1004" s="1960"/>
      <c r="F1004" s="1960"/>
      <c r="G1004" s="1960"/>
      <c r="V1004" s="1960"/>
      <c r="W1004" s="1960"/>
      <c r="X1004" s="1919"/>
      <c r="Y1004" s="1919"/>
      <c r="Z1004" s="1919"/>
    </row>
    <row r="1005" spans="1:26">
      <c r="A1005" s="1919"/>
      <c r="B1005" s="1960"/>
      <c r="C1005" s="1960"/>
      <c r="D1005" s="1960"/>
      <c r="E1005" s="1960"/>
      <c r="F1005" s="1960"/>
      <c r="G1005" s="1960"/>
      <c r="V1005" s="1960"/>
      <c r="W1005" s="1960"/>
      <c r="X1005" s="1919"/>
      <c r="Y1005" s="1919"/>
      <c r="Z1005" s="1919"/>
    </row>
    <row r="1006" spans="1:26">
      <c r="A1006" s="1919"/>
      <c r="B1006" s="1960"/>
      <c r="C1006" s="1960"/>
      <c r="D1006" s="1960"/>
      <c r="E1006" s="1960"/>
      <c r="F1006" s="1960"/>
      <c r="G1006" s="1960"/>
      <c r="V1006" s="1960"/>
      <c r="W1006" s="1960"/>
      <c r="X1006" s="1919"/>
      <c r="Y1006" s="1919"/>
      <c r="Z1006" s="1919"/>
    </row>
    <row r="1007" spans="1:26">
      <c r="A1007" s="1919"/>
      <c r="B1007" s="1960"/>
      <c r="C1007" s="1960"/>
      <c r="D1007" s="1960"/>
      <c r="E1007" s="1960"/>
      <c r="F1007" s="1960"/>
      <c r="G1007" s="1960"/>
      <c r="V1007" s="1960"/>
      <c r="W1007" s="1960"/>
      <c r="X1007" s="1919"/>
      <c r="Y1007" s="1919"/>
      <c r="Z1007" s="1919"/>
    </row>
    <row r="1008" spans="1:26">
      <c r="A1008" s="1919"/>
      <c r="B1008" s="1960"/>
      <c r="C1008" s="1960"/>
      <c r="D1008" s="1960"/>
      <c r="E1008" s="1960"/>
      <c r="F1008" s="1960"/>
      <c r="G1008" s="1960"/>
      <c r="V1008" s="1960"/>
      <c r="W1008" s="1960"/>
      <c r="X1008" s="1919"/>
      <c r="Y1008" s="1919"/>
      <c r="Z1008" s="1919"/>
    </row>
    <row r="1009" spans="1:26">
      <c r="A1009" s="1919"/>
      <c r="B1009" s="1960"/>
      <c r="C1009" s="1960"/>
      <c r="D1009" s="1960"/>
      <c r="E1009" s="1960"/>
      <c r="F1009" s="1960"/>
      <c r="G1009" s="1960"/>
      <c r="V1009" s="1960"/>
      <c r="W1009" s="1960"/>
      <c r="X1009" s="1919"/>
      <c r="Y1009" s="1919"/>
      <c r="Z1009" s="1919"/>
    </row>
    <row r="1010" spans="1:26">
      <c r="A1010" s="1919"/>
      <c r="B1010" s="1960"/>
      <c r="C1010" s="1960"/>
      <c r="D1010" s="1960"/>
      <c r="E1010" s="1960"/>
      <c r="F1010" s="1960"/>
      <c r="G1010" s="1960"/>
      <c r="V1010" s="1960"/>
      <c r="W1010" s="1960"/>
      <c r="X1010" s="1919"/>
      <c r="Y1010" s="1919"/>
      <c r="Z1010" s="1919"/>
    </row>
  </sheetData>
  <mergeCells count="43">
    <mergeCell ref="A21:B21"/>
    <mergeCell ref="A22:B22"/>
    <mergeCell ref="A25:B25"/>
    <mergeCell ref="A16:B16"/>
    <mergeCell ref="A17:B17"/>
    <mergeCell ref="A18:B18"/>
    <mergeCell ref="A19:B19"/>
    <mergeCell ref="A20:B20"/>
    <mergeCell ref="A26:B26"/>
    <mergeCell ref="A23:B23"/>
    <mergeCell ref="A24:B24"/>
    <mergeCell ref="A40:B40"/>
    <mergeCell ref="A41:B41"/>
    <mergeCell ref="A27:B27"/>
    <mergeCell ref="A44:B44"/>
    <mergeCell ref="A28:B28"/>
    <mergeCell ref="A29:B29"/>
    <mergeCell ref="A30:B30"/>
    <mergeCell ref="A31:B31"/>
    <mergeCell ref="A32:B32"/>
    <mergeCell ref="A33:B33"/>
    <mergeCell ref="A34:B34"/>
    <mergeCell ref="A35:B35"/>
    <mergeCell ref="A38:B38"/>
    <mergeCell ref="A39:B39"/>
    <mergeCell ref="A43:B43"/>
    <mergeCell ref="A36:B36"/>
    <mergeCell ref="A37:B37"/>
    <mergeCell ref="A13:B13"/>
    <mergeCell ref="A14:B14"/>
    <mergeCell ref="A1:W1"/>
    <mergeCell ref="A3:B5"/>
    <mergeCell ref="V3:V5"/>
    <mergeCell ref="W3:W5"/>
    <mergeCell ref="A6:B6"/>
    <mergeCell ref="K3:M4"/>
    <mergeCell ref="C3:J4"/>
    <mergeCell ref="A12:B12"/>
    <mergeCell ref="A7:B7"/>
    <mergeCell ref="A8:B8"/>
    <mergeCell ref="A10:B10"/>
    <mergeCell ref="A11:B11"/>
    <mergeCell ref="N3:U4"/>
  </mergeCells>
  <pageMargins left="0.35433070866141736" right="0.15748031496062992" top="0.23622047244094491" bottom="0.39370078740157483" header="0.15748031496062992" footer="0.15748031496062992"/>
  <pageSetup paperSize="9" scale="6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K663"/>
  <sheetViews>
    <sheetView showGridLines="0" view="pageBreakPreview" zoomScale="106" zoomScaleNormal="100" zoomScaleSheetLayoutView="106" workbookViewId="0">
      <pane xSplit="4" ySplit="8" topLeftCell="E9" activePane="bottomRight" state="frozen"/>
      <selection activeCell="U30" sqref="U30"/>
      <selection pane="topRight" activeCell="U30" sqref="U30"/>
      <selection pane="bottomLeft" activeCell="U30" sqref="U30"/>
      <selection pane="bottomRight" activeCell="AB340" sqref="AB340"/>
    </sheetView>
  </sheetViews>
  <sheetFormatPr defaultColWidth="9.140625" defaultRowHeight="12.75"/>
  <cols>
    <col min="1" max="1" width="3.42578125" style="1118" customWidth="1"/>
    <col min="2" max="2" width="58.7109375" style="1118" customWidth="1"/>
    <col min="3" max="3" width="11" style="1118" customWidth="1"/>
    <col min="4" max="4" width="12" style="1118" customWidth="1"/>
    <col min="5" max="5" width="7.28515625" style="1118" hidden="1" customWidth="1"/>
    <col min="6" max="12" width="10.7109375" style="1118" hidden="1" customWidth="1"/>
    <col min="13" max="13" width="10.7109375" style="1118" customWidth="1"/>
    <col min="14" max="14" width="10.7109375" style="1118" hidden="1" customWidth="1"/>
    <col min="15" max="15" width="10.7109375" style="1118" customWidth="1"/>
    <col min="16" max="16" width="11.28515625" style="1118" customWidth="1"/>
    <col min="17" max="17" width="10.7109375" style="1118" customWidth="1"/>
    <col min="18" max="18" width="10.85546875" style="1118" customWidth="1"/>
    <col min="19" max="19" width="11.28515625" style="1118" customWidth="1"/>
    <col min="20" max="20" width="10.7109375" style="1118" customWidth="1"/>
    <col min="21" max="21" width="7.42578125" style="1118" customWidth="1"/>
    <col min="22" max="23" width="7" style="1118" customWidth="1"/>
    <col min="24" max="24" width="12.7109375" style="1118" customWidth="1"/>
    <col min="25" max="25" width="12" style="1118" customWidth="1"/>
    <col min="26" max="26" width="12.42578125" style="1118" hidden="1" customWidth="1"/>
    <col min="27" max="27" width="16" style="1118" hidden="1" customWidth="1"/>
    <col min="28" max="28" width="10" style="1118" hidden="1" customWidth="1"/>
    <col min="29" max="29" width="16.42578125" style="1118" hidden="1" customWidth="1"/>
    <col min="30" max="16384" width="9.140625" style="1118"/>
  </cols>
  <sheetData>
    <row r="1" spans="1:29" ht="15.75" customHeight="1">
      <c r="O1" s="309"/>
      <c r="P1" s="309"/>
      <c r="Q1" s="309"/>
      <c r="R1" s="309"/>
      <c r="S1" s="309"/>
      <c r="T1" s="308" t="s">
        <v>86</v>
      </c>
      <c r="U1" s="308"/>
      <c r="V1" s="308"/>
      <c r="W1" s="308"/>
      <c r="X1" s="310"/>
      <c r="Y1" s="311"/>
    </row>
    <row r="2" spans="1:29" ht="15" customHeight="1"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  <c r="Y2" s="311"/>
    </row>
    <row r="3" spans="1:29" ht="9" customHeight="1"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0"/>
      <c r="Y3" s="311"/>
    </row>
    <row r="4" spans="1:29" ht="40.5" customHeight="1" thickBot="1">
      <c r="A4" s="2669" t="s">
        <v>301</v>
      </c>
      <c r="B4" s="2669"/>
      <c r="C4" s="2669"/>
      <c r="D4" s="2669"/>
      <c r="E4" s="2669"/>
      <c r="F4" s="2669"/>
      <c r="G4" s="2669"/>
      <c r="H4" s="2669"/>
      <c r="I4" s="2669"/>
      <c r="J4" s="2669"/>
      <c r="K4" s="2669"/>
      <c r="L4" s="2669"/>
      <c r="M4" s="2669"/>
      <c r="N4" s="2669"/>
      <c r="O4" s="2669"/>
      <c r="P4" s="2669"/>
      <c r="Q4" s="2669"/>
      <c r="R4" s="2669"/>
      <c r="S4" s="2669"/>
      <c r="T4" s="2669"/>
      <c r="U4" s="2669"/>
      <c r="V4" s="2669"/>
      <c r="W4" s="2669"/>
      <c r="X4" s="2669"/>
      <c r="Y4" s="2669"/>
    </row>
    <row r="5" spans="1:29" ht="17.25" customHeight="1">
      <c r="A5" s="313"/>
      <c r="B5" s="314"/>
      <c r="C5" s="2670" t="s">
        <v>87</v>
      </c>
      <c r="D5" s="2673" t="s">
        <v>88</v>
      </c>
      <c r="E5" s="1087"/>
      <c r="F5" s="1088"/>
      <c r="G5" s="1088"/>
      <c r="H5" s="1088"/>
      <c r="I5" s="1088"/>
      <c r="J5" s="1088"/>
      <c r="K5" s="1088"/>
      <c r="L5" s="1088"/>
      <c r="M5" s="2688" t="s">
        <v>363</v>
      </c>
      <c r="N5" s="1088"/>
      <c r="O5" s="2690" t="s">
        <v>375</v>
      </c>
      <c r="P5" s="2692" t="s">
        <v>370</v>
      </c>
      <c r="Q5" s="2693"/>
      <c r="R5" s="2693"/>
      <c r="S5" s="2693"/>
      <c r="T5" s="2693"/>
      <c r="U5" s="2693"/>
      <c r="V5" s="2693"/>
      <c r="W5" s="2694"/>
      <c r="X5" s="2682" t="s">
        <v>343</v>
      </c>
      <c r="Y5" s="2676" t="s">
        <v>89</v>
      </c>
    </row>
    <row r="6" spans="1:29" ht="53.25" customHeight="1">
      <c r="A6" s="1829" t="s">
        <v>90</v>
      </c>
      <c r="B6" s="2538" t="s">
        <v>91</v>
      </c>
      <c r="C6" s="2671"/>
      <c r="D6" s="2674"/>
      <c r="E6" s="824"/>
      <c r="F6" s="825"/>
      <c r="G6" s="825"/>
      <c r="H6" s="825"/>
      <c r="I6" s="825"/>
      <c r="J6" s="825"/>
      <c r="K6" s="825"/>
      <c r="L6" s="825"/>
      <c r="M6" s="2689"/>
      <c r="N6" s="825"/>
      <c r="O6" s="2691"/>
      <c r="P6" s="2695"/>
      <c r="Q6" s="2696"/>
      <c r="R6" s="2696"/>
      <c r="S6" s="2696"/>
      <c r="T6" s="2696"/>
      <c r="U6" s="2696"/>
      <c r="V6" s="2696"/>
      <c r="W6" s="2697"/>
      <c r="X6" s="2683"/>
      <c r="Y6" s="2677"/>
      <c r="Z6" s="778"/>
    </row>
    <row r="7" spans="1:29" ht="41.25" customHeight="1" thickBot="1">
      <c r="A7" s="316"/>
      <c r="B7" s="317"/>
      <c r="C7" s="2672"/>
      <c r="D7" s="2675"/>
      <c r="E7" s="1832" t="s">
        <v>6</v>
      </c>
      <c r="F7" s="318" t="s">
        <v>7</v>
      </c>
      <c r="G7" s="318" t="s">
        <v>8</v>
      </c>
      <c r="H7" s="318" t="s">
        <v>9</v>
      </c>
      <c r="I7" s="1830" t="s">
        <v>10</v>
      </c>
      <c r="J7" s="1830" t="s">
        <v>11</v>
      </c>
      <c r="K7" s="1830">
        <v>2012</v>
      </c>
      <c r="L7" s="1830">
        <v>2013</v>
      </c>
      <c r="M7" s="1054" t="s">
        <v>338</v>
      </c>
      <c r="N7" s="816" t="s">
        <v>14</v>
      </c>
      <c r="O7" s="816" t="s">
        <v>15</v>
      </c>
      <c r="P7" s="816" t="s">
        <v>16</v>
      </c>
      <c r="Q7" s="816" t="s">
        <v>17</v>
      </c>
      <c r="R7" s="816" t="s">
        <v>18</v>
      </c>
      <c r="S7" s="816" t="s">
        <v>271</v>
      </c>
      <c r="T7" s="816" t="s">
        <v>276</v>
      </c>
      <c r="U7" s="816" t="s">
        <v>340</v>
      </c>
      <c r="V7" s="816" t="s">
        <v>341</v>
      </c>
      <c r="W7" s="816" t="s">
        <v>339</v>
      </c>
      <c r="X7" s="2684"/>
      <c r="Y7" s="2678"/>
      <c r="Z7" s="778"/>
      <c r="AA7" s="778"/>
    </row>
    <row r="8" spans="1:29" s="859" customFormat="1" ht="12.75" customHeight="1" thickBot="1">
      <c r="A8" s="319">
        <v>1</v>
      </c>
      <c r="B8" s="320">
        <v>2</v>
      </c>
      <c r="C8" s="321">
        <v>3</v>
      </c>
      <c r="D8" s="322">
        <v>4</v>
      </c>
      <c r="E8" s="323"/>
      <c r="F8" s="324"/>
      <c r="G8" s="324"/>
      <c r="H8" s="324"/>
      <c r="I8" s="325"/>
      <c r="J8" s="325"/>
      <c r="K8" s="325"/>
      <c r="L8" s="326"/>
      <c r="M8" s="326">
        <v>5</v>
      </c>
      <c r="N8" s="326" t="s">
        <v>342</v>
      </c>
      <c r="O8" s="326">
        <v>6</v>
      </c>
      <c r="P8" s="326">
        <v>7</v>
      </c>
      <c r="Q8" s="326">
        <v>8</v>
      </c>
      <c r="R8" s="327">
        <v>9</v>
      </c>
      <c r="S8" s="327">
        <v>10</v>
      </c>
      <c r="T8" s="327">
        <v>11</v>
      </c>
      <c r="U8" s="327">
        <v>12</v>
      </c>
      <c r="V8" s="327">
        <v>13</v>
      </c>
      <c r="W8" s="327">
        <v>14</v>
      </c>
      <c r="X8" s="328">
        <v>15</v>
      </c>
      <c r="Y8" s="329">
        <v>16</v>
      </c>
      <c r="Z8" s="858"/>
      <c r="AA8" s="858"/>
    </row>
    <row r="9" spans="1:29" ht="14.25" customHeight="1">
      <c r="A9" s="2679" t="s">
        <v>84</v>
      </c>
      <c r="B9" s="754" t="s">
        <v>92</v>
      </c>
      <c r="C9" s="755"/>
      <c r="D9" s="756">
        <f>+D10+D11</f>
        <v>794638707</v>
      </c>
      <c r="E9" s="756">
        <f t="shared" ref="E9:R9" si="0">+E10+E11</f>
        <v>442753</v>
      </c>
      <c r="F9" s="756">
        <f t="shared" si="0"/>
        <v>49287</v>
      </c>
      <c r="G9" s="756">
        <f t="shared" si="0"/>
        <v>129117</v>
      </c>
      <c r="H9" s="756">
        <f t="shared" si="0"/>
        <v>8829</v>
      </c>
      <c r="I9" s="756">
        <f t="shared" si="0"/>
        <v>2635841</v>
      </c>
      <c r="J9" s="756">
        <f t="shared" si="0"/>
        <v>28817903</v>
      </c>
      <c r="K9" s="756">
        <f t="shared" si="0"/>
        <v>56908556</v>
      </c>
      <c r="L9" s="756">
        <f t="shared" si="0"/>
        <v>53143928</v>
      </c>
      <c r="M9" s="756">
        <f>+M10+M11</f>
        <v>209399440</v>
      </c>
      <c r="N9" s="756">
        <f t="shared" si="0"/>
        <v>67450459</v>
      </c>
      <c r="O9" s="756">
        <f t="shared" si="0"/>
        <v>39088758</v>
      </c>
      <c r="P9" s="756">
        <f t="shared" si="0"/>
        <v>72292040</v>
      </c>
      <c r="Q9" s="756">
        <f t="shared" si="0"/>
        <v>305243240</v>
      </c>
      <c r="R9" s="756">
        <f t="shared" si="0"/>
        <v>147053784</v>
      </c>
      <c r="S9" s="756">
        <f t="shared" ref="S9:X9" si="1">+S10+S11</f>
        <v>7721445</v>
      </c>
      <c r="T9" s="756">
        <f t="shared" si="1"/>
        <v>13840000</v>
      </c>
      <c r="U9" s="756">
        <f t="shared" si="1"/>
        <v>0</v>
      </c>
      <c r="V9" s="756">
        <f t="shared" si="1"/>
        <v>0</v>
      </c>
      <c r="W9" s="756">
        <f t="shared" si="1"/>
        <v>0</v>
      </c>
      <c r="X9" s="330">
        <f t="shared" si="1"/>
        <v>546150509</v>
      </c>
      <c r="Y9" s="1122"/>
      <c r="Z9" s="778">
        <f>+O9+P9</f>
        <v>111380798</v>
      </c>
    </row>
    <row r="10" spans="1:29" ht="14.25" customHeight="1">
      <c r="A10" s="2680"/>
      <c r="B10" s="757" t="s">
        <v>93</v>
      </c>
      <c r="C10" s="758"/>
      <c r="D10" s="759">
        <f>+D509+D527+D460</f>
        <v>452222</v>
      </c>
      <c r="E10" s="759">
        <f t="shared" ref="E10:W10" si="2">+E509+E527+E460</f>
        <v>0</v>
      </c>
      <c r="F10" s="759">
        <f t="shared" si="2"/>
        <v>0</v>
      </c>
      <c r="G10" s="759">
        <f t="shared" si="2"/>
        <v>0</v>
      </c>
      <c r="H10" s="759">
        <f t="shared" si="2"/>
        <v>0</v>
      </c>
      <c r="I10" s="759">
        <f t="shared" si="2"/>
        <v>0</v>
      </c>
      <c r="J10" s="759">
        <f t="shared" si="2"/>
        <v>0</v>
      </c>
      <c r="K10" s="759">
        <f t="shared" si="2"/>
        <v>0</v>
      </c>
      <c r="L10" s="759">
        <f t="shared" si="2"/>
        <v>0</v>
      </c>
      <c r="M10" s="759">
        <f t="shared" si="2"/>
        <v>0</v>
      </c>
      <c r="N10" s="759">
        <f t="shared" si="2"/>
        <v>0</v>
      </c>
      <c r="O10" s="759">
        <f t="shared" si="2"/>
        <v>0</v>
      </c>
      <c r="P10" s="759">
        <f t="shared" si="2"/>
        <v>48546</v>
      </c>
      <c r="Q10" s="759">
        <f t="shared" si="2"/>
        <v>266706</v>
      </c>
      <c r="R10" s="759">
        <f t="shared" si="2"/>
        <v>115385</v>
      </c>
      <c r="S10" s="759">
        <f>+S509+S527+S460</f>
        <v>21585</v>
      </c>
      <c r="T10" s="759">
        <f t="shared" si="2"/>
        <v>0</v>
      </c>
      <c r="U10" s="759">
        <f t="shared" si="2"/>
        <v>0</v>
      </c>
      <c r="V10" s="759">
        <f t="shared" si="2"/>
        <v>0</v>
      </c>
      <c r="W10" s="759">
        <f t="shared" si="2"/>
        <v>0</v>
      </c>
      <c r="X10" s="1123">
        <f>SUM(P10:W10)</f>
        <v>452222</v>
      </c>
      <c r="Y10" s="770"/>
    </row>
    <row r="11" spans="1:29" ht="14.25" customHeight="1" thickBot="1">
      <c r="A11" s="2680"/>
      <c r="B11" s="760" t="s">
        <v>21</v>
      </c>
      <c r="C11" s="761"/>
      <c r="D11" s="762">
        <f>+D54+D224+D68+D82+D251+D98+D112+D267+D367+D331+D124+D133+D343+D145+D157+D168+D177+D189+D198+D239+D207+D393+D491+D355+D214+D403+D279+D291+D303+D315+D412+D424+D433+D442+D451+D327</f>
        <v>794186485</v>
      </c>
      <c r="E11" s="762">
        <f t="shared" ref="E11:W11" si="3">+E54+E224+E68+E82+E251+E98+E112+E267+E367+E331+E124+E133+E343+E145+E157+E168+E177+E189+E198+E239+E207+E393+E491+E355+E214+E403+E279+E291+E303+E315+E412+E424+E433+E442+E451+E327</f>
        <v>442753</v>
      </c>
      <c r="F11" s="762">
        <f t="shared" si="3"/>
        <v>49287</v>
      </c>
      <c r="G11" s="762">
        <f t="shared" si="3"/>
        <v>129117</v>
      </c>
      <c r="H11" s="762">
        <f t="shared" si="3"/>
        <v>8829</v>
      </c>
      <c r="I11" s="762">
        <f t="shared" si="3"/>
        <v>2635841</v>
      </c>
      <c r="J11" s="762">
        <f t="shared" si="3"/>
        <v>28817903</v>
      </c>
      <c r="K11" s="762">
        <f t="shared" si="3"/>
        <v>56908556</v>
      </c>
      <c r="L11" s="762">
        <f t="shared" si="3"/>
        <v>53143928</v>
      </c>
      <c r="M11" s="762">
        <f t="shared" si="3"/>
        <v>209399440</v>
      </c>
      <c r="N11" s="762">
        <f t="shared" si="3"/>
        <v>67450459</v>
      </c>
      <c r="O11" s="762">
        <f t="shared" si="3"/>
        <v>39088758</v>
      </c>
      <c r="P11" s="762">
        <f t="shared" si="3"/>
        <v>72243494</v>
      </c>
      <c r="Q11" s="762">
        <f t="shared" si="3"/>
        <v>304976534</v>
      </c>
      <c r="R11" s="762">
        <f t="shared" si="3"/>
        <v>146938399</v>
      </c>
      <c r="S11" s="762">
        <f t="shared" si="3"/>
        <v>7699860</v>
      </c>
      <c r="T11" s="762">
        <f t="shared" si="3"/>
        <v>13840000</v>
      </c>
      <c r="U11" s="762">
        <f t="shared" si="3"/>
        <v>0</v>
      </c>
      <c r="V11" s="762">
        <f t="shared" si="3"/>
        <v>0</v>
      </c>
      <c r="W11" s="762">
        <f t="shared" si="3"/>
        <v>0</v>
      </c>
      <c r="X11" s="654">
        <f>SUM(P11:W11)</f>
        <v>545698287</v>
      </c>
      <c r="Y11" s="770"/>
    </row>
    <row r="12" spans="1:29" ht="13.5" customHeight="1">
      <c r="A12" s="2680"/>
      <c r="B12" s="333" t="s">
        <v>22</v>
      </c>
      <c r="C12" s="334"/>
      <c r="D12" s="335">
        <f>+D13+D19</f>
        <v>794638707</v>
      </c>
      <c r="E12" s="335">
        <f t="shared" ref="E12:P12" si="4">+E13+E19</f>
        <v>442753</v>
      </c>
      <c r="F12" s="335">
        <f t="shared" si="4"/>
        <v>49287</v>
      </c>
      <c r="G12" s="335">
        <f t="shared" si="4"/>
        <v>129117</v>
      </c>
      <c r="H12" s="335">
        <f t="shared" si="4"/>
        <v>8829</v>
      </c>
      <c r="I12" s="335">
        <f t="shared" si="4"/>
        <v>2635841</v>
      </c>
      <c r="J12" s="335">
        <f t="shared" si="4"/>
        <v>28817903</v>
      </c>
      <c r="K12" s="335">
        <f t="shared" si="4"/>
        <v>56908556</v>
      </c>
      <c r="L12" s="335">
        <f t="shared" si="4"/>
        <v>53143928</v>
      </c>
      <c r="M12" s="335">
        <f>+M13+M19</f>
        <v>209399440</v>
      </c>
      <c r="N12" s="335">
        <f t="shared" si="4"/>
        <v>67450459</v>
      </c>
      <c r="O12" s="335">
        <f>+O13+O19</f>
        <v>39088758</v>
      </c>
      <c r="P12" s="335">
        <f t="shared" si="4"/>
        <v>72292040</v>
      </c>
      <c r="Q12" s="335">
        <f t="shared" ref="Q12:X12" si="5">+Q13+Q19</f>
        <v>305243240</v>
      </c>
      <c r="R12" s="335">
        <f t="shared" si="5"/>
        <v>147053784</v>
      </c>
      <c r="S12" s="335">
        <f t="shared" si="5"/>
        <v>7721445</v>
      </c>
      <c r="T12" s="335">
        <f t="shared" si="5"/>
        <v>13840000</v>
      </c>
      <c r="U12" s="335">
        <f t="shared" si="5"/>
        <v>0</v>
      </c>
      <c r="V12" s="335">
        <f t="shared" si="5"/>
        <v>0</v>
      </c>
      <c r="W12" s="335">
        <f t="shared" si="5"/>
        <v>0</v>
      </c>
      <c r="X12" s="336">
        <f t="shared" si="5"/>
        <v>546150509</v>
      </c>
      <c r="Y12" s="331"/>
      <c r="Z12" s="737"/>
      <c r="AA12" s="778"/>
      <c r="AC12" s="778"/>
    </row>
    <row r="13" spans="1:29" s="738" customFormat="1">
      <c r="A13" s="2680"/>
      <c r="B13" s="337" t="s">
        <v>23</v>
      </c>
      <c r="C13" s="338"/>
      <c r="D13" s="339">
        <f>+D14+D15+D16+D17+D18</f>
        <v>137798828</v>
      </c>
      <c r="E13" s="339">
        <f t="shared" ref="E13:P13" si="6">+E14+E15+E16+E17+E18</f>
        <v>234085</v>
      </c>
      <c r="F13" s="339">
        <f t="shared" si="6"/>
        <v>49287</v>
      </c>
      <c r="G13" s="339">
        <f t="shared" si="6"/>
        <v>128606</v>
      </c>
      <c r="H13" s="339">
        <f t="shared" si="6"/>
        <v>83</v>
      </c>
      <c r="I13" s="339">
        <f t="shared" si="6"/>
        <v>1314056</v>
      </c>
      <c r="J13" s="339">
        <f t="shared" si="6"/>
        <v>15206845</v>
      </c>
      <c r="K13" s="339">
        <f t="shared" si="6"/>
        <v>12991819</v>
      </c>
      <c r="L13" s="339">
        <f t="shared" si="6"/>
        <v>5421027</v>
      </c>
      <c r="M13" s="339">
        <f>+M14+M15+M16+M17+M18</f>
        <v>45974171</v>
      </c>
      <c r="N13" s="339">
        <f t="shared" si="6"/>
        <v>10806339</v>
      </c>
      <c r="O13" s="339">
        <f>+O14+O15+O16+O17+O18</f>
        <v>2663412</v>
      </c>
      <c r="P13" s="339">
        <f t="shared" si="6"/>
        <v>2577615</v>
      </c>
      <c r="Q13" s="339">
        <f t="shared" ref="Q13:W13" si="7">+Q14+Q15+Q16+Q17+Q18</f>
        <v>52815758</v>
      </c>
      <c r="R13" s="339">
        <f t="shared" si="7"/>
        <v>29854528</v>
      </c>
      <c r="S13" s="339">
        <f t="shared" si="7"/>
        <v>1837344</v>
      </c>
      <c r="T13" s="339">
        <f t="shared" si="7"/>
        <v>2076000</v>
      </c>
      <c r="U13" s="339">
        <f t="shared" si="7"/>
        <v>0</v>
      </c>
      <c r="V13" s="339">
        <f t="shared" si="7"/>
        <v>0</v>
      </c>
      <c r="W13" s="339">
        <f t="shared" si="7"/>
        <v>0</v>
      </c>
      <c r="X13" s="340">
        <f>SUM(X14:X18)</f>
        <v>89161245</v>
      </c>
      <c r="Y13" s="341"/>
      <c r="Z13" s="860"/>
      <c r="AA13" s="737"/>
    </row>
    <row r="14" spans="1:29">
      <c r="A14" s="2680"/>
      <c r="B14" s="342" t="s">
        <v>24</v>
      </c>
      <c r="C14" s="343"/>
      <c r="D14" s="344">
        <f>+D38+D383+D477+D520</f>
        <v>73666912</v>
      </c>
      <c r="E14" s="344">
        <f>+E38+E383+E477+E520</f>
        <v>217891</v>
      </c>
      <c r="F14" s="344">
        <f>+F38+F383+F477</f>
        <v>49287</v>
      </c>
      <c r="G14" s="344">
        <f>+G38+G383+G477</f>
        <v>128606</v>
      </c>
      <c r="H14" s="344">
        <f>+H38+H383+H477</f>
        <v>0</v>
      </c>
      <c r="I14" s="344">
        <f>+I38+I383+I477+I520</f>
        <v>1115098</v>
      </c>
      <c r="J14" s="344">
        <f>+J38+J383+J477</f>
        <v>1543634</v>
      </c>
      <c r="K14" s="344">
        <f>+K38+K383+K477</f>
        <v>4830140</v>
      </c>
      <c r="L14" s="344">
        <f>+L38+L383+L477</f>
        <v>3425976</v>
      </c>
      <c r="M14" s="344">
        <f>+M38+M383+M477</f>
        <v>19346491</v>
      </c>
      <c r="N14" s="344">
        <f t="shared" ref="N14:W14" si="8">+N38+N383+N477+N520</f>
        <v>8213752</v>
      </c>
      <c r="O14" s="344">
        <f t="shared" si="8"/>
        <v>2660381</v>
      </c>
      <c r="P14" s="344">
        <f>+P38+P383+P477+P520</f>
        <v>1561410</v>
      </c>
      <c r="Q14" s="344">
        <f t="shared" si="8"/>
        <v>33445758</v>
      </c>
      <c r="R14" s="344">
        <f t="shared" si="8"/>
        <v>14815528</v>
      </c>
      <c r="S14" s="344">
        <f t="shared" si="8"/>
        <v>1837344</v>
      </c>
      <c r="T14" s="344">
        <f t="shared" si="8"/>
        <v>0</v>
      </c>
      <c r="U14" s="344">
        <f t="shared" si="8"/>
        <v>0</v>
      </c>
      <c r="V14" s="344">
        <f t="shared" si="8"/>
        <v>0</v>
      </c>
      <c r="W14" s="344">
        <f t="shared" si="8"/>
        <v>0</v>
      </c>
      <c r="X14" s="345">
        <f>SUM(P14:T14)</f>
        <v>51660040</v>
      </c>
      <c r="Y14" s="331"/>
      <c r="Z14" s="778"/>
      <c r="AA14" s="778"/>
      <c r="AC14" s="778"/>
    </row>
    <row r="15" spans="1:29" ht="12" customHeight="1">
      <c r="A15" s="2680"/>
      <c r="B15" s="346" t="s">
        <v>94</v>
      </c>
      <c r="C15" s="347"/>
      <c r="D15" s="344">
        <f>+D478</f>
        <v>0</v>
      </c>
      <c r="E15" s="344">
        <f t="shared" ref="E15:P15" si="9">+E478</f>
        <v>0</v>
      </c>
      <c r="F15" s="344">
        <f t="shared" si="9"/>
        <v>0</v>
      </c>
      <c r="G15" s="344">
        <f t="shared" si="9"/>
        <v>0</v>
      </c>
      <c r="H15" s="344">
        <f t="shared" si="9"/>
        <v>0</v>
      </c>
      <c r="I15" s="344">
        <f t="shared" si="9"/>
        <v>0</v>
      </c>
      <c r="J15" s="344">
        <f t="shared" si="9"/>
        <v>0</v>
      </c>
      <c r="K15" s="344">
        <f t="shared" si="9"/>
        <v>0</v>
      </c>
      <c r="L15" s="344">
        <f t="shared" si="9"/>
        <v>0</v>
      </c>
      <c r="M15" s="344">
        <f>+M478</f>
        <v>0</v>
      </c>
      <c r="N15" s="344">
        <f t="shared" si="9"/>
        <v>0</v>
      </c>
      <c r="O15" s="344">
        <f>+O478</f>
        <v>0</v>
      </c>
      <c r="P15" s="344">
        <f t="shared" si="9"/>
        <v>0</v>
      </c>
      <c r="Q15" s="344">
        <f t="shared" ref="Q15:W15" si="10">+Q478</f>
        <v>0</v>
      </c>
      <c r="R15" s="344">
        <f t="shared" si="10"/>
        <v>0</v>
      </c>
      <c r="S15" s="344">
        <f t="shared" si="10"/>
        <v>0</v>
      </c>
      <c r="T15" s="344">
        <f t="shared" si="10"/>
        <v>0</v>
      </c>
      <c r="U15" s="344">
        <f t="shared" si="10"/>
        <v>0</v>
      </c>
      <c r="V15" s="344">
        <f t="shared" si="10"/>
        <v>0</v>
      </c>
      <c r="W15" s="344">
        <f t="shared" si="10"/>
        <v>0</v>
      </c>
      <c r="X15" s="345">
        <f>SUM(P15:T15)</f>
        <v>0</v>
      </c>
      <c r="Y15" s="348"/>
      <c r="Z15" s="778"/>
    </row>
    <row r="16" spans="1:29" ht="13.5" customHeight="1">
      <c r="A16" s="2680"/>
      <c r="B16" s="342" t="s">
        <v>27</v>
      </c>
      <c r="C16" s="343"/>
      <c r="D16" s="344">
        <f t="shared" ref="D16:W16" si="11">+D39+D384</f>
        <v>10087672</v>
      </c>
      <c r="E16" s="344">
        <f t="shared" si="11"/>
        <v>0</v>
      </c>
      <c r="F16" s="344">
        <f t="shared" si="11"/>
        <v>0</v>
      </c>
      <c r="G16" s="344">
        <f t="shared" si="11"/>
        <v>0</v>
      </c>
      <c r="H16" s="344">
        <f t="shared" si="11"/>
        <v>0</v>
      </c>
      <c r="I16" s="344">
        <f t="shared" si="11"/>
        <v>0</v>
      </c>
      <c r="J16" s="344">
        <f t="shared" si="11"/>
        <v>2000000</v>
      </c>
      <c r="K16" s="344">
        <f t="shared" si="11"/>
        <v>5537342</v>
      </c>
      <c r="L16" s="344">
        <f t="shared" si="11"/>
        <v>34125</v>
      </c>
      <c r="M16" s="344">
        <f t="shared" si="11"/>
        <v>8571467</v>
      </c>
      <c r="N16" s="344">
        <f t="shared" si="11"/>
        <v>1000000</v>
      </c>
      <c r="O16" s="344">
        <f t="shared" si="11"/>
        <v>0</v>
      </c>
      <c r="P16" s="344">
        <f t="shared" si="11"/>
        <v>1016205</v>
      </c>
      <c r="Q16" s="344">
        <f t="shared" si="11"/>
        <v>500000</v>
      </c>
      <c r="R16" s="344">
        <f t="shared" si="11"/>
        <v>0</v>
      </c>
      <c r="S16" s="344">
        <f t="shared" si="11"/>
        <v>0</v>
      </c>
      <c r="T16" s="344">
        <f t="shared" si="11"/>
        <v>0</v>
      </c>
      <c r="U16" s="344">
        <f t="shared" si="11"/>
        <v>0</v>
      </c>
      <c r="V16" s="344">
        <f t="shared" si="11"/>
        <v>0</v>
      </c>
      <c r="W16" s="344">
        <f t="shared" si="11"/>
        <v>0</v>
      </c>
      <c r="X16" s="345">
        <f>SUM(P16:T16)</f>
        <v>1516205</v>
      </c>
      <c r="Y16" s="348"/>
      <c r="Z16" s="778"/>
    </row>
    <row r="17" spans="1:29" ht="13.5" customHeight="1">
      <c r="A17" s="2680"/>
      <c r="B17" s="342" t="s">
        <v>68</v>
      </c>
      <c r="C17" s="343"/>
      <c r="D17" s="344">
        <f t="shared" ref="D17:W17" si="12">+D479+D41</f>
        <v>35985000</v>
      </c>
      <c r="E17" s="344">
        <f t="shared" si="12"/>
        <v>0</v>
      </c>
      <c r="F17" s="344">
        <f t="shared" si="12"/>
        <v>0</v>
      </c>
      <c r="G17" s="344">
        <f t="shared" si="12"/>
        <v>0</v>
      </c>
      <c r="H17" s="344">
        <f t="shared" si="12"/>
        <v>0</v>
      </c>
      <c r="I17" s="344">
        <f t="shared" si="12"/>
        <v>0</v>
      </c>
      <c r="J17" s="344">
        <f t="shared" si="12"/>
        <v>0</v>
      </c>
      <c r="K17" s="344">
        <f t="shared" si="12"/>
        <v>0</v>
      </c>
      <c r="L17" s="344">
        <f t="shared" si="12"/>
        <v>0</v>
      </c>
      <c r="M17" s="344">
        <f t="shared" si="12"/>
        <v>0</v>
      </c>
      <c r="N17" s="344">
        <f t="shared" si="12"/>
        <v>0</v>
      </c>
      <c r="O17" s="344">
        <f t="shared" si="12"/>
        <v>0</v>
      </c>
      <c r="P17" s="344">
        <f t="shared" si="12"/>
        <v>0</v>
      </c>
      <c r="Q17" s="344">
        <f t="shared" si="12"/>
        <v>18870000</v>
      </c>
      <c r="R17" s="344">
        <f t="shared" si="12"/>
        <v>15039000</v>
      </c>
      <c r="S17" s="344">
        <f t="shared" si="12"/>
        <v>0</v>
      </c>
      <c r="T17" s="344">
        <f t="shared" si="12"/>
        <v>2076000</v>
      </c>
      <c r="U17" s="344">
        <f t="shared" si="12"/>
        <v>0</v>
      </c>
      <c r="V17" s="344">
        <f t="shared" si="12"/>
        <v>0</v>
      </c>
      <c r="W17" s="344">
        <f t="shared" si="12"/>
        <v>0</v>
      </c>
      <c r="X17" s="345">
        <f>SUM(P17:W17)</f>
        <v>35985000</v>
      </c>
      <c r="Y17" s="348"/>
      <c r="Z17" s="778"/>
    </row>
    <row r="18" spans="1:29" ht="12" customHeight="1">
      <c r="A18" s="2680"/>
      <c r="B18" s="342" t="s">
        <v>29</v>
      </c>
      <c r="C18" s="343"/>
      <c r="D18" s="344">
        <f>+D40</f>
        <v>18059244</v>
      </c>
      <c r="E18" s="344">
        <f t="shared" ref="E18:P18" si="13">+E40</f>
        <v>16194</v>
      </c>
      <c r="F18" s="344">
        <f t="shared" si="13"/>
        <v>0</v>
      </c>
      <c r="G18" s="344">
        <f t="shared" si="13"/>
        <v>0</v>
      </c>
      <c r="H18" s="344">
        <f t="shared" si="13"/>
        <v>83</v>
      </c>
      <c r="I18" s="344">
        <f t="shared" si="13"/>
        <v>198958</v>
      </c>
      <c r="J18" s="344">
        <f t="shared" si="13"/>
        <v>11663211</v>
      </c>
      <c r="K18" s="344">
        <f t="shared" si="13"/>
        <v>2624337</v>
      </c>
      <c r="L18" s="344">
        <f t="shared" si="13"/>
        <v>1960926</v>
      </c>
      <c r="M18" s="344">
        <f>+M40</f>
        <v>18056213</v>
      </c>
      <c r="N18" s="344">
        <f t="shared" si="13"/>
        <v>1592587</v>
      </c>
      <c r="O18" s="344">
        <f t="shared" si="13"/>
        <v>3031</v>
      </c>
      <c r="P18" s="344">
        <f t="shared" si="13"/>
        <v>0</v>
      </c>
      <c r="Q18" s="344">
        <f t="shared" ref="Q18:W18" si="14">+Q40</f>
        <v>0</v>
      </c>
      <c r="R18" s="344">
        <f t="shared" si="14"/>
        <v>0</v>
      </c>
      <c r="S18" s="344">
        <f t="shared" si="14"/>
        <v>0</v>
      </c>
      <c r="T18" s="344">
        <f t="shared" si="14"/>
        <v>0</v>
      </c>
      <c r="U18" s="344">
        <f t="shared" si="14"/>
        <v>0</v>
      </c>
      <c r="V18" s="344">
        <f t="shared" si="14"/>
        <v>0</v>
      </c>
      <c r="W18" s="344">
        <f t="shared" si="14"/>
        <v>0</v>
      </c>
      <c r="X18" s="345">
        <f>SUM(P18:T18)</f>
        <v>0</v>
      </c>
      <c r="Y18" s="348"/>
      <c r="Z18" s="778"/>
    </row>
    <row r="19" spans="1:29" s="738" customFormat="1" ht="13.5" customHeight="1">
      <c r="A19" s="2680"/>
      <c r="B19" s="337" t="s">
        <v>30</v>
      </c>
      <c r="C19" s="349"/>
      <c r="D19" s="339">
        <f>+D20+D21+D22</f>
        <v>656839879</v>
      </c>
      <c r="E19" s="339">
        <f t="shared" ref="E19:T19" si="15">+E20+E21+E22</f>
        <v>208668</v>
      </c>
      <c r="F19" s="339">
        <f t="shared" si="15"/>
        <v>0</v>
      </c>
      <c r="G19" s="339">
        <f t="shared" si="15"/>
        <v>511</v>
      </c>
      <c r="H19" s="339">
        <f t="shared" si="15"/>
        <v>8746</v>
      </c>
      <c r="I19" s="339">
        <f t="shared" si="15"/>
        <v>1321785</v>
      </c>
      <c r="J19" s="339">
        <f t="shared" si="15"/>
        <v>13611058</v>
      </c>
      <c r="K19" s="339">
        <f t="shared" si="15"/>
        <v>43916737</v>
      </c>
      <c r="L19" s="339">
        <f t="shared" si="15"/>
        <v>47722901</v>
      </c>
      <c r="M19" s="339">
        <f t="shared" si="15"/>
        <v>163425269</v>
      </c>
      <c r="N19" s="339">
        <f t="shared" si="15"/>
        <v>56644120</v>
      </c>
      <c r="O19" s="339">
        <f t="shared" si="15"/>
        <v>36425346</v>
      </c>
      <c r="P19" s="339">
        <f t="shared" si="15"/>
        <v>69714425</v>
      </c>
      <c r="Q19" s="339">
        <f t="shared" si="15"/>
        <v>252427482</v>
      </c>
      <c r="R19" s="339">
        <f t="shared" si="15"/>
        <v>117199256</v>
      </c>
      <c r="S19" s="339">
        <f t="shared" si="15"/>
        <v>5884101</v>
      </c>
      <c r="T19" s="339">
        <f t="shared" si="15"/>
        <v>11764000</v>
      </c>
      <c r="U19" s="339">
        <f>+U20+U21+U22</f>
        <v>0</v>
      </c>
      <c r="V19" s="339">
        <f>+V20+V21+V22</f>
        <v>0</v>
      </c>
      <c r="W19" s="339">
        <f>+W20+W21+W22</f>
        <v>0</v>
      </c>
      <c r="X19" s="350">
        <f>+X20+X21+X22</f>
        <v>456989264</v>
      </c>
      <c r="Y19" s="351"/>
      <c r="Z19" s="860"/>
      <c r="AA19" s="737"/>
    </row>
    <row r="20" spans="1:29" ht="13.5" customHeight="1">
      <c r="A20" s="2680"/>
      <c r="B20" s="355" t="s">
        <v>32</v>
      </c>
      <c r="C20" s="356"/>
      <c r="D20" s="344">
        <f t="shared" ref="D20:W20" si="16">+D386+D522</f>
        <v>32901103</v>
      </c>
      <c r="E20" s="344">
        <f t="shared" si="16"/>
        <v>0</v>
      </c>
      <c r="F20" s="344">
        <f t="shared" si="16"/>
        <v>0</v>
      </c>
      <c r="G20" s="344">
        <f t="shared" si="16"/>
        <v>0</v>
      </c>
      <c r="H20" s="344">
        <f t="shared" si="16"/>
        <v>0</v>
      </c>
      <c r="I20" s="344">
        <f t="shared" si="16"/>
        <v>0</v>
      </c>
      <c r="J20" s="344">
        <f t="shared" si="16"/>
        <v>0</v>
      </c>
      <c r="K20" s="344">
        <f t="shared" si="16"/>
        <v>0</v>
      </c>
      <c r="L20" s="344">
        <f t="shared" si="16"/>
        <v>0</v>
      </c>
      <c r="M20" s="344">
        <f t="shared" si="16"/>
        <v>0</v>
      </c>
      <c r="N20" s="344">
        <f t="shared" si="16"/>
        <v>0</v>
      </c>
      <c r="O20" s="344">
        <f t="shared" si="16"/>
        <v>0</v>
      </c>
      <c r="P20" s="344">
        <f t="shared" si="16"/>
        <v>342047</v>
      </c>
      <c r="Q20" s="344">
        <f t="shared" si="16"/>
        <v>23131912</v>
      </c>
      <c r="R20" s="344">
        <f t="shared" si="16"/>
        <v>3543043</v>
      </c>
      <c r="S20" s="344">
        <f t="shared" si="16"/>
        <v>5884101</v>
      </c>
      <c r="T20" s="344">
        <f t="shared" si="16"/>
        <v>0</v>
      </c>
      <c r="U20" s="344">
        <f t="shared" si="16"/>
        <v>0</v>
      </c>
      <c r="V20" s="344">
        <f t="shared" si="16"/>
        <v>0</v>
      </c>
      <c r="W20" s="344">
        <f t="shared" si="16"/>
        <v>0</v>
      </c>
      <c r="X20" s="345">
        <f>SUM(P20:T20)</f>
        <v>32901103</v>
      </c>
      <c r="Y20" s="348"/>
      <c r="Z20" s="778"/>
    </row>
    <row r="21" spans="1:29" ht="13.5" customHeight="1">
      <c r="A21" s="2680"/>
      <c r="B21" s="357" t="s">
        <v>33</v>
      </c>
      <c r="C21" s="356"/>
      <c r="D21" s="344">
        <f t="shared" ref="D21:W21" si="17">+D43+D481</f>
        <v>623938776</v>
      </c>
      <c r="E21" s="344">
        <f t="shared" si="17"/>
        <v>208668</v>
      </c>
      <c r="F21" s="344">
        <f t="shared" si="17"/>
        <v>0</v>
      </c>
      <c r="G21" s="344">
        <f t="shared" si="17"/>
        <v>511</v>
      </c>
      <c r="H21" s="344">
        <f t="shared" si="17"/>
        <v>8746</v>
      </c>
      <c r="I21" s="344">
        <f t="shared" si="17"/>
        <v>1321785</v>
      </c>
      <c r="J21" s="344">
        <f t="shared" si="17"/>
        <v>13611058</v>
      </c>
      <c r="K21" s="344">
        <f t="shared" si="17"/>
        <v>43916737</v>
      </c>
      <c r="L21" s="344">
        <f t="shared" si="17"/>
        <v>47722901</v>
      </c>
      <c r="M21" s="344">
        <f t="shared" si="17"/>
        <v>163425269</v>
      </c>
      <c r="N21" s="344">
        <f t="shared" si="17"/>
        <v>56644120</v>
      </c>
      <c r="O21" s="344">
        <f t="shared" si="17"/>
        <v>36425346</v>
      </c>
      <c r="P21" s="344">
        <f t="shared" si="17"/>
        <v>69372378</v>
      </c>
      <c r="Q21" s="344">
        <f t="shared" si="17"/>
        <v>229295570</v>
      </c>
      <c r="R21" s="344">
        <f t="shared" si="17"/>
        <v>113656213</v>
      </c>
      <c r="S21" s="344">
        <f t="shared" si="17"/>
        <v>0</v>
      </c>
      <c r="T21" s="344">
        <f t="shared" si="17"/>
        <v>11764000</v>
      </c>
      <c r="U21" s="344">
        <f t="shared" si="17"/>
        <v>0</v>
      </c>
      <c r="V21" s="344">
        <f t="shared" si="17"/>
        <v>0</v>
      </c>
      <c r="W21" s="344">
        <f t="shared" si="17"/>
        <v>0</v>
      </c>
      <c r="X21" s="345">
        <f>SUM(P21:T21)</f>
        <v>424088161</v>
      </c>
      <c r="Y21" s="331"/>
      <c r="Z21" s="778"/>
      <c r="AA21" s="778">
        <f>+N21+O21+P21+Q21</f>
        <v>391737414</v>
      </c>
    </row>
    <row r="22" spans="1:29" hidden="1">
      <c r="A22" s="2680"/>
      <c r="B22" s="357" t="s">
        <v>95</v>
      </c>
      <c r="C22" s="356"/>
      <c r="D22" s="344">
        <f>+D482</f>
        <v>0</v>
      </c>
      <c r="E22" s="344">
        <f t="shared" ref="E22:P22" si="18">+E482</f>
        <v>0</v>
      </c>
      <c r="F22" s="344">
        <f t="shared" si="18"/>
        <v>0</v>
      </c>
      <c r="G22" s="344">
        <f t="shared" si="18"/>
        <v>0</v>
      </c>
      <c r="H22" s="344">
        <f t="shared" si="18"/>
        <v>0</v>
      </c>
      <c r="I22" s="344">
        <f t="shared" si="18"/>
        <v>0</v>
      </c>
      <c r="J22" s="344">
        <f t="shared" si="18"/>
        <v>0</v>
      </c>
      <c r="K22" s="344">
        <f t="shared" si="18"/>
        <v>0</v>
      </c>
      <c r="L22" s="344">
        <f t="shared" si="18"/>
        <v>0</v>
      </c>
      <c r="M22" s="344">
        <f>+M482</f>
        <v>0</v>
      </c>
      <c r="N22" s="344">
        <f t="shared" si="18"/>
        <v>0</v>
      </c>
      <c r="O22" s="344">
        <f t="shared" si="18"/>
        <v>0</v>
      </c>
      <c r="P22" s="344">
        <f t="shared" si="18"/>
        <v>0</v>
      </c>
      <c r="Q22" s="344">
        <f t="shared" ref="Q22:W22" si="19">+Q482</f>
        <v>0</v>
      </c>
      <c r="R22" s="344">
        <f t="shared" si="19"/>
        <v>0</v>
      </c>
      <c r="S22" s="344">
        <f t="shared" si="19"/>
        <v>0</v>
      </c>
      <c r="T22" s="344">
        <f t="shared" si="19"/>
        <v>0</v>
      </c>
      <c r="U22" s="344">
        <f t="shared" si="19"/>
        <v>0</v>
      </c>
      <c r="V22" s="344">
        <f t="shared" si="19"/>
        <v>0</v>
      </c>
      <c r="W22" s="344">
        <f t="shared" si="19"/>
        <v>0</v>
      </c>
      <c r="X22" s="345">
        <f>SUM(P22:T22)</f>
        <v>0</v>
      </c>
      <c r="Y22" s="331"/>
      <c r="Z22" s="778"/>
      <c r="AA22" s="778"/>
    </row>
    <row r="23" spans="1:29" ht="13.5" customHeight="1">
      <c r="A23" s="2680"/>
      <c r="B23" s="358" t="s">
        <v>34</v>
      </c>
      <c r="C23" s="359"/>
      <c r="D23" s="360">
        <f>+D24+D30</f>
        <v>721813276</v>
      </c>
      <c r="E23" s="360">
        <f t="shared" ref="E23:P23" si="20">+E24+E30</f>
        <v>0</v>
      </c>
      <c r="F23" s="360">
        <f t="shared" si="20"/>
        <v>0</v>
      </c>
      <c r="G23" s="360">
        <f t="shared" si="20"/>
        <v>0</v>
      </c>
      <c r="H23" s="360">
        <f t="shared" si="20"/>
        <v>0</v>
      </c>
      <c r="I23" s="360">
        <f t="shared" si="20"/>
        <v>0</v>
      </c>
      <c r="J23" s="360">
        <f>+J24+J30</f>
        <v>15625149</v>
      </c>
      <c r="K23" s="360">
        <f t="shared" si="20"/>
        <v>49151362</v>
      </c>
      <c r="L23" s="360">
        <f t="shared" si="20"/>
        <v>32570960</v>
      </c>
      <c r="M23" s="360">
        <f>+M24+M30</f>
        <v>173725550</v>
      </c>
      <c r="N23" s="360">
        <f t="shared" si="20"/>
        <v>76378079</v>
      </c>
      <c r="O23" s="360">
        <f t="shared" si="20"/>
        <v>53497510</v>
      </c>
      <c r="P23" s="360">
        <f t="shared" si="20"/>
        <v>78167052</v>
      </c>
      <c r="Q23" s="360">
        <f t="shared" ref="Q23:W23" si="21">+Q24+Q30</f>
        <v>255513767</v>
      </c>
      <c r="R23" s="360">
        <f t="shared" si="21"/>
        <v>139604903</v>
      </c>
      <c r="S23" s="360">
        <f t="shared" si="21"/>
        <v>6558936</v>
      </c>
      <c r="T23" s="360">
        <f t="shared" si="21"/>
        <v>14745558</v>
      </c>
      <c r="U23" s="360">
        <f t="shared" si="21"/>
        <v>0</v>
      </c>
      <c r="V23" s="360">
        <f t="shared" si="21"/>
        <v>0</v>
      </c>
      <c r="W23" s="360">
        <f t="shared" si="21"/>
        <v>0</v>
      </c>
      <c r="X23" s="2685" t="s">
        <v>35</v>
      </c>
      <c r="Y23" s="331"/>
      <c r="Z23" s="778">
        <f>D90+D105+D118+D151+D162+D173+D183+D194+D231+D245+D259+D273+D285+D297+D309+D321+D337+D349+D361+D374+D408+D418+D429+D438+D447+D456+D471+D499+D514</f>
        <v>721813276</v>
      </c>
      <c r="AC23" s="737"/>
    </row>
    <row r="24" spans="1:29" ht="12" customHeight="1">
      <c r="A24" s="2680"/>
      <c r="B24" s="361" t="s">
        <v>36</v>
      </c>
      <c r="C24" s="362"/>
      <c r="D24" s="363">
        <f>+D25+D26+D27+D28+D29</f>
        <v>64973397</v>
      </c>
      <c r="E24" s="363">
        <f t="shared" ref="E24:P24" si="22">+E25+E26+E27+E28+E29</f>
        <v>0</v>
      </c>
      <c r="F24" s="363">
        <f t="shared" si="22"/>
        <v>0</v>
      </c>
      <c r="G24" s="363">
        <f t="shared" si="22"/>
        <v>0</v>
      </c>
      <c r="H24" s="363">
        <f t="shared" si="22"/>
        <v>0</v>
      </c>
      <c r="I24" s="363">
        <f t="shared" si="22"/>
        <v>0</v>
      </c>
      <c r="J24" s="363">
        <f t="shared" si="22"/>
        <v>9240187</v>
      </c>
      <c r="K24" s="363">
        <f t="shared" si="22"/>
        <v>10049610</v>
      </c>
      <c r="L24" s="363">
        <f>+L25+L26+L27+L28+L29</f>
        <v>3610327</v>
      </c>
      <c r="M24" s="363">
        <f>+M25+M26+M27+M28+M29</f>
        <v>31252313</v>
      </c>
      <c r="N24" s="363">
        <f t="shared" si="22"/>
        <v>8352189</v>
      </c>
      <c r="O24" s="363">
        <f t="shared" si="22"/>
        <v>6947024</v>
      </c>
      <c r="P24" s="363">
        <f t="shared" si="22"/>
        <v>9435490</v>
      </c>
      <c r="Q24" s="363">
        <f t="shared" ref="Q24:W24" si="23">+Q25+Q26+Q27+Q28+Q29</f>
        <v>8919285</v>
      </c>
      <c r="R24" s="363">
        <f t="shared" si="23"/>
        <v>8419285</v>
      </c>
      <c r="S24" s="363">
        <f t="shared" si="23"/>
        <v>0</v>
      </c>
      <c r="T24" s="363">
        <f t="shared" si="23"/>
        <v>0</v>
      </c>
      <c r="U24" s="363">
        <f t="shared" si="23"/>
        <v>0</v>
      </c>
      <c r="V24" s="363">
        <f t="shared" si="23"/>
        <v>0</v>
      </c>
      <c r="W24" s="363">
        <f t="shared" si="23"/>
        <v>0</v>
      </c>
      <c r="X24" s="2686"/>
      <c r="Y24" s="331"/>
    </row>
    <row r="25" spans="1:29">
      <c r="A25" s="2680"/>
      <c r="B25" s="346" t="s">
        <v>94</v>
      </c>
      <c r="C25" s="364"/>
      <c r="D25" s="354">
        <f>+D485</f>
        <v>0</v>
      </c>
      <c r="E25" s="354">
        <f t="shared" ref="E25:P25" si="24">+E485</f>
        <v>0</v>
      </c>
      <c r="F25" s="354">
        <f t="shared" si="24"/>
        <v>0</v>
      </c>
      <c r="G25" s="354">
        <f t="shared" si="24"/>
        <v>0</v>
      </c>
      <c r="H25" s="354">
        <f t="shared" si="24"/>
        <v>0</v>
      </c>
      <c r="I25" s="354">
        <f t="shared" si="24"/>
        <v>0</v>
      </c>
      <c r="J25" s="354">
        <f t="shared" si="24"/>
        <v>0</v>
      </c>
      <c r="K25" s="354">
        <f t="shared" si="24"/>
        <v>0</v>
      </c>
      <c r="L25" s="354">
        <f t="shared" si="24"/>
        <v>0</v>
      </c>
      <c r="M25" s="354">
        <f>+M485</f>
        <v>0</v>
      </c>
      <c r="N25" s="354">
        <f t="shared" si="24"/>
        <v>0</v>
      </c>
      <c r="O25" s="354">
        <f t="shared" si="24"/>
        <v>0</v>
      </c>
      <c r="P25" s="354">
        <f t="shared" si="24"/>
        <v>0</v>
      </c>
      <c r="Q25" s="354">
        <f t="shared" ref="Q25:W25" si="25">+Q485</f>
        <v>0</v>
      </c>
      <c r="R25" s="354">
        <f t="shared" si="25"/>
        <v>0</v>
      </c>
      <c r="S25" s="354">
        <f t="shared" si="25"/>
        <v>0</v>
      </c>
      <c r="T25" s="354">
        <f t="shared" si="25"/>
        <v>0</v>
      </c>
      <c r="U25" s="354">
        <f t="shared" si="25"/>
        <v>0</v>
      </c>
      <c r="V25" s="354">
        <f t="shared" si="25"/>
        <v>0</v>
      </c>
      <c r="W25" s="354">
        <f t="shared" si="25"/>
        <v>0</v>
      </c>
      <c r="X25" s="2686"/>
      <c r="Y25" s="348"/>
    </row>
    <row r="26" spans="1:29">
      <c r="A26" s="2680"/>
      <c r="B26" s="365" t="s">
        <v>27</v>
      </c>
      <c r="C26" s="366"/>
      <c r="D26" s="344">
        <f t="shared" ref="D26:W26" si="26">+D46+D384</f>
        <v>10087672</v>
      </c>
      <c r="E26" s="344">
        <f t="shared" si="26"/>
        <v>0</v>
      </c>
      <c r="F26" s="344">
        <f t="shared" si="26"/>
        <v>0</v>
      </c>
      <c r="G26" s="344">
        <f t="shared" si="26"/>
        <v>0</v>
      </c>
      <c r="H26" s="344">
        <f t="shared" si="26"/>
        <v>0</v>
      </c>
      <c r="I26" s="344">
        <f t="shared" si="26"/>
        <v>0</v>
      </c>
      <c r="J26" s="344">
        <f t="shared" si="26"/>
        <v>2000000</v>
      </c>
      <c r="K26" s="344">
        <f t="shared" si="26"/>
        <v>3547478</v>
      </c>
      <c r="L26" s="344">
        <f t="shared" si="26"/>
        <v>2023989</v>
      </c>
      <c r="M26" s="344">
        <f t="shared" si="26"/>
        <v>8571467</v>
      </c>
      <c r="N26" s="344">
        <f t="shared" si="26"/>
        <v>1000000</v>
      </c>
      <c r="O26" s="344">
        <f t="shared" si="26"/>
        <v>0</v>
      </c>
      <c r="P26" s="344">
        <f t="shared" si="26"/>
        <v>1016205</v>
      </c>
      <c r="Q26" s="344">
        <f t="shared" si="26"/>
        <v>500000</v>
      </c>
      <c r="R26" s="344">
        <f t="shared" si="26"/>
        <v>0</v>
      </c>
      <c r="S26" s="344">
        <f t="shared" si="26"/>
        <v>0</v>
      </c>
      <c r="T26" s="344">
        <f t="shared" si="26"/>
        <v>0</v>
      </c>
      <c r="U26" s="344">
        <f t="shared" si="26"/>
        <v>0</v>
      </c>
      <c r="V26" s="344">
        <f t="shared" si="26"/>
        <v>0</v>
      </c>
      <c r="W26" s="344">
        <f t="shared" si="26"/>
        <v>0</v>
      </c>
      <c r="X26" s="2686"/>
      <c r="Y26" s="348"/>
    </row>
    <row r="27" spans="1:29" ht="12" customHeight="1">
      <c r="A27" s="2680"/>
      <c r="B27" s="365" t="s">
        <v>68</v>
      </c>
      <c r="C27" s="366"/>
      <c r="D27" s="344">
        <f t="shared" ref="D27:W27" si="27">+D486+D49</f>
        <v>35985000</v>
      </c>
      <c r="E27" s="344">
        <f t="shared" si="27"/>
        <v>0</v>
      </c>
      <c r="F27" s="344">
        <f t="shared" si="27"/>
        <v>0</v>
      </c>
      <c r="G27" s="344">
        <f t="shared" si="27"/>
        <v>0</v>
      </c>
      <c r="H27" s="344">
        <f t="shared" si="27"/>
        <v>0</v>
      </c>
      <c r="I27" s="344">
        <f t="shared" si="27"/>
        <v>0</v>
      </c>
      <c r="J27" s="344">
        <f t="shared" si="27"/>
        <v>0</v>
      </c>
      <c r="K27" s="344">
        <f t="shared" si="27"/>
        <v>0</v>
      </c>
      <c r="L27" s="344">
        <f t="shared" si="27"/>
        <v>0</v>
      </c>
      <c r="M27" s="344">
        <f t="shared" si="27"/>
        <v>4477145</v>
      </c>
      <c r="N27" s="344">
        <f t="shared" si="27"/>
        <v>4477145</v>
      </c>
      <c r="O27" s="344">
        <f t="shared" si="27"/>
        <v>6250000</v>
      </c>
      <c r="P27" s="344">
        <f t="shared" si="27"/>
        <v>8419285</v>
      </c>
      <c r="Q27" s="344">
        <f t="shared" si="27"/>
        <v>8419285</v>
      </c>
      <c r="R27" s="344">
        <f t="shared" si="27"/>
        <v>8419285</v>
      </c>
      <c r="S27" s="344">
        <f t="shared" si="27"/>
        <v>0</v>
      </c>
      <c r="T27" s="344">
        <f t="shared" si="27"/>
        <v>0</v>
      </c>
      <c r="U27" s="344">
        <f t="shared" si="27"/>
        <v>0</v>
      </c>
      <c r="V27" s="344">
        <f t="shared" si="27"/>
        <v>0</v>
      </c>
      <c r="W27" s="344">
        <f t="shared" si="27"/>
        <v>0</v>
      </c>
      <c r="X27" s="2686"/>
      <c r="Y27" s="348"/>
    </row>
    <row r="28" spans="1:29" ht="12" customHeight="1">
      <c r="A28" s="2680"/>
      <c r="B28" s="342" t="s">
        <v>29</v>
      </c>
      <c r="C28" s="367"/>
      <c r="D28" s="344">
        <f>+D47</f>
        <v>18059244</v>
      </c>
      <c r="E28" s="344">
        <f t="shared" ref="E28:P29" si="28">+E47</f>
        <v>0</v>
      </c>
      <c r="F28" s="344">
        <f t="shared" si="28"/>
        <v>0</v>
      </c>
      <c r="G28" s="344">
        <f t="shared" si="28"/>
        <v>0</v>
      </c>
      <c r="H28" s="344">
        <f t="shared" si="28"/>
        <v>0</v>
      </c>
      <c r="I28" s="344">
        <f t="shared" si="28"/>
        <v>0</v>
      </c>
      <c r="J28" s="344">
        <f t="shared" si="28"/>
        <v>7240187</v>
      </c>
      <c r="K28" s="344">
        <f t="shared" si="28"/>
        <v>6502132</v>
      </c>
      <c r="L28" s="344">
        <f t="shared" si="28"/>
        <v>744857</v>
      </c>
      <c r="M28" s="344">
        <f>+M47</f>
        <v>17362220</v>
      </c>
      <c r="N28" s="344">
        <f t="shared" si="28"/>
        <v>2875044</v>
      </c>
      <c r="O28" s="344">
        <f t="shared" si="28"/>
        <v>697024</v>
      </c>
      <c r="P28" s="344">
        <f t="shared" si="28"/>
        <v>0</v>
      </c>
      <c r="Q28" s="344">
        <f t="shared" ref="Q28:W29" si="29">+Q47</f>
        <v>0</v>
      </c>
      <c r="R28" s="344">
        <f t="shared" si="29"/>
        <v>0</v>
      </c>
      <c r="S28" s="344">
        <f t="shared" si="29"/>
        <v>0</v>
      </c>
      <c r="T28" s="344">
        <f t="shared" si="29"/>
        <v>0</v>
      </c>
      <c r="U28" s="344">
        <f t="shared" si="29"/>
        <v>0</v>
      </c>
      <c r="V28" s="344">
        <f t="shared" si="29"/>
        <v>0</v>
      </c>
      <c r="W28" s="344">
        <f t="shared" si="29"/>
        <v>0</v>
      </c>
      <c r="X28" s="2686"/>
      <c r="Y28" s="348"/>
    </row>
    <row r="29" spans="1:29" ht="12" customHeight="1">
      <c r="A29" s="2680"/>
      <c r="B29" s="342" t="s">
        <v>96</v>
      </c>
      <c r="C29" s="367"/>
      <c r="D29" s="344">
        <f>+D48</f>
        <v>841481</v>
      </c>
      <c r="E29" s="344">
        <f t="shared" si="28"/>
        <v>0</v>
      </c>
      <c r="F29" s="344">
        <f t="shared" si="28"/>
        <v>0</v>
      </c>
      <c r="G29" s="344">
        <f t="shared" si="28"/>
        <v>0</v>
      </c>
      <c r="H29" s="344">
        <f t="shared" si="28"/>
        <v>0</v>
      </c>
      <c r="I29" s="344">
        <f t="shared" si="28"/>
        <v>0</v>
      </c>
      <c r="J29" s="344">
        <f t="shared" si="28"/>
        <v>0</v>
      </c>
      <c r="K29" s="344">
        <f t="shared" si="28"/>
        <v>0</v>
      </c>
      <c r="L29" s="344">
        <f t="shared" si="28"/>
        <v>841481</v>
      </c>
      <c r="M29" s="344">
        <f>+M48</f>
        <v>841481</v>
      </c>
      <c r="N29" s="344">
        <f t="shared" si="28"/>
        <v>0</v>
      </c>
      <c r="O29" s="344">
        <f t="shared" si="28"/>
        <v>0</v>
      </c>
      <c r="P29" s="344">
        <f t="shared" si="28"/>
        <v>0</v>
      </c>
      <c r="Q29" s="344">
        <f t="shared" si="29"/>
        <v>0</v>
      </c>
      <c r="R29" s="344">
        <f t="shared" si="29"/>
        <v>0</v>
      </c>
      <c r="S29" s="344">
        <f t="shared" si="29"/>
        <v>0</v>
      </c>
      <c r="T29" s="344">
        <f t="shared" si="29"/>
        <v>0</v>
      </c>
      <c r="U29" s="344">
        <f t="shared" si="29"/>
        <v>0</v>
      </c>
      <c r="V29" s="344">
        <f t="shared" si="29"/>
        <v>0</v>
      </c>
      <c r="W29" s="344">
        <f t="shared" si="29"/>
        <v>0</v>
      </c>
      <c r="X29" s="2686"/>
      <c r="Y29" s="348"/>
    </row>
    <row r="30" spans="1:29" ht="12.75" customHeight="1">
      <c r="A30" s="2680"/>
      <c r="B30" s="368" t="s">
        <v>30</v>
      </c>
      <c r="C30" s="369"/>
      <c r="D30" s="363">
        <f>+D31+D32+D33+D34</f>
        <v>656839879</v>
      </c>
      <c r="E30" s="363">
        <f t="shared" ref="E30:P30" si="30">+E31+E32+E33+E34</f>
        <v>0</v>
      </c>
      <c r="F30" s="363">
        <f t="shared" si="30"/>
        <v>0</v>
      </c>
      <c r="G30" s="363">
        <f t="shared" si="30"/>
        <v>0</v>
      </c>
      <c r="H30" s="363">
        <f t="shared" si="30"/>
        <v>0</v>
      </c>
      <c r="I30" s="363">
        <f t="shared" si="30"/>
        <v>0</v>
      </c>
      <c r="J30" s="363">
        <f t="shared" si="30"/>
        <v>6384962</v>
      </c>
      <c r="K30" s="363">
        <f t="shared" si="30"/>
        <v>39101752</v>
      </c>
      <c r="L30" s="363">
        <f t="shared" si="30"/>
        <v>28960633</v>
      </c>
      <c r="M30" s="363">
        <f>+M31+M32+M33+M34</f>
        <v>142473237</v>
      </c>
      <c r="N30" s="363">
        <f>+N31+N32+N33+N34</f>
        <v>68025890</v>
      </c>
      <c r="O30" s="363">
        <f t="shared" si="30"/>
        <v>46550486</v>
      </c>
      <c r="P30" s="363">
        <f t="shared" si="30"/>
        <v>68731562</v>
      </c>
      <c r="Q30" s="363">
        <f t="shared" ref="Q30:W30" si="31">+Q31+Q32+Q33+Q34</f>
        <v>246594482</v>
      </c>
      <c r="R30" s="363">
        <f t="shared" si="31"/>
        <v>131185618</v>
      </c>
      <c r="S30" s="363">
        <f t="shared" si="31"/>
        <v>6558936</v>
      </c>
      <c r="T30" s="363">
        <f t="shared" si="31"/>
        <v>14745558</v>
      </c>
      <c r="U30" s="363">
        <f t="shared" si="31"/>
        <v>0</v>
      </c>
      <c r="V30" s="363">
        <f t="shared" si="31"/>
        <v>0</v>
      </c>
      <c r="W30" s="363">
        <f t="shared" si="31"/>
        <v>0</v>
      </c>
      <c r="X30" s="2686"/>
      <c r="Y30" s="348"/>
      <c r="Z30" s="778">
        <f>D32-D20</f>
        <v>0</v>
      </c>
    </row>
    <row r="31" spans="1:29" ht="3" hidden="1" customHeight="1">
      <c r="A31" s="2680"/>
      <c r="B31" s="352" t="s">
        <v>29</v>
      </c>
      <c r="C31" s="353"/>
      <c r="D31" s="344">
        <f>+D51</f>
        <v>0</v>
      </c>
      <c r="E31" s="344">
        <f t="shared" ref="E31:R31" si="32">+E51</f>
        <v>0</v>
      </c>
      <c r="F31" s="344">
        <f t="shared" si="32"/>
        <v>0</v>
      </c>
      <c r="G31" s="344">
        <f t="shared" si="32"/>
        <v>0</v>
      </c>
      <c r="H31" s="344">
        <f t="shared" si="32"/>
        <v>0</v>
      </c>
      <c r="I31" s="344">
        <f t="shared" si="32"/>
        <v>0</v>
      </c>
      <c r="J31" s="344">
        <f t="shared" si="32"/>
        <v>0</v>
      </c>
      <c r="K31" s="344">
        <f t="shared" si="32"/>
        <v>0</v>
      </c>
      <c r="L31" s="344">
        <f t="shared" si="32"/>
        <v>0</v>
      </c>
      <c r="M31" s="344">
        <f>+M51</f>
        <v>0</v>
      </c>
      <c r="N31" s="344">
        <f t="shared" si="32"/>
        <v>0</v>
      </c>
      <c r="O31" s="344">
        <f t="shared" si="32"/>
        <v>0</v>
      </c>
      <c r="P31" s="344">
        <f t="shared" si="32"/>
        <v>0</v>
      </c>
      <c r="Q31" s="344">
        <f t="shared" si="32"/>
        <v>0</v>
      </c>
      <c r="R31" s="344">
        <f t="shared" si="32"/>
        <v>0</v>
      </c>
      <c r="S31" s="344">
        <f>+S51</f>
        <v>0</v>
      </c>
      <c r="T31" s="344">
        <f>+T51</f>
        <v>0</v>
      </c>
      <c r="U31" s="344">
        <f>+U51</f>
        <v>0</v>
      </c>
      <c r="V31" s="344">
        <f>+V51</f>
        <v>0</v>
      </c>
      <c r="W31" s="344">
        <f>+W51</f>
        <v>0</v>
      </c>
      <c r="X31" s="2686"/>
      <c r="Y31" s="348"/>
    </row>
    <row r="32" spans="1:29" ht="11.25" customHeight="1">
      <c r="A32" s="2680"/>
      <c r="B32" s="355" t="s">
        <v>32</v>
      </c>
      <c r="C32" s="347"/>
      <c r="D32" s="370">
        <f t="shared" ref="D32:Q32" si="33">+D391+D525</f>
        <v>32901103</v>
      </c>
      <c r="E32" s="370">
        <f t="shared" si="33"/>
        <v>0</v>
      </c>
      <c r="F32" s="370">
        <f t="shared" si="33"/>
        <v>0</v>
      </c>
      <c r="G32" s="370">
        <f t="shared" si="33"/>
        <v>0</v>
      </c>
      <c r="H32" s="370">
        <f t="shared" si="33"/>
        <v>0</v>
      </c>
      <c r="I32" s="370">
        <f t="shared" si="33"/>
        <v>0</v>
      </c>
      <c r="J32" s="370">
        <f t="shared" si="33"/>
        <v>0</v>
      </c>
      <c r="K32" s="370">
        <f t="shared" si="33"/>
        <v>0</v>
      </c>
      <c r="L32" s="370">
        <f t="shared" si="33"/>
        <v>0</v>
      </c>
      <c r="M32" s="370">
        <f t="shared" si="33"/>
        <v>0</v>
      </c>
      <c r="N32" s="370">
        <f t="shared" si="33"/>
        <v>0</v>
      </c>
      <c r="O32" s="370">
        <f t="shared" si="33"/>
        <v>0</v>
      </c>
      <c r="P32" s="370">
        <f t="shared" si="33"/>
        <v>0</v>
      </c>
      <c r="Q32" s="370">
        <f t="shared" si="33"/>
        <v>13806204</v>
      </c>
      <c r="R32" s="370">
        <f t="shared" ref="R32:W32" si="34">+R391</f>
        <v>9554405</v>
      </c>
      <c r="S32" s="370">
        <f t="shared" si="34"/>
        <v>6558936</v>
      </c>
      <c r="T32" s="370">
        <f t="shared" si="34"/>
        <v>2981558</v>
      </c>
      <c r="U32" s="370">
        <f t="shared" si="34"/>
        <v>0</v>
      </c>
      <c r="V32" s="370">
        <f t="shared" si="34"/>
        <v>0</v>
      </c>
      <c r="W32" s="370">
        <f t="shared" si="34"/>
        <v>0</v>
      </c>
      <c r="X32" s="2686"/>
      <c r="Y32" s="348"/>
      <c r="Z32" s="778">
        <f>D33-D21</f>
        <v>0</v>
      </c>
    </row>
    <row r="33" spans="1:27">
      <c r="A33" s="2680"/>
      <c r="B33" s="355" t="s">
        <v>33</v>
      </c>
      <c r="C33" s="371"/>
      <c r="D33" s="370">
        <f t="shared" ref="D33:W33" si="35">+D52+D488</f>
        <v>623938776</v>
      </c>
      <c r="E33" s="370">
        <f t="shared" si="35"/>
        <v>0</v>
      </c>
      <c r="F33" s="370">
        <f t="shared" si="35"/>
        <v>0</v>
      </c>
      <c r="G33" s="370">
        <f t="shared" si="35"/>
        <v>0</v>
      </c>
      <c r="H33" s="370">
        <f t="shared" si="35"/>
        <v>0</v>
      </c>
      <c r="I33" s="370">
        <f t="shared" si="35"/>
        <v>0</v>
      </c>
      <c r="J33" s="370">
        <f t="shared" si="35"/>
        <v>6384962</v>
      </c>
      <c r="K33" s="370">
        <f t="shared" si="35"/>
        <v>39101752</v>
      </c>
      <c r="L33" s="370">
        <f t="shared" si="35"/>
        <v>28960633</v>
      </c>
      <c r="M33" s="370">
        <f t="shared" si="35"/>
        <v>142473237</v>
      </c>
      <c r="N33" s="370">
        <f t="shared" si="35"/>
        <v>68025890</v>
      </c>
      <c r="O33" s="370">
        <f t="shared" si="35"/>
        <v>46550486</v>
      </c>
      <c r="P33" s="370">
        <f t="shared" si="35"/>
        <v>68731562</v>
      </c>
      <c r="Q33" s="370">
        <f t="shared" si="35"/>
        <v>232788278</v>
      </c>
      <c r="R33" s="370">
        <f t="shared" si="35"/>
        <v>121631213</v>
      </c>
      <c r="S33" s="370">
        <f t="shared" si="35"/>
        <v>0</v>
      </c>
      <c r="T33" s="370">
        <f t="shared" si="35"/>
        <v>11764000</v>
      </c>
      <c r="U33" s="370">
        <f t="shared" si="35"/>
        <v>0</v>
      </c>
      <c r="V33" s="370">
        <f t="shared" si="35"/>
        <v>0</v>
      </c>
      <c r="W33" s="370">
        <f t="shared" si="35"/>
        <v>0</v>
      </c>
      <c r="X33" s="2686"/>
      <c r="Y33" s="348"/>
    </row>
    <row r="34" spans="1:27" s="782" customFormat="1" ht="13.5" hidden="1" thickBot="1">
      <c r="A34" s="2681"/>
      <c r="B34" s="372" t="s">
        <v>95</v>
      </c>
      <c r="C34" s="373"/>
      <c r="D34" s="374">
        <f>+D489</f>
        <v>0</v>
      </c>
      <c r="E34" s="374">
        <f t="shared" ref="E34:P34" si="36">+E489</f>
        <v>0</v>
      </c>
      <c r="F34" s="374">
        <f t="shared" si="36"/>
        <v>0</v>
      </c>
      <c r="G34" s="374">
        <f t="shared" si="36"/>
        <v>0</v>
      </c>
      <c r="H34" s="374">
        <f t="shared" si="36"/>
        <v>0</v>
      </c>
      <c r="I34" s="374">
        <f t="shared" si="36"/>
        <v>0</v>
      </c>
      <c r="J34" s="374">
        <f t="shared" si="36"/>
        <v>0</v>
      </c>
      <c r="K34" s="374">
        <f t="shared" si="36"/>
        <v>0</v>
      </c>
      <c r="L34" s="374">
        <f t="shared" si="36"/>
        <v>0</v>
      </c>
      <c r="M34" s="374">
        <f>+M489</f>
        <v>0</v>
      </c>
      <c r="N34" s="374">
        <f t="shared" si="36"/>
        <v>0</v>
      </c>
      <c r="O34" s="374">
        <f t="shared" si="36"/>
        <v>0</v>
      </c>
      <c r="P34" s="374">
        <f t="shared" si="36"/>
        <v>0</v>
      </c>
      <c r="Q34" s="374">
        <f t="shared" ref="Q34:W34" si="37">+Q489</f>
        <v>0</v>
      </c>
      <c r="R34" s="374">
        <f t="shared" si="37"/>
        <v>0</v>
      </c>
      <c r="S34" s="374">
        <f t="shared" si="37"/>
        <v>0</v>
      </c>
      <c r="T34" s="374">
        <f t="shared" si="37"/>
        <v>0</v>
      </c>
      <c r="U34" s="374">
        <f t="shared" si="37"/>
        <v>0</v>
      </c>
      <c r="V34" s="374">
        <f t="shared" si="37"/>
        <v>0</v>
      </c>
      <c r="W34" s="374">
        <f t="shared" si="37"/>
        <v>0</v>
      </c>
      <c r="X34" s="2687"/>
      <c r="Y34" s="348"/>
    </row>
    <row r="35" spans="1:27" ht="29.25" customHeight="1">
      <c r="A35" s="1464" t="s">
        <v>298</v>
      </c>
      <c r="B35" s="1059" t="s">
        <v>326</v>
      </c>
      <c r="C35" s="375"/>
      <c r="D35" s="376"/>
      <c r="E35" s="377"/>
      <c r="F35" s="377"/>
      <c r="G35" s="377"/>
      <c r="H35" s="378"/>
      <c r="I35" s="377"/>
      <c r="J35" s="379"/>
      <c r="K35" s="379"/>
      <c r="L35" s="379"/>
      <c r="M35" s="380"/>
      <c r="N35" s="380"/>
      <c r="O35" s="380"/>
      <c r="P35" s="380"/>
      <c r="Q35" s="380">
        <f>+Q36-Q41-Q39-Q42</f>
        <v>24787176</v>
      </c>
      <c r="R35" s="380"/>
      <c r="S35" s="380"/>
      <c r="T35" s="380"/>
      <c r="U35" s="380"/>
      <c r="V35" s="380"/>
      <c r="W35" s="380"/>
      <c r="X35" s="381"/>
      <c r="Y35" s="382"/>
    </row>
    <row r="36" spans="1:27" ht="13.5" customHeight="1">
      <c r="A36" s="1464"/>
      <c r="B36" s="383" t="s">
        <v>22</v>
      </c>
      <c r="C36" s="359"/>
      <c r="D36" s="384">
        <f>+D37+D42</f>
        <v>749594767</v>
      </c>
      <c r="E36" s="384">
        <f t="shared" ref="E36:P36" si="38">+E37+E42</f>
        <v>442753</v>
      </c>
      <c r="F36" s="384">
        <f t="shared" si="38"/>
        <v>49287</v>
      </c>
      <c r="G36" s="384">
        <f t="shared" si="38"/>
        <v>129117</v>
      </c>
      <c r="H36" s="384">
        <f t="shared" si="38"/>
        <v>8829</v>
      </c>
      <c r="I36" s="384">
        <f t="shared" si="38"/>
        <v>2407441</v>
      </c>
      <c r="J36" s="384">
        <f t="shared" si="38"/>
        <v>28814903</v>
      </c>
      <c r="K36" s="384">
        <f t="shared" si="38"/>
        <v>56885678</v>
      </c>
      <c r="L36" s="384">
        <f t="shared" si="38"/>
        <v>53006011</v>
      </c>
      <c r="M36" s="384">
        <f>+M37+M42</f>
        <v>209003780</v>
      </c>
      <c r="N36" s="384">
        <f t="shared" si="38"/>
        <v>67446994</v>
      </c>
      <c r="O36" s="384">
        <f t="shared" si="38"/>
        <v>39088758</v>
      </c>
      <c r="P36" s="384">
        <f t="shared" si="38"/>
        <v>71793224</v>
      </c>
      <c r="Q36" s="384">
        <f t="shared" ref="Q36:X36" si="39">+Q37+Q42</f>
        <v>273452746</v>
      </c>
      <c r="R36" s="384">
        <f t="shared" si="39"/>
        <v>142416259</v>
      </c>
      <c r="S36" s="384">
        <f t="shared" si="39"/>
        <v>0</v>
      </c>
      <c r="T36" s="384">
        <f t="shared" si="39"/>
        <v>13840000</v>
      </c>
      <c r="U36" s="384">
        <f t="shared" si="39"/>
        <v>0</v>
      </c>
      <c r="V36" s="384">
        <f t="shared" si="39"/>
        <v>0</v>
      </c>
      <c r="W36" s="384">
        <f t="shared" si="39"/>
        <v>0</v>
      </c>
      <c r="X36" s="385">
        <f t="shared" si="39"/>
        <v>501502229</v>
      </c>
      <c r="Y36" s="382"/>
      <c r="Z36" s="861">
        <f>+O36+P36</f>
        <v>110881982</v>
      </c>
    </row>
    <row r="37" spans="1:27" s="738" customFormat="1" ht="13.5" customHeight="1">
      <c r="A37" s="1464"/>
      <c r="B37" s="386" t="s">
        <v>36</v>
      </c>
      <c r="C37" s="387"/>
      <c r="D37" s="388">
        <f>+D38+D39+D40+D41</f>
        <v>125655991</v>
      </c>
      <c r="E37" s="388">
        <f t="shared" ref="E37:W37" si="40">+E38+E39+E40+E41</f>
        <v>234085</v>
      </c>
      <c r="F37" s="388">
        <f t="shared" si="40"/>
        <v>49287</v>
      </c>
      <c r="G37" s="388">
        <f t="shared" si="40"/>
        <v>128606</v>
      </c>
      <c r="H37" s="388">
        <f t="shared" si="40"/>
        <v>83</v>
      </c>
      <c r="I37" s="388">
        <f t="shared" si="40"/>
        <v>1085656</v>
      </c>
      <c r="J37" s="388">
        <f t="shared" si="40"/>
        <v>15203845</v>
      </c>
      <c r="K37" s="388">
        <f t="shared" si="40"/>
        <v>12968941</v>
      </c>
      <c r="L37" s="388">
        <f t="shared" si="40"/>
        <v>5283110</v>
      </c>
      <c r="M37" s="388">
        <f t="shared" si="40"/>
        <v>45578511</v>
      </c>
      <c r="N37" s="388">
        <f t="shared" si="40"/>
        <v>10802874</v>
      </c>
      <c r="O37" s="388">
        <f t="shared" si="40"/>
        <v>2663412</v>
      </c>
      <c r="P37" s="388">
        <f t="shared" si="40"/>
        <v>2420846</v>
      </c>
      <c r="Q37" s="388">
        <f t="shared" si="40"/>
        <v>44157176</v>
      </c>
      <c r="R37" s="388">
        <f t="shared" si="40"/>
        <v>28760046</v>
      </c>
      <c r="S37" s="388">
        <f t="shared" si="40"/>
        <v>0</v>
      </c>
      <c r="T37" s="388">
        <f t="shared" si="40"/>
        <v>2076000</v>
      </c>
      <c r="U37" s="388">
        <f t="shared" si="40"/>
        <v>0</v>
      </c>
      <c r="V37" s="388">
        <f t="shared" si="40"/>
        <v>0</v>
      </c>
      <c r="W37" s="388">
        <f t="shared" si="40"/>
        <v>0</v>
      </c>
      <c r="X37" s="389">
        <f>+X38+X39+X40+X41</f>
        <v>77414068</v>
      </c>
      <c r="Y37" s="382"/>
      <c r="AA37" s="737"/>
    </row>
    <row r="38" spans="1:27" ht="13.5" customHeight="1">
      <c r="A38" s="1464"/>
      <c r="B38" s="390" t="s">
        <v>24</v>
      </c>
      <c r="C38" s="391"/>
      <c r="D38" s="392">
        <f>+D357+D269+D369+D333+D126+D84+D135+D345+D147+D159++D170+D253+D100+D179+D114+D191+D200+D241++D56+D226+D70+D216+D281+D293+D305+D317+D329</f>
        <v>61581078</v>
      </c>
      <c r="E38" s="392">
        <f t="shared" ref="E38:W38" si="41">+E357+E269+E369+E333+E126+E84+E135+E345+E147+E159++E170+E253+E100+E179+E114+E191+E200+E241++E56+E226+E70+E216+E281+E293+E305+E317+E329</f>
        <v>217891</v>
      </c>
      <c r="F38" s="392">
        <f t="shared" si="41"/>
        <v>49287</v>
      </c>
      <c r="G38" s="392">
        <f t="shared" si="41"/>
        <v>128606</v>
      </c>
      <c r="H38" s="392">
        <f t="shared" si="41"/>
        <v>0</v>
      </c>
      <c r="I38" s="392">
        <f t="shared" si="41"/>
        <v>886698</v>
      </c>
      <c r="J38" s="392">
        <f t="shared" si="41"/>
        <v>1540634</v>
      </c>
      <c r="K38" s="392">
        <f t="shared" si="41"/>
        <v>4830140</v>
      </c>
      <c r="L38" s="392">
        <f t="shared" si="41"/>
        <v>3322184</v>
      </c>
      <c r="M38" s="392">
        <f t="shared" si="41"/>
        <v>19007834</v>
      </c>
      <c r="N38" s="392">
        <f t="shared" si="41"/>
        <v>8210287</v>
      </c>
      <c r="O38" s="392">
        <f t="shared" si="41"/>
        <v>2660381</v>
      </c>
      <c r="P38" s="392">
        <f>+P357+P269+P369+P333+P126+P84+P135+P345+P147+P159++P170+P253+P100+P179+P114+P191+P200+P241++P56+P226+P70+P216+P281+P293+P305+P317+P329</f>
        <v>1404641</v>
      </c>
      <c r="Q38" s="392">
        <f t="shared" si="41"/>
        <v>24787176</v>
      </c>
      <c r="R38" s="392">
        <f t="shared" si="41"/>
        <v>13721046</v>
      </c>
      <c r="S38" s="392">
        <f t="shared" si="41"/>
        <v>0</v>
      </c>
      <c r="T38" s="392">
        <f t="shared" si="41"/>
        <v>0</v>
      </c>
      <c r="U38" s="392">
        <f t="shared" si="41"/>
        <v>0</v>
      </c>
      <c r="V38" s="392">
        <f t="shared" si="41"/>
        <v>0</v>
      </c>
      <c r="W38" s="392">
        <f t="shared" si="41"/>
        <v>0</v>
      </c>
      <c r="X38" s="393">
        <f>SUM(P38:W38)</f>
        <v>39912863</v>
      </c>
      <c r="Y38" s="394"/>
      <c r="Z38" s="778"/>
      <c r="AA38" s="737"/>
    </row>
    <row r="39" spans="1:27" ht="12" customHeight="1">
      <c r="A39" s="1464"/>
      <c r="B39" s="395" t="s">
        <v>27</v>
      </c>
      <c r="C39" s="396"/>
      <c r="D39" s="392">
        <f>+D270+D371+D334+D136+D148+D228+D255+D86+D180+D242</f>
        <v>10030669</v>
      </c>
      <c r="E39" s="392">
        <f t="shared" ref="E39:W39" si="42">+E270+E371+E334+E136+E148+E228+E255+E86+E180+E242</f>
        <v>0</v>
      </c>
      <c r="F39" s="392">
        <f t="shared" si="42"/>
        <v>0</v>
      </c>
      <c r="G39" s="392">
        <f t="shared" si="42"/>
        <v>0</v>
      </c>
      <c r="H39" s="392">
        <f t="shared" si="42"/>
        <v>0</v>
      </c>
      <c r="I39" s="392">
        <f t="shared" si="42"/>
        <v>0</v>
      </c>
      <c r="J39" s="392">
        <f t="shared" si="42"/>
        <v>2000000</v>
      </c>
      <c r="K39" s="392">
        <f t="shared" si="42"/>
        <v>5514464</v>
      </c>
      <c r="L39" s="392">
        <f t="shared" si="42"/>
        <v>0</v>
      </c>
      <c r="M39" s="392">
        <f t="shared" si="42"/>
        <v>8514464</v>
      </c>
      <c r="N39" s="392">
        <f t="shared" si="42"/>
        <v>1000000</v>
      </c>
      <c r="O39" s="392">
        <f t="shared" si="42"/>
        <v>0</v>
      </c>
      <c r="P39" s="392">
        <f t="shared" si="42"/>
        <v>1016205</v>
      </c>
      <c r="Q39" s="392">
        <f t="shared" si="42"/>
        <v>500000</v>
      </c>
      <c r="R39" s="392">
        <f t="shared" si="42"/>
        <v>0</v>
      </c>
      <c r="S39" s="392">
        <f t="shared" si="42"/>
        <v>0</v>
      </c>
      <c r="T39" s="392">
        <f t="shared" si="42"/>
        <v>0</v>
      </c>
      <c r="U39" s="392">
        <f t="shared" si="42"/>
        <v>0</v>
      </c>
      <c r="V39" s="392">
        <f t="shared" si="42"/>
        <v>0</v>
      </c>
      <c r="W39" s="392">
        <f t="shared" si="42"/>
        <v>0</v>
      </c>
      <c r="X39" s="393">
        <f>SUM(P39:T39)</f>
        <v>1516205</v>
      </c>
      <c r="Y39" s="394"/>
      <c r="Z39" s="778">
        <f>D39-D46</f>
        <v>0</v>
      </c>
      <c r="AA39" s="737"/>
    </row>
    <row r="40" spans="1:27" ht="12" customHeight="1">
      <c r="A40" s="1464"/>
      <c r="B40" s="395" t="s">
        <v>29</v>
      </c>
      <c r="C40" s="396"/>
      <c r="D40" s="392">
        <f t="shared" ref="D40:W40" si="43">+D57+D227+D71+D254+D101+D85+D115</f>
        <v>18059244</v>
      </c>
      <c r="E40" s="392">
        <f t="shared" si="43"/>
        <v>16194</v>
      </c>
      <c r="F40" s="392">
        <f t="shared" si="43"/>
        <v>0</v>
      </c>
      <c r="G40" s="392">
        <f t="shared" si="43"/>
        <v>0</v>
      </c>
      <c r="H40" s="392">
        <f t="shared" si="43"/>
        <v>83</v>
      </c>
      <c r="I40" s="392">
        <f t="shared" si="43"/>
        <v>198958</v>
      </c>
      <c r="J40" s="392">
        <f t="shared" si="43"/>
        <v>11663211</v>
      </c>
      <c r="K40" s="392">
        <f t="shared" si="43"/>
        <v>2624337</v>
      </c>
      <c r="L40" s="392">
        <f t="shared" si="43"/>
        <v>1960926</v>
      </c>
      <c r="M40" s="392">
        <f t="shared" si="43"/>
        <v>18056213</v>
      </c>
      <c r="N40" s="392">
        <f t="shared" si="43"/>
        <v>1592587</v>
      </c>
      <c r="O40" s="392">
        <f t="shared" si="43"/>
        <v>3031</v>
      </c>
      <c r="P40" s="392">
        <f t="shared" si="43"/>
        <v>0</v>
      </c>
      <c r="Q40" s="392">
        <f t="shared" si="43"/>
        <v>0</v>
      </c>
      <c r="R40" s="392">
        <f t="shared" si="43"/>
        <v>0</v>
      </c>
      <c r="S40" s="392">
        <f t="shared" si="43"/>
        <v>0</v>
      </c>
      <c r="T40" s="392">
        <f t="shared" si="43"/>
        <v>0</v>
      </c>
      <c r="U40" s="392">
        <f t="shared" si="43"/>
        <v>0</v>
      </c>
      <c r="V40" s="392">
        <f t="shared" si="43"/>
        <v>0</v>
      </c>
      <c r="W40" s="392">
        <f t="shared" si="43"/>
        <v>0</v>
      </c>
      <c r="X40" s="393">
        <f>SUM(P40:T40)</f>
        <v>0</v>
      </c>
      <c r="Y40" s="394"/>
      <c r="Z40" s="778">
        <f>D40-D47</f>
        <v>0</v>
      </c>
      <c r="AA40" s="737"/>
    </row>
    <row r="41" spans="1:27" ht="12" customHeight="1">
      <c r="A41" s="1464"/>
      <c r="B41" s="395" t="s">
        <v>68</v>
      </c>
      <c r="C41" s="396"/>
      <c r="D41" s="1313">
        <f>D346+D358+D370</f>
        <v>35985000</v>
      </c>
      <c r="E41" s="1313">
        <f t="shared" ref="E41:W41" si="44">E346+E358+E370</f>
        <v>0</v>
      </c>
      <c r="F41" s="1313">
        <f t="shared" si="44"/>
        <v>0</v>
      </c>
      <c r="G41" s="1313">
        <f t="shared" si="44"/>
        <v>0</v>
      </c>
      <c r="H41" s="1313">
        <f t="shared" si="44"/>
        <v>0</v>
      </c>
      <c r="I41" s="1313">
        <f t="shared" si="44"/>
        <v>0</v>
      </c>
      <c r="J41" s="1313">
        <f t="shared" si="44"/>
        <v>0</v>
      </c>
      <c r="K41" s="1313">
        <f t="shared" si="44"/>
        <v>0</v>
      </c>
      <c r="L41" s="1313">
        <f t="shared" si="44"/>
        <v>0</v>
      </c>
      <c r="M41" s="1313">
        <f>M346+M358+M370</f>
        <v>0</v>
      </c>
      <c r="N41" s="1313">
        <f t="shared" si="44"/>
        <v>0</v>
      </c>
      <c r="O41" s="1313">
        <f t="shared" si="44"/>
        <v>0</v>
      </c>
      <c r="P41" s="1313">
        <f t="shared" si="44"/>
        <v>0</v>
      </c>
      <c r="Q41" s="1313">
        <f t="shared" si="44"/>
        <v>18870000</v>
      </c>
      <c r="R41" s="1313">
        <f t="shared" si="44"/>
        <v>15039000</v>
      </c>
      <c r="S41" s="1313">
        <f t="shared" si="44"/>
        <v>0</v>
      </c>
      <c r="T41" s="1313">
        <f t="shared" si="44"/>
        <v>2076000</v>
      </c>
      <c r="U41" s="1313">
        <f t="shared" si="44"/>
        <v>0</v>
      </c>
      <c r="V41" s="1313">
        <f t="shared" si="44"/>
        <v>0</v>
      </c>
      <c r="W41" s="1313">
        <f t="shared" si="44"/>
        <v>0</v>
      </c>
      <c r="X41" s="393">
        <f>SUM(P41:T41)</f>
        <v>35985000</v>
      </c>
      <c r="Y41" s="394"/>
      <c r="Z41" s="778"/>
      <c r="AA41" s="737"/>
    </row>
    <row r="42" spans="1:27" s="738" customFormat="1" ht="14.25" customHeight="1">
      <c r="A42" s="1464"/>
      <c r="B42" s="397" t="s">
        <v>30</v>
      </c>
      <c r="C42" s="398"/>
      <c r="D42" s="388">
        <f>+D43</f>
        <v>623938776</v>
      </c>
      <c r="E42" s="388">
        <f t="shared" ref="E42:W42" si="45">+E43</f>
        <v>208668</v>
      </c>
      <c r="F42" s="388">
        <f t="shared" si="45"/>
        <v>0</v>
      </c>
      <c r="G42" s="388">
        <f t="shared" si="45"/>
        <v>511</v>
      </c>
      <c r="H42" s="388">
        <f t="shared" si="45"/>
        <v>8746</v>
      </c>
      <c r="I42" s="388">
        <f t="shared" si="45"/>
        <v>1321785</v>
      </c>
      <c r="J42" s="388">
        <f t="shared" si="45"/>
        <v>13611058</v>
      </c>
      <c r="K42" s="388">
        <f t="shared" si="45"/>
        <v>43916737</v>
      </c>
      <c r="L42" s="388">
        <f t="shared" si="45"/>
        <v>47722901</v>
      </c>
      <c r="M42" s="388">
        <f t="shared" si="45"/>
        <v>163425269</v>
      </c>
      <c r="N42" s="388">
        <f t="shared" si="45"/>
        <v>56644120</v>
      </c>
      <c r="O42" s="388">
        <f t="shared" si="45"/>
        <v>36425346</v>
      </c>
      <c r="P42" s="388">
        <f t="shared" si="45"/>
        <v>69372378</v>
      </c>
      <c r="Q42" s="388">
        <f t="shared" si="45"/>
        <v>229295570</v>
      </c>
      <c r="R42" s="388">
        <f t="shared" si="45"/>
        <v>113656213</v>
      </c>
      <c r="S42" s="388">
        <f t="shared" si="45"/>
        <v>0</v>
      </c>
      <c r="T42" s="388">
        <f t="shared" si="45"/>
        <v>11764000</v>
      </c>
      <c r="U42" s="388">
        <f t="shared" si="45"/>
        <v>0</v>
      </c>
      <c r="V42" s="388">
        <f t="shared" si="45"/>
        <v>0</v>
      </c>
      <c r="W42" s="388">
        <f t="shared" si="45"/>
        <v>0</v>
      </c>
      <c r="X42" s="399">
        <f>+X43</f>
        <v>424088161</v>
      </c>
      <c r="Y42" s="394"/>
      <c r="AA42" s="737"/>
    </row>
    <row r="43" spans="1:27" ht="11.25" customHeight="1">
      <c r="A43" s="1464"/>
      <c r="B43" s="401" t="s">
        <v>33</v>
      </c>
      <c r="C43" s="402"/>
      <c r="D43" s="403">
        <f t="shared" ref="D43:W43" si="46">+D360+D272+D60+D230+D74+D373+D336+D128+D89+D138+D348+D150+D161+D172+D258+D104+D182+D117+D193+D202+D244+D209+D218+D284+D296+D308+D320</f>
        <v>623938776</v>
      </c>
      <c r="E43" s="403">
        <f t="shared" si="46"/>
        <v>208668</v>
      </c>
      <c r="F43" s="403">
        <f t="shared" si="46"/>
        <v>0</v>
      </c>
      <c r="G43" s="403">
        <f t="shared" si="46"/>
        <v>511</v>
      </c>
      <c r="H43" s="403">
        <f t="shared" si="46"/>
        <v>8746</v>
      </c>
      <c r="I43" s="403">
        <f t="shared" si="46"/>
        <v>1321785</v>
      </c>
      <c r="J43" s="403">
        <f t="shared" si="46"/>
        <v>13611058</v>
      </c>
      <c r="K43" s="403">
        <f t="shared" si="46"/>
        <v>43916737</v>
      </c>
      <c r="L43" s="403">
        <f t="shared" si="46"/>
        <v>47722901</v>
      </c>
      <c r="M43" s="403">
        <f t="shared" si="46"/>
        <v>163425269</v>
      </c>
      <c r="N43" s="403">
        <f t="shared" si="46"/>
        <v>56644120</v>
      </c>
      <c r="O43" s="403">
        <f t="shared" si="46"/>
        <v>36425346</v>
      </c>
      <c r="P43" s="403">
        <f t="shared" si="46"/>
        <v>69372378</v>
      </c>
      <c r="Q43" s="403">
        <f t="shared" si="46"/>
        <v>229295570</v>
      </c>
      <c r="R43" s="403">
        <f t="shared" si="46"/>
        <v>113656213</v>
      </c>
      <c r="S43" s="403">
        <f t="shared" si="46"/>
        <v>0</v>
      </c>
      <c r="T43" s="403">
        <f t="shared" si="46"/>
        <v>11764000</v>
      </c>
      <c r="U43" s="403">
        <f t="shared" si="46"/>
        <v>0</v>
      </c>
      <c r="V43" s="403">
        <f t="shared" si="46"/>
        <v>0</v>
      </c>
      <c r="W43" s="403">
        <f t="shared" si="46"/>
        <v>0</v>
      </c>
      <c r="X43" s="393">
        <f>SUM(P43:T43)</f>
        <v>424088161</v>
      </c>
      <c r="Y43" s="382"/>
      <c r="Z43" s="778">
        <f>D43-D52</f>
        <v>0</v>
      </c>
      <c r="AA43" s="737"/>
    </row>
    <row r="44" spans="1:27" ht="14.25" customHeight="1">
      <c r="A44" s="1464"/>
      <c r="B44" s="358" t="s">
        <v>34</v>
      </c>
      <c r="C44" s="359"/>
      <c r="D44" s="384">
        <f>+D45+D50</f>
        <v>688855170</v>
      </c>
      <c r="E44" s="384">
        <f t="shared" ref="E44:P44" si="47">+E45+E50</f>
        <v>0</v>
      </c>
      <c r="F44" s="384">
        <f t="shared" si="47"/>
        <v>0</v>
      </c>
      <c r="G44" s="384">
        <f t="shared" si="47"/>
        <v>0</v>
      </c>
      <c r="H44" s="384">
        <f t="shared" si="47"/>
        <v>0</v>
      </c>
      <c r="I44" s="384">
        <f t="shared" si="47"/>
        <v>0</v>
      </c>
      <c r="J44" s="384">
        <f t="shared" si="47"/>
        <v>15625149</v>
      </c>
      <c r="K44" s="384">
        <f t="shared" si="47"/>
        <v>49128484</v>
      </c>
      <c r="L44" s="384">
        <f t="shared" si="47"/>
        <v>32536835</v>
      </c>
      <c r="M44" s="384">
        <f>+M45+M50</f>
        <v>173668547</v>
      </c>
      <c r="N44" s="384">
        <f t="shared" si="47"/>
        <v>76378079</v>
      </c>
      <c r="O44" s="384">
        <f t="shared" si="47"/>
        <v>53497510</v>
      </c>
      <c r="P44" s="384">
        <f t="shared" si="47"/>
        <v>78167052</v>
      </c>
      <c r="Q44" s="384">
        <f t="shared" ref="Q44:W44" si="48">+Q45+Q50</f>
        <v>241707563</v>
      </c>
      <c r="R44" s="384">
        <f t="shared" si="48"/>
        <v>130050498</v>
      </c>
      <c r="S44" s="384">
        <f t="shared" si="48"/>
        <v>0</v>
      </c>
      <c r="T44" s="384">
        <f t="shared" si="48"/>
        <v>11764000</v>
      </c>
      <c r="U44" s="384">
        <f t="shared" si="48"/>
        <v>0</v>
      </c>
      <c r="V44" s="384">
        <f t="shared" si="48"/>
        <v>0</v>
      </c>
      <c r="W44" s="384">
        <f t="shared" si="48"/>
        <v>0</v>
      </c>
      <c r="X44" s="404"/>
      <c r="Y44" s="394"/>
    </row>
    <row r="45" spans="1:27" ht="12.75" customHeight="1">
      <c r="A45" s="1464"/>
      <c r="B45" s="405" t="s">
        <v>36</v>
      </c>
      <c r="C45" s="406"/>
      <c r="D45" s="407">
        <f>+D46+D47+D48+D49</f>
        <v>64916394</v>
      </c>
      <c r="E45" s="407">
        <f t="shared" ref="E45:W45" si="49">+E46+E47+E48+E49</f>
        <v>0</v>
      </c>
      <c r="F45" s="407">
        <f t="shared" si="49"/>
        <v>0</v>
      </c>
      <c r="G45" s="407">
        <f t="shared" si="49"/>
        <v>0</v>
      </c>
      <c r="H45" s="407">
        <f t="shared" si="49"/>
        <v>0</v>
      </c>
      <c r="I45" s="407">
        <f t="shared" si="49"/>
        <v>0</v>
      </c>
      <c r="J45" s="407">
        <f t="shared" si="49"/>
        <v>9240187</v>
      </c>
      <c r="K45" s="407">
        <f t="shared" si="49"/>
        <v>10026732</v>
      </c>
      <c r="L45" s="407">
        <f t="shared" si="49"/>
        <v>3576202</v>
      </c>
      <c r="M45" s="407">
        <f t="shared" si="49"/>
        <v>31195310</v>
      </c>
      <c r="N45" s="407">
        <f t="shared" si="49"/>
        <v>8352189</v>
      </c>
      <c r="O45" s="407">
        <f t="shared" si="49"/>
        <v>6947024</v>
      </c>
      <c r="P45" s="407">
        <f t="shared" si="49"/>
        <v>9435490</v>
      </c>
      <c r="Q45" s="407">
        <f t="shared" si="49"/>
        <v>8919285</v>
      </c>
      <c r="R45" s="407">
        <f t="shared" si="49"/>
        <v>8419285</v>
      </c>
      <c r="S45" s="407">
        <f t="shared" si="49"/>
        <v>0</v>
      </c>
      <c r="T45" s="407">
        <f t="shared" si="49"/>
        <v>0</v>
      </c>
      <c r="U45" s="407">
        <f t="shared" si="49"/>
        <v>0</v>
      </c>
      <c r="V45" s="407">
        <f t="shared" si="49"/>
        <v>0</v>
      </c>
      <c r="W45" s="407">
        <f t="shared" si="49"/>
        <v>0</v>
      </c>
      <c r="X45" s="985"/>
      <c r="Y45" s="394"/>
      <c r="Z45" s="778"/>
    </row>
    <row r="46" spans="1:27" ht="11.25" customHeight="1">
      <c r="A46" s="1464"/>
      <c r="B46" s="408" t="s">
        <v>27</v>
      </c>
      <c r="C46" s="409"/>
      <c r="D46" s="400">
        <f>+D275+D377+D339+D141+D153+D234+D262+D93+D185+D247</f>
        <v>10030669</v>
      </c>
      <c r="E46" s="400">
        <f t="shared" ref="E46:R46" si="50">+E275+E377+E339+E141+E153+E234+E262+E93+E185+E247</f>
        <v>0</v>
      </c>
      <c r="F46" s="400">
        <f t="shared" si="50"/>
        <v>0</v>
      </c>
      <c r="G46" s="400">
        <f t="shared" si="50"/>
        <v>0</v>
      </c>
      <c r="H46" s="400">
        <f t="shared" si="50"/>
        <v>0</v>
      </c>
      <c r="I46" s="400">
        <f t="shared" si="50"/>
        <v>0</v>
      </c>
      <c r="J46" s="400">
        <f t="shared" si="50"/>
        <v>2000000</v>
      </c>
      <c r="K46" s="400">
        <f t="shared" si="50"/>
        <v>3524600</v>
      </c>
      <c r="L46" s="400">
        <f t="shared" si="50"/>
        <v>1989864</v>
      </c>
      <c r="M46" s="400">
        <f t="shared" si="50"/>
        <v>8514464</v>
      </c>
      <c r="N46" s="400">
        <f t="shared" si="50"/>
        <v>1000000</v>
      </c>
      <c r="O46" s="400">
        <f t="shared" si="50"/>
        <v>0</v>
      </c>
      <c r="P46" s="400">
        <f t="shared" si="50"/>
        <v>1016205</v>
      </c>
      <c r="Q46" s="400">
        <f t="shared" si="50"/>
        <v>500000</v>
      </c>
      <c r="R46" s="400">
        <f t="shared" si="50"/>
        <v>0</v>
      </c>
      <c r="S46" s="400">
        <f>+S275+S377+S339+S141+S153+S234+S262+S93+S185</f>
        <v>0</v>
      </c>
      <c r="T46" s="400">
        <f>+T275+T377+T339+T141+T153+T234+T262+T93+T185</f>
        <v>0</v>
      </c>
      <c r="U46" s="400">
        <f>+U275+U377+U339+U141+U153+U234+U262+U93+U185</f>
        <v>0</v>
      </c>
      <c r="V46" s="400">
        <f>+V275+V377+V339+V141+V153+V234+V262+V93+V185</f>
        <v>0</v>
      </c>
      <c r="W46" s="400">
        <f>+W275+W377+W339+W141+W153+W234+W262+W93+W185</f>
        <v>0</v>
      </c>
      <c r="X46" s="985"/>
      <c r="Y46" s="394"/>
    </row>
    <row r="47" spans="1:27">
      <c r="A47" s="1464"/>
      <c r="B47" s="395" t="s">
        <v>29</v>
      </c>
      <c r="C47" s="409"/>
      <c r="D47" s="400">
        <f t="shared" ref="D47:W47" si="51">+D63+D233+D77+D261+D107+D92+D120</f>
        <v>18059244</v>
      </c>
      <c r="E47" s="400">
        <f t="shared" si="51"/>
        <v>0</v>
      </c>
      <c r="F47" s="400">
        <f t="shared" si="51"/>
        <v>0</v>
      </c>
      <c r="G47" s="400">
        <f t="shared" si="51"/>
        <v>0</v>
      </c>
      <c r="H47" s="400">
        <f t="shared" si="51"/>
        <v>0</v>
      </c>
      <c r="I47" s="400">
        <f t="shared" si="51"/>
        <v>0</v>
      </c>
      <c r="J47" s="400">
        <f t="shared" si="51"/>
        <v>7240187</v>
      </c>
      <c r="K47" s="400">
        <f t="shared" si="51"/>
        <v>6502132</v>
      </c>
      <c r="L47" s="400">
        <f t="shared" si="51"/>
        <v>744857</v>
      </c>
      <c r="M47" s="400">
        <f t="shared" si="51"/>
        <v>17362220</v>
      </c>
      <c r="N47" s="400">
        <f t="shared" si="51"/>
        <v>2875044</v>
      </c>
      <c r="O47" s="400">
        <f t="shared" si="51"/>
        <v>697024</v>
      </c>
      <c r="P47" s="400">
        <f t="shared" si="51"/>
        <v>0</v>
      </c>
      <c r="Q47" s="400">
        <f t="shared" si="51"/>
        <v>0</v>
      </c>
      <c r="R47" s="400">
        <f t="shared" si="51"/>
        <v>0</v>
      </c>
      <c r="S47" s="400">
        <f t="shared" si="51"/>
        <v>0</v>
      </c>
      <c r="T47" s="400">
        <f t="shared" si="51"/>
        <v>0</v>
      </c>
      <c r="U47" s="400">
        <f t="shared" si="51"/>
        <v>0</v>
      </c>
      <c r="V47" s="400">
        <f t="shared" si="51"/>
        <v>0</v>
      </c>
      <c r="W47" s="400">
        <f t="shared" si="51"/>
        <v>0</v>
      </c>
      <c r="X47" s="985"/>
      <c r="Y47" s="394"/>
    </row>
    <row r="48" spans="1:27">
      <c r="A48" s="1464"/>
      <c r="B48" s="395" t="s">
        <v>38</v>
      </c>
      <c r="C48" s="409"/>
      <c r="D48" s="400">
        <f>+D164</f>
        <v>841481</v>
      </c>
      <c r="E48" s="400">
        <f t="shared" ref="E48:P48" si="52">+E164</f>
        <v>0</v>
      </c>
      <c r="F48" s="400">
        <f t="shared" si="52"/>
        <v>0</v>
      </c>
      <c r="G48" s="400">
        <f t="shared" si="52"/>
        <v>0</v>
      </c>
      <c r="H48" s="400">
        <f t="shared" si="52"/>
        <v>0</v>
      </c>
      <c r="I48" s="400">
        <f t="shared" si="52"/>
        <v>0</v>
      </c>
      <c r="J48" s="400">
        <f t="shared" si="52"/>
        <v>0</v>
      </c>
      <c r="K48" s="400">
        <f t="shared" si="52"/>
        <v>0</v>
      </c>
      <c r="L48" s="400">
        <f>+L164</f>
        <v>841481</v>
      </c>
      <c r="M48" s="400">
        <f>+M164</f>
        <v>841481</v>
      </c>
      <c r="N48" s="400">
        <f t="shared" si="52"/>
        <v>0</v>
      </c>
      <c r="O48" s="400">
        <f t="shared" si="52"/>
        <v>0</v>
      </c>
      <c r="P48" s="400">
        <f t="shared" si="52"/>
        <v>0</v>
      </c>
      <c r="Q48" s="400">
        <f t="shared" ref="Q48:W48" si="53">+Q164</f>
        <v>0</v>
      </c>
      <c r="R48" s="400">
        <f t="shared" si="53"/>
        <v>0</v>
      </c>
      <c r="S48" s="400">
        <f t="shared" si="53"/>
        <v>0</v>
      </c>
      <c r="T48" s="400">
        <f t="shared" si="53"/>
        <v>0</v>
      </c>
      <c r="U48" s="400">
        <f t="shared" si="53"/>
        <v>0</v>
      </c>
      <c r="V48" s="400">
        <f t="shared" si="53"/>
        <v>0</v>
      </c>
      <c r="W48" s="400">
        <f t="shared" si="53"/>
        <v>0</v>
      </c>
      <c r="X48" s="985"/>
      <c r="Y48" s="394"/>
    </row>
    <row r="49" spans="1:26">
      <c r="A49" s="1464"/>
      <c r="B49" s="395" t="s">
        <v>68</v>
      </c>
      <c r="C49" s="409"/>
      <c r="D49" s="1314">
        <f>D351+D363+D376</f>
        <v>35985000</v>
      </c>
      <c r="E49" s="1314">
        <f t="shared" ref="E49:W49" si="54">E351+E363+E376</f>
        <v>0</v>
      </c>
      <c r="F49" s="1314">
        <f t="shared" si="54"/>
        <v>0</v>
      </c>
      <c r="G49" s="1314">
        <f t="shared" si="54"/>
        <v>0</v>
      </c>
      <c r="H49" s="1314">
        <f t="shared" si="54"/>
        <v>0</v>
      </c>
      <c r="I49" s="1314">
        <f t="shared" si="54"/>
        <v>0</v>
      </c>
      <c r="J49" s="1314">
        <f t="shared" si="54"/>
        <v>0</v>
      </c>
      <c r="K49" s="1314">
        <f t="shared" si="54"/>
        <v>0</v>
      </c>
      <c r="L49" s="1314">
        <f t="shared" si="54"/>
        <v>0</v>
      </c>
      <c r="M49" s="1314">
        <f t="shared" si="54"/>
        <v>4477145</v>
      </c>
      <c r="N49" s="1314">
        <f t="shared" si="54"/>
        <v>4477145</v>
      </c>
      <c r="O49" s="1314">
        <f t="shared" si="54"/>
        <v>6250000</v>
      </c>
      <c r="P49" s="1314">
        <f t="shared" si="54"/>
        <v>8419285</v>
      </c>
      <c r="Q49" s="1314">
        <f t="shared" si="54"/>
        <v>8419285</v>
      </c>
      <c r="R49" s="1314">
        <f t="shared" si="54"/>
        <v>8419285</v>
      </c>
      <c r="S49" s="1314">
        <f t="shared" si="54"/>
        <v>0</v>
      </c>
      <c r="T49" s="1314">
        <f t="shared" si="54"/>
        <v>0</v>
      </c>
      <c r="U49" s="1314">
        <f t="shared" si="54"/>
        <v>0</v>
      </c>
      <c r="V49" s="1314">
        <f t="shared" si="54"/>
        <v>0</v>
      </c>
      <c r="W49" s="1314">
        <f t="shared" si="54"/>
        <v>0</v>
      </c>
      <c r="X49" s="985"/>
      <c r="Y49" s="394"/>
    </row>
    <row r="50" spans="1:26" ht="12" customHeight="1">
      <c r="A50" s="1464"/>
      <c r="B50" s="410" t="s">
        <v>30</v>
      </c>
      <c r="C50" s="411"/>
      <c r="D50" s="412">
        <f>+D51+D52</f>
        <v>623938776</v>
      </c>
      <c r="E50" s="412">
        <f t="shared" ref="E50:P50" si="55">+E51+E52</f>
        <v>0</v>
      </c>
      <c r="F50" s="412">
        <f t="shared" si="55"/>
        <v>0</v>
      </c>
      <c r="G50" s="412">
        <f t="shared" si="55"/>
        <v>0</v>
      </c>
      <c r="H50" s="412">
        <f t="shared" si="55"/>
        <v>0</v>
      </c>
      <c r="I50" s="412">
        <f t="shared" si="55"/>
        <v>0</v>
      </c>
      <c r="J50" s="412">
        <f t="shared" si="55"/>
        <v>6384962</v>
      </c>
      <c r="K50" s="412">
        <f t="shared" si="55"/>
        <v>39101752</v>
      </c>
      <c r="L50" s="412">
        <f t="shared" si="55"/>
        <v>28960633</v>
      </c>
      <c r="M50" s="412">
        <f>+M51+M52</f>
        <v>142473237</v>
      </c>
      <c r="N50" s="412">
        <f t="shared" si="55"/>
        <v>68025890</v>
      </c>
      <c r="O50" s="412">
        <f t="shared" si="55"/>
        <v>46550486</v>
      </c>
      <c r="P50" s="412">
        <f t="shared" si="55"/>
        <v>68731562</v>
      </c>
      <c r="Q50" s="412">
        <f t="shared" ref="Q50:W50" si="56">+Q51+Q52</f>
        <v>232788278</v>
      </c>
      <c r="R50" s="412">
        <f t="shared" si="56"/>
        <v>121631213</v>
      </c>
      <c r="S50" s="412">
        <f t="shared" si="56"/>
        <v>0</v>
      </c>
      <c r="T50" s="412">
        <f t="shared" si="56"/>
        <v>11764000</v>
      </c>
      <c r="U50" s="412">
        <f t="shared" si="56"/>
        <v>0</v>
      </c>
      <c r="V50" s="412">
        <f t="shared" si="56"/>
        <v>0</v>
      </c>
      <c r="W50" s="412">
        <f t="shared" si="56"/>
        <v>0</v>
      </c>
      <c r="X50" s="985"/>
      <c r="Y50" s="394"/>
    </row>
    <row r="51" spans="1:26" ht="12" hidden="1" customHeight="1">
      <c r="A51" s="1464"/>
      <c r="B51" s="395" t="s">
        <v>29</v>
      </c>
      <c r="C51" s="396"/>
      <c r="D51" s="400">
        <f t="shared" ref="D51:W51" si="57">+D65+D236+D79+D95+D264+D109</f>
        <v>0</v>
      </c>
      <c r="E51" s="400">
        <f t="shared" si="57"/>
        <v>0</v>
      </c>
      <c r="F51" s="400">
        <f t="shared" si="57"/>
        <v>0</v>
      </c>
      <c r="G51" s="400">
        <f t="shared" si="57"/>
        <v>0</v>
      </c>
      <c r="H51" s="400">
        <f t="shared" si="57"/>
        <v>0</v>
      </c>
      <c r="I51" s="400">
        <f t="shared" si="57"/>
        <v>0</v>
      </c>
      <c r="J51" s="400">
        <f t="shared" si="57"/>
        <v>0</v>
      </c>
      <c r="K51" s="400">
        <f t="shared" si="57"/>
        <v>0</v>
      </c>
      <c r="L51" s="400">
        <f t="shared" si="57"/>
        <v>0</v>
      </c>
      <c r="M51" s="400">
        <f t="shared" si="57"/>
        <v>0</v>
      </c>
      <c r="N51" s="400">
        <f t="shared" si="57"/>
        <v>0</v>
      </c>
      <c r="O51" s="400">
        <f t="shared" si="57"/>
        <v>0</v>
      </c>
      <c r="P51" s="400">
        <f t="shared" si="57"/>
        <v>0</v>
      </c>
      <c r="Q51" s="400">
        <f t="shared" si="57"/>
        <v>0</v>
      </c>
      <c r="R51" s="400">
        <f t="shared" si="57"/>
        <v>0</v>
      </c>
      <c r="S51" s="400">
        <f t="shared" si="57"/>
        <v>0</v>
      </c>
      <c r="T51" s="400">
        <f t="shared" si="57"/>
        <v>0</v>
      </c>
      <c r="U51" s="400">
        <f t="shared" si="57"/>
        <v>0</v>
      </c>
      <c r="V51" s="400">
        <f t="shared" si="57"/>
        <v>0</v>
      </c>
      <c r="W51" s="400">
        <f t="shared" si="57"/>
        <v>0</v>
      </c>
      <c r="X51" s="985"/>
      <c r="Y51" s="394"/>
      <c r="Z51" s="778"/>
    </row>
    <row r="52" spans="1:26" ht="12.75" customHeight="1" thickBot="1">
      <c r="A52" s="919"/>
      <c r="B52" s="413" t="s">
        <v>33</v>
      </c>
      <c r="C52" s="414"/>
      <c r="D52" s="415">
        <f t="shared" ref="D52:W52" si="58">+D365+D277+D66+D237+D80+D379+D341+D131+D96+D143+D353++D155+D166+D175+D265+D110+D187+D122+D196+D205+D249+D212+D221+D289+D301+D313+D325</f>
        <v>623938776</v>
      </c>
      <c r="E52" s="415">
        <f t="shared" si="58"/>
        <v>0</v>
      </c>
      <c r="F52" s="415">
        <f t="shared" si="58"/>
        <v>0</v>
      </c>
      <c r="G52" s="415">
        <f t="shared" si="58"/>
        <v>0</v>
      </c>
      <c r="H52" s="415">
        <f t="shared" si="58"/>
        <v>0</v>
      </c>
      <c r="I52" s="415">
        <f t="shared" si="58"/>
        <v>0</v>
      </c>
      <c r="J52" s="415">
        <f t="shared" si="58"/>
        <v>6384962</v>
      </c>
      <c r="K52" s="415">
        <f t="shared" si="58"/>
        <v>39101752</v>
      </c>
      <c r="L52" s="415">
        <f t="shared" si="58"/>
        <v>28960633</v>
      </c>
      <c r="M52" s="415">
        <f t="shared" si="58"/>
        <v>142473237</v>
      </c>
      <c r="N52" s="415">
        <f t="shared" si="58"/>
        <v>68025890</v>
      </c>
      <c r="O52" s="415">
        <f t="shared" si="58"/>
        <v>46550486</v>
      </c>
      <c r="P52" s="415">
        <f t="shared" si="58"/>
        <v>68731562</v>
      </c>
      <c r="Q52" s="415">
        <f t="shared" si="58"/>
        <v>232788278</v>
      </c>
      <c r="R52" s="415">
        <f t="shared" si="58"/>
        <v>121631213</v>
      </c>
      <c r="S52" s="415">
        <f t="shared" si="58"/>
        <v>0</v>
      </c>
      <c r="T52" s="415">
        <f t="shared" si="58"/>
        <v>11764000</v>
      </c>
      <c r="U52" s="415">
        <f t="shared" si="58"/>
        <v>0</v>
      </c>
      <c r="V52" s="415">
        <f t="shared" si="58"/>
        <v>0</v>
      </c>
      <c r="W52" s="415">
        <f t="shared" si="58"/>
        <v>0</v>
      </c>
      <c r="X52" s="986"/>
      <c r="Y52" s="416"/>
      <c r="Z52" s="778"/>
    </row>
    <row r="53" spans="1:26" s="862" customFormat="1" ht="25.5" hidden="1" customHeight="1">
      <c r="A53" s="2597" t="s">
        <v>79</v>
      </c>
      <c r="B53" s="417"/>
      <c r="C53" s="457" t="s">
        <v>97</v>
      </c>
      <c r="D53" s="419"/>
      <c r="E53" s="420"/>
      <c r="F53" s="421"/>
      <c r="G53" s="420"/>
      <c r="H53" s="420"/>
      <c r="I53" s="420"/>
      <c r="J53" s="420"/>
      <c r="K53" s="420"/>
      <c r="L53" s="420"/>
      <c r="M53" s="422"/>
      <c r="N53" s="422"/>
      <c r="O53" s="422"/>
      <c r="P53" s="422"/>
      <c r="Q53" s="422"/>
      <c r="R53" s="422"/>
      <c r="S53" s="422"/>
      <c r="T53" s="422"/>
      <c r="U53" s="422"/>
      <c r="V53" s="422"/>
      <c r="W53" s="422"/>
      <c r="X53" s="423"/>
      <c r="Y53" s="424" t="s">
        <v>98</v>
      </c>
    </row>
    <row r="54" spans="1:26" s="862" customFormat="1" ht="12" hidden="1" customHeight="1">
      <c r="A54" s="2598"/>
      <c r="B54" s="383" t="s">
        <v>22</v>
      </c>
      <c r="C54" s="359"/>
      <c r="D54" s="425">
        <f t="shared" ref="D54:P54" si="59">+D55+D58</f>
        <v>0</v>
      </c>
      <c r="E54" s="426">
        <f t="shared" si="59"/>
        <v>0</v>
      </c>
      <c r="F54" s="426">
        <f t="shared" si="59"/>
        <v>0</v>
      </c>
      <c r="G54" s="426">
        <f t="shared" si="59"/>
        <v>0</v>
      </c>
      <c r="H54" s="426">
        <f t="shared" si="59"/>
        <v>0</v>
      </c>
      <c r="I54" s="426">
        <f t="shared" si="59"/>
        <v>0</v>
      </c>
      <c r="J54" s="426">
        <f t="shared" si="59"/>
        <v>0</v>
      </c>
      <c r="K54" s="426">
        <f t="shared" si="59"/>
        <v>0</v>
      </c>
      <c r="L54" s="426">
        <f t="shared" si="59"/>
        <v>0</v>
      </c>
      <c r="M54" s="426">
        <f>+M55+M58</f>
        <v>0</v>
      </c>
      <c r="N54" s="426">
        <f t="shared" si="59"/>
        <v>0</v>
      </c>
      <c r="O54" s="427">
        <f t="shared" si="59"/>
        <v>0</v>
      </c>
      <c r="P54" s="427">
        <f t="shared" si="59"/>
        <v>0</v>
      </c>
      <c r="Q54" s="427"/>
      <c r="R54" s="427"/>
      <c r="S54" s="427"/>
      <c r="T54" s="427"/>
      <c r="U54" s="427"/>
      <c r="V54" s="427"/>
      <c r="W54" s="427"/>
      <c r="X54" s="428">
        <f>+X55+X58</f>
        <v>0</v>
      </c>
      <c r="Y54" s="2641" t="s">
        <v>99</v>
      </c>
      <c r="Z54" s="861">
        <f>+O54+P54</f>
        <v>0</v>
      </c>
    </row>
    <row r="55" spans="1:26" s="862" customFormat="1" ht="12" hidden="1" customHeight="1">
      <c r="A55" s="2598"/>
      <c r="B55" s="429" t="s">
        <v>36</v>
      </c>
      <c r="C55" s="2602" t="s">
        <v>100</v>
      </c>
      <c r="D55" s="430">
        <f>+D56+D57</f>
        <v>0</v>
      </c>
      <c r="E55" s="430">
        <f t="shared" ref="E55:P55" si="60">+E56+E57</f>
        <v>0</v>
      </c>
      <c r="F55" s="430">
        <f t="shared" si="60"/>
        <v>0</v>
      </c>
      <c r="G55" s="430">
        <f t="shared" si="60"/>
        <v>0</v>
      </c>
      <c r="H55" s="430">
        <f t="shared" si="60"/>
        <v>0</v>
      </c>
      <c r="I55" s="430">
        <f t="shared" si="60"/>
        <v>0</v>
      </c>
      <c r="J55" s="430">
        <f t="shared" si="60"/>
        <v>0</v>
      </c>
      <c r="K55" s="430">
        <f t="shared" si="60"/>
        <v>0</v>
      </c>
      <c r="L55" s="430">
        <f t="shared" si="60"/>
        <v>0</v>
      </c>
      <c r="M55" s="430">
        <f>+M56+M57</f>
        <v>0</v>
      </c>
      <c r="N55" s="430">
        <f t="shared" si="60"/>
        <v>0</v>
      </c>
      <c r="O55" s="1465">
        <f t="shared" si="60"/>
        <v>0</v>
      </c>
      <c r="P55" s="430">
        <f t="shared" si="60"/>
        <v>0</v>
      </c>
      <c r="Q55" s="430"/>
      <c r="R55" s="430"/>
      <c r="S55" s="430"/>
      <c r="T55" s="430"/>
      <c r="U55" s="430"/>
      <c r="V55" s="430"/>
      <c r="W55" s="430"/>
      <c r="X55" s="431">
        <f>+X56+X57</f>
        <v>0</v>
      </c>
      <c r="Y55" s="2641"/>
    </row>
    <row r="56" spans="1:26" s="862" customFormat="1" ht="12" hidden="1" customHeight="1">
      <c r="A56" s="2598"/>
      <c r="B56" s="432" t="s">
        <v>24</v>
      </c>
      <c r="C56" s="2595"/>
      <c r="D56" s="433">
        <f>M56+O56+P56+Q56+R56+S56+T56+U56+V56+W56</f>
        <v>0</v>
      </c>
      <c r="E56" s="433">
        <v>0</v>
      </c>
      <c r="F56" s="433"/>
      <c r="G56" s="433"/>
      <c r="H56" s="433"/>
      <c r="I56" s="433">
        <v>0</v>
      </c>
      <c r="J56" s="433"/>
      <c r="K56" s="433"/>
      <c r="L56" s="434"/>
      <c r="M56" s="434"/>
      <c r="N56" s="434"/>
      <c r="O56" s="435">
        <v>0</v>
      </c>
      <c r="P56" s="434">
        <v>0</v>
      </c>
      <c r="Q56" s="434"/>
      <c r="R56" s="434"/>
      <c r="S56" s="434"/>
      <c r="T56" s="434"/>
      <c r="U56" s="434"/>
      <c r="V56" s="434"/>
      <c r="W56" s="434"/>
      <c r="X56" s="393">
        <f>SUM(P56:T56)</f>
        <v>0</v>
      </c>
      <c r="Y56" s="2641"/>
    </row>
    <row r="57" spans="1:26" s="862" customFormat="1" ht="12" hidden="1" customHeight="1">
      <c r="A57" s="2598"/>
      <c r="B57" s="432" t="s">
        <v>29</v>
      </c>
      <c r="C57" s="2595"/>
      <c r="D57" s="433">
        <f>M57+O57+P57+Q57+R57+S57+T57+U57+V57+W57</f>
        <v>0</v>
      </c>
      <c r="E57" s="438">
        <f>+F57+G57+H57</f>
        <v>0</v>
      </c>
      <c r="F57" s="439">
        <v>0</v>
      </c>
      <c r="G57" s="438"/>
      <c r="H57" s="438"/>
      <c r="I57" s="438"/>
      <c r="J57" s="438"/>
      <c r="K57" s="438"/>
      <c r="L57" s="440">
        <v>0</v>
      </c>
      <c r="M57" s="434">
        <f>+E57+I57+J57+K57+L57+N57</f>
        <v>0</v>
      </c>
      <c r="N57" s="440">
        <v>0</v>
      </c>
      <c r="O57" s="440">
        <v>0</v>
      </c>
      <c r="P57" s="440">
        <v>0</v>
      </c>
      <c r="Q57" s="441"/>
      <c r="R57" s="441"/>
      <c r="S57" s="441"/>
      <c r="T57" s="441"/>
      <c r="U57" s="441"/>
      <c r="V57" s="441"/>
      <c r="W57" s="441"/>
      <c r="X57" s="393">
        <f>SUM(P57:T57)</f>
        <v>0</v>
      </c>
      <c r="Y57" s="2641"/>
    </row>
    <row r="58" spans="1:26" s="862" customFormat="1" ht="12.75" hidden="1" customHeight="1">
      <c r="A58" s="2598"/>
      <c r="B58" s="442" t="s">
        <v>30</v>
      </c>
      <c r="C58" s="2595"/>
      <c r="D58" s="443">
        <f>+D60+D59</f>
        <v>0</v>
      </c>
      <c r="E58" s="444">
        <f>+E60+E59</f>
        <v>0</v>
      </c>
      <c r="F58" s="444">
        <f>+F60+F59</f>
        <v>0</v>
      </c>
      <c r="G58" s="444">
        <f>+G59+G60</f>
        <v>0</v>
      </c>
      <c r="H58" s="444">
        <f>+H59+H60</f>
        <v>0</v>
      </c>
      <c r="I58" s="444">
        <f t="shared" ref="I58:P58" si="61">+I59+I60</f>
        <v>0</v>
      </c>
      <c r="J58" s="444">
        <f t="shared" si="61"/>
        <v>0</v>
      </c>
      <c r="K58" s="444">
        <f t="shared" si="61"/>
        <v>0</v>
      </c>
      <c r="L58" s="444">
        <f t="shared" si="61"/>
        <v>0</v>
      </c>
      <c r="M58" s="444">
        <f t="shared" si="61"/>
        <v>0</v>
      </c>
      <c r="N58" s="444">
        <f t="shared" si="61"/>
        <v>0</v>
      </c>
      <c r="O58" s="444">
        <f t="shared" si="61"/>
        <v>0</v>
      </c>
      <c r="P58" s="444">
        <f t="shared" si="61"/>
        <v>0</v>
      </c>
      <c r="Q58" s="444"/>
      <c r="R58" s="444"/>
      <c r="S58" s="444"/>
      <c r="T58" s="444"/>
      <c r="U58" s="444"/>
      <c r="V58" s="444"/>
      <c r="W58" s="444"/>
      <c r="X58" s="445">
        <f>+X60+X59</f>
        <v>0</v>
      </c>
      <c r="Y58" s="2641"/>
    </row>
    <row r="59" spans="1:26" s="862" customFormat="1" ht="12" hidden="1" customHeight="1">
      <c r="A59" s="2598"/>
      <c r="B59" s="432" t="s">
        <v>29</v>
      </c>
      <c r="C59" s="788"/>
      <c r="D59" s="437">
        <f>+E59+I59+J59+K59+L59</f>
        <v>0</v>
      </c>
      <c r="E59" s="438">
        <f>+F59+G59+H59</f>
        <v>0</v>
      </c>
      <c r="F59" s="439">
        <v>0</v>
      </c>
      <c r="G59" s="438"/>
      <c r="H59" s="438"/>
      <c r="I59" s="438">
        <v>0</v>
      </c>
      <c r="J59" s="438">
        <v>0</v>
      </c>
      <c r="K59" s="438">
        <v>0</v>
      </c>
      <c r="L59" s="438"/>
      <c r="M59" s="438"/>
      <c r="N59" s="438">
        <v>0</v>
      </c>
      <c r="O59" s="438">
        <v>0</v>
      </c>
      <c r="P59" s="438">
        <v>0</v>
      </c>
      <c r="Q59" s="446"/>
      <c r="R59" s="446"/>
      <c r="S59" s="446"/>
      <c r="T59" s="446"/>
      <c r="U59" s="446"/>
      <c r="V59" s="446"/>
      <c r="W59" s="446"/>
      <c r="X59" s="436"/>
      <c r="Y59" s="2641"/>
    </row>
    <row r="60" spans="1:26" s="862" customFormat="1" ht="12" hidden="1" customHeight="1">
      <c r="A60" s="2598"/>
      <c r="B60" s="511" t="s">
        <v>33</v>
      </c>
      <c r="C60" s="884"/>
      <c r="D60" s="1060">
        <f>M60+O60+P60+Q60+R60+S60+T60+U60+V60+W60</f>
        <v>0</v>
      </c>
      <c r="E60" s="440">
        <f>+F60+G60+H60</f>
        <v>0</v>
      </c>
      <c r="F60" s="441">
        <v>0</v>
      </c>
      <c r="G60" s="440">
        <f>15076.5-15076.5</f>
        <v>0</v>
      </c>
      <c r="H60" s="440">
        <f>77997.5-77997.5</f>
        <v>0</v>
      </c>
      <c r="I60" s="440">
        <f>149000-149000</f>
        <v>0</v>
      </c>
      <c r="J60" s="440"/>
      <c r="K60" s="440"/>
      <c r="L60" s="440"/>
      <c r="M60" s="434">
        <f>+E60+I60+J60+K60+L60+N60</f>
        <v>0</v>
      </c>
      <c r="N60" s="440">
        <v>0</v>
      </c>
      <c r="O60" s="440">
        <v>0</v>
      </c>
      <c r="P60" s="440">
        <v>0</v>
      </c>
      <c r="Q60" s="441"/>
      <c r="R60" s="441"/>
      <c r="S60" s="441"/>
      <c r="T60" s="441"/>
      <c r="U60" s="441"/>
      <c r="V60" s="441"/>
      <c r="W60" s="441"/>
      <c r="X60" s="393">
        <f>SUM(P60:T60)</f>
        <v>0</v>
      </c>
      <c r="Y60" s="2642"/>
    </row>
    <row r="61" spans="1:26" s="862" customFormat="1" ht="12" hidden="1" customHeight="1">
      <c r="A61" s="2598"/>
      <c r="B61" s="501" t="s">
        <v>34</v>
      </c>
      <c r="C61" s="522"/>
      <c r="D61" s="523">
        <f t="shared" ref="D61:P61" si="62">+D64+D62</f>
        <v>0</v>
      </c>
      <c r="E61" s="523">
        <f t="shared" si="62"/>
        <v>0</v>
      </c>
      <c r="F61" s="523">
        <f t="shared" si="62"/>
        <v>0</v>
      </c>
      <c r="G61" s="523">
        <f t="shared" si="62"/>
        <v>0</v>
      </c>
      <c r="H61" s="523">
        <f t="shared" si="62"/>
        <v>0</v>
      </c>
      <c r="I61" s="523">
        <f t="shared" si="62"/>
        <v>0</v>
      </c>
      <c r="J61" s="523">
        <f t="shared" si="62"/>
        <v>0</v>
      </c>
      <c r="K61" s="523">
        <f t="shared" si="62"/>
        <v>0</v>
      </c>
      <c r="L61" s="523">
        <f t="shared" si="62"/>
        <v>0</v>
      </c>
      <c r="M61" s="523">
        <f>+M64+M62</f>
        <v>0</v>
      </c>
      <c r="N61" s="523">
        <f t="shared" si="62"/>
        <v>0</v>
      </c>
      <c r="O61" s="523">
        <f t="shared" si="62"/>
        <v>0</v>
      </c>
      <c r="P61" s="523">
        <f t="shared" si="62"/>
        <v>0</v>
      </c>
      <c r="Q61" s="523"/>
      <c r="R61" s="523"/>
      <c r="S61" s="523"/>
      <c r="T61" s="523"/>
      <c r="U61" s="523"/>
      <c r="V61" s="523"/>
      <c r="W61" s="523"/>
      <c r="X61" s="2646" t="s">
        <v>35</v>
      </c>
      <c r="Y61" s="2605" t="s">
        <v>303</v>
      </c>
    </row>
    <row r="62" spans="1:26" s="862" customFormat="1" ht="12" hidden="1" customHeight="1">
      <c r="A62" s="2598"/>
      <c r="B62" s="429" t="s">
        <v>36</v>
      </c>
      <c r="C62" s="2602" t="s">
        <v>101</v>
      </c>
      <c r="D62" s="449">
        <f>+D63</f>
        <v>0</v>
      </c>
      <c r="E62" s="449">
        <f t="shared" ref="E62:P62" si="63">+E63</f>
        <v>0</v>
      </c>
      <c r="F62" s="449">
        <f t="shared" si="63"/>
        <v>0</v>
      </c>
      <c r="G62" s="449">
        <f t="shared" si="63"/>
        <v>0</v>
      </c>
      <c r="H62" s="449">
        <f t="shared" si="63"/>
        <v>0</v>
      </c>
      <c r="I62" s="449">
        <f t="shared" si="63"/>
        <v>0</v>
      </c>
      <c r="J62" s="449">
        <f t="shared" si="63"/>
        <v>0</v>
      </c>
      <c r="K62" s="449">
        <f t="shared" si="63"/>
        <v>0</v>
      </c>
      <c r="L62" s="449">
        <f t="shared" si="63"/>
        <v>0</v>
      </c>
      <c r="M62" s="449">
        <f t="shared" si="63"/>
        <v>0</v>
      </c>
      <c r="N62" s="449">
        <f t="shared" si="63"/>
        <v>0</v>
      </c>
      <c r="O62" s="449">
        <f t="shared" si="63"/>
        <v>0</v>
      </c>
      <c r="P62" s="449">
        <f t="shared" si="63"/>
        <v>0</v>
      </c>
      <c r="Q62" s="449"/>
      <c r="R62" s="449"/>
      <c r="S62" s="449"/>
      <c r="T62" s="449"/>
      <c r="U62" s="449"/>
      <c r="V62" s="449"/>
      <c r="W62" s="449"/>
      <c r="X62" s="2646"/>
      <c r="Y62" s="2606"/>
    </row>
    <row r="63" spans="1:26" s="862" customFormat="1" ht="12" hidden="1" customHeight="1">
      <c r="A63" s="2598"/>
      <c r="B63" s="432" t="s">
        <v>29</v>
      </c>
      <c r="C63" s="2595"/>
      <c r="D63" s="433">
        <f>M63+O63+P63+Q63+R63+S63+T63+U63+V63+W63</f>
        <v>0</v>
      </c>
      <c r="E63" s="451"/>
      <c r="F63" s="451"/>
      <c r="G63" s="451"/>
      <c r="H63" s="451"/>
      <c r="I63" s="451"/>
      <c r="J63" s="440"/>
      <c r="K63" s="440"/>
      <c r="L63" s="451"/>
      <c r="M63" s="434">
        <f>+E63+I63+J63+K63+L63+N63</f>
        <v>0</v>
      </c>
      <c r="N63" s="451"/>
      <c r="O63" s="451"/>
      <c r="P63" s="451"/>
      <c r="Q63" s="451"/>
      <c r="R63" s="451"/>
      <c r="S63" s="451"/>
      <c r="T63" s="451"/>
      <c r="U63" s="451"/>
      <c r="V63" s="451"/>
      <c r="W63" s="451"/>
      <c r="X63" s="2646"/>
      <c r="Y63" s="2606"/>
    </row>
    <row r="64" spans="1:26" s="862" customFormat="1" ht="12" hidden="1" customHeight="1">
      <c r="A64" s="2598"/>
      <c r="B64" s="442" t="s">
        <v>30</v>
      </c>
      <c r="C64" s="2595"/>
      <c r="D64" s="443">
        <f>+D66+D65</f>
        <v>0</v>
      </c>
      <c r="E64" s="443">
        <f t="shared" ref="E64:P64" si="64">+E66+E65</f>
        <v>0</v>
      </c>
      <c r="F64" s="443">
        <f t="shared" si="64"/>
        <v>0</v>
      </c>
      <c r="G64" s="443">
        <f t="shared" si="64"/>
        <v>0</v>
      </c>
      <c r="H64" s="443">
        <f t="shared" si="64"/>
        <v>0</v>
      </c>
      <c r="I64" s="443">
        <f t="shared" si="64"/>
        <v>0</v>
      </c>
      <c r="J64" s="443">
        <f t="shared" si="64"/>
        <v>0</v>
      </c>
      <c r="K64" s="443">
        <f t="shared" si="64"/>
        <v>0</v>
      </c>
      <c r="L64" s="443">
        <f t="shared" si="64"/>
        <v>0</v>
      </c>
      <c r="M64" s="443">
        <f t="shared" si="64"/>
        <v>0</v>
      </c>
      <c r="N64" s="443">
        <f t="shared" si="64"/>
        <v>0</v>
      </c>
      <c r="O64" s="443">
        <f t="shared" si="64"/>
        <v>0</v>
      </c>
      <c r="P64" s="443">
        <f t="shared" si="64"/>
        <v>0</v>
      </c>
      <c r="Q64" s="443"/>
      <c r="R64" s="443"/>
      <c r="S64" s="443"/>
      <c r="T64" s="443"/>
      <c r="U64" s="443"/>
      <c r="V64" s="443"/>
      <c r="W64" s="443"/>
      <c r="X64" s="2646"/>
      <c r="Y64" s="2606"/>
    </row>
    <row r="65" spans="1:26" s="862" customFormat="1" ht="15" hidden="1" customHeight="1">
      <c r="A65" s="2598"/>
      <c r="B65" s="432" t="s">
        <v>29</v>
      </c>
      <c r="C65" s="2595"/>
      <c r="D65" s="451">
        <f>+E65+I65+J65+K65+L65</f>
        <v>0</v>
      </c>
      <c r="E65" s="440">
        <v>0</v>
      </c>
      <c r="F65" s="441"/>
      <c r="G65" s="440"/>
      <c r="H65" s="440"/>
      <c r="I65" s="440">
        <v>0</v>
      </c>
      <c r="J65" s="440">
        <v>0</v>
      </c>
      <c r="K65" s="440">
        <v>0</v>
      </c>
      <c r="L65" s="440">
        <v>0</v>
      </c>
      <c r="M65" s="440"/>
      <c r="N65" s="440">
        <v>0</v>
      </c>
      <c r="O65" s="440">
        <v>0</v>
      </c>
      <c r="P65" s="440">
        <v>0</v>
      </c>
      <c r="Q65" s="440"/>
      <c r="R65" s="440"/>
      <c r="S65" s="440"/>
      <c r="T65" s="440"/>
      <c r="U65" s="440"/>
      <c r="V65" s="440"/>
      <c r="W65" s="440"/>
      <c r="X65" s="2646"/>
      <c r="Y65" s="2606"/>
    </row>
    <row r="66" spans="1:26" s="862" customFormat="1" ht="12" hidden="1" customHeight="1" thickBot="1">
      <c r="A66" s="2654"/>
      <c r="B66" s="452" t="s">
        <v>33</v>
      </c>
      <c r="C66" s="2596"/>
      <c r="D66" s="433">
        <f>M66+O66+P66+Q66+R66+S66+T66+U66+V66+W66</f>
        <v>0</v>
      </c>
      <c r="E66" s="454">
        <f>+F66+G66+H66</f>
        <v>0</v>
      </c>
      <c r="F66" s="455">
        <v>0</v>
      </c>
      <c r="G66" s="454">
        <v>0</v>
      </c>
      <c r="H66" s="454">
        <v>0</v>
      </c>
      <c r="I66" s="454">
        <v>0</v>
      </c>
      <c r="J66" s="454">
        <v>0</v>
      </c>
      <c r="K66" s="454"/>
      <c r="L66" s="454"/>
      <c r="M66" s="434"/>
      <c r="N66" s="454">
        <v>0</v>
      </c>
      <c r="O66" s="454">
        <v>0</v>
      </c>
      <c r="P66" s="456">
        <v>0</v>
      </c>
      <c r="Q66" s="456"/>
      <c r="R66" s="456"/>
      <c r="S66" s="456"/>
      <c r="T66" s="456"/>
      <c r="U66" s="456"/>
      <c r="V66" s="456"/>
      <c r="W66" s="456"/>
      <c r="X66" s="2647"/>
      <c r="Y66" s="2607"/>
    </row>
    <row r="67" spans="1:26" s="862" customFormat="1" ht="28.5" hidden="1" customHeight="1">
      <c r="A67" s="2597"/>
      <c r="B67" s="477"/>
      <c r="C67" s="457" t="s">
        <v>97</v>
      </c>
      <c r="D67" s="458"/>
      <c r="E67" s="460"/>
      <c r="F67" s="459"/>
      <c r="G67" s="460"/>
      <c r="H67" s="460"/>
      <c r="I67" s="420"/>
      <c r="J67" s="420"/>
      <c r="K67" s="420"/>
      <c r="L67" s="420"/>
      <c r="M67" s="422"/>
      <c r="N67" s="422"/>
      <c r="O67" s="422"/>
      <c r="P67" s="422"/>
      <c r="Q67" s="422"/>
      <c r="R67" s="420"/>
      <c r="S67" s="420"/>
      <c r="T67" s="421"/>
      <c r="U67" s="800"/>
      <c r="V67" s="800"/>
      <c r="W67" s="800"/>
      <c r="X67" s="461"/>
      <c r="Y67" s="424"/>
    </row>
    <row r="68" spans="1:26" s="862" customFormat="1" ht="12" hidden="1" customHeight="1">
      <c r="A68" s="2598"/>
      <c r="B68" s="483" t="s">
        <v>22</v>
      </c>
      <c r="C68" s="359"/>
      <c r="D68" s="462">
        <f>+D69+D72</f>
        <v>0</v>
      </c>
      <c r="E68" s="462">
        <f t="shared" ref="E68:O68" si="65">+E69+E72</f>
        <v>0</v>
      </c>
      <c r="F68" s="462">
        <f t="shared" si="65"/>
        <v>0</v>
      </c>
      <c r="G68" s="462">
        <f t="shared" si="65"/>
        <v>0</v>
      </c>
      <c r="H68" s="462">
        <f t="shared" si="65"/>
        <v>0</v>
      </c>
      <c r="I68" s="462">
        <f t="shared" si="65"/>
        <v>0</v>
      </c>
      <c r="J68" s="462">
        <f t="shared" si="65"/>
        <v>0</v>
      </c>
      <c r="K68" s="462">
        <f t="shared" si="65"/>
        <v>0</v>
      </c>
      <c r="L68" s="462">
        <f t="shared" si="65"/>
        <v>0</v>
      </c>
      <c r="M68" s="462">
        <f>+M69+M72</f>
        <v>0</v>
      </c>
      <c r="N68" s="462">
        <f t="shared" si="65"/>
        <v>0</v>
      </c>
      <c r="O68" s="462">
        <f t="shared" si="65"/>
        <v>0</v>
      </c>
      <c r="P68" s="462">
        <f>+P69+P72</f>
        <v>0</v>
      </c>
      <c r="Q68" s="462"/>
      <c r="R68" s="462"/>
      <c r="S68" s="462"/>
      <c r="T68" s="462"/>
      <c r="U68" s="808"/>
      <c r="V68" s="808"/>
      <c r="W68" s="808"/>
      <c r="X68" s="525"/>
      <c r="Y68" s="2641" t="s">
        <v>99</v>
      </c>
      <c r="Z68" s="861">
        <f>+O68+P68</f>
        <v>0</v>
      </c>
    </row>
    <row r="69" spans="1:26" s="862" customFormat="1" ht="12" hidden="1" customHeight="1">
      <c r="A69" s="2598"/>
      <c r="B69" s="484" t="s">
        <v>36</v>
      </c>
      <c r="C69" s="2602" t="s">
        <v>100</v>
      </c>
      <c r="D69" s="465">
        <f>+D70+D71</f>
        <v>0</v>
      </c>
      <c r="E69" s="465">
        <f t="shared" ref="E69:P69" si="66">+E70+E71</f>
        <v>0</v>
      </c>
      <c r="F69" s="465">
        <f t="shared" si="66"/>
        <v>0</v>
      </c>
      <c r="G69" s="465">
        <f t="shared" si="66"/>
        <v>0</v>
      </c>
      <c r="H69" s="465">
        <f t="shared" si="66"/>
        <v>0</v>
      </c>
      <c r="I69" s="465">
        <f t="shared" si="66"/>
        <v>0</v>
      </c>
      <c r="J69" s="465">
        <f t="shared" si="66"/>
        <v>0</v>
      </c>
      <c r="K69" s="465">
        <f t="shared" si="66"/>
        <v>0</v>
      </c>
      <c r="L69" s="465">
        <f t="shared" si="66"/>
        <v>0</v>
      </c>
      <c r="M69" s="465">
        <f>+M70+M71</f>
        <v>0</v>
      </c>
      <c r="N69" s="465">
        <f t="shared" si="66"/>
        <v>0</v>
      </c>
      <c r="O69" s="465">
        <f t="shared" si="66"/>
        <v>0</v>
      </c>
      <c r="P69" s="465">
        <f t="shared" si="66"/>
        <v>0</v>
      </c>
      <c r="Q69" s="465"/>
      <c r="R69" s="465"/>
      <c r="S69" s="465"/>
      <c r="T69" s="465"/>
      <c r="U69" s="809"/>
      <c r="V69" s="809"/>
      <c r="W69" s="809"/>
      <c r="X69" s="987"/>
      <c r="Y69" s="2641"/>
    </row>
    <row r="70" spans="1:26" s="862" customFormat="1" ht="12" hidden="1" customHeight="1">
      <c r="A70" s="2598"/>
      <c r="B70" s="468" t="s">
        <v>24</v>
      </c>
      <c r="C70" s="2595"/>
      <c r="D70" s="433">
        <f>SUM(M70:T70)</f>
        <v>0</v>
      </c>
      <c r="E70" s="469">
        <v>0</v>
      </c>
      <c r="F70" s="469"/>
      <c r="G70" s="469"/>
      <c r="H70" s="469"/>
      <c r="I70" s="469">
        <v>0</v>
      </c>
      <c r="J70" s="469"/>
      <c r="K70" s="469"/>
      <c r="L70" s="469"/>
      <c r="M70" s="434">
        <f>+E70+I70+J70+K70+L70</f>
        <v>0</v>
      </c>
      <c r="N70" s="469"/>
      <c r="O70" s="469">
        <f>10018-10018</f>
        <v>0</v>
      </c>
      <c r="P70" s="469">
        <v>0</v>
      </c>
      <c r="Q70" s="469"/>
      <c r="R70" s="469"/>
      <c r="S70" s="469"/>
      <c r="T70" s="469"/>
      <c r="U70" s="810"/>
      <c r="V70" s="810"/>
      <c r="W70" s="810"/>
      <c r="X70" s="470"/>
      <c r="Y70" s="2641"/>
    </row>
    <row r="71" spans="1:26" s="862" customFormat="1" ht="12.75" hidden="1" customHeight="1">
      <c r="A71" s="2598"/>
      <c r="B71" s="468" t="s">
        <v>29</v>
      </c>
      <c r="C71" s="2643"/>
      <c r="D71" s="433">
        <f>SUM(M71:T71)</f>
        <v>0</v>
      </c>
      <c r="E71" s="438">
        <f>+F71+G71+H71</f>
        <v>0</v>
      </c>
      <c r="F71" s="441"/>
      <c r="G71" s="478"/>
      <c r="H71" s="478"/>
      <c r="I71" s="478"/>
      <c r="J71" s="478"/>
      <c r="K71" s="478"/>
      <c r="L71" s="440">
        <v>0</v>
      </c>
      <c r="M71" s="434"/>
      <c r="N71" s="441">
        <v>0</v>
      </c>
      <c r="O71" s="514">
        <v>0</v>
      </c>
      <c r="P71" s="441">
        <v>0</v>
      </c>
      <c r="Q71" s="441"/>
      <c r="R71" s="441"/>
      <c r="S71" s="441"/>
      <c r="T71" s="441"/>
      <c r="U71" s="741"/>
      <c r="V71" s="741"/>
      <c r="W71" s="741"/>
      <c r="X71" s="470"/>
      <c r="Y71" s="2641"/>
    </row>
    <row r="72" spans="1:26" s="862" customFormat="1" ht="12" hidden="1" customHeight="1">
      <c r="A72" s="2598"/>
      <c r="B72" s="524" t="s">
        <v>30</v>
      </c>
      <c r="C72" s="2643"/>
      <c r="D72" s="443">
        <f>+D74+D73</f>
        <v>0</v>
      </c>
      <c r="E72" s="443">
        <f t="shared" ref="E72:P72" si="67">+E74+E73</f>
        <v>0</v>
      </c>
      <c r="F72" s="443">
        <f t="shared" si="67"/>
        <v>0</v>
      </c>
      <c r="G72" s="443">
        <f t="shared" si="67"/>
        <v>0</v>
      </c>
      <c r="H72" s="443">
        <f t="shared" si="67"/>
        <v>0</v>
      </c>
      <c r="I72" s="443">
        <f t="shared" si="67"/>
        <v>0</v>
      </c>
      <c r="J72" s="443">
        <f t="shared" si="67"/>
        <v>0</v>
      </c>
      <c r="K72" s="443">
        <f t="shared" si="67"/>
        <v>0</v>
      </c>
      <c r="L72" s="443">
        <f t="shared" si="67"/>
        <v>0</v>
      </c>
      <c r="M72" s="443">
        <f t="shared" si="67"/>
        <v>0</v>
      </c>
      <c r="N72" s="443">
        <f t="shared" si="67"/>
        <v>0</v>
      </c>
      <c r="O72" s="443">
        <f t="shared" si="67"/>
        <v>0</v>
      </c>
      <c r="P72" s="443">
        <f t="shared" si="67"/>
        <v>0</v>
      </c>
      <c r="Q72" s="443"/>
      <c r="R72" s="443"/>
      <c r="S72" s="443"/>
      <c r="T72" s="443"/>
      <c r="U72" s="811"/>
      <c r="V72" s="811"/>
      <c r="W72" s="811"/>
      <c r="X72" s="1061"/>
      <c r="Y72" s="2641"/>
    </row>
    <row r="73" spans="1:26" s="862" customFormat="1" ht="12" hidden="1" customHeight="1">
      <c r="A73" s="2598"/>
      <c r="B73" s="468" t="s">
        <v>29</v>
      </c>
      <c r="C73" s="2643"/>
      <c r="D73" s="437">
        <f>+E73+I73+J73+K73+L73</f>
        <v>0</v>
      </c>
      <c r="E73" s="438">
        <f>+F73+G73+H73</f>
        <v>0</v>
      </c>
      <c r="F73" s="441">
        <v>0</v>
      </c>
      <c r="G73" s="478">
        <v>0</v>
      </c>
      <c r="H73" s="478">
        <v>0</v>
      </c>
      <c r="I73" s="478">
        <v>0</v>
      </c>
      <c r="J73" s="478">
        <v>0</v>
      </c>
      <c r="K73" s="478">
        <v>0</v>
      </c>
      <c r="L73" s="440">
        <v>0</v>
      </c>
      <c r="M73" s="441"/>
      <c r="N73" s="441">
        <v>0</v>
      </c>
      <c r="O73" s="441">
        <v>0</v>
      </c>
      <c r="P73" s="441">
        <v>0</v>
      </c>
      <c r="Q73" s="441"/>
      <c r="R73" s="441"/>
      <c r="S73" s="441"/>
      <c r="T73" s="441"/>
      <c r="U73" s="741"/>
      <c r="V73" s="741"/>
      <c r="W73" s="741"/>
      <c r="X73" s="1062"/>
      <c r="Y73" s="2641"/>
    </row>
    <row r="74" spans="1:26" s="862" customFormat="1" ht="12" hidden="1" customHeight="1">
      <c r="A74" s="2598"/>
      <c r="B74" s="473" t="s">
        <v>33</v>
      </c>
      <c r="C74" s="2644"/>
      <c r="D74" s="433">
        <f>SUM(M74:T74)</f>
        <v>0</v>
      </c>
      <c r="E74" s="438">
        <f>+F74+G74+H74</f>
        <v>0</v>
      </c>
      <c r="F74" s="446">
        <v>0</v>
      </c>
      <c r="G74" s="471"/>
      <c r="H74" s="471"/>
      <c r="I74" s="471"/>
      <c r="J74" s="471"/>
      <c r="K74" s="471"/>
      <c r="L74" s="438">
        <v>0</v>
      </c>
      <c r="M74" s="434">
        <f>+E74+I74+J74+K74+L74</f>
        <v>0</v>
      </c>
      <c r="N74" s="438">
        <v>0</v>
      </c>
      <c r="O74" s="438">
        <v>0</v>
      </c>
      <c r="P74" s="438">
        <v>0</v>
      </c>
      <c r="Q74" s="438"/>
      <c r="R74" s="438"/>
      <c r="S74" s="446"/>
      <c r="T74" s="446"/>
      <c r="U74" s="741"/>
      <c r="V74" s="741"/>
      <c r="W74" s="741"/>
      <c r="X74" s="1063"/>
      <c r="Y74" s="2642"/>
    </row>
    <row r="75" spans="1:26" s="862" customFormat="1" ht="12" hidden="1" customHeight="1">
      <c r="A75" s="2599"/>
      <c r="B75" s="483" t="s">
        <v>34</v>
      </c>
      <c r="C75" s="359"/>
      <c r="D75" s="448">
        <f>+D76+D78</f>
        <v>0</v>
      </c>
      <c r="E75" s="448">
        <f t="shared" ref="E75:P75" si="68">+E76+E78</f>
        <v>0</v>
      </c>
      <c r="F75" s="448">
        <f t="shared" si="68"/>
        <v>0</v>
      </c>
      <c r="G75" s="448">
        <f t="shared" si="68"/>
        <v>0</v>
      </c>
      <c r="H75" s="448">
        <f t="shared" si="68"/>
        <v>0</v>
      </c>
      <c r="I75" s="448">
        <f t="shared" si="68"/>
        <v>0</v>
      </c>
      <c r="J75" s="448">
        <f t="shared" si="68"/>
        <v>0</v>
      </c>
      <c r="K75" s="448">
        <f t="shared" si="68"/>
        <v>0</v>
      </c>
      <c r="L75" s="448">
        <f t="shared" si="68"/>
        <v>0</v>
      </c>
      <c r="M75" s="448">
        <f>+M76+M78</f>
        <v>0</v>
      </c>
      <c r="N75" s="448">
        <f t="shared" si="68"/>
        <v>0</v>
      </c>
      <c r="O75" s="448">
        <f t="shared" si="68"/>
        <v>0</v>
      </c>
      <c r="P75" s="448">
        <f t="shared" si="68"/>
        <v>0</v>
      </c>
      <c r="Q75" s="448"/>
      <c r="R75" s="448"/>
      <c r="S75" s="448"/>
      <c r="T75" s="448"/>
      <c r="U75" s="1058"/>
      <c r="V75" s="1058"/>
      <c r="W75" s="1058"/>
      <c r="X75" s="2521"/>
      <c r="Y75" s="2605" t="s">
        <v>303</v>
      </c>
    </row>
    <row r="76" spans="1:26" s="862" customFormat="1" ht="12" hidden="1" customHeight="1">
      <c r="A76" s="2599"/>
      <c r="B76" s="484" t="s">
        <v>36</v>
      </c>
      <c r="C76" s="2602" t="s">
        <v>101</v>
      </c>
      <c r="D76" s="449">
        <f>+D77</f>
        <v>0</v>
      </c>
      <c r="E76" s="449">
        <f t="shared" ref="E76:P76" si="69">+E77</f>
        <v>0</v>
      </c>
      <c r="F76" s="449">
        <f t="shared" si="69"/>
        <v>0</v>
      </c>
      <c r="G76" s="449">
        <f t="shared" si="69"/>
        <v>0</v>
      </c>
      <c r="H76" s="449">
        <f t="shared" si="69"/>
        <v>0</v>
      </c>
      <c r="I76" s="449">
        <f t="shared" si="69"/>
        <v>0</v>
      </c>
      <c r="J76" s="449">
        <f t="shared" si="69"/>
        <v>0</v>
      </c>
      <c r="K76" s="449">
        <f t="shared" si="69"/>
        <v>0</v>
      </c>
      <c r="L76" s="449">
        <f t="shared" si="69"/>
        <v>0</v>
      </c>
      <c r="M76" s="449">
        <f t="shared" si="69"/>
        <v>0</v>
      </c>
      <c r="N76" s="449">
        <f t="shared" si="69"/>
        <v>0</v>
      </c>
      <c r="O76" s="449">
        <f t="shared" si="69"/>
        <v>0</v>
      </c>
      <c r="P76" s="449">
        <f t="shared" si="69"/>
        <v>0</v>
      </c>
      <c r="Q76" s="449"/>
      <c r="R76" s="449"/>
      <c r="S76" s="449"/>
      <c r="T76" s="449"/>
      <c r="U76" s="811"/>
      <c r="V76" s="811"/>
      <c r="W76" s="811"/>
      <c r="X76" s="2522"/>
      <c r="Y76" s="2606"/>
    </row>
    <row r="77" spans="1:26" s="862" customFormat="1" ht="12" hidden="1" customHeight="1">
      <c r="A77" s="2599"/>
      <c r="B77" s="468" t="s">
        <v>29</v>
      </c>
      <c r="C77" s="2595"/>
      <c r="D77" s="433">
        <f>SUM(M77:T77)</f>
        <v>0</v>
      </c>
      <c r="E77" s="451">
        <v>0</v>
      </c>
      <c r="F77" s="451">
        <v>0</v>
      </c>
      <c r="G77" s="451">
        <v>0</v>
      </c>
      <c r="H77" s="451">
        <v>0</v>
      </c>
      <c r="I77" s="451">
        <v>0</v>
      </c>
      <c r="J77" s="478"/>
      <c r="K77" s="478"/>
      <c r="L77" s="451"/>
      <c r="M77" s="434"/>
      <c r="N77" s="451">
        <v>0</v>
      </c>
      <c r="O77" s="451">
        <v>0</v>
      </c>
      <c r="P77" s="451">
        <v>0</v>
      </c>
      <c r="Q77" s="451"/>
      <c r="R77" s="451"/>
      <c r="S77" s="451"/>
      <c r="T77" s="451"/>
      <c r="U77" s="534"/>
      <c r="V77" s="534"/>
      <c r="W77" s="534"/>
      <c r="X77" s="2522"/>
      <c r="Y77" s="2606"/>
    </row>
    <row r="78" spans="1:26" s="862" customFormat="1" ht="12" hidden="1" customHeight="1">
      <c r="A78" s="2599"/>
      <c r="B78" s="524" t="s">
        <v>30</v>
      </c>
      <c r="C78" s="2595"/>
      <c r="D78" s="443">
        <f>+D80+D79</f>
        <v>0</v>
      </c>
      <c r="E78" s="443">
        <f t="shared" ref="E78:P78" si="70">+E80+E79</f>
        <v>0</v>
      </c>
      <c r="F78" s="443">
        <f t="shared" si="70"/>
        <v>0</v>
      </c>
      <c r="G78" s="443">
        <f t="shared" si="70"/>
        <v>0</v>
      </c>
      <c r="H78" s="443">
        <f t="shared" si="70"/>
        <v>0</v>
      </c>
      <c r="I78" s="443">
        <f t="shared" si="70"/>
        <v>0</v>
      </c>
      <c r="J78" s="443">
        <f t="shared" si="70"/>
        <v>0</v>
      </c>
      <c r="K78" s="443">
        <f t="shared" si="70"/>
        <v>0</v>
      </c>
      <c r="L78" s="443">
        <f t="shared" si="70"/>
        <v>0</v>
      </c>
      <c r="M78" s="443">
        <f t="shared" si="70"/>
        <v>0</v>
      </c>
      <c r="N78" s="443">
        <f t="shared" si="70"/>
        <v>0</v>
      </c>
      <c r="O78" s="443">
        <f t="shared" si="70"/>
        <v>0</v>
      </c>
      <c r="P78" s="443">
        <f t="shared" si="70"/>
        <v>0</v>
      </c>
      <c r="Q78" s="443"/>
      <c r="R78" s="443"/>
      <c r="S78" s="443"/>
      <c r="T78" s="443"/>
      <c r="U78" s="811"/>
      <c r="V78" s="811"/>
      <c r="W78" s="811"/>
      <c r="X78" s="2522"/>
      <c r="Y78" s="2606"/>
    </row>
    <row r="79" spans="1:26" s="862" customFormat="1" ht="12" hidden="1" customHeight="1">
      <c r="A79" s="2599"/>
      <c r="B79" s="468" t="s">
        <v>29</v>
      </c>
      <c r="C79" s="2595"/>
      <c r="D79" s="433">
        <f>SUM(M79:T79)</f>
        <v>0</v>
      </c>
      <c r="E79" s="440">
        <v>0</v>
      </c>
      <c r="F79" s="441"/>
      <c r="G79" s="478"/>
      <c r="H79" s="478"/>
      <c r="I79" s="478">
        <v>0</v>
      </c>
      <c r="J79" s="478">
        <v>0</v>
      </c>
      <c r="K79" s="478">
        <v>0</v>
      </c>
      <c r="L79" s="440">
        <v>0</v>
      </c>
      <c r="M79" s="434">
        <f>+E79+I79+J79+K79+L79</f>
        <v>0</v>
      </c>
      <c r="N79" s="441">
        <v>0</v>
      </c>
      <c r="O79" s="441">
        <v>0</v>
      </c>
      <c r="P79" s="441">
        <v>0</v>
      </c>
      <c r="Q79" s="441"/>
      <c r="R79" s="441"/>
      <c r="S79" s="441"/>
      <c r="T79" s="441"/>
      <c r="U79" s="741"/>
      <c r="V79" s="741"/>
      <c r="W79" s="741"/>
      <c r="X79" s="2522"/>
      <c r="Y79" s="2606"/>
    </row>
    <row r="80" spans="1:26" s="862" customFormat="1" ht="12" hidden="1" customHeight="1" thickBot="1">
      <c r="A80" s="2600"/>
      <c r="B80" s="479" t="s">
        <v>33</v>
      </c>
      <c r="C80" s="2596"/>
      <c r="D80" s="433">
        <f>SUM(M80:T80)</f>
        <v>0</v>
      </c>
      <c r="E80" s="475">
        <f>+F80+G80+H80</f>
        <v>0</v>
      </c>
      <c r="F80" s="476">
        <v>0</v>
      </c>
      <c r="G80" s="481">
        <v>0</v>
      </c>
      <c r="H80" s="475">
        <v>0</v>
      </c>
      <c r="I80" s="475">
        <v>0</v>
      </c>
      <c r="J80" s="475"/>
      <c r="K80" s="475"/>
      <c r="L80" s="475"/>
      <c r="M80" s="454">
        <f>L80+E80+I80+J80+K80</f>
        <v>0</v>
      </c>
      <c r="N80" s="475">
        <v>0</v>
      </c>
      <c r="O80" s="475">
        <v>0</v>
      </c>
      <c r="P80" s="475">
        <v>0</v>
      </c>
      <c r="Q80" s="475"/>
      <c r="R80" s="475"/>
      <c r="S80" s="475"/>
      <c r="T80" s="475"/>
      <c r="U80" s="456"/>
      <c r="V80" s="456"/>
      <c r="W80" s="456"/>
      <c r="X80" s="2523"/>
      <c r="Y80" s="2607"/>
    </row>
    <row r="81" spans="1:26" s="862" customFormat="1" ht="24" customHeight="1">
      <c r="A81" s="2597" t="s">
        <v>79</v>
      </c>
      <c r="B81" s="417" t="s">
        <v>411</v>
      </c>
      <c r="C81" s="457" t="s">
        <v>97</v>
      </c>
      <c r="D81" s="458"/>
      <c r="E81" s="482"/>
      <c r="F81" s="459"/>
      <c r="G81" s="460"/>
      <c r="H81" s="460"/>
      <c r="I81" s="420"/>
      <c r="J81" s="420"/>
      <c r="K81" s="420"/>
      <c r="L81" s="420"/>
      <c r="M81" s="420"/>
      <c r="N81" s="420"/>
      <c r="O81" s="420"/>
      <c r="P81" s="422"/>
      <c r="Q81" s="422"/>
      <c r="R81" s="422"/>
      <c r="S81" s="422"/>
      <c r="T81" s="422"/>
      <c r="U81" s="422"/>
      <c r="V81" s="422"/>
      <c r="W81" s="422"/>
      <c r="X81" s="423"/>
      <c r="Y81" s="424" t="s">
        <v>98</v>
      </c>
    </row>
    <row r="82" spans="1:26" s="862" customFormat="1" ht="12" customHeight="1">
      <c r="A82" s="2598"/>
      <c r="B82" s="483" t="s">
        <v>22</v>
      </c>
      <c r="C82" s="359"/>
      <c r="D82" s="462">
        <f t="shared" ref="D82:P82" si="71">+D83+D87</f>
        <v>39405265</v>
      </c>
      <c r="E82" s="463">
        <f t="shared" si="71"/>
        <v>106483</v>
      </c>
      <c r="F82" s="462">
        <f t="shared" si="71"/>
        <v>16483</v>
      </c>
      <c r="G82" s="462">
        <f t="shared" si="71"/>
        <v>6633</v>
      </c>
      <c r="H82" s="463">
        <f t="shared" si="71"/>
        <v>0</v>
      </c>
      <c r="I82" s="462">
        <f t="shared" si="71"/>
        <v>561530</v>
      </c>
      <c r="J82" s="462">
        <f t="shared" si="71"/>
        <v>13168067</v>
      </c>
      <c r="K82" s="463">
        <f t="shared" si="71"/>
        <v>25505841</v>
      </c>
      <c r="L82" s="462">
        <f t="shared" si="71"/>
        <v>16985</v>
      </c>
      <c r="M82" s="462">
        <f>+M83+M87</f>
        <v>39360985</v>
      </c>
      <c r="N82" s="462">
        <f t="shared" si="71"/>
        <v>2079</v>
      </c>
      <c r="O82" s="462">
        <f t="shared" si="71"/>
        <v>13280</v>
      </c>
      <c r="P82" s="462">
        <f t="shared" si="71"/>
        <v>31000</v>
      </c>
      <c r="Q82" s="462">
        <f>+Q83+Q87</f>
        <v>0</v>
      </c>
      <c r="R82" s="462">
        <f>+R83+R87</f>
        <v>0</v>
      </c>
      <c r="S82" s="462">
        <f>+S83+S87</f>
        <v>0</v>
      </c>
      <c r="T82" s="462">
        <f>+T83+T87</f>
        <v>0</v>
      </c>
      <c r="U82" s="462"/>
      <c r="V82" s="462"/>
      <c r="W82" s="462"/>
      <c r="X82" s="464">
        <f>+X83+X87</f>
        <v>31000</v>
      </c>
      <c r="Y82" s="2641" t="s">
        <v>99</v>
      </c>
      <c r="Z82" s="861">
        <f>+O82+P82</f>
        <v>44280</v>
      </c>
    </row>
    <row r="83" spans="1:26" s="862" customFormat="1" ht="12" customHeight="1">
      <c r="A83" s="2598"/>
      <c r="B83" s="484" t="s">
        <v>36</v>
      </c>
      <c r="C83" s="2602" t="s">
        <v>100</v>
      </c>
      <c r="D83" s="485">
        <f>+D84+D85+D86</f>
        <v>11522330</v>
      </c>
      <c r="E83" s="485">
        <f t="shared" ref="E83:P83" si="72">+E84+E85+E86</f>
        <v>39227</v>
      </c>
      <c r="F83" s="485">
        <f t="shared" si="72"/>
        <v>16483</v>
      </c>
      <c r="G83" s="485">
        <f t="shared" si="72"/>
        <v>6633</v>
      </c>
      <c r="H83" s="485">
        <f t="shared" si="72"/>
        <v>0</v>
      </c>
      <c r="I83" s="485">
        <f t="shared" si="72"/>
        <v>444194</v>
      </c>
      <c r="J83" s="485">
        <f t="shared" si="72"/>
        <v>6759056</v>
      </c>
      <c r="K83" s="485">
        <f t="shared" si="72"/>
        <v>4216509</v>
      </c>
      <c r="L83" s="485">
        <f t="shared" si="72"/>
        <v>16985</v>
      </c>
      <c r="M83" s="485">
        <f>+M84+M85+M86</f>
        <v>11478050</v>
      </c>
      <c r="N83" s="485">
        <f t="shared" si="72"/>
        <v>2079</v>
      </c>
      <c r="O83" s="485">
        <f t="shared" si="72"/>
        <v>13280</v>
      </c>
      <c r="P83" s="485">
        <f t="shared" si="72"/>
        <v>31000</v>
      </c>
      <c r="Q83" s="485">
        <f>+Q84+Q85+Q86</f>
        <v>0</v>
      </c>
      <c r="R83" s="485">
        <f>+R84+R85+R86</f>
        <v>0</v>
      </c>
      <c r="S83" s="485">
        <f>+S84+S85+S86</f>
        <v>0</v>
      </c>
      <c r="T83" s="485">
        <f>+T84+T85+T86</f>
        <v>0</v>
      </c>
      <c r="U83" s="485"/>
      <c r="V83" s="485"/>
      <c r="W83" s="485"/>
      <c r="X83" s="486">
        <f>+X84+X85+X86</f>
        <v>31000</v>
      </c>
      <c r="Y83" s="2641"/>
    </row>
    <row r="84" spans="1:26" s="862" customFormat="1" ht="12" customHeight="1">
      <c r="A84" s="2598"/>
      <c r="B84" s="487" t="s">
        <v>24</v>
      </c>
      <c r="C84" s="2643"/>
      <c r="D84" s="433">
        <f>M84+O84+P84+Q84+R84+S84+T84+U84+V84+W84</f>
        <v>4818167</v>
      </c>
      <c r="E84" s="1022">
        <v>23116</v>
      </c>
      <c r="F84" s="478">
        <v>16483</v>
      </c>
      <c r="G84" s="440">
        <v>6633</v>
      </c>
      <c r="H84" s="440">
        <v>0</v>
      </c>
      <c r="I84" s="440">
        <v>416086</v>
      </c>
      <c r="J84" s="440">
        <v>1131259</v>
      </c>
      <c r="K84" s="440">
        <f>2467799+350000-15901+41385+341079</f>
        <v>3184362</v>
      </c>
      <c r="L84" s="478">
        <f>170000-153015</f>
        <v>16985</v>
      </c>
      <c r="M84" s="434">
        <f>+E84+I84+J84+K84+L84+N84</f>
        <v>4773887</v>
      </c>
      <c r="N84" s="478">
        <f>40000-32921-5000</f>
        <v>2079</v>
      </c>
      <c r="O84" s="478">
        <f>32921-14641-5000</f>
        <v>13280</v>
      </c>
      <c r="P84" s="514">
        <f>14641+5000+11359</f>
        <v>31000</v>
      </c>
      <c r="Q84" s="441"/>
      <c r="R84" s="441"/>
      <c r="S84" s="441"/>
      <c r="T84" s="441"/>
      <c r="U84" s="441"/>
      <c r="V84" s="441"/>
      <c r="W84" s="441"/>
      <c r="X84" s="393">
        <f>SUM(P84:T84)</f>
        <v>31000</v>
      </c>
      <c r="Y84" s="2641"/>
    </row>
    <row r="85" spans="1:26" s="862" customFormat="1" ht="12" customHeight="1">
      <c r="A85" s="2598"/>
      <c r="B85" s="468" t="s">
        <v>29</v>
      </c>
      <c r="C85" s="2643"/>
      <c r="D85" s="433">
        <f>M85+O85+P85+Q85+R85+S85+T85+U85+V85+W85</f>
        <v>6679563</v>
      </c>
      <c r="E85" s="440">
        <v>16111</v>
      </c>
      <c r="F85" s="446"/>
      <c r="G85" s="438"/>
      <c r="H85" s="438"/>
      <c r="I85" s="438">
        <v>28108</v>
      </c>
      <c r="J85" s="438">
        <v>5627797</v>
      </c>
      <c r="K85" s="438">
        <f>1077530+3932-7998-65917</f>
        <v>1007547</v>
      </c>
      <c r="L85" s="441">
        <v>0</v>
      </c>
      <c r="M85" s="434">
        <f>+E85+I85+J85+K85+L85+N85</f>
        <v>6679563</v>
      </c>
      <c r="N85" s="441">
        <v>0</v>
      </c>
      <c r="O85" s="441">
        <v>0</v>
      </c>
      <c r="P85" s="441">
        <v>0</v>
      </c>
      <c r="Q85" s="441"/>
      <c r="R85" s="441"/>
      <c r="S85" s="441"/>
      <c r="T85" s="441"/>
      <c r="U85" s="441"/>
      <c r="V85" s="441"/>
      <c r="W85" s="441"/>
      <c r="X85" s="393">
        <f>SUM(P85:T85)</f>
        <v>0</v>
      </c>
      <c r="Y85" s="2641"/>
    </row>
    <row r="86" spans="1:26" s="862" customFormat="1" ht="12" customHeight="1">
      <c r="A86" s="2598"/>
      <c r="B86" s="468" t="s">
        <v>27</v>
      </c>
      <c r="C86" s="2643"/>
      <c r="D86" s="433">
        <f>M86+O86+P86+Q86+R86+S86+T86+U86+V86+W86</f>
        <v>24600</v>
      </c>
      <c r="E86" s="441">
        <v>0</v>
      </c>
      <c r="F86" s="446"/>
      <c r="G86" s="446"/>
      <c r="H86" s="446"/>
      <c r="I86" s="446">
        <v>0</v>
      </c>
      <c r="J86" s="446">
        <v>0</v>
      </c>
      <c r="K86" s="446">
        <v>24600</v>
      </c>
      <c r="L86" s="441">
        <v>0</v>
      </c>
      <c r="M86" s="434">
        <f>+E86+I86+J86+K86+L86+N86</f>
        <v>24600</v>
      </c>
      <c r="N86" s="441">
        <v>0</v>
      </c>
      <c r="O86" s="441">
        <v>0</v>
      </c>
      <c r="P86" s="441">
        <v>0</v>
      </c>
      <c r="Q86" s="441"/>
      <c r="R86" s="441"/>
      <c r="S86" s="441"/>
      <c r="T86" s="441"/>
      <c r="U86" s="441"/>
      <c r="V86" s="441"/>
      <c r="W86" s="441"/>
      <c r="X86" s="393">
        <f>SUM(P86:T86)</f>
        <v>0</v>
      </c>
      <c r="Y86" s="2641"/>
    </row>
    <row r="87" spans="1:26" s="862" customFormat="1" ht="12" customHeight="1">
      <c r="A87" s="2598"/>
      <c r="B87" s="488" t="s">
        <v>30</v>
      </c>
      <c r="C87" s="2643"/>
      <c r="D87" s="443">
        <f>+D89+D88</f>
        <v>27882935</v>
      </c>
      <c r="E87" s="443">
        <f t="shared" ref="E87:P87" si="73">+E89+E88</f>
        <v>67256</v>
      </c>
      <c r="F87" s="443">
        <f t="shared" si="73"/>
        <v>0</v>
      </c>
      <c r="G87" s="443">
        <f t="shared" si="73"/>
        <v>0</v>
      </c>
      <c r="H87" s="443">
        <f t="shared" si="73"/>
        <v>0</v>
      </c>
      <c r="I87" s="443">
        <f t="shared" si="73"/>
        <v>117336</v>
      </c>
      <c r="J87" s="443">
        <f t="shared" si="73"/>
        <v>6409011</v>
      </c>
      <c r="K87" s="443">
        <f t="shared" si="73"/>
        <v>21289332</v>
      </c>
      <c r="L87" s="443">
        <f t="shared" si="73"/>
        <v>0</v>
      </c>
      <c r="M87" s="443">
        <f t="shared" si="73"/>
        <v>27882935</v>
      </c>
      <c r="N87" s="443">
        <f t="shared" si="73"/>
        <v>0</v>
      </c>
      <c r="O87" s="443">
        <f t="shared" si="73"/>
        <v>0</v>
      </c>
      <c r="P87" s="443">
        <f t="shared" si="73"/>
        <v>0</v>
      </c>
      <c r="Q87" s="443"/>
      <c r="R87" s="443"/>
      <c r="S87" s="443"/>
      <c r="T87" s="443"/>
      <c r="U87" s="443"/>
      <c r="V87" s="443"/>
      <c r="W87" s="443"/>
      <c r="X87" s="486">
        <f>+X89+X88</f>
        <v>0</v>
      </c>
      <c r="Y87" s="2641"/>
    </row>
    <row r="88" spans="1:26" s="862" customFormat="1" ht="12.75" hidden="1" customHeight="1">
      <c r="A88" s="2598"/>
      <c r="B88" s="468" t="s">
        <v>29</v>
      </c>
      <c r="C88" s="2643"/>
      <c r="D88" s="437">
        <f>+E88+I88+J88+K88+L88</f>
        <v>0</v>
      </c>
      <c r="E88" s="440">
        <v>0</v>
      </c>
      <c r="F88" s="446">
        <v>0</v>
      </c>
      <c r="G88" s="438">
        <v>0</v>
      </c>
      <c r="H88" s="438">
        <v>0</v>
      </c>
      <c r="I88" s="438">
        <v>0</v>
      </c>
      <c r="J88" s="438">
        <v>0</v>
      </c>
      <c r="K88" s="438">
        <v>0</v>
      </c>
      <c r="L88" s="438">
        <v>0</v>
      </c>
      <c r="M88" s="434">
        <f>+E88+I88+J88+K88+L88</f>
        <v>0</v>
      </c>
      <c r="N88" s="438">
        <v>0</v>
      </c>
      <c r="O88" s="438">
        <v>0</v>
      </c>
      <c r="P88" s="446">
        <v>0</v>
      </c>
      <c r="Q88" s="446"/>
      <c r="R88" s="446"/>
      <c r="S88" s="446"/>
      <c r="T88" s="446"/>
      <c r="U88" s="446"/>
      <c r="V88" s="446"/>
      <c r="W88" s="446"/>
      <c r="X88" s="393">
        <f>SUM(P88:T88)</f>
        <v>0</v>
      </c>
      <c r="Y88" s="2641"/>
    </row>
    <row r="89" spans="1:26" s="862" customFormat="1" ht="12" customHeight="1">
      <c r="A89" s="2598"/>
      <c r="B89" s="487" t="s">
        <v>33</v>
      </c>
      <c r="C89" s="2644"/>
      <c r="D89" s="433">
        <f>M89+O89+P89+Q89+R89+S89+T89+U89+V89+W89</f>
        <v>27882935</v>
      </c>
      <c r="E89" s="440">
        <v>67256</v>
      </c>
      <c r="F89" s="446">
        <v>0</v>
      </c>
      <c r="G89" s="438">
        <v>0</v>
      </c>
      <c r="H89" s="438">
        <v>0</v>
      </c>
      <c r="I89" s="438">
        <v>117336</v>
      </c>
      <c r="J89" s="438">
        <v>6409011</v>
      </c>
      <c r="K89" s="438">
        <f>21585912+11969-33387-275162</f>
        <v>21289332</v>
      </c>
      <c r="L89" s="438">
        <v>0</v>
      </c>
      <c r="M89" s="434">
        <f>+E89+I89+J89+K89+L89+N89</f>
        <v>27882935</v>
      </c>
      <c r="N89" s="438">
        <v>0</v>
      </c>
      <c r="O89" s="438">
        <v>0</v>
      </c>
      <c r="P89" s="446">
        <v>0</v>
      </c>
      <c r="Q89" s="446"/>
      <c r="R89" s="446"/>
      <c r="S89" s="446"/>
      <c r="T89" s="446"/>
      <c r="U89" s="446"/>
      <c r="V89" s="446"/>
      <c r="W89" s="446"/>
      <c r="X89" s="393">
        <f>SUM(P89:T89)</f>
        <v>0</v>
      </c>
      <c r="Y89" s="2642"/>
    </row>
    <row r="90" spans="1:26" s="862" customFormat="1">
      <c r="A90" s="2599"/>
      <c r="B90" s="489" t="s">
        <v>34</v>
      </c>
      <c r="C90" s="359"/>
      <c r="D90" s="448">
        <f>+D91+D94</f>
        <v>34587098</v>
      </c>
      <c r="E90" s="448">
        <f t="shared" ref="E90:P90" si="74">+E91+E94</f>
        <v>0</v>
      </c>
      <c r="F90" s="448">
        <f t="shared" si="74"/>
        <v>0</v>
      </c>
      <c r="G90" s="448">
        <f t="shared" si="74"/>
        <v>0</v>
      </c>
      <c r="H90" s="448">
        <f t="shared" si="74"/>
        <v>0</v>
      </c>
      <c r="I90" s="448">
        <f t="shared" si="74"/>
        <v>0</v>
      </c>
      <c r="J90" s="448">
        <f t="shared" si="74"/>
        <v>7901349</v>
      </c>
      <c r="K90" s="448">
        <f t="shared" si="74"/>
        <v>25017700</v>
      </c>
      <c r="L90" s="448">
        <f t="shared" si="74"/>
        <v>1668049</v>
      </c>
      <c r="M90" s="448">
        <f>+M91+M94</f>
        <v>34587098</v>
      </c>
      <c r="N90" s="448">
        <f t="shared" si="74"/>
        <v>0</v>
      </c>
      <c r="O90" s="448">
        <f t="shared" si="74"/>
        <v>0</v>
      </c>
      <c r="P90" s="448">
        <f t="shared" si="74"/>
        <v>0</v>
      </c>
      <c r="Q90" s="448"/>
      <c r="R90" s="448"/>
      <c r="S90" s="448"/>
      <c r="T90" s="448"/>
      <c r="U90" s="448"/>
      <c r="V90" s="448"/>
      <c r="W90" s="448"/>
      <c r="X90" s="2659" t="s">
        <v>35</v>
      </c>
      <c r="Y90" s="2605" t="s">
        <v>303</v>
      </c>
      <c r="Z90" s="861">
        <f>D90-'[2]Tab. 6A -Drogi'!$D$90</f>
        <v>-341079</v>
      </c>
    </row>
    <row r="91" spans="1:26" s="862" customFormat="1">
      <c r="A91" s="2599"/>
      <c r="B91" s="484" t="s">
        <v>36</v>
      </c>
      <c r="C91" s="2602" t="s">
        <v>101</v>
      </c>
      <c r="D91" s="449">
        <f>+D92+D93</f>
        <v>6704163</v>
      </c>
      <c r="E91" s="449">
        <f t="shared" ref="E91:P91" si="75">+E92+E93</f>
        <v>0</v>
      </c>
      <c r="F91" s="449">
        <f t="shared" si="75"/>
        <v>0</v>
      </c>
      <c r="G91" s="449">
        <f t="shared" si="75"/>
        <v>0</v>
      </c>
      <c r="H91" s="449">
        <f t="shared" si="75"/>
        <v>0</v>
      </c>
      <c r="I91" s="449">
        <f t="shared" si="75"/>
        <v>0</v>
      </c>
      <c r="J91" s="449">
        <f t="shared" si="75"/>
        <v>4171661</v>
      </c>
      <c r="K91" s="449">
        <f t="shared" si="75"/>
        <v>2211809</v>
      </c>
      <c r="L91" s="449">
        <f t="shared" si="75"/>
        <v>320693</v>
      </c>
      <c r="M91" s="449">
        <f>+M92+M93</f>
        <v>6704163</v>
      </c>
      <c r="N91" s="449">
        <f t="shared" si="75"/>
        <v>0</v>
      </c>
      <c r="O91" s="449">
        <f t="shared" si="75"/>
        <v>0</v>
      </c>
      <c r="P91" s="449">
        <f t="shared" si="75"/>
        <v>0</v>
      </c>
      <c r="Q91" s="449"/>
      <c r="R91" s="449"/>
      <c r="S91" s="449"/>
      <c r="T91" s="449"/>
      <c r="U91" s="449"/>
      <c r="V91" s="449"/>
      <c r="W91" s="449"/>
      <c r="X91" s="2646"/>
      <c r="Y91" s="2606"/>
    </row>
    <row r="92" spans="1:26" s="862" customFormat="1" ht="12" customHeight="1">
      <c r="A92" s="2599"/>
      <c r="B92" s="468" t="s">
        <v>29</v>
      </c>
      <c r="C92" s="2595"/>
      <c r="D92" s="433">
        <f>M92+O92+P92+Q92+R92+S92+T92+U92+V92+W92</f>
        <v>6679563</v>
      </c>
      <c r="E92" s="441">
        <v>0</v>
      </c>
      <c r="F92" s="441"/>
      <c r="G92" s="490"/>
      <c r="H92" s="491"/>
      <c r="I92" s="491">
        <v>0</v>
      </c>
      <c r="J92" s="490">
        <v>4171661</v>
      </c>
      <c r="K92" s="490">
        <f>2195207-7998</f>
        <v>2187209</v>
      </c>
      <c r="L92" s="490">
        <f>456487-17118-52759-65917</f>
        <v>320693</v>
      </c>
      <c r="M92" s="434">
        <f>+E92+I92+J92+K92+L92+N92</f>
        <v>6679563</v>
      </c>
      <c r="N92" s="490">
        <v>0</v>
      </c>
      <c r="O92" s="490">
        <v>0</v>
      </c>
      <c r="P92" s="492">
        <v>0</v>
      </c>
      <c r="Q92" s="492"/>
      <c r="R92" s="492"/>
      <c r="S92" s="492"/>
      <c r="T92" s="492"/>
      <c r="U92" s="492"/>
      <c r="V92" s="492"/>
      <c r="W92" s="492"/>
      <c r="X92" s="2646"/>
      <c r="Y92" s="2606"/>
    </row>
    <row r="93" spans="1:26" s="862" customFormat="1" ht="10.5" customHeight="1">
      <c r="A93" s="2599"/>
      <c r="B93" s="468" t="s">
        <v>27</v>
      </c>
      <c r="C93" s="2595"/>
      <c r="D93" s="433">
        <f>M93+O93+P93+Q93+R93+S93+T93+U93+V93+W93</f>
        <v>24600</v>
      </c>
      <c r="E93" s="441"/>
      <c r="F93" s="441"/>
      <c r="G93" s="493"/>
      <c r="H93" s="494"/>
      <c r="I93" s="494"/>
      <c r="J93" s="493"/>
      <c r="K93" s="493">
        <v>24600</v>
      </c>
      <c r="L93" s="493"/>
      <c r="M93" s="434">
        <f>+E93+I93+J93+K93+L93+N93</f>
        <v>24600</v>
      </c>
      <c r="N93" s="493"/>
      <c r="O93" s="493"/>
      <c r="P93" s="490"/>
      <c r="Q93" s="493"/>
      <c r="R93" s="493"/>
      <c r="S93" s="493"/>
      <c r="T93" s="493"/>
      <c r="U93" s="493"/>
      <c r="V93" s="493"/>
      <c r="W93" s="493"/>
      <c r="X93" s="2646"/>
      <c r="Y93" s="2606"/>
    </row>
    <row r="94" spans="1:26" s="862" customFormat="1" ht="12" customHeight="1">
      <c r="A94" s="2599"/>
      <c r="B94" s="488" t="s">
        <v>30</v>
      </c>
      <c r="C94" s="2595"/>
      <c r="D94" s="495">
        <f>+D96+D95</f>
        <v>27882935</v>
      </c>
      <c r="E94" s="495">
        <f t="shared" ref="E94:P94" si="76">+E96+E95</f>
        <v>0</v>
      </c>
      <c r="F94" s="495">
        <f t="shared" si="76"/>
        <v>0</v>
      </c>
      <c r="G94" s="495">
        <f t="shared" si="76"/>
        <v>0</v>
      </c>
      <c r="H94" s="495">
        <f t="shared" si="76"/>
        <v>0</v>
      </c>
      <c r="I94" s="495">
        <f t="shared" si="76"/>
        <v>0</v>
      </c>
      <c r="J94" s="495">
        <f t="shared" si="76"/>
        <v>3729688</v>
      </c>
      <c r="K94" s="520">
        <f t="shared" si="76"/>
        <v>22805891</v>
      </c>
      <c r="L94" s="495">
        <f t="shared" si="76"/>
        <v>1347356</v>
      </c>
      <c r="M94" s="495">
        <f t="shared" si="76"/>
        <v>27882935</v>
      </c>
      <c r="N94" s="495">
        <f t="shared" si="76"/>
        <v>0</v>
      </c>
      <c r="O94" s="495">
        <f t="shared" si="76"/>
        <v>0</v>
      </c>
      <c r="P94" s="495">
        <f t="shared" si="76"/>
        <v>0</v>
      </c>
      <c r="Q94" s="495"/>
      <c r="R94" s="495"/>
      <c r="S94" s="495"/>
      <c r="T94" s="495"/>
      <c r="U94" s="495"/>
      <c r="V94" s="495"/>
      <c r="W94" s="495"/>
      <c r="X94" s="2646"/>
      <c r="Y94" s="2606"/>
    </row>
    <row r="95" spans="1:26" s="862" customFormat="1" ht="12" hidden="1" customHeight="1">
      <c r="A95" s="2599"/>
      <c r="B95" s="468" t="s">
        <v>29</v>
      </c>
      <c r="C95" s="2595"/>
      <c r="D95" s="451">
        <f>+E95+I95+J95+K95+L95</f>
        <v>0</v>
      </c>
      <c r="E95" s="441">
        <v>0</v>
      </c>
      <c r="F95" s="441"/>
      <c r="G95" s="490"/>
      <c r="H95" s="491"/>
      <c r="I95" s="491">
        <v>0</v>
      </c>
      <c r="J95" s="490">
        <v>0</v>
      </c>
      <c r="K95" s="490">
        <v>0</v>
      </c>
      <c r="L95" s="491">
        <v>0</v>
      </c>
      <c r="M95" s="490"/>
      <c r="N95" s="490">
        <v>0</v>
      </c>
      <c r="O95" s="490">
        <v>0</v>
      </c>
      <c r="P95" s="492">
        <v>0</v>
      </c>
      <c r="Q95" s="492"/>
      <c r="R95" s="492"/>
      <c r="S95" s="492"/>
      <c r="T95" s="492"/>
      <c r="U95" s="492"/>
      <c r="V95" s="492"/>
      <c r="W95" s="492"/>
      <c r="X95" s="2647"/>
      <c r="Y95" s="2606"/>
    </row>
    <row r="96" spans="1:26" s="862" customFormat="1" ht="12.75" customHeight="1" thickBot="1">
      <c r="A96" s="2600"/>
      <c r="B96" s="496" t="s">
        <v>33</v>
      </c>
      <c r="C96" s="2596"/>
      <c r="D96" s="433">
        <f>M96+O96+P96+Q96+R96+S96+T96+U96+V96+W96</f>
        <v>27882935</v>
      </c>
      <c r="E96" s="455">
        <f>+F96+G96+H96</f>
        <v>0</v>
      </c>
      <c r="F96" s="455">
        <v>0</v>
      </c>
      <c r="G96" s="497">
        <v>0</v>
      </c>
      <c r="H96" s="498">
        <v>0</v>
      </c>
      <c r="I96" s="498">
        <v>0</v>
      </c>
      <c r="J96" s="497">
        <v>3729688</v>
      </c>
      <c r="K96" s="497">
        <f>22847944-33387-8666</f>
        <v>22805891</v>
      </c>
      <c r="L96" s="498">
        <f>1968384-134299-220233-266496</f>
        <v>1347356</v>
      </c>
      <c r="M96" s="434">
        <f>+E96+I96+J96+K96+L96+N96</f>
        <v>27882935</v>
      </c>
      <c r="N96" s="497">
        <v>0</v>
      </c>
      <c r="O96" s="497">
        <v>0</v>
      </c>
      <c r="P96" s="499">
        <v>0</v>
      </c>
      <c r="Q96" s="499"/>
      <c r="R96" s="499"/>
      <c r="S96" s="499"/>
      <c r="T96" s="499"/>
      <c r="U96" s="499"/>
      <c r="V96" s="499"/>
      <c r="W96" s="499"/>
      <c r="X96" s="500"/>
      <c r="Y96" s="2607"/>
    </row>
    <row r="97" spans="1:29" s="862" customFormat="1" ht="24.75" customHeight="1">
      <c r="A97" s="2664" t="s">
        <v>80</v>
      </c>
      <c r="B97" s="1466" t="s">
        <v>528</v>
      </c>
      <c r="C97" s="418" t="s">
        <v>97</v>
      </c>
      <c r="D97" s="458"/>
      <c r="E97" s="482"/>
      <c r="F97" s="459"/>
      <c r="G97" s="460"/>
      <c r="H97" s="460"/>
      <c r="I97" s="420"/>
      <c r="J97" s="420"/>
      <c r="K97" s="420"/>
      <c r="L97" s="420"/>
      <c r="M97" s="420"/>
      <c r="N97" s="420"/>
      <c r="O97" s="420"/>
      <c r="P97" s="422"/>
      <c r="Q97" s="422"/>
      <c r="R97" s="422"/>
      <c r="S97" s="422"/>
      <c r="T97" s="422"/>
      <c r="U97" s="422"/>
      <c r="V97" s="422"/>
      <c r="W97" s="422"/>
      <c r="X97" s="423"/>
      <c r="Y97" s="424" t="s">
        <v>98</v>
      </c>
    </row>
    <row r="98" spans="1:29" s="862" customFormat="1" ht="13.5" customHeight="1">
      <c r="A98" s="2665"/>
      <c r="B98" s="358" t="s">
        <v>22</v>
      </c>
      <c r="C98" s="359"/>
      <c r="D98" s="462">
        <f t="shared" ref="D98:P98" si="77">+D99+D102</f>
        <v>16024504</v>
      </c>
      <c r="E98" s="462">
        <f t="shared" si="77"/>
        <v>15437</v>
      </c>
      <c r="F98" s="462">
        <f t="shared" si="77"/>
        <v>0</v>
      </c>
      <c r="G98" s="462">
        <f t="shared" si="77"/>
        <v>15437</v>
      </c>
      <c r="H98" s="462">
        <f t="shared" si="77"/>
        <v>0</v>
      </c>
      <c r="I98" s="462">
        <f t="shared" si="77"/>
        <v>342392</v>
      </c>
      <c r="J98" s="462">
        <f t="shared" si="77"/>
        <v>8517618</v>
      </c>
      <c r="K98" s="462">
        <f t="shared" si="77"/>
        <v>6851153</v>
      </c>
      <c r="L98" s="462">
        <f t="shared" si="77"/>
        <v>46043</v>
      </c>
      <c r="M98" s="462">
        <f>+M99+M102</f>
        <v>15820209</v>
      </c>
      <c r="N98" s="462">
        <f t="shared" si="77"/>
        <v>47566</v>
      </c>
      <c r="O98" s="462">
        <f t="shared" si="77"/>
        <v>0</v>
      </c>
      <c r="P98" s="462">
        <f t="shared" si="77"/>
        <v>54468</v>
      </c>
      <c r="Q98" s="462">
        <f>+Q99+Q102</f>
        <v>149827</v>
      </c>
      <c r="R98" s="462"/>
      <c r="S98" s="462"/>
      <c r="T98" s="462"/>
      <c r="U98" s="462"/>
      <c r="V98" s="462"/>
      <c r="W98" s="462"/>
      <c r="X98" s="464">
        <f>+X99+X102</f>
        <v>204295</v>
      </c>
      <c r="Y98" s="2641" t="s">
        <v>99</v>
      </c>
    </row>
    <row r="99" spans="1:29" s="862" customFormat="1" ht="12" customHeight="1">
      <c r="A99" s="2665"/>
      <c r="B99" s="510" t="s">
        <v>36</v>
      </c>
      <c r="C99" s="2602" t="s">
        <v>100</v>
      </c>
      <c r="D99" s="465">
        <f t="shared" ref="D99:P99" si="78">+D100+D101</f>
        <v>8216891</v>
      </c>
      <c r="E99" s="465">
        <f t="shared" si="78"/>
        <v>15437</v>
      </c>
      <c r="F99" s="465">
        <f t="shared" si="78"/>
        <v>0</v>
      </c>
      <c r="G99" s="465">
        <f t="shared" si="78"/>
        <v>15437</v>
      </c>
      <c r="H99" s="465">
        <f t="shared" si="78"/>
        <v>0</v>
      </c>
      <c r="I99" s="465">
        <f t="shared" si="78"/>
        <v>171542</v>
      </c>
      <c r="J99" s="465">
        <f t="shared" si="78"/>
        <v>6033655</v>
      </c>
      <c r="K99" s="465">
        <f t="shared" si="78"/>
        <v>1698353</v>
      </c>
      <c r="L99" s="465">
        <f t="shared" si="78"/>
        <v>46043</v>
      </c>
      <c r="M99" s="465">
        <f>+M100+M101</f>
        <v>8012596</v>
      </c>
      <c r="N99" s="465">
        <f t="shared" si="78"/>
        <v>47566</v>
      </c>
      <c r="O99" s="465">
        <f t="shared" si="78"/>
        <v>0</v>
      </c>
      <c r="P99" s="465">
        <f t="shared" si="78"/>
        <v>54468</v>
      </c>
      <c r="Q99" s="465">
        <f>+Q100+Q101</f>
        <v>149827</v>
      </c>
      <c r="R99" s="465"/>
      <c r="S99" s="465"/>
      <c r="T99" s="465"/>
      <c r="U99" s="465"/>
      <c r="V99" s="465"/>
      <c r="W99" s="465"/>
      <c r="X99" s="486">
        <f>+X100+X101</f>
        <v>204295</v>
      </c>
      <c r="Y99" s="2641"/>
    </row>
    <row r="100" spans="1:29" s="862" customFormat="1" ht="12" customHeight="1">
      <c r="A100" s="2665"/>
      <c r="B100" s="511" t="s">
        <v>24</v>
      </c>
      <c r="C100" s="2595"/>
      <c r="D100" s="433">
        <f>M100+O100+P100+Q100+R100+S100+T100+U100+V100+W100</f>
        <v>409278</v>
      </c>
      <c r="E100" s="441">
        <f>+F100+G100+H100</f>
        <v>15437</v>
      </c>
      <c r="F100" s="441">
        <v>0</v>
      </c>
      <c r="G100" s="478">
        <v>15437</v>
      </c>
      <c r="H100" s="478">
        <v>0</v>
      </c>
      <c r="I100" s="478">
        <v>692</v>
      </c>
      <c r="J100" s="478">
        <f>480+922</f>
        <v>1402</v>
      </c>
      <c r="K100" s="478">
        <v>93843</v>
      </c>
      <c r="L100" s="440">
        <f>140000-93957</f>
        <v>46043</v>
      </c>
      <c r="M100" s="434">
        <f>+E100+I100+J100+K100+L100+N100</f>
        <v>204983</v>
      </c>
      <c r="N100" s="478">
        <f>120000+80000-152434</f>
        <v>47566</v>
      </c>
      <c r="O100" s="478">
        <f>152434-152434</f>
        <v>0</v>
      </c>
      <c r="P100" s="514">
        <f>152434-97966</f>
        <v>54468</v>
      </c>
      <c r="Q100" s="514">
        <f>51861+97966</f>
        <v>149827</v>
      </c>
      <c r="R100" s="441"/>
      <c r="S100" s="441"/>
      <c r="T100" s="441"/>
      <c r="U100" s="441"/>
      <c r="V100" s="441"/>
      <c r="W100" s="441"/>
      <c r="X100" s="393">
        <f>SUM(P100:T100)</f>
        <v>204295</v>
      </c>
      <c r="Y100" s="2641"/>
    </row>
    <row r="101" spans="1:29" s="862" customFormat="1" ht="12" customHeight="1">
      <c r="A101" s="2665"/>
      <c r="B101" s="432" t="s">
        <v>29</v>
      </c>
      <c r="C101" s="2595"/>
      <c r="D101" s="433">
        <f>M101+O101+P101+Q101+R101+S101+T101+U101+V101+W101</f>
        <v>7807613</v>
      </c>
      <c r="E101" s="440">
        <v>0</v>
      </c>
      <c r="F101" s="441"/>
      <c r="G101" s="440"/>
      <c r="H101" s="478"/>
      <c r="I101" s="478">
        <f>171196-346</f>
        <v>170850</v>
      </c>
      <c r="J101" s="478">
        <f>6032714-461</f>
        <v>6032253</v>
      </c>
      <c r="K101" s="478">
        <v>1604510</v>
      </c>
      <c r="L101" s="441">
        <v>0</v>
      </c>
      <c r="M101" s="434">
        <f>+E101+I101+J101+K101+L101+N101</f>
        <v>7807613</v>
      </c>
      <c r="N101" s="441">
        <v>0</v>
      </c>
      <c r="O101" s="441">
        <v>0</v>
      </c>
      <c r="P101" s="441">
        <v>0</v>
      </c>
      <c r="Q101" s="441"/>
      <c r="R101" s="441"/>
      <c r="S101" s="441"/>
      <c r="T101" s="441"/>
      <c r="U101" s="441"/>
      <c r="V101" s="441"/>
      <c r="W101" s="441"/>
      <c r="X101" s="393">
        <f>SUM(P101:T101)</f>
        <v>0</v>
      </c>
      <c r="Y101" s="2641"/>
    </row>
    <row r="102" spans="1:29" s="862" customFormat="1" ht="12" customHeight="1">
      <c r="A102" s="2665"/>
      <c r="B102" s="442" t="s">
        <v>30</v>
      </c>
      <c r="C102" s="2595"/>
      <c r="D102" s="443">
        <f t="shared" ref="D102:P102" si="79">+D103+D104</f>
        <v>7807613</v>
      </c>
      <c r="E102" s="443">
        <f t="shared" si="79"/>
        <v>0</v>
      </c>
      <c r="F102" s="443">
        <f t="shared" si="79"/>
        <v>0</v>
      </c>
      <c r="G102" s="443">
        <f t="shared" si="79"/>
        <v>0</v>
      </c>
      <c r="H102" s="443">
        <f t="shared" si="79"/>
        <v>0</v>
      </c>
      <c r="I102" s="443">
        <f t="shared" si="79"/>
        <v>170850</v>
      </c>
      <c r="J102" s="443">
        <f t="shared" si="79"/>
        <v>2483963</v>
      </c>
      <c r="K102" s="443">
        <f t="shared" si="79"/>
        <v>5152800</v>
      </c>
      <c r="L102" s="443">
        <f t="shared" si="79"/>
        <v>0</v>
      </c>
      <c r="M102" s="443">
        <f t="shared" si="79"/>
        <v>7807613</v>
      </c>
      <c r="N102" s="443">
        <f t="shared" si="79"/>
        <v>0</v>
      </c>
      <c r="O102" s="443">
        <f t="shared" si="79"/>
        <v>0</v>
      </c>
      <c r="P102" s="443">
        <f t="shared" si="79"/>
        <v>0</v>
      </c>
      <c r="Q102" s="443"/>
      <c r="R102" s="443"/>
      <c r="S102" s="443"/>
      <c r="T102" s="443"/>
      <c r="U102" s="443"/>
      <c r="V102" s="443"/>
      <c r="W102" s="443"/>
      <c r="X102" s="486">
        <f>+X103+X104</f>
        <v>0</v>
      </c>
      <c r="Y102" s="2641"/>
    </row>
    <row r="103" spans="1:29" s="862" customFormat="1" ht="12" hidden="1" customHeight="1">
      <c r="A103" s="2665"/>
      <c r="B103" s="487" t="s">
        <v>29</v>
      </c>
      <c r="C103" s="2595"/>
      <c r="D103" s="451">
        <f>+E103+I103+J103+K103+L103</f>
        <v>0</v>
      </c>
      <c r="E103" s="440">
        <v>0</v>
      </c>
      <c r="F103" s="441"/>
      <c r="G103" s="440"/>
      <c r="H103" s="478"/>
      <c r="I103" s="478">
        <v>0</v>
      </c>
      <c r="J103" s="478">
        <v>0</v>
      </c>
      <c r="K103" s="440">
        <v>0</v>
      </c>
      <c r="L103" s="440">
        <v>0</v>
      </c>
      <c r="M103" s="440"/>
      <c r="N103" s="440">
        <v>0</v>
      </c>
      <c r="O103" s="440">
        <v>0</v>
      </c>
      <c r="P103" s="441">
        <v>0</v>
      </c>
      <c r="Q103" s="441"/>
      <c r="R103" s="441"/>
      <c r="S103" s="441"/>
      <c r="T103" s="441"/>
      <c r="U103" s="741"/>
      <c r="V103" s="741"/>
      <c r="W103" s="741"/>
      <c r="X103" s="470"/>
      <c r="Y103" s="2641"/>
    </row>
    <row r="104" spans="1:29" s="862" customFormat="1" ht="12" customHeight="1">
      <c r="A104" s="2665"/>
      <c r="B104" s="487" t="s">
        <v>33</v>
      </c>
      <c r="C104" s="2662"/>
      <c r="D104" s="433">
        <f>M104+O104+P104+Q104+R104+S104+T104+U104+V104+W104</f>
        <v>7807613</v>
      </c>
      <c r="E104" s="440">
        <v>0</v>
      </c>
      <c r="F104" s="441"/>
      <c r="G104" s="440"/>
      <c r="H104" s="478"/>
      <c r="I104" s="478">
        <f>171196-346</f>
        <v>170850</v>
      </c>
      <c r="J104" s="478">
        <f>2484424-461</f>
        <v>2483963</v>
      </c>
      <c r="K104" s="440">
        <v>5152800</v>
      </c>
      <c r="L104" s="440">
        <v>0</v>
      </c>
      <c r="M104" s="434">
        <f>+E104+I104+J104+K104+L104+N104</f>
        <v>7807613</v>
      </c>
      <c r="N104" s="440">
        <v>0</v>
      </c>
      <c r="O104" s="440">
        <v>0</v>
      </c>
      <c r="P104" s="441">
        <v>0</v>
      </c>
      <c r="Q104" s="441"/>
      <c r="R104" s="441"/>
      <c r="S104" s="441"/>
      <c r="T104" s="441"/>
      <c r="U104" s="441"/>
      <c r="V104" s="441"/>
      <c r="W104" s="441"/>
      <c r="X104" s="393">
        <f>SUM(P104:T104)</f>
        <v>0</v>
      </c>
      <c r="Y104" s="2642"/>
    </row>
    <row r="105" spans="1:29" s="862" customFormat="1" ht="12" customHeight="1">
      <c r="A105" s="2665"/>
      <c r="B105" s="501" t="s">
        <v>34</v>
      </c>
      <c r="C105" s="359"/>
      <c r="D105" s="448">
        <f t="shared" ref="D105:P105" si="80">+D108+D106</f>
        <v>15615226</v>
      </c>
      <c r="E105" s="448">
        <f t="shared" si="80"/>
        <v>0</v>
      </c>
      <c r="F105" s="448">
        <f t="shared" si="80"/>
        <v>0</v>
      </c>
      <c r="G105" s="448">
        <f t="shared" si="80"/>
        <v>0</v>
      </c>
      <c r="H105" s="448">
        <f t="shared" si="80"/>
        <v>0</v>
      </c>
      <c r="I105" s="448">
        <f t="shared" si="80"/>
        <v>0</v>
      </c>
      <c r="J105" s="448">
        <f t="shared" si="80"/>
        <v>5723800</v>
      </c>
      <c r="K105" s="448">
        <f t="shared" si="80"/>
        <v>9043098</v>
      </c>
      <c r="L105" s="448">
        <f t="shared" si="80"/>
        <v>848328</v>
      </c>
      <c r="M105" s="448">
        <f>+M108+M106</f>
        <v>15615226</v>
      </c>
      <c r="N105" s="448">
        <f t="shared" si="80"/>
        <v>0</v>
      </c>
      <c r="O105" s="448">
        <f t="shared" si="80"/>
        <v>0</v>
      </c>
      <c r="P105" s="448">
        <f t="shared" si="80"/>
        <v>0</v>
      </c>
      <c r="Q105" s="448"/>
      <c r="R105" s="448"/>
      <c r="S105" s="448"/>
      <c r="T105" s="448"/>
      <c r="U105" s="1016"/>
      <c r="V105" s="1016"/>
      <c r="W105" s="1016"/>
      <c r="X105" s="2659" t="s">
        <v>35</v>
      </c>
      <c r="Y105" s="2605" t="s">
        <v>304</v>
      </c>
      <c r="Z105" s="861">
        <f>D105-'[2]Tab. 6A -Drogi'!$D$105</f>
        <v>0</v>
      </c>
    </row>
    <row r="106" spans="1:29" s="862" customFormat="1" ht="12" customHeight="1">
      <c r="A106" s="2665"/>
      <c r="B106" s="429" t="s">
        <v>36</v>
      </c>
      <c r="C106" s="2602" t="s">
        <v>101</v>
      </c>
      <c r="D106" s="443">
        <f t="shared" ref="D106:P106" si="81">+D107</f>
        <v>7807613</v>
      </c>
      <c r="E106" s="443">
        <f t="shared" si="81"/>
        <v>0</v>
      </c>
      <c r="F106" s="443">
        <f t="shared" si="81"/>
        <v>0</v>
      </c>
      <c r="G106" s="443">
        <f t="shared" si="81"/>
        <v>0</v>
      </c>
      <c r="H106" s="443">
        <f t="shared" si="81"/>
        <v>0</v>
      </c>
      <c r="I106" s="443">
        <f t="shared" si="81"/>
        <v>0</v>
      </c>
      <c r="J106" s="443">
        <f t="shared" si="81"/>
        <v>3068526</v>
      </c>
      <c r="K106" s="443">
        <f t="shared" si="81"/>
        <v>4314923</v>
      </c>
      <c r="L106" s="443">
        <f t="shared" si="81"/>
        <v>424164</v>
      </c>
      <c r="M106" s="443">
        <f t="shared" si="81"/>
        <v>7807613</v>
      </c>
      <c r="N106" s="443">
        <f t="shared" si="81"/>
        <v>0</v>
      </c>
      <c r="O106" s="443">
        <f t="shared" si="81"/>
        <v>0</v>
      </c>
      <c r="P106" s="443">
        <f t="shared" si="81"/>
        <v>0</v>
      </c>
      <c r="Q106" s="443"/>
      <c r="R106" s="443"/>
      <c r="S106" s="443"/>
      <c r="T106" s="443"/>
      <c r="U106" s="443"/>
      <c r="V106" s="443"/>
      <c r="W106" s="443"/>
      <c r="X106" s="2646"/>
      <c r="Y106" s="2606"/>
    </row>
    <row r="107" spans="1:29" s="862" customFormat="1" ht="12" customHeight="1">
      <c r="A107" s="2665"/>
      <c r="B107" s="468" t="s">
        <v>29</v>
      </c>
      <c r="C107" s="2595"/>
      <c r="D107" s="433">
        <f>M107+O107+P107+Q107+R107+S107+T107+U107+V107+W107</f>
        <v>7807613</v>
      </c>
      <c r="E107" s="450">
        <f>+F107+G107+H107</f>
        <v>0</v>
      </c>
      <c r="F107" s="450">
        <v>0</v>
      </c>
      <c r="G107" s="450">
        <v>0</v>
      </c>
      <c r="H107" s="450">
        <v>0</v>
      </c>
      <c r="I107" s="450">
        <v>0</v>
      </c>
      <c r="J107" s="450">
        <f>3073867-5341</f>
        <v>3068526</v>
      </c>
      <c r="K107" s="450">
        <v>4314923</v>
      </c>
      <c r="L107" s="450">
        <f>424625-461</f>
        <v>424164</v>
      </c>
      <c r="M107" s="434">
        <f>+E107+I107+J107+K107+L107+N107</f>
        <v>7807613</v>
      </c>
      <c r="N107" s="450">
        <v>0</v>
      </c>
      <c r="O107" s="450">
        <v>0</v>
      </c>
      <c r="P107" s="451">
        <v>0</v>
      </c>
      <c r="Q107" s="451"/>
      <c r="R107" s="451"/>
      <c r="S107" s="451"/>
      <c r="T107" s="443"/>
      <c r="U107" s="443"/>
      <c r="V107" s="443"/>
      <c r="W107" s="443"/>
      <c r="X107" s="2646"/>
      <c r="Y107" s="2606"/>
    </row>
    <row r="108" spans="1:29" s="862" customFormat="1" ht="12" customHeight="1">
      <c r="A108" s="2665"/>
      <c r="B108" s="502" t="s">
        <v>30</v>
      </c>
      <c r="C108" s="2595"/>
      <c r="D108" s="495">
        <f t="shared" ref="D108:P108" si="82">+D109+D110</f>
        <v>7807613</v>
      </c>
      <c r="E108" s="495">
        <f t="shared" si="82"/>
        <v>0</v>
      </c>
      <c r="F108" s="495">
        <f t="shared" si="82"/>
        <v>0</v>
      </c>
      <c r="G108" s="495">
        <f t="shared" si="82"/>
        <v>0</v>
      </c>
      <c r="H108" s="495">
        <f t="shared" si="82"/>
        <v>0</v>
      </c>
      <c r="I108" s="495">
        <f t="shared" si="82"/>
        <v>0</v>
      </c>
      <c r="J108" s="495">
        <f t="shared" si="82"/>
        <v>2655274</v>
      </c>
      <c r="K108" s="495">
        <f t="shared" si="82"/>
        <v>4728175</v>
      </c>
      <c r="L108" s="495">
        <f t="shared" si="82"/>
        <v>424164</v>
      </c>
      <c r="M108" s="495">
        <f t="shared" si="82"/>
        <v>7807613</v>
      </c>
      <c r="N108" s="495">
        <f t="shared" si="82"/>
        <v>0</v>
      </c>
      <c r="O108" s="495">
        <f t="shared" si="82"/>
        <v>0</v>
      </c>
      <c r="P108" s="503">
        <f t="shared" si="82"/>
        <v>0</v>
      </c>
      <c r="Q108" s="503"/>
      <c r="R108" s="503"/>
      <c r="S108" s="503"/>
      <c r="T108" s="451"/>
      <c r="U108" s="451"/>
      <c r="V108" s="451"/>
      <c r="W108" s="451"/>
      <c r="X108" s="2646"/>
      <c r="Y108" s="2606"/>
    </row>
    <row r="109" spans="1:29" s="862" customFormat="1" ht="12" hidden="1" customHeight="1">
      <c r="A109" s="2665"/>
      <c r="B109" s="487" t="s">
        <v>29</v>
      </c>
      <c r="C109" s="2595"/>
      <c r="D109" s="451">
        <f>+E109+I109+J109+K109+L109</f>
        <v>0</v>
      </c>
      <c r="E109" s="450">
        <f>+F109+G109+H109</f>
        <v>0</v>
      </c>
      <c r="F109" s="450">
        <v>0</v>
      </c>
      <c r="G109" s="450">
        <v>0</v>
      </c>
      <c r="H109" s="450">
        <v>0</v>
      </c>
      <c r="I109" s="450">
        <v>0</v>
      </c>
      <c r="J109" s="450">
        <v>0</v>
      </c>
      <c r="K109" s="450">
        <v>0</v>
      </c>
      <c r="L109" s="450">
        <v>0</v>
      </c>
      <c r="M109" s="450"/>
      <c r="N109" s="450">
        <v>0</v>
      </c>
      <c r="O109" s="450">
        <v>0</v>
      </c>
      <c r="P109" s="451">
        <v>0</v>
      </c>
      <c r="Q109" s="451"/>
      <c r="R109" s="451"/>
      <c r="S109" s="451"/>
      <c r="T109" s="503"/>
      <c r="U109" s="503"/>
      <c r="V109" s="503"/>
      <c r="W109" s="503"/>
      <c r="X109" s="2646"/>
      <c r="Y109" s="2606"/>
    </row>
    <row r="110" spans="1:29" s="862" customFormat="1" ht="13.5" thickBot="1">
      <c r="A110" s="2666"/>
      <c r="B110" s="505" t="s">
        <v>33</v>
      </c>
      <c r="C110" s="2596"/>
      <c r="D110" s="433">
        <f>M110+O110+P110+Q110+R110+S110+T110+U110+V110+W110</f>
        <v>7807613</v>
      </c>
      <c r="E110" s="453">
        <v>0</v>
      </c>
      <c r="F110" s="453"/>
      <c r="G110" s="453"/>
      <c r="H110" s="453"/>
      <c r="I110" s="453">
        <v>0</v>
      </c>
      <c r="J110" s="453">
        <v>2655274</v>
      </c>
      <c r="K110" s="453">
        <v>4728175</v>
      </c>
      <c r="L110" s="453">
        <f>424625-461</f>
        <v>424164</v>
      </c>
      <c r="M110" s="434">
        <f>+E110+I110+J110+K110+L110+N110</f>
        <v>7807613</v>
      </c>
      <c r="N110" s="453">
        <v>0</v>
      </c>
      <c r="O110" s="453">
        <v>0</v>
      </c>
      <c r="P110" s="480">
        <v>0</v>
      </c>
      <c r="Q110" s="480"/>
      <c r="R110" s="480"/>
      <c r="S110" s="480"/>
      <c r="T110" s="451"/>
      <c r="U110" s="451"/>
      <c r="V110" s="451"/>
      <c r="W110" s="451"/>
      <c r="X110" s="2647"/>
      <c r="Y110" s="2607"/>
    </row>
    <row r="111" spans="1:29" s="862" customFormat="1" ht="25.5" customHeight="1">
      <c r="A111" s="2597" t="s">
        <v>81</v>
      </c>
      <c r="B111" s="477" t="s">
        <v>529</v>
      </c>
      <c r="C111" s="457" t="s">
        <v>97</v>
      </c>
      <c r="D111" s="458"/>
      <c r="E111" s="460"/>
      <c r="F111" s="459"/>
      <c r="G111" s="459"/>
      <c r="H111" s="460"/>
      <c r="I111" s="421"/>
      <c r="J111" s="420"/>
      <c r="K111" s="420"/>
      <c r="L111" s="421"/>
      <c r="M111" s="421"/>
      <c r="N111" s="420"/>
      <c r="O111" s="420"/>
      <c r="P111" s="420"/>
      <c r="Q111" s="420"/>
      <c r="R111" s="420"/>
      <c r="S111" s="800"/>
      <c r="T111" s="421"/>
      <c r="U111" s="800"/>
      <c r="V111" s="800"/>
      <c r="W111" s="800"/>
      <c r="X111" s="461"/>
      <c r="Y111" s="424" t="s">
        <v>98</v>
      </c>
      <c r="AC111" s="863"/>
    </row>
    <row r="112" spans="1:29" s="862" customFormat="1" ht="13.5" customHeight="1">
      <c r="A112" s="2598"/>
      <c r="B112" s="489" t="s">
        <v>22</v>
      </c>
      <c r="C112" s="359"/>
      <c r="D112" s="462">
        <f>+D113+D116</f>
        <v>43721404</v>
      </c>
      <c r="E112" s="462">
        <f>+E113+E116</f>
        <v>123795</v>
      </c>
      <c r="F112" s="462">
        <f t="shared" ref="F112:P112" si="83">+F113+F116</f>
        <v>32804</v>
      </c>
      <c r="G112" s="462">
        <f t="shared" si="83"/>
        <v>90000</v>
      </c>
      <c r="H112" s="462">
        <f t="shared" si="83"/>
        <v>991</v>
      </c>
      <c r="I112" s="462">
        <f t="shared" si="83"/>
        <v>0</v>
      </c>
      <c r="J112" s="462">
        <f t="shared" si="83"/>
        <v>64525</v>
      </c>
      <c r="K112" s="462">
        <f t="shared" si="83"/>
        <v>348320</v>
      </c>
      <c r="L112" s="462">
        <f t="shared" si="83"/>
        <v>23596094</v>
      </c>
      <c r="M112" s="462">
        <f>+M113+M116</f>
        <v>43214290</v>
      </c>
      <c r="N112" s="462">
        <f t="shared" si="83"/>
        <v>19081556</v>
      </c>
      <c r="O112" s="462">
        <f t="shared" si="83"/>
        <v>107114</v>
      </c>
      <c r="P112" s="462">
        <f t="shared" si="83"/>
        <v>26956</v>
      </c>
      <c r="Q112" s="462">
        <f>+Q113+Q116</f>
        <v>373044</v>
      </c>
      <c r="R112" s="462"/>
      <c r="S112" s="462"/>
      <c r="T112" s="462"/>
      <c r="U112" s="462"/>
      <c r="V112" s="462"/>
      <c r="W112" s="462"/>
      <c r="X112" s="464">
        <f>+X113+X116</f>
        <v>400000</v>
      </c>
      <c r="Y112" s="2641" t="s">
        <v>99</v>
      </c>
      <c r="Z112" s="861"/>
      <c r="AA112" s="861"/>
      <c r="AB112" s="861"/>
      <c r="AC112" s="861"/>
    </row>
    <row r="113" spans="1:26" s="862" customFormat="1" ht="12" customHeight="1">
      <c r="A113" s="2598"/>
      <c r="B113" s="512" t="s">
        <v>36</v>
      </c>
      <c r="C113" s="2602" t="s">
        <v>100</v>
      </c>
      <c r="D113" s="465">
        <f>+D114+D115</f>
        <v>4650557</v>
      </c>
      <c r="E113" s="465">
        <f t="shared" ref="E113:P113" si="84">+E114+E115</f>
        <v>122887</v>
      </c>
      <c r="F113" s="465">
        <f>+F114+F115</f>
        <v>32804</v>
      </c>
      <c r="G113" s="465">
        <f t="shared" si="84"/>
        <v>90000</v>
      </c>
      <c r="H113" s="465">
        <f t="shared" si="84"/>
        <v>83</v>
      </c>
      <c r="I113" s="465">
        <f t="shared" si="84"/>
        <v>0</v>
      </c>
      <c r="J113" s="465">
        <f t="shared" si="84"/>
        <v>29956</v>
      </c>
      <c r="K113" s="465">
        <f t="shared" si="84"/>
        <v>214004</v>
      </c>
      <c r="L113" s="465">
        <f t="shared" si="84"/>
        <v>2147726</v>
      </c>
      <c r="M113" s="465">
        <f>+M114+M115</f>
        <v>4176598</v>
      </c>
      <c r="N113" s="465">
        <f t="shared" si="84"/>
        <v>1662025</v>
      </c>
      <c r="O113" s="465">
        <f t="shared" si="84"/>
        <v>73959</v>
      </c>
      <c r="P113" s="465">
        <f t="shared" si="84"/>
        <v>26956</v>
      </c>
      <c r="Q113" s="465">
        <f>+Q114+Q115</f>
        <v>373044</v>
      </c>
      <c r="R113" s="465"/>
      <c r="S113" s="465"/>
      <c r="T113" s="465"/>
      <c r="U113" s="465"/>
      <c r="V113" s="465"/>
      <c r="W113" s="465"/>
      <c r="X113" s="466">
        <f>+X114+X115</f>
        <v>400000</v>
      </c>
      <c r="Y113" s="2641"/>
    </row>
    <row r="114" spans="1:26" s="862" customFormat="1" ht="12" customHeight="1">
      <c r="A114" s="2598"/>
      <c r="B114" s="487" t="s">
        <v>24</v>
      </c>
      <c r="C114" s="2595"/>
      <c r="D114" s="433">
        <f>M114+O114+P114+Q114+R114+S114+T114+U114+V114+W114</f>
        <v>1078489</v>
      </c>
      <c r="E114" s="440">
        <f>SUM(F114:H114)</f>
        <v>122804</v>
      </c>
      <c r="F114" s="441">
        <v>32804</v>
      </c>
      <c r="G114" s="513">
        <f>37373+52627</f>
        <v>90000</v>
      </c>
      <c r="H114" s="478">
        <v>0</v>
      </c>
      <c r="I114" s="514">
        <v>0</v>
      </c>
      <c r="J114" s="478">
        <v>26795</v>
      </c>
      <c r="K114" s="478">
        <v>201724</v>
      </c>
      <c r="L114" s="514">
        <f>569196-394091+11695</f>
        <v>186800</v>
      </c>
      <c r="M114" s="434">
        <f>+E114+I114+J114+K114+L114+N114</f>
        <v>607561</v>
      </c>
      <c r="N114" s="514">
        <f>11682038-350000-44502+1878075-1251700+2734240+1522270-9727593-252893+2958342-1085184-1071136-332514-1172002-5436883+18880</f>
        <v>69438</v>
      </c>
      <c r="O114" s="514">
        <f>607727+141130-360710-252813-64406</f>
        <v>70928</v>
      </c>
      <c r="P114" s="514">
        <f>400000-200000-173044</f>
        <v>26956</v>
      </c>
      <c r="Q114" s="514">
        <f>200000+173044</f>
        <v>373044</v>
      </c>
      <c r="R114" s="441"/>
      <c r="S114" s="441"/>
      <c r="T114" s="441"/>
      <c r="U114" s="441"/>
      <c r="V114" s="441"/>
      <c r="W114" s="441"/>
      <c r="X114" s="393">
        <f>SUM(P114:T114)</f>
        <v>400000</v>
      </c>
      <c r="Y114" s="2641"/>
    </row>
    <row r="115" spans="1:26" s="862" customFormat="1" ht="12" customHeight="1">
      <c r="A115" s="2598"/>
      <c r="B115" s="487" t="s">
        <v>29</v>
      </c>
      <c r="C115" s="2595"/>
      <c r="D115" s="433">
        <f>M115+O115+P115+Q115+R115+S115+T115+U115+V115+W115</f>
        <v>3572068</v>
      </c>
      <c r="E115" s="440">
        <f>SUM(F115:H115)</f>
        <v>83</v>
      </c>
      <c r="F115" s="441"/>
      <c r="G115" s="513">
        <f>4408-4408</f>
        <v>0</v>
      </c>
      <c r="H115" s="514">
        <v>83</v>
      </c>
      <c r="I115" s="514">
        <v>0</v>
      </c>
      <c r="J115" s="514">
        <v>3161</v>
      </c>
      <c r="K115" s="514">
        <v>12280</v>
      </c>
      <c r="L115" s="514">
        <f>1961906-980</f>
        <v>1960926</v>
      </c>
      <c r="M115" s="434">
        <f>+E115+I115+J115+K115+L115+N115</f>
        <v>3569037</v>
      </c>
      <c r="N115" s="441">
        <f>982154+1925+11925+228580+233248-12123-155430+25377-7406+285919-1582</f>
        <v>1592587</v>
      </c>
      <c r="O115" s="441">
        <f>13517-9987-499</f>
        <v>3031</v>
      </c>
      <c r="P115" s="441">
        <v>0</v>
      </c>
      <c r="Q115" s="441"/>
      <c r="R115" s="441"/>
      <c r="S115" s="441"/>
      <c r="T115" s="441"/>
      <c r="U115" s="441"/>
      <c r="V115" s="441"/>
      <c r="W115" s="441"/>
      <c r="X115" s="393">
        <f>SUM(P115:T115)</f>
        <v>0</v>
      </c>
      <c r="Y115" s="2641"/>
    </row>
    <row r="116" spans="1:26" s="862" customFormat="1" ht="12" customHeight="1">
      <c r="A116" s="2598"/>
      <c r="B116" s="488" t="s">
        <v>30</v>
      </c>
      <c r="C116" s="2595"/>
      <c r="D116" s="443">
        <f>+D117</f>
        <v>39070847</v>
      </c>
      <c r="E116" s="443">
        <f t="shared" ref="E116:P116" si="85">+E117</f>
        <v>908</v>
      </c>
      <c r="F116" s="443">
        <f t="shared" si="85"/>
        <v>0</v>
      </c>
      <c r="G116" s="515">
        <f t="shared" si="85"/>
        <v>0</v>
      </c>
      <c r="H116" s="443">
        <f t="shared" si="85"/>
        <v>908</v>
      </c>
      <c r="I116" s="443">
        <f t="shared" si="85"/>
        <v>0</v>
      </c>
      <c r="J116" s="443">
        <f>+J117</f>
        <v>34569</v>
      </c>
      <c r="K116" s="443">
        <f t="shared" si="85"/>
        <v>134316</v>
      </c>
      <c r="L116" s="443">
        <f t="shared" si="85"/>
        <v>21448368</v>
      </c>
      <c r="M116" s="443">
        <f t="shared" si="85"/>
        <v>39037692</v>
      </c>
      <c r="N116" s="443">
        <f t="shared" si="85"/>
        <v>17419531</v>
      </c>
      <c r="O116" s="443">
        <f t="shared" si="85"/>
        <v>33155</v>
      </c>
      <c r="P116" s="443">
        <f t="shared" si="85"/>
        <v>0</v>
      </c>
      <c r="Q116" s="443"/>
      <c r="R116" s="443"/>
      <c r="S116" s="443"/>
      <c r="T116" s="443"/>
      <c r="U116" s="443"/>
      <c r="V116" s="443"/>
      <c r="W116" s="443"/>
      <c r="X116" s="466">
        <f>+X117</f>
        <v>0</v>
      </c>
      <c r="Y116" s="2641"/>
    </row>
    <row r="117" spans="1:26" s="862" customFormat="1" ht="12" customHeight="1">
      <c r="A117" s="2598"/>
      <c r="B117" s="487" t="s">
        <v>33</v>
      </c>
      <c r="C117" s="884"/>
      <c r="D117" s="1060">
        <f>M117+O117+P117+Q117+R117+S117+T117+U117+V117+W117</f>
        <v>39070847</v>
      </c>
      <c r="E117" s="440">
        <f>SUM(F117:H117)</f>
        <v>908</v>
      </c>
      <c r="F117" s="441">
        <v>0</v>
      </c>
      <c r="G117" s="516">
        <f>48219-48219</f>
        <v>0</v>
      </c>
      <c r="H117" s="478">
        <v>908</v>
      </c>
      <c r="I117" s="478">
        <v>0</v>
      </c>
      <c r="J117" s="478">
        <v>34569</v>
      </c>
      <c r="K117" s="478">
        <v>134316</v>
      </c>
      <c r="L117" s="441">
        <f>21459083-10715</f>
        <v>21448368</v>
      </c>
      <c r="M117" s="434">
        <f>+E117+I117+J117+K117+L117+N117</f>
        <v>39037692</v>
      </c>
      <c r="N117" s="441">
        <f>5115033+42577-1878075+1239775+1037180+1824245+9752343+252893-1802912+559807+287542+332514+673907-17298</f>
        <v>17419531</v>
      </c>
      <c r="O117" s="441">
        <f>169756-131143-5458</f>
        <v>33155</v>
      </c>
      <c r="P117" s="441">
        <v>0</v>
      </c>
      <c r="Q117" s="441"/>
      <c r="R117" s="441"/>
      <c r="S117" s="441"/>
      <c r="T117" s="441"/>
      <c r="U117" s="441"/>
      <c r="V117" s="441"/>
      <c r="W117" s="441"/>
      <c r="X117" s="393">
        <f>SUM(P117:T117)</f>
        <v>0</v>
      </c>
      <c r="Y117" s="2642"/>
    </row>
    <row r="118" spans="1:26" s="862" customFormat="1" ht="12" customHeight="1">
      <c r="A118" s="2598"/>
      <c r="B118" s="695" t="s">
        <v>34</v>
      </c>
      <c r="C118" s="522"/>
      <c r="D118" s="523">
        <f t="shared" ref="D118:P118" si="86">+D121+D119</f>
        <v>42642915</v>
      </c>
      <c r="E118" s="523">
        <f t="shared" si="86"/>
        <v>0</v>
      </c>
      <c r="F118" s="523">
        <f t="shared" si="86"/>
        <v>0</v>
      </c>
      <c r="G118" s="523">
        <f t="shared" si="86"/>
        <v>0</v>
      </c>
      <c r="H118" s="523">
        <f t="shared" si="86"/>
        <v>0</v>
      </c>
      <c r="I118" s="523">
        <f t="shared" si="86"/>
        <v>0</v>
      </c>
      <c r="J118" s="523">
        <f t="shared" si="86"/>
        <v>0</v>
      </c>
      <c r="K118" s="523">
        <f t="shared" si="86"/>
        <v>0</v>
      </c>
      <c r="L118" s="523">
        <f t="shared" si="86"/>
        <v>0</v>
      </c>
      <c r="M118" s="523">
        <f>+M121+M119</f>
        <v>38151329</v>
      </c>
      <c r="N118" s="523">
        <f t="shared" si="86"/>
        <v>38151329</v>
      </c>
      <c r="O118" s="523">
        <f t="shared" si="86"/>
        <v>4491586</v>
      </c>
      <c r="P118" s="523">
        <f t="shared" si="86"/>
        <v>0</v>
      </c>
      <c r="Q118" s="523"/>
      <c r="R118" s="523"/>
      <c r="S118" s="523"/>
      <c r="T118" s="523"/>
      <c r="U118" s="523"/>
      <c r="V118" s="523"/>
      <c r="W118" s="523"/>
      <c r="X118" s="2646" t="s">
        <v>35</v>
      </c>
      <c r="Y118" s="2663" t="s">
        <v>304</v>
      </c>
      <c r="Z118" s="861"/>
    </row>
    <row r="119" spans="1:26" s="862" customFormat="1" ht="12" customHeight="1">
      <c r="A119" s="2598"/>
      <c r="B119" s="484" t="s">
        <v>36</v>
      </c>
      <c r="C119" s="2602" t="s">
        <v>101</v>
      </c>
      <c r="D119" s="443">
        <f t="shared" ref="D119:P119" si="87">+D120</f>
        <v>3572068</v>
      </c>
      <c r="E119" s="443">
        <f t="shared" si="87"/>
        <v>0</v>
      </c>
      <c r="F119" s="443">
        <f t="shared" si="87"/>
        <v>0</v>
      </c>
      <c r="G119" s="443">
        <f t="shared" si="87"/>
        <v>0</v>
      </c>
      <c r="H119" s="443">
        <f t="shared" si="87"/>
        <v>0</v>
      </c>
      <c r="I119" s="443">
        <f t="shared" si="87"/>
        <v>0</v>
      </c>
      <c r="J119" s="443">
        <f t="shared" si="87"/>
        <v>0</v>
      </c>
      <c r="K119" s="443">
        <f t="shared" si="87"/>
        <v>0</v>
      </c>
      <c r="L119" s="443">
        <f t="shared" si="87"/>
        <v>0</v>
      </c>
      <c r="M119" s="443">
        <f t="shared" si="87"/>
        <v>2875044</v>
      </c>
      <c r="N119" s="443">
        <f t="shared" si="87"/>
        <v>2875044</v>
      </c>
      <c r="O119" s="443">
        <f t="shared" si="87"/>
        <v>697024</v>
      </c>
      <c r="P119" s="443">
        <f t="shared" si="87"/>
        <v>0</v>
      </c>
      <c r="Q119" s="443"/>
      <c r="R119" s="443"/>
      <c r="S119" s="443"/>
      <c r="T119" s="443"/>
      <c r="U119" s="443"/>
      <c r="V119" s="443"/>
      <c r="W119" s="443"/>
      <c r="X119" s="2646"/>
      <c r="Y119" s="2641"/>
    </row>
    <row r="120" spans="1:26" s="862" customFormat="1" ht="12" customHeight="1">
      <c r="A120" s="2598"/>
      <c r="B120" s="468" t="s">
        <v>29</v>
      </c>
      <c r="C120" s="2595"/>
      <c r="D120" s="433">
        <f>M120+O120+P120+Q120+R120+S120+T120+U120+V120+W120</f>
        <v>3572068</v>
      </c>
      <c r="E120" s="450">
        <f>+F120+G120+H120</f>
        <v>0</v>
      </c>
      <c r="F120" s="450">
        <v>0</v>
      </c>
      <c r="G120" s="450">
        <v>0</v>
      </c>
      <c r="H120" s="450">
        <v>0</v>
      </c>
      <c r="I120" s="450">
        <v>0</v>
      </c>
      <c r="J120" s="450"/>
      <c r="K120" s="450"/>
      <c r="L120" s="450">
        <f>1127582+26462-251100-902944</f>
        <v>0</v>
      </c>
      <c r="M120" s="434">
        <f>+E120+I120+J120+K120+L120+N120</f>
        <v>2875044</v>
      </c>
      <c r="N120" s="450">
        <f>1701861-26462+251100+902944+28680+2812-105495+119604</f>
        <v>2875044</v>
      </c>
      <c r="O120" s="450">
        <f>158254+7110-119604+658733-499-911-6059</f>
        <v>697024</v>
      </c>
      <c r="P120" s="451">
        <f>911-911</f>
        <v>0</v>
      </c>
      <c r="Q120" s="451"/>
      <c r="R120" s="451"/>
      <c r="S120" s="451"/>
      <c r="T120" s="451"/>
      <c r="U120" s="451"/>
      <c r="V120" s="451"/>
      <c r="W120" s="451"/>
      <c r="X120" s="2646"/>
      <c r="Y120" s="2641"/>
    </row>
    <row r="121" spans="1:26" s="862" customFormat="1" ht="12" customHeight="1">
      <c r="A121" s="2598"/>
      <c r="B121" s="488" t="s">
        <v>30</v>
      </c>
      <c r="C121" s="2595"/>
      <c r="D121" s="495">
        <f>+D122</f>
        <v>39070847</v>
      </c>
      <c r="E121" s="495">
        <f t="shared" ref="E121:P121" si="88">+E122</f>
        <v>0</v>
      </c>
      <c r="F121" s="495">
        <f t="shared" si="88"/>
        <v>0</v>
      </c>
      <c r="G121" s="495">
        <f t="shared" si="88"/>
        <v>0</v>
      </c>
      <c r="H121" s="495">
        <f t="shared" si="88"/>
        <v>0</v>
      </c>
      <c r="I121" s="495">
        <f t="shared" si="88"/>
        <v>0</v>
      </c>
      <c r="J121" s="495">
        <f t="shared" si="88"/>
        <v>0</v>
      </c>
      <c r="K121" s="495">
        <f t="shared" si="88"/>
        <v>0</v>
      </c>
      <c r="L121" s="495">
        <f t="shared" si="88"/>
        <v>0</v>
      </c>
      <c r="M121" s="495">
        <f t="shared" si="88"/>
        <v>35276285</v>
      </c>
      <c r="N121" s="495">
        <f t="shared" si="88"/>
        <v>35276285</v>
      </c>
      <c r="O121" s="495">
        <f t="shared" si="88"/>
        <v>3794562</v>
      </c>
      <c r="P121" s="495">
        <f t="shared" si="88"/>
        <v>0</v>
      </c>
      <c r="Q121" s="495"/>
      <c r="R121" s="495"/>
      <c r="S121" s="495"/>
      <c r="T121" s="495"/>
      <c r="U121" s="495"/>
      <c r="V121" s="495"/>
      <c r="W121" s="495"/>
      <c r="X121" s="2646"/>
      <c r="Y121" s="2641"/>
    </row>
    <row r="122" spans="1:26" s="862" customFormat="1" ht="12" customHeight="1" thickBot="1">
      <c r="A122" s="2654"/>
      <c r="B122" s="496" t="s">
        <v>33</v>
      </c>
      <c r="C122" s="2596"/>
      <c r="D122" s="1064">
        <f>M122+O122+P122+Q122+R122+S122+T122+U122+V122+W122</f>
        <v>39070847</v>
      </c>
      <c r="E122" s="475">
        <f>+F122+G122+H122</f>
        <v>0</v>
      </c>
      <c r="F122" s="517">
        <v>0</v>
      </c>
      <c r="G122" s="517">
        <v>0</v>
      </c>
      <c r="H122" s="517">
        <v>0</v>
      </c>
      <c r="I122" s="517">
        <v>0</v>
      </c>
      <c r="J122" s="517">
        <v>0</v>
      </c>
      <c r="K122" s="517">
        <v>0</v>
      </c>
      <c r="L122" s="517">
        <f>5872418-2026462+251100-4097056</f>
        <v>0</v>
      </c>
      <c r="M122" s="1064">
        <f>+E122+I122+J122+K122+L122+N122</f>
        <v>35276285</v>
      </c>
      <c r="N122" s="517">
        <f>8863251+93584-3373414+3157951+4097056+896030+20170438+500453+146951-743533+1467518</f>
        <v>35276285</v>
      </c>
      <c r="O122" s="517">
        <f>1941746+932070-1135004+2137440-5458-9960-66272</f>
        <v>3794562</v>
      </c>
      <c r="P122" s="518">
        <f>9960-9960</f>
        <v>0</v>
      </c>
      <c r="Q122" s="518"/>
      <c r="R122" s="518"/>
      <c r="S122" s="518"/>
      <c r="T122" s="518"/>
      <c r="U122" s="518"/>
      <c r="V122" s="518"/>
      <c r="W122" s="518"/>
      <c r="X122" s="2647"/>
      <c r="Y122" s="2655"/>
    </row>
    <row r="123" spans="1:26" hidden="1">
      <c r="A123" s="2597"/>
      <c r="B123" s="417"/>
      <c r="C123" s="418" t="s">
        <v>97</v>
      </c>
      <c r="D123" s="459"/>
      <c r="E123" s="460"/>
      <c r="F123" s="459"/>
      <c r="G123" s="460"/>
      <c r="H123" s="460"/>
      <c r="I123" s="420"/>
      <c r="J123" s="420"/>
      <c r="K123" s="420"/>
      <c r="L123" s="420"/>
      <c r="M123" s="422"/>
      <c r="N123" s="422"/>
      <c r="O123" s="422"/>
      <c r="P123" s="422"/>
      <c r="Q123" s="422"/>
      <c r="R123" s="422"/>
      <c r="S123" s="422"/>
      <c r="T123" s="422"/>
      <c r="U123" s="422"/>
      <c r="V123" s="422"/>
      <c r="W123" s="422"/>
      <c r="X123" s="423"/>
      <c r="Y123" s="519"/>
    </row>
    <row r="124" spans="1:26" ht="13.5" hidden="1" customHeight="1">
      <c r="A124" s="2598"/>
      <c r="B124" s="483" t="s">
        <v>22</v>
      </c>
      <c r="C124" s="359"/>
      <c r="D124" s="462">
        <f t="shared" ref="D124:P124" si="89">+D125+D127</f>
        <v>0</v>
      </c>
      <c r="E124" s="463">
        <f t="shared" si="89"/>
        <v>0</v>
      </c>
      <c r="F124" s="462">
        <f t="shared" si="89"/>
        <v>0</v>
      </c>
      <c r="G124" s="463">
        <f t="shared" si="89"/>
        <v>0</v>
      </c>
      <c r="H124" s="463">
        <f t="shared" si="89"/>
        <v>0</v>
      </c>
      <c r="I124" s="463">
        <f t="shared" si="89"/>
        <v>0</v>
      </c>
      <c r="J124" s="463">
        <f t="shared" si="89"/>
        <v>0</v>
      </c>
      <c r="K124" s="463">
        <f t="shared" si="89"/>
        <v>0</v>
      </c>
      <c r="L124" s="463">
        <f t="shared" si="89"/>
        <v>0</v>
      </c>
      <c r="M124" s="463">
        <f>+M125+M127</f>
        <v>0</v>
      </c>
      <c r="N124" s="463">
        <f t="shared" si="89"/>
        <v>0</v>
      </c>
      <c r="O124" s="463">
        <f t="shared" si="89"/>
        <v>0</v>
      </c>
      <c r="P124" s="463">
        <f t="shared" si="89"/>
        <v>0</v>
      </c>
      <c r="Q124" s="463"/>
      <c r="R124" s="463"/>
      <c r="S124" s="463"/>
      <c r="T124" s="463"/>
      <c r="U124" s="463"/>
      <c r="V124" s="463"/>
      <c r="W124" s="463"/>
      <c r="X124" s="464">
        <f>+X125+X127</f>
        <v>0</v>
      </c>
      <c r="Y124" s="2641" t="s">
        <v>103</v>
      </c>
      <c r="Z124" s="778"/>
    </row>
    <row r="125" spans="1:26" hidden="1">
      <c r="A125" s="2598"/>
      <c r="B125" s="484" t="s">
        <v>36</v>
      </c>
      <c r="C125" s="2602" t="s">
        <v>100</v>
      </c>
      <c r="D125" s="537">
        <f>+D126</f>
        <v>0</v>
      </c>
      <c r="E125" s="537">
        <f t="shared" ref="E125:P125" si="90">+E126</f>
        <v>0</v>
      </c>
      <c r="F125" s="537">
        <f t="shared" si="90"/>
        <v>0</v>
      </c>
      <c r="G125" s="537">
        <f t="shared" si="90"/>
        <v>0</v>
      </c>
      <c r="H125" s="537">
        <f t="shared" si="90"/>
        <v>0</v>
      </c>
      <c r="I125" s="537">
        <f t="shared" si="90"/>
        <v>0</v>
      </c>
      <c r="J125" s="537">
        <f t="shared" si="90"/>
        <v>0</v>
      </c>
      <c r="K125" s="537">
        <f t="shared" si="90"/>
        <v>0</v>
      </c>
      <c r="L125" s="537">
        <f t="shared" si="90"/>
        <v>0</v>
      </c>
      <c r="M125" s="537">
        <f t="shared" si="90"/>
        <v>0</v>
      </c>
      <c r="N125" s="537">
        <f t="shared" si="90"/>
        <v>0</v>
      </c>
      <c r="O125" s="537">
        <f t="shared" si="90"/>
        <v>0</v>
      </c>
      <c r="P125" s="537">
        <f t="shared" si="90"/>
        <v>0</v>
      </c>
      <c r="Q125" s="537"/>
      <c r="R125" s="537"/>
      <c r="S125" s="537"/>
      <c r="T125" s="537"/>
      <c r="U125" s="537"/>
      <c r="V125" s="537"/>
      <c r="W125" s="537"/>
      <c r="X125" s="486">
        <f>+X126</f>
        <v>0</v>
      </c>
      <c r="Y125" s="2641"/>
      <c r="Z125" s="778"/>
    </row>
    <row r="126" spans="1:26" hidden="1">
      <c r="A126" s="2598"/>
      <c r="B126" s="468" t="s">
        <v>24</v>
      </c>
      <c r="C126" s="2643"/>
      <c r="D126" s="433">
        <f>M126+O126+P126+Q126+R126+S126+T126+U126+V126+W126</f>
        <v>0</v>
      </c>
      <c r="E126" s="440">
        <f>+F126+G126+H126</f>
        <v>0</v>
      </c>
      <c r="F126" s="441">
        <v>0</v>
      </c>
      <c r="G126" s="440">
        <v>0</v>
      </c>
      <c r="H126" s="478">
        <v>0</v>
      </c>
      <c r="I126" s="478"/>
      <c r="J126" s="478">
        <f>12200-12200</f>
        <v>0</v>
      </c>
      <c r="K126" s="440"/>
      <c r="L126" s="478"/>
      <c r="M126" s="434"/>
      <c r="N126" s="478"/>
      <c r="O126" s="440">
        <v>0</v>
      </c>
      <c r="P126" s="441">
        <v>0</v>
      </c>
      <c r="Q126" s="441"/>
      <c r="R126" s="441"/>
      <c r="S126" s="441"/>
      <c r="T126" s="441"/>
      <c r="U126" s="441"/>
      <c r="V126" s="441"/>
      <c r="W126" s="441"/>
      <c r="X126" s="393">
        <f>SUM(P126:T126)</f>
        <v>0</v>
      </c>
      <c r="Y126" s="2641"/>
    </row>
    <row r="127" spans="1:26" hidden="1">
      <c r="A127" s="2598"/>
      <c r="B127" s="524" t="s">
        <v>30</v>
      </c>
      <c r="C127" s="2643"/>
      <c r="D127" s="443">
        <f>+D128</f>
        <v>0</v>
      </c>
      <c r="E127" s="443">
        <f t="shared" ref="E127:P127" si="91">+E128</f>
        <v>0</v>
      </c>
      <c r="F127" s="443">
        <f t="shared" si="91"/>
        <v>0</v>
      </c>
      <c r="G127" s="443">
        <f t="shared" si="91"/>
        <v>0</v>
      </c>
      <c r="H127" s="443">
        <f t="shared" si="91"/>
        <v>0</v>
      </c>
      <c r="I127" s="443">
        <f t="shared" si="91"/>
        <v>0</v>
      </c>
      <c r="J127" s="443">
        <f t="shared" si="91"/>
        <v>0</v>
      </c>
      <c r="K127" s="443">
        <f t="shared" si="91"/>
        <v>0</v>
      </c>
      <c r="L127" s="443">
        <f t="shared" si="91"/>
        <v>0</v>
      </c>
      <c r="M127" s="443">
        <f t="shared" si="91"/>
        <v>0</v>
      </c>
      <c r="N127" s="443">
        <f t="shared" si="91"/>
        <v>0</v>
      </c>
      <c r="O127" s="443">
        <f t="shared" si="91"/>
        <v>0</v>
      </c>
      <c r="P127" s="443">
        <f t="shared" si="91"/>
        <v>0</v>
      </c>
      <c r="Q127" s="443"/>
      <c r="R127" s="443"/>
      <c r="S127" s="443"/>
      <c r="T127" s="443"/>
      <c r="U127" s="443"/>
      <c r="V127" s="443"/>
      <c r="W127" s="443"/>
      <c r="X127" s="486">
        <f>+X128</f>
        <v>0</v>
      </c>
      <c r="Y127" s="2641"/>
    </row>
    <row r="128" spans="1:26" hidden="1">
      <c r="A128" s="2598"/>
      <c r="B128" s="544" t="s">
        <v>33</v>
      </c>
      <c r="C128" s="2644"/>
      <c r="D128" s="433">
        <f>M128+O128+P128+Q128+R128+S128+T128+U128+V128+W128</f>
        <v>0</v>
      </c>
      <c r="E128" s="440">
        <f>+F128+G128+H128</f>
        <v>0</v>
      </c>
      <c r="F128" s="446">
        <v>0</v>
      </c>
      <c r="G128" s="471">
        <v>0</v>
      </c>
      <c r="H128" s="471">
        <v>0</v>
      </c>
      <c r="I128" s="471">
        <f>122000-122000</f>
        <v>0</v>
      </c>
      <c r="J128" s="471"/>
      <c r="K128" s="438"/>
      <c r="L128" s="438"/>
      <c r="M128" s="434"/>
      <c r="N128" s="438"/>
      <c r="O128" s="438">
        <v>0</v>
      </c>
      <c r="P128" s="446">
        <v>0</v>
      </c>
      <c r="Q128" s="446"/>
      <c r="R128" s="446"/>
      <c r="S128" s="446"/>
      <c r="T128" s="446"/>
      <c r="U128" s="446"/>
      <c r="V128" s="446"/>
      <c r="W128" s="446"/>
      <c r="X128" s="393">
        <f>SUM(P128:T128)</f>
        <v>0</v>
      </c>
      <c r="Y128" s="2642"/>
    </row>
    <row r="129" spans="1:26" s="862" customFormat="1" ht="12.75" hidden="1" customHeight="1">
      <c r="A129" s="2599"/>
      <c r="B129" s="489" t="s">
        <v>34</v>
      </c>
      <c r="C129" s="359"/>
      <c r="D129" s="448">
        <f>+D130</f>
        <v>0</v>
      </c>
      <c r="E129" s="448">
        <f t="shared" ref="E129:P130" si="92">+E130</f>
        <v>0</v>
      </c>
      <c r="F129" s="448">
        <f t="shared" si="92"/>
        <v>0</v>
      </c>
      <c r="G129" s="448">
        <f t="shared" si="92"/>
        <v>0</v>
      </c>
      <c r="H129" s="448">
        <f t="shared" si="92"/>
        <v>0</v>
      </c>
      <c r="I129" s="448">
        <f t="shared" si="92"/>
        <v>0</v>
      </c>
      <c r="J129" s="448">
        <f t="shared" si="92"/>
        <v>0</v>
      </c>
      <c r="K129" s="448">
        <f t="shared" si="92"/>
        <v>0</v>
      </c>
      <c r="L129" s="448">
        <f t="shared" si="92"/>
        <v>0</v>
      </c>
      <c r="M129" s="448">
        <f t="shared" si="92"/>
        <v>0</v>
      </c>
      <c r="N129" s="448">
        <f t="shared" si="92"/>
        <v>0</v>
      </c>
      <c r="O129" s="448">
        <f t="shared" si="92"/>
        <v>0</v>
      </c>
      <c r="P129" s="448">
        <f t="shared" si="92"/>
        <v>0</v>
      </c>
      <c r="Q129" s="448"/>
      <c r="R129" s="448"/>
      <c r="S129" s="448"/>
      <c r="T129" s="448"/>
      <c r="U129" s="448"/>
      <c r="V129" s="448"/>
      <c r="W129" s="448"/>
      <c r="X129" s="2752" t="s">
        <v>35</v>
      </c>
      <c r="Y129" s="2605" t="s">
        <v>120</v>
      </c>
    </row>
    <row r="130" spans="1:26" s="864" customFormat="1" ht="12.75" hidden="1" customHeight="1">
      <c r="A130" s="2599"/>
      <c r="B130" s="488" t="s">
        <v>30</v>
      </c>
      <c r="C130" s="2602" t="s">
        <v>101</v>
      </c>
      <c r="D130" s="495">
        <f>+D131</f>
        <v>0</v>
      </c>
      <c r="E130" s="495">
        <f t="shared" si="92"/>
        <v>0</v>
      </c>
      <c r="F130" s="495">
        <f t="shared" si="92"/>
        <v>0</v>
      </c>
      <c r="G130" s="495">
        <f t="shared" si="92"/>
        <v>0</v>
      </c>
      <c r="H130" s="495">
        <f t="shared" si="92"/>
        <v>0</v>
      </c>
      <c r="I130" s="495">
        <f t="shared" si="92"/>
        <v>0</v>
      </c>
      <c r="J130" s="495">
        <f t="shared" si="92"/>
        <v>0</v>
      </c>
      <c r="K130" s="495">
        <f t="shared" si="92"/>
        <v>0</v>
      </c>
      <c r="L130" s="520">
        <f t="shared" si="92"/>
        <v>0</v>
      </c>
      <c r="M130" s="520">
        <f t="shared" si="92"/>
        <v>0</v>
      </c>
      <c r="N130" s="520">
        <f t="shared" si="92"/>
        <v>0</v>
      </c>
      <c r="O130" s="520">
        <f t="shared" si="92"/>
        <v>0</v>
      </c>
      <c r="P130" s="495">
        <f t="shared" si="92"/>
        <v>0</v>
      </c>
      <c r="Q130" s="495"/>
      <c r="R130" s="495"/>
      <c r="S130" s="495"/>
      <c r="T130" s="495"/>
      <c r="U130" s="495"/>
      <c r="V130" s="495"/>
      <c r="W130" s="495"/>
      <c r="X130" s="2753"/>
      <c r="Y130" s="2606"/>
    </row>
    <row r="131" spans="1:26" s="862" customFormat="1" ht="13.5" hidden="1" thickBot="1">
      <c r="A131" s="2600"/>
      <c r="B131" s="496" t="s">
        <v>33</v>
      </c>
      <c r="C131" s="2608"/>
      <c r="D131" s="433">
        <f>M131+O131+P131+Q131+R131+S131+T131+U131+V131+W131</f>
        <v>0</v>
      </c>
      <c r="E131" s="481">
        <f>+F131+G131+H131</f>
        <v>0</v>
      </c>
      <c r="F131" s="923">
        <v>0</v>
      </c>
      <c r="G131" s="540">
        <v>0</v>
      </c>
      <c r="H131" s="540">
        <v>0</v>
      </c>
      <c r="I131" s="540">
        <v>0</v>
      </c>
      <c r="J131" s="540">
        <f>101397-101397</f>
        <v>0</v>
      </c>
      <c r="K131" s="540"/>
      <c r="L131" s="540"/>
      <c r="M131" s="434"/>
      <c r="N131" s="540"/>
      <c r="O131" s="540"/>
      <c r="P131" s="924">
        <v>0</v>
      </c>
      <c r="Q131" s="499"/>
      <c r="R131" s="499"/>
      <c r="S131" s="499"/>
      <c r="T131" s="499"/>
      <c r="U131" s="499"/>
      <c r="V131" s="499"/>
      <c r="W131" s="499"/>
      <c r="X131" s="2754"/>
      <c r="Y131" s="2607"/>
    </row>
    <row r="132" spans="1:26" ht="21.75" hidden="1" customHeight="1">
      <c r="A132" s="2597"/>
      <c r="B132" s="417"/>
      <c r="C132" s="418" t="s">
        <v>97</v>
      </c>
      <c r="D132" s="419"/>
      <c r="E132" s="541"/>
      <c r="F132" s="541"/>
      <c r="G132" s="542"/>
      <c r="H132" s="542"/>
      <c r="I132" s="542"/>
      <c r="J132" s="542"/>
      <c r="K132" s="542"/>
      <c r="L132" s="542"/>
      <c r="M132" s="422"/>
      <c r="N132" s="422"/>
      <c r="O132" s="422"/>
      <c r="P132" s="422"/>
      <c r="Q132" s="422"/>
      <c r="R132" s="422"/>
      <c r="S132" s="509"/>
      <c r="T132" s="509"/>
      <c r="U132" s="509"/>
      <c r="V132" s="509"/>
      <c r="W132" s="509"/>
      <c r="X132" s="533"/>
      <c r="Y132" s="2698" t="s">
        <v>102</v>
      </c>
    </row>
    <row r="133" spans="1:26" ht="13.5" hidden="1" customHeight="1">
      <c r="A133" s="2598"/>
      <c r="B133" s="383" t="s">
        <v>22</v>
      </c>
      <c r="C133" s="359"/>
      <c r="D133" s="462">
        <f>+D134+D137</f>
        <v>0</v>
      </c>
      <c r="E133" s="462">
        <f t="shared" ref="E133:O133" si="93">+E134+E137</f>
        <v>0</v>
      </c>
      <c r="F133" s="462">
        <f t="shared" si="93"/>
        <v>0</v>
      </c>
      <c r="G133" s="462">
        <f t="shared" si="93"/>
        <v>0</v>
      </c>
      <c r="H133" s="462">
        <f t="shared" si="93"/>
        <v>0</v>
      </c>
      <c r="I133" s="462">
        <f t="shared" si="93"/>
        <v>0</v>
      </c>
      <c r="J133" s="462">
        <f t="shared" si="93"/>
        <v>0</v>
      </c>
      <c r="K133" s="462">
        <f t="shared" si="93"/>
        <v>0</v>
      </c>
      <c r="L133" s="462">
        <f t="shared" si="93"/>
        <v>0</v>
      </c>
      <c r="M133" s="462"/>
      <c r="N133" s="462">
        <f t="shared" si="93"/>
        <v>0</v>
      </c>
      <c r="O133" s="462">
        <f t="shared" si="93"/>
        <v>0</v>
      </c>
      <c r="P133" s="462">
        <f>+P134+P137</f>
        <v>0</v>
      </c>
      <c r="Q133" s="462"/>
      <c r="R133" s="462"/>
      <c r="S133" s="808"/>
      <c r="T133" s="808"/>
      <c r="U133" s="808"/>
      <c r="V133" s="808"/>
      <c r="W133" s="808"/>
      <c r="X133" s="525"/>
      <c r="Y133" s="2641"/>
      <c r="Z133" s="778"/>
    </row>
    <row r="134" spans="1:26" ht="13.5" hidden="1" customHeight="1">
      <c r="A134" s="2598"/>
      <c r="B134" s="429" t="s">
        <v>36</v>
      </c>
      <c r="C134" s="2602" t="s">
        <v>100</v>
      </c>
      <c r="D134" s="543">
        <f>+D135+D136</f>
        <v>0</v>
      </c>
      <c r="E134" s="543">
        <f t="shared" ref="E134:P134" si="94">+E135+E136</f>
        <v>0</v>
      </c>
      <c r="F134" s="543">
        <f t="shared" si="94"/>
        <v>0</v>
      </c>
      <c r="G134" s="543">
        <f t="shared" si="94"/>
        <v>0</v>
      </c>
      <c r="H134" s="543">
        <f t="shared" si="94"/>
        <v>0</v>
      </c>
      <c r="I134" s="543">
        <f t="shared" si="94"/>
        <v>0</v>
      </c>
      <c r="J134" s="543">
        <f t="shared" si="94"/>
        <v>0</v>
      </c>
      <c r="K134" s="543">
        <f t="shared" si="94"/>
        <v>0</v>
      </c>
      <c r="L134" s="543">
        <f t="shared" si="94"/>
        <v>0</v>
      </c>
      <c r="M134" s="543"/>
      <c r="N134" s="543">
        <f t="shared" si="94"/>
        <v>0</v>
      </c>
      <c r="O134" s="543">
        <f t="shared" si="94"/>
        <v>0</v>
      </c>
      <c r="P134" s="543">
        <f t="shared" si="94"/>
        <v>0</v>
      </c>
      <c r="Q134" s="543"/>
      <c r="R134" s="543"/>
      <c r="S134" s="813"/>
      <c r="T134" s="813"/>
      <c r="U134" s="813"/>
      <c r="V134" s="813"/>
      <c r="W134" s="813"/>
      <c r="X134" s="467"/>
      <c r="Y134" s="2641"/>
      <c r="Z134" s="778"/>
    </row>
    <row r="135" spans="1:26" hidden="1">
      <c r="A135" s="2598"/>
      <c r="B135" s="468" t="s">
        <v>24</v>
      </c>
      <c r="C135" s="2643"/>
      <c r="D135" s="450">
        <f>+E135+I135+J135+K135+L135</f>
        <v>0</v>
      </c>
      <c r="E135" s="441">
        <f>+F135+G135+H135</f>
        <v>0</v>
      </c>
      <c r="F135" s="441"/>
      <c r="G135" s="440"/>
      <c r="H135" s="478"/>
      <c r="I135" s="478"/>
      <c r="J135" s="478"/>
      <c r="K135" s="440">
        <v>0</v>
      </c>
      <c r="L135" s="478"/>
      <c r="M135" s="478"/>
      <c r="N135" s="440">
        <v>0</v>
      </c>
      <c r="O135" s="440">
        <v>0</v>
      </c>
      <c r="P135" s="441">
        <v>0</v>
      </c>
      <c r="Q135" s="441"/>
      <c r="R135" s="441"/>
      <c r="S135" s="741"/>
      <c r="T135" s="741"/>
      <c r="U135" s="741"/>
      <c r="V135" s="741"/>
      <c r="W135" s="741"/>
      <c r="X135" s="470"/>
      <c r="Y135" s="2641"/>
    </row>
    <row r="136" spans="1:26" ht="10.5" hidden="1" customHeight="1">
      <c r="A136" s="2598"/>
      <c r="B136" s="526" t="s">
        <v>27</v>
      </c>
      <c r="C136" s="2643"/>
      <c r="D136" s="450">
        <f>+E136+I136+J136+K136+L136</f>
        <v>0</v>
      </c>
      <c r="E136" s="441">
        <f>+F136+G136+H136</f>
        <v>0</v>
      </c>
      <c r="F136" s="438"/>
      <c r="G136" s="438"/>
      <c r="H136" s="471"/>
      <c r="I136" s="471">
        <v>0</v>
      </c>
      <c r="J136" s="471"/>
      <c r="K136" s="438">
        <v>0</v>
      </c>
      <c r="L136" s="438">
        <v>0</v>
      </c>
      <c r="M136" s="438"/>
      <c r="N136" s="438">
        <v>0</v>
      </c>
      <c r="O136" s="438">
        <v>0</v>
      </c>
      <c r="P136" s="438">
        <v>0</v>
      </c>
      <c r="Q136" s="438"/>
      <c r="R136" s="438"/>
      <c r="S136" s="741"/>
      <c r="T136" s="741"/>
      <c r="U136" s="741"/>
      <c r="V136" s="741"/>
      <c r="W136" s="741"/>
      <c r="X136" s="470"/>
      <c r="Y136" s="2641"/>
    </row>
    <row r="137" spans="1:26" ht="12.75" hidden="1" customHeight="1">
      <c r="A137" s="2598"/>
      <c r="B137" s="502" t="s">
        <v>30</v>
      </c>
      <c r="C137" s="2643"/>
      <c r="D137" s="443">
        <f>+D138</f>
        <v>0</v>
      </c>
      <c r="E137" s="443">
        <f t="shared" ref="E137:P137" si="95">+E138</f>
        <v>0</v>
      </c>
      <c r="F137" s="443">
        <f t="shared" si="95"/>
        <v>0</v>
      </c>
      <c r="G137" s="443">
        <f t="shared" si="95"/>
        <v>0</v>
      </c>
      <c r="H137" s="443">
        <f t="shared" si="95"/>
        <v>0</v>
      </c>
      <c r="I137" s="443">
        <f t="shared" si="95"/>
        <v>0</v>
      </c>
      <c r="J137" s="443">
        <f t="shared" si="95"/>
        <v>0</v>
      </c>
      <c r="K137" s="443">
        <f t="shared" si="95"/>
        <v>0</v>
      </c>
      <c r="L137" s="443">
        <f t="shared" si="95"/>
        <v>0</v>
      </c>
      <c r="M137" s="443"/>
      <c r="N137" s="443">
        <f t="shared" si="95"/>
        <v>0</v>
      </c>
      <c r="O137" s="443">
        <f t="shared" si="95"/>
        <v>0</v>
      </c>
      <c r="P137" s="443">
        <f t="shared" si="95"/>
        <v>0</v>
      </c>
      <c r="Q137" s="443"/>
      <c r="R137" s="443"/>
      <c r="S137" s="811"/>
      <c r="T137" s="811"/>
      <c r="U137" s="811"/>
      <c r="V137" s="811"/>
      <c r="W137" s="811"/>
      <c r="X137" s="467"/>
      <c r="Y137" s="2641"/>
    </row>
    <row r="138" spans="1:26" ht="11.25" hidden="1" customHeight="1">
      <c r="A138" s="2598"/>
      <c r="B138" s="544" t="s">
        <v>33</v>
      </c>
      <c r="C138" s="2644"/>
      <c r="D138" s="437">
        <f>+E138+I138+J138+K138+L138</f>
        <v>0</v>
      </c>
      <c r="E138" s="438">
        <f>+F138+G138+H138</f>
        <v>0</v>
      </c>
      <c r="F138" s="446">
        <v>0</v>
      </c>
      <c r="G138" s="471"/>
      <c r="H138" s="471"/>
      <c r="I138" s="471"/>
      <c r="J138" s="471"/>
      <c r="K138" s="471">
        <v>0</v>
      </c>
      <c r="L138" s="438">
        <v>0</v>
      </c>
      <c r="M138" s="438"/>
      <c r="N138" s="438">
        <v>0</v>
      </c>
      <c r="O138" s="438">
        <v>0</v>
      </c>
      <c r="P138" s="446">
        <v>0</v>
      </c>
      <c r="Q138" s="446"/>
      <c r="R138" s="446"/>
      <c r="S138" s="741"/>
      <c r="T138" s="741"/>
      <c r="U138" s="741"/>
      <c r="V138" s="741"/>
      <c r="W138" s="741"/>
      <c r="X138" s="470"/>
      <c r="Y138" s="2641"/>
    </row>
    <row r="139" spans="1:26" s="862" customFormat="1" ht="12.75" hidden="1" customHeight="1">
      <c r="A139" s="2599"/>
      <c r="B139" s="358" t="s">
        <v>34</v>
      </c>
      <c r="C139" s="359"/>
      <c r="D139" s="448">
        <f>+D142+D140</f>
        <v>0</v>
      </c>
      <c r="E139" s="448">
        <f t="shared" ref="E139:P139" si="96">+E142+E140</f>
        <v>0</v>
      </c>
      <c r="F139" s="448">
        <f t="shared" si="96"/>
        <v>0</v>
      </c>
      <c r="G139" s="448">
        <f t="shared" si="96"/>
        <v>0</v>
      </c>
      <c r="H139" s="448">
        <f t="shared" si="96"/>
        <v>0</v>
      </c>
      <c r="I139" s="448">
        <f t="shared" si="96"/>
        <v>0</v>
      </c>
      <c r="J139" s="448">
        <f t="shared" si="96"/>
        <v>0</v>
      </c>
      <c r="K139" s="448">
        <f t="shared" si="96"/>
        <v>0</v>
      </c>
      <c r="L139" s="448">
        <f t="shared" si="96"/>
        <v>0</v>
      </c>
      <c r="M139" s="448"/>
      <c r="N139" s="448">
        <f t="shared" si="96"/>
        <v>0</v>
      </c>
      <c r="O139" s="448">
        <f t="shared" si="96"/>
        <v>0</v>
      </c>
      <c r="P139" s="448">
        <f t="shared" si="96"/>
        <v>0</v>
      </c>
      <c r="Q139" s="448"/>
      <c r="R139" s="448"/>
      <c r="S139" s="596"/>
      <c r="T139" s="596"/>
      <c r="U139" s="596"/>
      <c r="V139" s="596"/>
      <c r="W139" s="596"/>
      <c r="X139" s="528"/>
      <c r="Y139" s="2699"/>
    </row>
    <row r="140" spans="1:26" ht="13.5" hidden="1" customHeight="1">
      <c r="A140" s="2599"/>
      <c r="B140" s="429" t="s">
        <v>36</v>
      </c>
      <c r="C140" s="2602" t="s">
        <v>101</v>
      </c>
      <c r="D140" s="449">
        <f>+D141</f>
        <v>0</v>
      </c>
      <c r="E140" s="449">
        <f t="shared" ref="E140:P140" si="97">+E141</f>
        <v>0</v>
      </c>
      <c r="F140" s="449">
        <f t="shared" si="97"/>
        <v>0</v>
      </c>
      <c r="G140" s="449">
        <f t="shared" si="97"/>
        <v>0</v>
      </c>
      <c r="H140" s="449">
        <f t="shared" si="97"/>
        <v>0</v>
      </c>
      <c r="I140" s="449">
        <f t="shared" si="97"/>
        <v>0</v>
      </c>
      <c r="J140" s="449">
        <f t="shared" si="97"/>
        <v>0</v>
      </c>
      <c r="K140" s="449">
        <f t="shared" si="97"/>
        <v>0</v>
      </c>
      <c r="L140" s="449">
        <f t="shared" si="97"/>
        <v>0</v>
      </c>
      <c r="M140" s="449"/>
      <c r="N140" s="449">
        <f t="shared" si="97"/>
        <v>0</v>
      </c>
      <c r="O140" s="449">
        <f t="shared" si="97"/>
        <v>0</v>
      </c>
      <c r="P140" s="449">
        <f t="shared" si="97"/>
        <v>0</v>
      </c>
      <c r="Q140" s="449"/>
      <c r="R140" s="449"/>
      <c r="S140" s="811"/>
      <c r="T140" s="811"/>
      <c r="U140" s="811"/>
      <c r="V140" s="811"/>
      <c r="W140" s="811"/>
      <c r="X140" s="472"/>
      <c r="Y140" s="2699"/>
    </row>
    <row r="141" spans="1:26" ht="11.25" hidden="1" customHeight="1">
      <c r="A141" s="2599"/>
      <c r="B141" s="526" t="s">
        <v>27</v>
      </c>
      <c r="C141" s="2595"/>
      <c r="D141" s="450">
        <f>+E141+I141+J141+K141+L141+N141+O141</f>
        <v>0</v>
      </c>
      <c r="E141" s="451">
        <f>+F141+G141+H141</f>
        <v>0</v>
      </c>
      <c r="F141" s="451">
        <v>0</v>
      </c>
      <c r="G141" s="451">
        <v>0</v>
      </c>
      <c r="H141" s="451">
        <v>0</v>
      </c>
      <c r="I141" s="451">
        <v>0</v>
      </c>
      <c r="J141" s="451"/>
      <c r="K141" s="451">
        <v>0</v>
      </c>
      <c r="L141" s="451">
        <v>0</v>
      </c>
      <c r="M141" s="451"/>
      <c r="N141" s="451">
        <v>0</v>
      </c>
      <c r="O141" s="451">
        <v>0</v>
      </c>
      <c r="P141" s="451">
        <v>0</v>
      </c>
      <c r="Q141" s="451"/>
      <c r="R141" s="451"/>
      <c r="S141" s="534"/>
      <c r="T141" s="534"/>
      <c r="U141" s="534"/>
      <c r="V141" s="534"/>
      <c r="W141" s="534"/>
      <c r="X141" s="529"/>
      <c r="Y141" s="2699"/>
    </row>
    <row r="142" spans="1:26" s="864" customFormat="1" ht="12.75" hidden="1" customHeight="1">
      <c r="A142" s="2599"/>
      <c r="B142" s="502" t="s">
        <v>30</v>
      </c>
      <c r="C142" s="2595"/>
      <c r="D142" s="495">
        <f>+D143</f>
        <v>0</v>
      </c>
      <c r="E142" s="495">
        <f t="shared" ref="E142:P142" si="98">+E143</f>
        <v>0</v>
      </c>
      <c r="F142" s="495">
        <f t="shared" si="98"/>
        <v>0</v>
      </c>
      <c r="G142" s="495">
        <f t="shared" si="98"/>
        <v>0</v>
      </c>
      <c r="H142" s="495">
        <f t="shared" si="98"/>
        <v>0</v>
      </c>
      <c r="I142" s="520">
        <f t="shared" si="98"/>
        <v>0</v>
      </c>
      <c r="J142" s="520">
        <f t="shared" si="98"/>
        <v>0</v>
      </c>
      <c r="K142" s="495">
        <f t="shared" si="98"/>
        <v>0</v>
      </c>
      <c r="L142" s="495">
        <f t="shared" si="98"/>
        <v>0</v>
      </c>
      <c r="M142" s="495"/>
      <c r="N142" s="495">
        <f t="shared" si="98"/>
        <v>0</v>
      </c>
      <c r="O142" s="495">
        <f t="shared" si="98"/>
        <v>0</v>
      </c>
      <c r="P142" s="495">
        <f t="shared" si="98"/>
        <v>0</v>
      </c>
      <c r="Q142" s="495"/>
      <c r="R142" s="495"/>
      <c r="S142" s="597"/>
      <c r="T142" s="597"/>
      <c r="U142" s="597"/>
      <c r="V142" s="597"/>
      <c r="W142" s="597"/>
      <c r="X142" s="504"/>
      <c r="Y142" s="2699"/>
    </row>
    <row r="143" spans="1:26" s="862" customFormat="1" ht="13.5" hidden="1" thickBot="1">
      <c r="A143" s="2600"/>
      <c r="B143" s="496" t="s">
        <v>33</v>
      </c>
      <c r="C143" s="2596"/>
      <c r="D143" s="517">
        <f>+E143+I143+J143+K143+L143</f>
        <v>0</v>
      </c>
      <c r="E143" s="475">
        <f>+F143+G143+H143</f>
        <v>0</v>
      </c>
      <c r="F143" s="538">
        <v>0</v>
      </c>
      <c r="G143" s="539">
        <v>0</v>
      </c>
      <c r="H143" s="540">
        <v>0</v>
      </c>
      <c r="I143" s="539"/>
      <c r="J143" s="539"/>
      <c r="K143" s="539"/>
      <c r="L143" s="539">
        <v>0</v>
      </c>
      <c r="M143" s="539"/>
      <c r="N143" s="539">
        <v>0</v>
      </c>
      <c r="O143" s="539">
        <v>0</v>
      </c>
      <c r="P143" s="499">
        <v>0</v>
      </c>
      <c r="Q143" s="499"/>
      <c r="R143" s="499"/>
      <c r="S143" s="499"/>
      <c r="T143" s="499"/>
      <c r="U143" s="499"/>
      <c r="V143" s="499"/>
      <c r="W143" s="499"/>
      <c r="X143" s="545"/>
      <c r="Y143" s="2700"/>
    </row>
    <row r="144" spans="1:26" ht="24.75" customHeight="1">
      <c r="A144" s="2597" t="s">
        <v>82</v>
      </c>
      <c r="B144" s="925" t="s">
        <v>530</v>
      </c>
      <c r="C144" s="418" t="s">
        <v>97</v>
      </c>
      <c r="D144" s="458"/>
      <c r="E144" s="546"/>
      <c r="F144" s="458"/>
      <c r="G144" s="546"/>
      <c r="H144" s="546"/>
      <c r="I144" s="552"/>
      <c r="J144" s="552"/>
      <c r="K144" s="552"/>
      <c r="L144" s="552"/>
      <c r="M144" s="532"/>
      <c r="N144" s="532"/>
      <c r="O144" s="532"/>
      <c r="P144" s="532"/>
      <c r="Q144" s="532"/>
      <c r="R144" s="532"/>
      <c r="S144" s="532"/>
      <c r="T144" s="532"/>
      <c r="U144" s="532"/>
      <c r="V144" s="532"/>
      <c r="W144" s="532"/>
      <c r="X144" s="423"/>
      <c r="Y144" s="519"/>
    </row>
    <row r="145" spans="1:26" ht="13.5" customHeight="1">
      <c r="A145" s="2598"/>
      <c r="B145" s="1400" t="s">
        <v>22</v>
      </c>
      <c r="C145" s="1670"/>
      <c r="D145" s="1671">
        <f>+D146+D149</f>
        <v>21403332</v>
      </c>
      <c r="E145" s="1671">
        <f t="shared" ref="E145:O145" si="99">+E146+E149</f>
        <v>41480</v>
      </c>
      <c r="F145" s="1671">
        <f t="shared" si="99"/>
        <v>0</v>
      </c>
      <c r="G145" s="1671">
        <f t="shared" si="99"/>
        <v>0</v>
      </c>
      <c r="H145" s="1671">
        <f t="shared" si="99"/>
        <v>7838</v>
      </c>
      <c r="I145" s="1671">
        <f t="shared" si="99"/>
        <v>201799</v>
      </c>
      <c r="J145" s="1671">
        <f t="shared" si="99"/>
        <v>5853415</v>
      </c>
      <c r="K145" s="1671">
        <f t="shared" si="99"/>
        <v>15106381</v>
      </c>
      <c r="L145" s="1671">
        <f t="shared" si="99"/>
        <v>257</v>
      </c>
      <c r="M145" s="1671">
        <f>+M146+M149</f>
        <v>21203332</v>
      </c>
      <c r="N145" s="1671">
        <f t="shared" si="99"/>
        <v>0</v>
      </c>
      <c r="O145" s="1671">
        <f t="shared" si="99"/>
        <v>0</v>
      </c>
      <c r="P145" s="1671">
        <f>+P146+P149</f>
        <v>111000</v>
      </c>
      <c r="Q145" s="1671">
        <f>+Q146+Q149</f>
        <v>89000</v>
      </c>
      <c r="R145" s="1671"/>
      <c r="S145" s="1671"/>
      <c r="T145" s="1671"/>
      <c r="U145" s="1671"/>
      <c r="V145" s="1671"/>
      <c r="W145" s="1671"/>
      <c r="X145" s="1672">
        <f>+X146+X149</f>
        <v>200000</v>
      </c>
      <c r="Y145" s="2641" t="s">
        <v>103</v>
      </c>
      <c r="Z145" s="778"/>
    </row>
    <row r="146" spans="1:26" ht="12.75" customHeight="1">
      <c r="A146" s="2598"/>
      <c r="B146" s="510" t="s">
        <v>36</v>
      </c>
      <c r="C146" s="2594" t="s">
        <v>100</v>
      </c>
      <c r="D146" s="1673">
        <f>+D147+D148</f>
        <v>8942798</v>
      </c>
      <c r="E146" s="1673">
        <f t="shared" ref="E146:P146" si="100">+E147+E148</f>
        <v>0</v>
      </c>
      <c r="F146" s="1673">
        <f t="shared" si="100"/>
        <v>0</v>
      </c>
      <c r="G146" s="1673">
        <f t="shared" si="100"/>
        <v>0</v>
      </c>
      <c r="H146" s="1673">
        <f t="shared" si="100"/>
        <v>0</v>
      </c>
      <c r="I146" s="1673">
        <f t="shared" si="100"/>
        <v>0</v>
      </c>
      <c r="J146" s="1673">
        <f t="shared" si="100"/>
        <v>2000000</v>
      </c>
      <c r="K146" s="1673">
        <f t="shared" si="100"/>
        <v>6742541</v>
      </c>
      <c r="L146" s="1673">
        <f t="shared" si="100"/>
        <v>257</v>
      </c>
      <c r="M146" s="1673">
        <f>+M147+M148</f>
        <v>8742798</v>
      </c>
      <c r="N146" s="1673">
        <f t="shared" si="100"/>
        <v>0</v>
      </c>
      <c r="O146" s="1673">
        <f t="shared" si="100"/>
        <v>0</v>
      </c>
      <c r="P146" s="1673">
        <f t="shared" si="100"/>
        <v>111000</v>
      </c>
      <c r="Q146" s="1673">
        <f>+Q147+Q148</f>
        <v>89000</v>
      </c>
      <c r="R146" s="1673"/>
      <c r="S146" s="1673"/>
      <c r="T146" s="1673"/>
      <c r="U146" s="1673"/>
      <c r="V146" s="1673"/>
      <c r="W146" s="1673"/>
      <c r="X146" s="1674">
        <f>+P146+Q146+R146+S146</f>
        <v>200000</v>
      </c>
      <c r="Y146" s="2641"/>
      <c r="Z146" s="778"/>
    </row>
    <row r="147" spans="1:26" ht="10.5" customHeight="1">
      <c r="A147" s="2598"/>
      <c r="B147" s="487" t="s">
        <v>24</v>
      </c>
      <c r="C147" s="2595"/>
      <c r="D147" s="1381">
        <f>M147+O147+P147+Q147+R147+S147+T147+U147+V147+W147</f>
        <v>1452934</v>
      </c>
      <c r="E147" s="1618">
        <v>0</v>
      </c>
      <c r="F147" s="1675">
        <v>0</v>
      </c>
      <c r="G147" s="1618">
        <v>0</v>
      </c>
      <c r="H147" s="1631">
        <v>0</v>
      </c>
      <c r="I147" s="1631"/>
      <c r="J147" s="1631">
        <v>0</v>
      </c>
      <c r="K147" s="1631">
        <f>3145326+93584-1989864+3268+363</f>
        <v>1252677</v>
      </c>
      <c r="L147" s="1631">
        <f>300000-100000-150000-49743</f>
        <v>257</v>
      </c>
      <c r="M147" s="1676">
        <f>+E147+I147+J147+K147+L147+N147</f>
        <v>1252934</v>
      </c>
      <c r="N147" s="1677">
        <f>200000+150000-150000-200000</f>
        <v>0</v>
      </c>
      <c r="O147" s="1675">
        <f>200000-200000</f>
        <v>0</v>
      </c>
      <c r="P147" s="1677">
        <f>200000-89000</f>
        <v>111000</v>
      </c>
      <c r="Q147" s="1677">
        <v>89000</v>
      </c>
      <c r="R147" s="1675"/>
      <c r="S147" s="1675"/>
      <c r="T147" s="1675"/>
      <c r="U147" s="1675"/>
      <c r="V147" s="1675"/>
      <c r="W147" s="1675"/>
      <c r="X147" s="1678">
        <f>SUM(P147:T147)</f>
        <v>200000</v>
      </c>
      <c r="Y147" s="2641"/>
    </row>
    <row r="148" spans="1:26">
      <c r="A148" s="2598"/>
      <c r="B148" s="526" t="s">
        <v>27</v>
      </c>
      <c r="C148" s="2595"/>
      <c r="D148" s="1381">
        <f>M148+O148+P148+Q148+R148+S148+T148+U148+V148+W148</f>
        <v>7489864</v>
      </c>
      <c r="E148" s="1618">
        <v>0</v>
      </c>
      <c r="F148" s="1675"/>
      <c r="G148" s="1618"/>
      <c r="H148" s="1631"/>
      <c r="I148" s="1631">
        <v>0</v>
      </c>
      <c r="J148" s="1631">
        <v>2000000</v>
      </c>
      <c r="K148" s="1618">
        <f>3500000+1989864</f>
        <v>5489864</v>
      </c>
      <c r="L148" s="1618">
        <v>0</v>
      </c>
      <c r="M148" s="1676">
        <f>+E148+I148+J148+K148+L148+N148</f>
        <v>7489864</v>
      </c>
      <c r="N148" s="1675">
        <v>0</v>
      </c>
      <c r="O148" s="1675">
        <v>0</v>
      </c>
      <c r="P148" s="1677">
        <v>0</v>
      </c>
      <c r="Q148" s="1677"/>
      <c r="R148" s="1675"/>
      <c r="S148" s="1675"/>
      <c r="T148" s="1675"/>
      <c r="U148" s="1675"/>
      <c r="V148" s="1675"/>
      <c r="W148" s="1675"/>
      <c r="X148" s="1678">
        <f>SUM(P148:T148)</f>
        <v>0</v>
      </c>
      <c r="Y148" s="2641"/>
    </row>
    <row r="149" spans="1:26" ht="12" customHeight="1">
      <c r="A149" s="2598"/>
      <c r="B149" s="502" t="s">
        <v>30</v>
      </c>
      <c r="C149" s="2595"/>
      <c r="D149" s="1679">
        <f>+D150</f>
        <v>12460534</v>
      </c>
      <c r="E149" s="1680">
        <f t="shared" ref="E149:K149" si="101">+E150</f>
        <v>41480</v>
      </c>
      <c r="F149" s="1679">
        <f t="shared" si="101"/>
        <v>0</v>
      </c>
      <c r="G149" s="1680">
        <f t="shared" si="101"/>
        <v>0</v>
      </c>
      <c r="H149" s="1680">
        <f t="shared" si="101"/>
        <v>7838</v>
      </c>
      <c r="I149" s="1680">
        <f t="shared" si="101"/>
        <v>201799</v>
      </c>
      <c r="J149" s="1680">
        <f t="shared" si="101"/>
        <v>3853415</v>
      </c>
      <c r="K149" s="1680">
        <f t="shared" si="101"/>
        <v>8363840</v>
      </c>
      <c r="L149" s="1680">
        <f>+L150</f>
        <v>0</v>
      </c>
      <c r="M149" s="1680">
        <f>+M150</f>
        <v>12460534</v>
      </c>
      <c r="N149" s="1680">
        <f>+N150</f>
        <v>0</v>
      </c>
      <c r="O149" s="1680">
        <f>+O150</f>
        <v>0</v>
      </c>
      <c r="P149" s="1680">
        <f>+P150</f>
        <v>0</v>
      </c>
      <c r="Q149" s="1680"/>
      <c r="R149" s="1680"/>
      <c r="S149" s="1679"/>
      <c r="T149" s="1679"/>
      <c r="U149" s="1679"/>
      <c r="V149" s="1679"/>
      <c r="W149" s="1679"/>
      <c r="X149" s="1674">
        <f>+X150</f>
        <v>0</v>
      </c>
      <c r="Y149" s="2641"/>
    </row>
    <row r="150" spans="1:26" ht="11.25" customHeight="1">
      <c r="A150" s="2598"/>
      <c r="B150" s="487" t="s">
        <v>33</v>
      </c>
      <c r="C150" s="2662"/>
      <c r="D150" s="1635">
        <f>M150+O150+P150+Q150+R150+S150+T150+U150+V150+W150</f>
        <v>12460534</v>
      </c>
      <c r="E150" s="1618">
        <f>6538+34942</f>
        <v>41480</v>
      </c>
      <c r="F150" s="1675">
        <v>0</v>
      </c>
      <c r="G150" s="1618">
        <v>0</v>
      </c>
      <c r="H150" s="1631">
        <v>7838</v>
      </c>
      <c r="I150" s="1631">
        <f>31810+169989</f>
        <v>201799</v>
      </c>
      <c r="J150" s="1631">
        <v>3853415</v>
      </c>
      <c r="K150" s="1618">
        <f>8461055-93584-3268-363</f>
        <v>8363840</v>
      </c>
      <c r="L150" s="1618">
        <v>0</v>
      </c>
      <c r="M150" s="1676">
        <f>+E150+I150+J150+K150+L150+N150</f>
        <v>12460534</v>
      </c>
      <c r="N150" s="1675">
        <v>0</v>
      </c>
      <c r="O150" s="1675">
        <v>0</v>
      </c>
      <c r="P150" s="1675">
        <v>0</v>
      </c>
      <c r="Q150" s="1675"/>
      <c r="R150" s="1675"/>
      <c r="S150" s="1675"/>
      <c r="T150" s="1675"/>
      <c r="U150" s="1675"/>
      <c r="V150" s="1675"/>
      <c r="W150" s="1675"/>
      <c r="X150" s="1678">
        <f>SUM(P150:T150)</f>
        <v>0</v>
      </c>
      <c r="Y150" s="2642"/>
    </row>
    <row r="151" spans="1:26" s="782" customFormat="1" ht="12" customHeight="1">
      <c r="A151" s="2599"/>
      <c r="B151" s="501" t="s">
        <v>34</v>
      </c>
      <c r="C151" s="522"/>
      <c r="D151" s="554">
        <f>+D152+D154</f>
        <v>19950398</v>
      </c>
      <c r="E151" s="554">
        <f t="shared" ref="E151:P151" si="102">+E152+E154</f>
        <v>0</v>
      </c>
      <c r="F151" s="554">
        <f t="shared" si="102"/>
        <v>0</v>
      </c>
      <c r="G151" s="554">
        <f t="shared" si="102"/>
        <v>0</v>
      </c>
      <c r="H151" s="554">
        <f t="shared" si="102"/>
        <v>0</v>
      </c>
      <c r="I151" s="554">
        <f t="shared" si="102"/>
        <v>0</v>
      </c>
      <c r="J151" s="554">
        <f t="shared" si="102"/>
        <v>2000000</v>
      </c>
      <c r="K151" s="554">
        <f t="shared" si="102"/>
        <v>15067686</v>
      </c>
      <c r="L151" s="554">
        <f t="shared" si="102"/>
        <v>2882712</v>
      </c>
      <c r="M151" s="554">
        <f>+M152+M154</f>
        <v>19950398</v>
      </c>
      <c r="N151" s="554">
        <f t="shared" si="102"/>
        <v>0</v>
      </c>
      <c r="O151" s="554">
        <f t="shared" si="102"/>
        <v>0</v>
      </c>
      <c r="P151" s="554">
        <f t="shared" si="102"/>
        <v>0</v>
      </c>
      <c r="Q151" s="554"/>
      <c r="R151" s="554"/>
      <c r="S151" s="554"/>
      <c r="T151" s="554"/>
      <c r="U151" s="554"/>
      <c r="V151" s="554"/>
      <c r="W151" s="554"/>
      <c r="X151" s="2755" t="s">
        <v>35</v>
      </c>
      <c r="Y151" s="2612" t="s">
        <v>120</v>
      </c>
      <c r="Z151" s="1710"/>
    </row>
    <row r="152" spans="1:26" ht="13.5" customHeight="1">
      <c r="A152" s="2599"/>
      <c r="B152" s="1392" t="s">
        <v>36</v>
      </c>
      <c r="C152" s="2594" t="s">
        <v>101</v>
      </c>
      <c r="D152" s="449">
        <f>+D153</f>
        <v>7489864</v>
      </c>
      <c r="E152" s="449">
        <f t="shared" ref="E152:P152" si="103">+E153</f>
        <v>0</v>
      </c>
      <c r="F152" s="449">
        <f t="shared" si="103"/>
        <v>0</v>
      </c>
      <c r="G152" s="449">
        <f t="shared" si="103"/>
        <v>0</v>
      </c>
      <c r="H152" s="449">
        <f t="shared" si="103"/>
        <v>0</v>
      </c>
      <c r="I152" s="449">
        <f t="shared" si="103"/>
        <v>0</v>
      </c>
      <c r="J152" s="449">
        <f t="shared" si="103"/>
        <v>2000000</v>
      </c>
      <c r="K152" s="449">
        <f t="shared" si="103"/>
        <v>3500000</v>
      </c>
      <c r="L152" s="449">
        <f t="shared" si="103"/>
        <v>1989864</v>
      </c>
      <c r="M152" s="449">
        <f t="shared" si="103"/>
        <v>7489864</v>
      </c>
      <c r="N152" s="449">
        <f t="shared" si="103"/>
        <v>0</v>
      </c>
      <c r="O152" s="449">
        <f t="shared" si="103"/>
        <v>0</v>
      </c>
      <c r="P152" s="449">
        <f t="shared" si="103"/>
        <v>0</v>
      </c>
      <c r="Q152" s="449"/>
      <c r="R152" s="449"/>
      <c r="S152" s="449"/>
      <c r="T152" s="449"/>
      <c r="U152" s="449"/>
      <c r="V152" s="449"/>
      <c r="W152" s="449"/>
      <c r="X152" s="2756"/>
      <c r="Y152" s="2606"/>
    </row>
    <row r="153" spans="1:26" ht="13.5" customHeight="1">
      <c r="A153" s="2599"/>
      <c r="B153" s="526" t="s">
        <v>27</v>
      </c>
      <c r="C153" s="2595"/>
      <c r="D153" s="1381">
        <f>M153+O153+P153+Q153+R153+S153+T153+U153+V153+W153</f>
        <v>7489864</v>
      </c>
      <c r="E153" s="1681">
        <f>+F153+G153+H153</f>
        <v>0</v>
      </c>
      <c r="F153" s="1681">
        <v>0</v>
      </c>
      <c r="G153" s="1681">
        <v>0</v>
      </c>
      <c r="H153" s="1681">
        <v>0</v>
      </c>
      <c r="I153" s="1681">
        <v>0</v>
      </c>
      <c r="J153" s="1681">
        <v>2000000</v>
      </c>
      <c r="K153" s="1681">
        <v>3500000</v>
      </c>
      <c r="L153" s="1681">
        <f>800000+1189864</f>
        <v>1989864</v>
      </c>
      <c r="M153" s="1676">
        <f>+E153+I153+J153+K153+L153+N153</f>
        <v>7489864</v>
      </c>
      <c r="N153" s="1681">
        <v>0</v>
      </c>
      <c r="O153" s="1681">
        <v>0</v>
      </c>
      <c r="P153" s="1681">
        <v>0</v>
      </c>
      <c r="Q153" s="1681"/>
      <c r="R153" s="1681"/>
      <c r="S153" s="1681"/>
      <c r="T153" s="1681"/>
      <c r="U153" s="1681"/>
      <c r="V153" s="1681"/>
      <c r="W153" s="1681"/>
      <c r="X153" s="2756"/>
      <c r="Y153" s="2606"/>
    </row>
    <row r="154" spans="1:26" s="864" customFormat="1" ht="12.75" customHeight="1">
      <c r="A154" s="2599"/>
      <c r="B154" s="502" t="s">
        <v>30</v>
      </c>
      <c r="C154" s="2595"/>
      <c r="D154" s="1682">
        <f t="shared" ref="D154:P154" si="104">+D155</f>
        <v>12460534</v>
      </c>
      <c r="E154" s="1683">
        <f t="shared" si="104"/>
        <v>0</v>
      </c>
      <c r="F154" s="1683">
        <f t="shared" si="104"/>
        <v>0</v>
      </c>
      <c r="G154" s="1683">
        <f t="shared" si="104"/>
        <v>0</v>
      </c>
      <c r="H154" s="1683">
        <f t="shared" si="104"/>
        <v>0</v>
      </c>
      <c r="I154" s="1683">
        <f t="shared" si="104"/>
        <v>0</v>
      </c>
      <c r="J154" s="1683">
        <f t="shared" si="104"/>
        <v>0</v>
      </c>
      <c r="K154" s="1683">
        <f t="shared" si="104"/>
        <v>11567686</v>
      </c>
      <c r="L154" s="1683">
        <f t="shared" si="104"/>
        <v>892848</v>
      </c>
      <c r="M154" s="1683">
        <f t="shared" si="104"/>
        <v>12460534</v>
      </c>
      <c r="N154" s="1683">
        <f t="shared" si="104"/>
        <v>0</v>
      </c>
      <c r="O154" s="1683">
        <f t="shared" si="104"/>
        <v>0</v>
      </c>
      <c r="P154" s="1683">
        <f t="shared" si="104"/>
        <v>0</v>
      </c>
      <c r="Q154" s="1683"/>
      <c r="R154" s="1683"/>
      <c r="S154" s="1683"/>
      <c r="T154" s="1683"/>
      <c r="U154" s="1683"/>
      <c r="V154" s="1683"/>
      <c r="W154" s="1683"/>
      <c r="X154" s="2756"/>
      <c r="Y154" s="2606"/>
    </row>
    <row r="155" spans="1:26" s="862" customFormat="1" ht="12.75" customHeight="1" thickBot="1">
      <c r="A155" s="2600"/>
      <c r="B155" s="496" t="s">
        <v>33</v>
      </c>
      <c r="C155" s="2596"/>
      <c r="D155" s="1064">
        <f>M155+O155+P155+Q155+R155+S155+T155+U155+V155+W155</f>
        <v>12460534</v>
      </c>
      <c r="E155" s="475">
        <f>+F155+G155+H155</f>
        <v>0</v>
      </c>
      <c r="F155" s="538">
        <v>0</v>
      </c>
      <c r="G155" s="539">
        <v>0</v>
      </c>
      <c r="H155" s="540">
        <v>0</v>
      </c>
      <c r="I155" s="540">
        <v>0</v>
      </c>
      <c r="J155" s="540">
        <f>1283619-1283619</f>
        <v>0</v>
      </c>
      <c r="K155" s="540">
        <v>11567686</v>
      </c>
      <c r="L155" s="540">
        <f>990063-93584-3268-363</f>
        <v>892848</v>
      </c>
      <c r="M155" s="1064">
        <f>+E155+I155+J155+K155+L155+N155</f>
        <v>12460534</v>
      </c>
      <c r="N155" s="499">
        <v>0</v>
      </c>
      <c r="O155" s="499">
        <v>0</v>
      </c>
      <c r="P155" s="499">
        <v>0</v>
      </c>
      <c r="Q155" s="499"/>
      <c r="R155" s="499"/>
      <c r="S155" s="499"/>
      <c r="T155" s="499"/>
      <c r="U155" s="499"/>
      <c r="V155" s="499"/>
      <c r="W155" s="499"/>
      <c r="X155" s="2757"/>
      <c r="Y155" s="2607"/>
    </row>
    <row r="156" spans="1:26" ht="27" customHeight="1">
      <c r="A156" s="2597" t="s">
        <v>83</v>
      </c>
      <c r="B156" s="417" t="s">
        <v>412</v>
      </c>
      <c r="C156" s="418" t="s">
        <v>97</v>
      </c>
      <c r="D156" s="555"/>
      <c r="E156" s="530"/>
      <c r="F156" s="531"/>
      <c r="G156" s="530"/>
      <c r="H156" s="530"/>
      <c r="I156" s="530"/>
      <c r="J156" s="530"/>
      <c r="K156" s="530"/>
      <c r="L156" s="530"/>
      <c r="M156" s="532"/>
      <c r="N156" s="532"/>
      <c r="O156" s="532"/>
      <c r="P156" s="532"/>
      <c r="Q156" s="532"/>
      <c r="R156" s="532"/>
      <c r="S156" s="532"/>
      <c r="T156" s="532"/>
      <c r="U156" s="532"/>
      <c r="V156" s="532"/>
      <c r="W156" s="532"/>
      <c r="X156" s="423"/>
      <c r="Y156" s="519"/>
      <c r="Z156" s="778"/>
    </row>
    <row r="157" spans="1:26" ht="13.5" customHeight="1">
      <c r="A157" s="2598"/>
      <c r="B157" s="483" t="s">
        <v>22</v>
      </c>
      <c r="C157" s="359"/>
      <c r="D157" s="462">
        <f>+D158+D160</f>
        <v>27987543</v>
      </c>
      <c r="E157" s="462">
        <f t="shared" ref="E157:O157" si="105">+E158+E160</f>
        <v>17047</v>
      </c>
      <c r="F157" s="462">
        <f t="shared" si="105"/>
        <v>0</v>
      </c>
      <c r="G157" s="462">
        <f t="shared" si="105"/>
        <v>17047</v>
      </c>
      <c r="H157" s="462">
        <f t="shared" si="105"/>
        <v>0</v>
      </c>
      <c r="I157" s="462">
        <f t="shared" si="105"/>
        <v>365000</v>
      </c>
      <c r="J157" s="462">
        <f t="shared" si="105"/>
        <v>262261</v>
      </c>
      <c r="K157" s="462">
        <f t="shared" si="105"/>
        <v>7988162</v>
      </c>
      <c r="L157" s="462">
        <f t="shared" si="105"/>
        <v>11833174</v>
      </c>
      <c r="M157" s="462">
        <f>+M158+M160</f>
        <v>27933609</v>
      </c>
      <c r="N157" s="462">
        <f t="shared" si="105"/>
        <v>7467965</v>
      </c>
      <c r="O157" s="462">
        <f t="shared" si="105"/>
        <v>32489</v>
      </c>
      <c r="P157" s="462">
        <f>+P158+P160</f>
        <v>21445</v>
      </c>
      <c r="Q157" s="462"/>
      <c r="R157" s="462"/>
      <c r="S157" s="462"/>
      <c r="T157" s="462"/>
      <c r="U157" s="462"/>
      <c r="V157" s="462"/>
      <c r="W157" s="462"/>
      <c r="X157" s="464">
        <f>+X158+X160</f>
        <v>21445</v>
      </c>
      <c r="Y157" s="2641" t="s">
        <v>103</v>
      </c>
      <c r="Z157" s="778"/>
    </row>
    <row r="158" spans="1:26" ht="13.5" customHeight="1">
      <c r="A158" s="2598"/>
      <c r="B158" s="484" t="s">
        <v>36</v>
      </c>
      <c r="C158" s="2602" t="s">
        <v>100</v>
      </c>
      <c r="D158" s="465">
        <f>+D159</f>
        <v>1848072</v>
      </c>
      <c r="E158" s="465">
        <f t="shared" ref="E158:P158" si="106">+E159</f>
        <v>0</v>
      </c>
      <c r="F158" s="465">
        <f t="shared" si="106"/>
        <v>0</v>
      </c>
      <c r="G158" s="465">
        <f t="shared" si="106"/>
        <v>16536</v>
      </c>
      <c r="H158" s="465">
        <f t="shared" si="106"/>
        <v>0</v>
      </c>
      <c r="I158" s="465">
        <f t="shared" si="106"/>
        <v>0</v>
      </c>
      <c r="J158" s="465">
        <f t="shared" si="106"/>
        <v>58161</v>
      </c>
      <c r="K158" s="465">
        <f t="shared" si="106"/>
        <v>21209</v>
      </c>
      <c r="L158" s="465">
        <f t="shared" si="106"/>
        <v>1092705</v>
      </c>
      <c r="M158" s="465">
        <f t="shared" si="106"/>
        <v>1794138</v>
      </c>
      <c r="N158" s="465">
        <f t="shared" si="106"/>
        <v>622063</v>
      </c>
      <c r="O158" s="465">
        <f t="shared" si="106"/>
        <v>32489</v>
      </c>
      <c r="P158" s="465">
        <f t="shared" si="106"/>
        <v>21445</v>
      </c>
      <c r="Q158" s="465"/>
      <c r="R158" s="465"/>
      <c r="S158" s="465"/>
      <c r="T158" s="465"/>
      <c r="U158" s="465"/>
      <c r="V158" s="465"/>
      <c r="W158" s="465"/>
      <c r="X158" s="466">
        <f>+X159</f>
        <v>21445</v>
      </c>
      <c r="Y158" s="2641"/>
    </row>
    <row r="159" spans="1:26" ht="12.75" customHeight="1">
      <c r="A159" s="2598"/>
      <c r="B159" s="468" t="s">
        <v>24</v>
      </c>
      <c r="C159" s="2643"/>
      <c r="D159" s="433">
        <f>M159+O159+P159+Q159+R159+S159+T159+U159+V159+W159</f>
        <v>1848072</v>
      </c>
      <c r="E159" s="440">
        <v>0</v>
      </c>
      <c r="F159" s="441">
        <v>0</v>
      </c>
      <c r="G159" s="478">
        <v>16536</v>
      </c>
      <c r="H159" s="478">
        <v>0</v>
      </c>
      <c r="I159" s="478">
        <v>0</v>
      </c>
      <c r="J159" s="478">
        <v>58161</v>
      </c>
      <c r="K159" s="478">
        <f>197+21012</f>
        <v>21209</v>
      </c>
      <c r="L159" s="478">
        <f>3399803+400000+834804+1189864-4317794-460271+32960+13339</f>
        <v>1092705</v>
      </c>
      <c r="M159" s="434">
        <f>+E159+I159+J159+K159+L159+N159</f>
        <v>1794138</v>
      </c>
      <c r="N159" s="478">
        <f>1123290+2958425-139639-2739729-332960-144487-102897+60</f>
        <v>622063</v>
      </c>
      <c r="O159" s="478">
        <f>125000-42451-24500-25560</f>
        <v>32489</v>
      </c>
      <c r="P159" s="514">
        <f>24500+43960-47015</f>
        <v>21445</v>
      </c>
      <c r="Q159" s="441"/>
      <c r="R159" s="441"/>
      <c r="S159" s="441"/>
      <c r="T159" s="441"/>
      <c r="U159" s="441"/>
      <c r="V159" s="441"/>
      <c r="W159" s="441"/>
      <c r="X159" s="393">
        <f>SUM(P159:T159)</f>
        <v>21445</v>
      </c>
      <c r="Y159" s="2641"/>
    </row>
    <row r="160" spans="1:26" ht="12.75" customHeight="1">
      <c r="A160" s="2598"/>
      <c r="B160" s="488" t="s">
        <v>30</v>
      </c>
      <c r="C160" s="2643"/>
      <c r="D160" s="443">
        <f>+D161</f>
        <v>26139471</v>
      </c>
      <c r="E160" s="443">
        <f t="shared" ref="E160:P160" si="107">+E161</f>
        <v>17047</v>
      </c>
      <c r="F160" s="443">
        <f t="shared" si="107"/>
        <v>0</v>
      </c>
      <c r="G160" s="443">
        <f t="shared" si="107"/>
        <v>511</v>
      </c>
      <c r="H160" s="443">
        <f t="shared" si="107"/>
        <v>0</v>
      </c>
      <c r="I160" s="443">
        <f t="shared" si="107"/>
        <v>365000</v>
      </c>
      <c r="J160" s="443">
        <f t="shared" si="107"/>
        <v>204100</v>
      </c>
      <c r="K160" s="443">
        <f t="shared" si="107"/>
        <v>7966953</v>
      </c>
      <c r="L160" s="443">
        <f t="shared" si="107"/>
        <v>10740469</v>
      </c>
      <c r="M160" s="443">
        <f t="shared" si="107"/>
        <v>26139471</v>
      </c>
      <c r="N160" s="443">
        <f t="shared" si="107"/>
        <v>6845902</v>
      </c>
      <c r="O160" s="443">
        <f t="shared" si="107"/>
        <v>0</v>
      </c>
      <c r="P160" s="443">
        <f t="shared" si="107"/>
        <v>0</v>
      </c>
      <c r="Q160" s="443"/>
      <c r="R160" s="443"/>
      <c r="S160" s="443"/>
      <c r="T160" s="443"/>
      <c r="U160" s="443"/>
      <c r="V160" s="443"/>
      <c r="W160" s="443"/>
      <c r="X160" s="466">
        <f>+X161</f>
        <v>0</v>
      </c>
      <c r="Y160" s="2641"/>
    </row>
    <row r="161" spans="1:29" ht="12" customHeight="1">
      <c r="A161" s="2598"/>
      <c r="B161" s="487" t="s">
        <v>33</v>
      </c>
      <c r="C161" s="2644"/>
      <c r="D161" s="433">
        <f>M161+O161+P161+Q161+R161+S161+T161+U161+V161+W161</f>
        <v>26139471</v>
      </c>
      <c r="E161" s="440">
        <f>+F161+G161+H161+16536</f>
        <v>17047</v>
      </c>
      <c r="F161" s="441">
        <v>0</v>
      </c>
      <c r="G161" s="478">
        <v>511</v>
      </c>
      <c r="H161" s="478">
        <v>0</v>
      </c>
      <c r="I161" s="478">
        <f>10950+354050</f>
        <v>365000</v>
      </c>
      <c r="J161" s="478">
        <f>262261-58161</f>
        <v>204100</v>
      </c>
      <c r="K161" s="478">
        <f>7987965-21012</f>
        <v>7966953</v>
      </c>
      <c r="L161" s="440">
        <f>11767727+1000000-2178767-95637+293445-32960-13339</f>
        <v>10740469</v>
      </c>
      <c r="M161" s="434">
        <f>+E161+I161+J161+K161+L161+N161</f>
        <v>26139471</v>
      </c>
      <c r="N161" s="440">
        <f>5500000+1511039+235276-293445+32960-122228-17640-60</f>
        <v>6845902</v>
      </c>
      <c r="O161" s="440">
        <v>0</v>
      </c>
      <c r="P161" s="441">
        <v>0</v>
      </c>
      <c r="Q161" s="441"/>
      <c r="R161" s="441"/>
      <c r="S161" s="441"/>
      <c r="T161" s="441"/>
      <c r="U161" s="441"/>
      <c r="V161" s="441"/>
      <c r="W161" s="441"/>
      <c r="X161" s="393">
        <f>SUM(P161:T161)</f>
        <v>0</v>
      </c>
      <c r="Y161" s="2642"/>
    </row>
    <row r="162" spans="1:29" s="862" customFormat="1" ht="12.75" customHeight="1">
      <c r="A162" s="2599"/>
      <c r="B162" s="489" t="s">
        <v>34</v>
      </c>
      <c r="C162" s="359"/>
      <c r="D162" s="448">
        <f>+D165+D163</f>
        <v>26980952</v>
      </c>
      <c r="E162" s="448">
        <f t="shared" ref="E162:P162" si="108">+E165+E163</f>
        <v>0</v>
      </c>
      <c r="F162" s="448">
        <f t="shared" si="108"/>
        <v>0</v>
      </c>
      <c r="G162" s="448">
        <f t="shared" si="108"/>
        <v>0</v>
      </c>
      <c r="H162" s="448">
        <f t="shared" si="108"/>
        <v>0</v>
      </c>
      <c r="I162" s="448">
        <f t="shared" si="108"/>
        <v>0</v>
      </c>
      <c r="J162" s="448">
        <f t="shared" si="108"/>
        <v>0</v>
      </c>
      <c r="K162" s="448">
        <f t="shared" si="108"/>
        <v>0</v>
      </c>
      <c r="L162" s="448">
        <f t="shared" si="108"/>
        <v>18716756</v>
      </c>
      <c r="M162" s="448">
        <f>+M165+M163</f>
        <v>25892824</v>
      </c>
      <c r="N162" s="448">
        <f t="shared" si="108"/>
        <v>7176068</v>
      </c>
      <c r="O162" s="448">
        <f t="shared" si="108"/>
        <v>1088128</v>
      </c>
      <c r="P162" s="448">
        <f t="shared" si="108"/>
        <v>0</v>
      </c>
      <c r="Q162" s="448"/>
      <c r="R162" s="448"/>
      <c r="S162" s="448"/>
      <c r="T162" s="448"/>
      <c r="U162" s="448"/>
      <c r="V162" s="448"/>
      <c r="W162" s="448"/>
      <c r="X162" s="2758" t="s">
        <v>35</v>
      </c>
      <c r="Y162" s="2605" t="s">
        <v>120</v>
      </c>
      <c r="Z162" s="861"/>
    </row>
    <row r="163" spans="1:29" ht="13.5" customHeight="1">
      <c r="A163" s="2599"/>
      <c r="B163" s="484" t="s">
        <v>36</v>
      </c>
      <c r="C163" s="2707" t="s">
        <v>100</v>
      </c>
      <c r="D163" s="449">
        <f>+D164</f>
        <v>841481</v>
      </c>
      <c r="E163" s="449">
        <f t="shared" ref="E163:P163" si="109">+E164</f>
        <v>0</v>
      </c>
      <c r="F163" s="449">
        <f t="shared" si="109"/>
        <v>0</v>
      </c>
      <c r="G163" s="449">
        <f t="shared" si="109"/>
        <v>0</v>
      </c>
      <c r="H163" s="449">
        <f t="shared" si="109"/>
        <v>0</v>
      </c>
      <c r="I163" s="449">
        <f t="shared" si="109"/>
        <v>0</v>
      </c>
      <c r="J163" s="449">
        <f t="shared" si="109"/>
        <v>0</v>
      </c>
      <c r="K163" s="449">
        <f t="shared" si="109"/>
        <v>0</v>
      </c>
      <c r="L163" s="449">
        <f t="shared" si="109"/>
        <v>841481</v>
      </c>
      <c r="M163" s="449">
        <f t="shared" si="109"/>
        <v>841481</v>
      </c>
      <c r="N163" s="449">
        <f t="shared" si="109"/>
        <v>0</v>
      </c>
      <c r="O163" s="449">
        <f t="shared" si="109"/>
        <v>0</v>
      </c>
      <c r="P163" s="449">
        <f t="shared" si="109"/>
        <v>0</v>
      </c>
      <c r="Q163" s="449"/>
      <c r="R163" s="449"/>
      <c r="S163" s="449"/>
      <c r="T163" s="449"/>
      <c r="U163" s="449"/>
      <c r="V163" s="449"/>
      <c r="W163" s="449"/>
      <c r="X163" s="2756"/>
      <c r="Y163" s="2606"/>
    </row>
    <row r="164" spans="1:29" ht="13.5" customHeight="1">
      <c r="A164" s="2599"/>
      <c r="B164" s="526" t="s">
        <v>38</v>
      </c>
      <c r="C164" s="2708"/>
      <c r="D164" s="433">
        <f>M164+O164+P164+Q164+R164+S164+T164+U164+V164+W164</f>
        <v>841481</v>
      </c>
      <c r="E164" s="451">
        <f>+F164+G164+H164</f>
        <v>0</v>
      </c>
      <c r="F164" s="451">
        <v>0</v>
      </c>
      <c r="G164" s="451">
        <v>0</v>
      </c>
      <c r="H164" s="451">
        <v>0</v>
      </c>
      <c r="I164" s="451">
        <v>0</v>
      </c>
      <c r="J164" s="451"/>
      <c r="K164" s="451"/>
      <c r="L164" s="451">
        <f>834804+6677</f>
        <v>841481</v>
      </c>
      <c r="M164" s="434">
        <f>+E164+I164+J164+K164+L164+N164</f>
        <v>841481</v>
      </c>
      <c r="N164" s="451">
        <v>0</v>
      </c>
      <c r="O164" s="451">
        <v>0</v>
      </c>
      <c r="P164" s="451">
        <v>0</v>
      </c>
      <c r="Q164" s="451"/>
      <c r="R164" s="451"/>
      <c r="S164" s="451"/>
      <c r="T164" s="451"/>
      <c r="U164" s="451"/>
      <c r="V164" s="451"/>
      <c r="W164" s="451"/>
      <c r="X164" s="2756"/>
      <c r="Y164" s="2606"/>
    </row>
    <row r="165" spans="1:29" s="864" customFormat="1" ht="12.75" customHeight="1">
      <c r="A165" s="2599"/>
      <c r="B165" s="488" t="s">
        <v>30</v>
      </c>
      <c r="C165" s="2602" t="s">
        <v>101</v>
      </c>
      <c r="D165" s="495">
        <f>+D166</f>
        <v>26139471</v>
      </c>
      <c r="E165" s="495">
        <f t="shared" ref="E165:P165" si="110">+E166</f>
        <v>0</v>
      </c>
      <c r="F165" s="495">
        <f t="shared" si="110"/>
        <v>0</v>
      </c>
      <c r="G165" s="495">
        <f t="shared" si="110"/>
        <v>0</v>
      </c>
      <c r="H165" s="495">
        <f t="shared" si="110"/>
        <v>0</v>
      </c>
      <c r="I165" s="495">
        <f t="shared" si="110"/>
        <v>0</v>
      </c>
      <c r="J165" s="495">
        <f t="shared" si="110"/>
        <v>0</v>
      </c>
      <c r="K165" s="495">
        <f t="shared" si="110"/>
        <v>0</v>
      </c>
      <c r="L165" s="495">
        <f t="shared" si="110"/>
        <v>17875275</v>
      </c>
      <c r="M165" s="495">
        <f t="shared" si="110"/>
        <v>25051343</v>
      </c>
      <c r="N165" s="495">
        <f t="shared" si="110"/>
        <v>7176068</v>
      </c>
      <c r="O165" s="495">
        <f t="shared" si="110"/>
        <v>1088128</v>
      </c>
      <c r="P165" s="495">
        <f t="shared" si="110"/>
        <v>0</v>
      </c>
      <c r="Q165" s="495"/>
      <c r="R165" s="495"/>
      <c r="S165" s="495"/>
      <c r="T165" s="495"/>
      <c r="U165" s="495"/>
      <c r="V165" s="495"/>
      <c r="W165" s="495"/>
      <c r="X165" s="2756"/>
      <c r="Y165" s="2606"/>
    </row>
    <row r="166" spans="1:29" s="862" customFormat="1" ht="12.75" customHeight="1" thickBot="1">
      <c r="A166" s="2600"/>
      <c r="B166" s="496" t="s">
        <v>33</v>
      </c>
      <c r="C166" s="2608"/>
      <c r="D166" s="1065">
        <f>M166+O166+P166+Q166+R166+S166+T166+U166+V166+W166</f>
        <v>26139471</v>
      </c>
      <c r="E166" s="475">
        <f>+F166+G166+H166</f>
        <v>0</v>
      </c>
      <c r="F166" s="538">
        <v>0</v>
      </c>
      <c r="G166" s="539">
        <v>0</v>
      </c>
      <c r="H166" s="540">
        <v>0</v>
      </c>
      <c r="I166" s="540">
        <v>0</v>
      </c>
      <c r="J166" s="539">
        <f>41461-41461</f>
        <v>0</v>
      </c>
      <c r="K166" s="539">
        <v>0</v>
      </c>
      <c r="L166" s="540">
        <f>19300000-1300000-124725</f>
        <v>17875275</v>
      </c>
      <c r="M166" s="1064">
        <f>+E166+I166+J166+K166+L166+N166</f>
        <v>25051343</v>
      </c>
      <c r="N166" s="540">
        <f>1100000+6500000+553099+264364-1228054-13341</f>
        <v>7176068</v>
      </c>
      <c r="O166" s="539">
        <f>1228054-108887-30979-60</f>
        <v>1088128</v>
      </c>
      <c r="P166" s="499">
        <v>0</v>
      </c>
      <c r="Q166" s="499"/>
      <c r="R166" s="499"/>
      <c r="S166" s="499"/>
      <c r="T166" s="499"/>
      <c r="U166" s="499"/>
      <c r="V166" s="499"/>
      <c r="W166" s="499"/>
      <c r="X166" s="2757"/>
      <c r="Y166" s="2607"/>
    </row>
    <row r="167" spans="1:29" ht="25.5" customHeight="1">
      <c r="A167" s="2597" t="s">
        <v>136</v>
      </c>
      <c r="B167" s="1066" t="s">
        <v>531</v>
      </c>
      <c r="C167" s="418" t="s">
        <v>97</v>
      </c>
      <c r="D167" s="458"/>
      <c r="E167" s="482"/>
      <c r="F167" s="459"/>
      <c r="G167" s="460"/>
      <c r="H167" s="460"/>
      <c r="I167" s="420"/>
      <c r="J167" s="420"/>
      <c r="K167" s="420"/>
      <c r="L167" s="420"/>
      <c r="M167" s="422"/>
      <c r="N167" s="422"/>
      <c r="O167" s="422"/>
      <c r="P167" s="422"/>
      <c r="Q167" s="422"/>
      <c r="R167" s="422"/>
      <c r="S167" s="422"/>
      <c r="T167" s="422"/>
      <c r="U167" s="422"/>
      <c r="V167" s="422"/>
      <c r="W167" s="422"/>
      <c r="X167" s="423"/>
      <c r="Y167" s="519"/>
      <c r="AC167" s="865"/>
    </row>
    <row r="168" spans="1:29" ht="11.25" customHeight="1">
      <c r="A168" s="2598"/>
      <c r="B168" s="483" t="s">
        <v>22</v>
      </c>
      <c r="C168" s="359"/>
      <c r="D168" s="462">
        <f>+D169+D171</f>
        <v>12483753</v>
      </c>
      <c r="E168" s="462">
        <f t="shared" ref="E168:P168" si="111">+E169+E171</f>
        <v>10549</v>
      </c>
      <c r="F168" s="462">
        <f t="shared" si="111"/>
        <v>0</v>
      </c>
      <c r="G168" s="462">
        <f t="shared" si="111"/>
        <v>0</v>
      </c>
      <c r="H168" s="462">
        <f t="shared" si="111"/>
        <v>0</v>
      </c>
      <c r="I168" s="462">
        <f t="shared" si="111"/>
        <v>18660</v>
      </c>
      <c r="J168" s="462">
        <f t="shared" si="111"/>
        <v>114255</v>
      </c>
      <c r="K168" s="462">
        <f t="shared" si="111"/>
        <v>166758</v>
      </c>
      <c r="L168" s="462">
        <f t="shared" si="111"/>
        <v>9811984</v>
      </c>
      <c r="M168" s="462">
        <f>+M169+M171</f>
        <v>12403753</v>
      </c>
      <c r="N168" s="462">
        <f t="shared" si="111"/>
        <v>2281547</v>
      </c>
      <c r="O168" s="462">
        <f t="shared" si="111"/>
        <v>0</v>
      </c>
      <c r="P168" s="462">
        <f t="shared" si="111"/>
        <v>62995</v>
      </c>
      <c r="Q168" s="462">
        <f>+Q169+Q171</f>
        <v>17005</v>
      </c>
      <c r="R168" s="462"/>
      <c r="S168" s="462"/>
      <c r="T168" s="462"/>
      <c r="U168" s="462"/>
      <c r="V168" s="462"/>
      <c r="W168" s="462"/>
      <c r="X168" s="464">
        <f>+X169+X171</f>
        <v>80000</v>
      </c>
      <c r="Y168" s="2641" t="s">
        <v>103</v>
      </c>
      <c r="Z168" s="778"/>
      <c r="AA168" s="778"/>
      <c r="AB168" s="778"/>
      <c r="AC168" s="778"/>
    </row>
    <row r="169" spans="1:29" ht="13.5" customHeight="1">
      <c r="A169" s="2598"/>
      <c r="B169" s="484" t="s">
        <v>36</v>
      </c>
      <c r="C169" s="2602" t="s">
        <v>100</v>
      </c>
      <c r="D169" s="465">
        <f>+D170</f>
        <v>2583530</v>
      </c>
      <c r="E169" s="465">
        <f t="shared" ref="E169:Q169" si="112">+E170</f>
        <v>10549</v>
      </c>
      <c r="F169" s="465">
        <f t="shared" si="112"/>
        <v>0</v>
      </c>
      <c r="G169" s="465">
        <f t="shared" si="112"/>
        <v>0</v>
      </c>
      <c r="H169" s="465">
        <f t="shared" si="112"/>
        <v>0</v>
      </c>
      <c r="I169" s="465">
        <f t="shared" si="112"/>
        <v>0</v>
      </c>
      <c r="J169" s="465">
        <f t="shared" si="112"/>
        <v>2295</v>
      </c>
      <c r="K169" s="465">
        <f t="shared" si="112"/>
        <v>0</v>
      </c>
      <c r="L169" s="465">
        <f t="shared" si="112"/>
        <v>539085</v>
      </c>
      <c r="M169" s="465">
        <f t="shared" si="112"/>
        <v>2503530</v>
      </c>
      <c r="N169" s="465">
        <f t="shared" si="112"/>
        <v>1951601</v>
      </c>
      <c r="O169" s="465">
        <f t="shared" si="112"/>
        <v>0</v>
      </c>
      <c r="P169" s="465">
        <f t="shared" si="112"/>
        <v>62995</v>
      </c>
      <c r="Q169" s="465">
        <f t="shared" si="112"/>
        <v>17005</v>
      </c>
      <c r="R169" s="465"/>
      <c r="S169" s="465"/>
      <c r="T169" s="465"/>
      <c r="U169" s="465"/>
      <c r="V169" s="465"/>
      <c r="W169" s="465"/>
      <c r="X169" s="486">
        <f>+X170</f>
        <v>80000</v>
      </c>
      <c r="Y169" s="2641"/>
      <c r="Z169" s="778"/>
    </row>
    <row r="170" spans="1:29" ht="12" customHeight="1">
      <c r="A170" s="2598"/>
      <c r="B170" s="468" t="s">
        <v>24</v>
      </c>
      <c r="C170" s="2595"/>
      <c r="D170" s="433">
        <f>M170+O170+P170+Q170+R170+S170+T170+U170+V170+W170</f>
        <v>2583530</v>
      </c>
      <c r="E170" s="1067">
        <v>10549</v>
      </c>
      <c r="F170" s="440"/>
      <c r="G170" s="440">
        <v>0</v>
      </c>
      <c r="H170" s="478">
        <v>0</v>
      </c>
      <c r="I170" s="478">
        <v>0</v>
      </c>
      <c r="J170" s="478">
        <v>2295</v>
      </c>
      <c r="K170" s="478">
        <f>43675-43675</f>
        <v>0</v>
      </c>
      <c r="L170" s="440">
        <v>539085</v>
      </c>
      <c r="M170" s="434">
        <f>+E170+I170+J170+K170+L170+N170</f>
        <v>2503530</v>
      </c>
      <c r="N170" s="478">
        <f>1046821-447215-41080+424445+968630</f>
        <v>1951601</v>
      </c>
      <c r="O170" s="478">
        <f>41080-41080</f>
        <v>0</v>
      </c>
      <c r="P170" s="514">
        <f>80000-17005</f>
        <v>62995</v>
      </c>
      <c r="Q170" s="514">
        <v>17005</v>
      </c>
      <c r="R170" s="441"/>
      <c r="S170" s="441"/>
      <c r="T170" s="441"/>
      <c r="U170" s="441"/>
      <c r="V170" s="441"/>
      <c r="W170" s="441"/>
      <c r="X170" s="393">
        <f>SUM(P170:T170)</f>
        <v>80000</v>
      </c>
      <c r="Y170" s="2641"/>
      <c r="Z170" s="778"/>
    </row>
    <row r="171" spans="1:29" ht="12.75" customHeight="1">
      <c r="A171" s="2598"/>
      <c r="B171" s="524" t="s">
        <v>30</v>
      </c>
      <c r="C171" s="2595"/>
      <c r="D171" s="443">
        <f>+D172</f>
        <v>9900223</v>
      </c>
      <c r="E171" s="443">
        <f t="shared" ref="E171:P171" si="113">+E172</f>
        <v>0</v>
      </c>
      <c r="F171" s="443">
        <f t="shared" si="113"/>
        <v>0</v>
      </c>
      <c r="G171" s="443">
        <f t="shared" si="113"/>
        <v>0</v>
      </c>
      <c r="H171" s="443">
        <f t="shared" si="113"/>
        <v>0</v>
      </c>
      <c r="I171" s="443">
        <f t="shared" si="113"/>
        <v>18660</v>
      </c>
      <c r="J171" s="443">
        <f t="shared" si="113"/>
        <v>111960</v>
      </c>
      <c r="K171" s="443">
        <f t="shared" si="113"/>
        <v>166758</v>
      </c>
      <c r="L171" s="443">
        <f t="shared" si="113"/>
        <v>9272899</v>
      </c>
      <c r="M171" s="443">
        <f t="shared" si="113"/>
        <v>9900223</v>
      </c>
      <c r="N171" s="443">
        <f t="shared" si="113"/>
        <v>329946</v>
      </c>
      <c r="O171" s="443">
        <f t="shared" si="113"/>
        <v>0</v>
      </c>
      <c r="P171" s="443">
        <f t="shared" si="113"/>
        <v>0</v>
      </c>
      <c r="Q171" s="443"/>
      <c r="R171" s="443"/>
      <c r="S171" s="443"/>
      <c r="T171" s="443"/>
      <c r="U171" s="443"/>
      <c r="V171" s="443"/>
      <c r="W171" s="443"/>
      <c r="X171" s="486">
        <f>+X172</f>
        <v>0</v>
      </c>
      <c r="Y171" s="2641"/>
    </row>
    <row r="172" spans="1:29" ht="12" customHeight="1">
      <c r="A172" s="2598"/>
      <c r="B172" s="487" t="s">
        <v>33</v>
      </c>
      <c r="C172" s="2662"/>
      <c r="D172" s="433">
        <f>M172+O172+P172+Q172+R172+S172+T172+U172+V172+W172</f>
        <v>9900223</v>
      </c>
      <c r="E172" s="440">
        <f>+F172+G172+H172</f>
        <v>0</v>
      </c>
      <c r="F172" s="441">
        <v>0</v>
      </c>
      <c r="G172" s="478">
        <v>0</v>
      </c>
      <c r="H172" s="478">
        <v>0</v>
      </c>
      <c r="I172" s="478">
        <f>64968+9107-53465-1950</f>
        <v>18660</v>
      </c>
      <c r="J172" s="478">
        <f>397798+55766-327369-14235</f>
        <v>111960</v>
      </c>
      <c r="K172" s="478">
        <f>123083+43675</f>
        <v>166758</v>
      </c>
      <c r="L172" s="440">
        <f>10974278+2562159-1640000-1811402-273051-539085</f>
        <v>9272899</v>
      </c>
      <c r="M172" s="434">
        <f>+E172+I172+J172+K172+L172+N172</f>
        <v>9900223</v>
      </c>
      <c r="N172" s="440">
        <f>1811402+89236-177617-424445-968630</f>
        <v>329946</v>
      </c>
      <c r="O172" s="440">
        <v>0</v>
      </c>
      <c r="P172" s="441">
        <v>0</v>
      </c>
      <c r="Q172" s="441"/>
      <c r="R172" s="441"/>
      <c r="S172" s="441"/>
      <c r="T172" s="441"/>
      <c r="U172" s="441"/>
      <c r="V172" s="441"/>
      <c r="W172" s="441"/>
      <c r="X172" s="393">
        <f>SUM(P172:T172)</f>
        <v>0</v>
      </c>
      <c r="Y172" s="2642"/>
    </row>
    <row r="173" spans="1:29" s="862" customFormat="1" ht="12.75" customHeight="1">
      <c r="A173" s="2598"/>
      <c r="B173" s="489" t="s">
        <v>34</v>
      </c>
      <c r="C173" s="359"/>
      <c r="D173" s="448">
        <f>+D174</f>
        <v>9900223</v>
      </c>
      <c r="E173" s="448">
        <f t="shared" ref="E173:P174" si="114">+E174</f>
        <v>0</v>
      </c>
      <c r="F173" s="448">
        <f t="shared" si="114"/>
        <v>0</v>
      </c>
      <c r="G173" s="448">
        <f t="shared" si="114"/>
        <v>0</v>
      </c>
      <c r="H173" s="448">
        <f t="shared" si="114"/>
        <v>0</v>
      </c>
      <c r="I173" s="448">
        <f t="shared" si="114"/>
        <v>0</v>
      </c>
      <c r="J173" s="448">
        <f t="shared" si="114"/>
        <v>0</v>
      </c>
      <c r="K173" s="448">
        <f t="shared" si="114"/>
        <v>0</v>
      </c>
      <c r="L173" s="448">
        <f t="shared" si="114"/>
        <v>8420990</v>
      </c>
      <c r="M173" s="448">
        <f t="shared" si="114"/>
        <v>9900223</v>
      </c>
      <c r="N173" s="448">
        <f t="shared" si="114"/>
        <v>1479233</v>
      </c>
      <c r="O173" s="448">
        <f t="shared" si="114"/>
        <v>0</v>
      </c>
      <c r="P173" s="448">
        <f t="shared" si="114"/>
        <v>0</v>
      </c>
      <c r="Q173" s="448"/>
      <c r="R173" s="448"/>
      <c r="S173" s="448"/>
      <c r="T173" s="448"/>
      <c r="U173" s="448"/>
      <c r="V173" s="448"/>
      <c r="W173" s="448"/>
      <c r="X173" s="2758" t="s">
        <v>35</v>
      </c>
      <c r="Y173" s="2663" t="s">
        <v>120</v>
      </c>
      <c r="Z173" s="861"/>
    </row>
    <row r="174" spans="1:29" s="864" customFormat="1" ht="12.75" customHeight="1">
      <c r="A174" s="2598"/>
      <c r="B174" s="488" t="s">
        <v>30</v>
      </c>
      <c r="C174" s="2602" t="s">
        <v>101</v>
      </c>
      <c r="D174" s="495">
        <f>+D175</f>
        <v>9900223</v>
      </c>
      <c r="E174" s="495">
        <f t="shared" si="114"/>
        <v>0</v>
      </c>
      <c r="F174" s="495">
        <f t="shared" si="114"/>
        <v>0</v>
      </c>
      <c r="G174" s="495">
        <f t="shared" si="114"/>
        <v>0</v>
      </c>
      <c r="H174" s="495">
        <f t="shared" si="114"/>
        <v>0</v>
      </c>
      <c r="I174" s="495">
        <f t="shared" si="114"/>
        <v>0</v>
      </c>
      <c r="J174" s="495">
        <f t="shared" si="114"/>
        <v>0</v>
      </c>
      <c r="K174" s="520">
        <f t="shared" si="114"/>
        <v>0</v>
      </c>
      <c r="L174" s="520">
        <f t="shared" si="114"/>
        <v>8420990</v>
      </c>
      <c r="M174" s="520">
        <f t="shared" si="114"/>
        <v>9900223</v>
      </c>
      <c r="N174" s="520">
        <f t="shared" si="114"/>
        <v>1479233</v>
      </c>
      <c r="O174" s="520">
        <f t="shared" si="114"/>
        <v>0</v>
      </c>
      <c r="P174" s="495">
        <f t="shared" si="114"/>
        <v>0</v>
      </c>
      <c r="Q174" s="495"/>
      <c r="R174" s="495"/>
      <c r="S174" s="495"/>
      <c r="T174" s="495"/>
      <c r="U174" s="495"/>
      <c r="V174" s="495"/>
      <c r="W174" s="495"/>
      <c r="X174" s="2756"/>
      <c r="Y174" s="2641"/>
    </row>
    <row r="175" spans="1:29" s="862" customFormat="1" ht="12.75" customHeight="1" thickBot="1">
      <c r="A175" s="2654"/>
      <c r="B175" s="496" t="s">
        <v>33</v>
      </c>
      <c r="C175" s="2608"/>
      <c r="D175" s="1064">
        <f>M175+O175+P175+Q175+R175+S175+T175+U175+V175+W175</f>
        <v>9900223</v>
      </c>
      <c r="E175" s="475">
        <f>+F175+G175+H175</f>
        <v>0</v>
      </c>
      <c r="F175" s="538">
        <v>0</v>
      </c>
      <c r="G175" s="539">
        <v>0</v>
      </c>
      <c r="H175" s="540">
        <v>0</v>
      </c>
      <c r="I175" s="540">
        <v>0</v>
      </c>
      <c r="J175" s="539">
        <v>0</v>
      </c>
      <c r="K175" s="539">
        <v>0</v>
      </c>
      <c r="L175" s="539">
        <f>9125000+2225000-640000-2837772+548762</f>
        <v>8420990</v>
      </c>
      <c r="M175" s="1064">
        <f>+E175+I175+J175+K175+L175+N175</f>
        <v>9900223</v>
      </c>
      <c r="N175" s="539">
        <f>2500000-1000000+2837772-748762-177617-963611-968549</f>
        <v>1479233</v>
      </c>
      <c r="O175" s="539">
        <f>963611-424445-539085-81</f>
        <v>0</v>
      </c>
      <c r="P175" s="499">
        <v>0</v>
      </c>
      <c r="Q175" s="499"/>
      <c r="R175" s="499"/>
      <c r="S175" s="499"/>
      <c r="T175" s="499"/>
      <c r="U175" s="499"/>
      <c r="V175" s="499"/>
      <c r="W175" s="499"/>
      <c r="X175" s="2757"/>
      <c r="Y175" s="2655"/>
    </row>
    <row r="176" spans="1:29" ht="27.75" customHeight="1">
      <c r="A176" s="2597" t="s">
        <v>104</v>
      </c>
      <c r="B176" s="1066" t="s">
        <v>532</v>
      </c>
      <c r="C176" s="457" t="s">
        <v>97</v>
      </c>
      <c r="D176" s="555"/>
      <c r="E176" s="530"/>
      <c r="F176" s="531"/>
      <c r="G176" s="530"/>
      <c r="H176" s="530"/>
      <c r="I176" s="530"/>
      <c r="J176" s="530"/>
      <c r="K176" s="530"/>
      <c r="L176" s="530"/>
      <c r="M176" s="530"/>
      <c r="N176" s="530"/>
      <c r="O176" s="530"/>
      <c r="P176" s="532"/>
      <c r="Q176" s="532"/>
      <c r="R176" s="532"/>
      <c r="S176" s="532"/>
      <c r="T176" s="532"/>
      <c r="U176" s="532"/>
      <c r="V176" s="532"/>
      <c r="W176" s="532"/>
      <c r="X176" s="423"/>
      <c r="Y176" s="519"/>
      <c r="Z176" s="778"/>
    </row>
    <row r="177" spans="1:26" ht="12" customHeight="1">
      <c r="A177" s="2598"/>
      <c r="B177" s="489" t="s">
        <v>22</v>
      </c>
      <c r="C177" s="359"/>
      <c r="D177" s="1378">
        <f>+D178+D181</f>
        <v>28879881</v>
      </c>
      <c r="E177" s="1378">
        <f t="shared" ref="E177:P177" si="115">+E178+E181</f>
        <v>81977</v>
      </c>
      <c r="F177" s="1378">
        <f t="shared" si="115"/>
        <v>0</v>
      </c>
      <c r="G177" s="1378">
        <f t="shared" si="115"/>
        <v>0</v>
      </c>
      <c r="H177" s="1378">
        <f t="shared" si="115"/>
        <v>0</v>
      </c>
      <c r="I177" s="1378">
        <f t="shared" si="115"/>
        <v>521360</v>
      </c>
      <c r="J177" s="1378">
        <f t="shared" si="115"/>
        <v>92783</v>
      </c>
      <c r="K177" s="1378">
        <f t="shared" si="115"/>
        <v>861723</v>
      </c>
      <c r="L177" s="1378">
        <f t="shared" si="115"/>
        <v>7019176</v>
      </c>
      <c r="M177" s="1378">
        <f>+M178+M181</f>
        <v>28794965</v>
      </c>
      <c r="N177" s="1378">
        <f t="shared" si="115"/>
        <v>20217946</v>
      </c>
      <c r="O177" s="1345">
        <f t="shared" si="115"/>
        <v>14915</v>
      </c>
      <c r="P177" s="1378">
        <f t="shared" si="115"/>
        <v>25784</v>
      </c>
      <c r="Q177" s="1378">
        <f>+Q178+Q181</f>
        <v>44217</v>
      </c>
      <c r="R177" s="1378"/>
      <c r="S177" s="1378"/>
      <c r="T177" s="1378"/>
      <c r="U177" s="1378"/>
      <c r="V177" s="1378"/>
      <c r="W177" s="1378"/>
      <c r="X177" s="1341">
        <f>+X178+X181</f>
        <v>70001</v>
      </c>
      <c r="Y177" s="2641" t="s">
        <v>103</v>
      </c>
    </row>
    <row r="178" spans="1:26" ht="13.5" customHeight="1">
      <c r="A178" s="2598"/>
      <c r="B178" s="512" t="s">
        <v>36</v>
      </c>
      <c r="C178" s="2594" t="s">
        <v>100</v>
      </c>
      <c r="D178" s="1379">
        <f>+D179+D180</f>
        <v>4785577</v>
      </c>
      <c r="E178" s="1379">
        <f t="shared" ref="E178:P178" si="116">+E179+E180</f>
        <v>0</v>
      </c>
      <c r="F178" s="1379">
        <f t="shared" si="116"/>
        <v>0</v>
      </c>
      <c r="G178" s="1379">
        <f t="shared" si="116"/>
        <v>0</v>
      </c>
      <c r="H178" s="1379">
        <f t="shared" si="116"/>
        <v>0</v>
      </c>
      <c r="I178" s="1379">
        <f t="shared" si="116"/>
        <v>154560</v>
      </c>
      <c r="J178" s="1379">
        <f t="shared" si="116"/>
        <v>66783</v>
      </c>
      <c r="K178" s="1379">
        <f t="shared" si="116"/>
        <v>18985</v>
      </c>
      <c r="L178" s="1379">
        <f t="shared" si="116"/>
        <v>772976</v>
      </c>
      <c r="M178" s="1379">
        <f>+M179+M180</f>
        <v>4700661</v>
      </c>
      <c r="N178" s="1379">
        <f t="shared" si="116"/>
        <v>3687357</v>
      </c>
      <c r="O178" s="1379">
        <f t="shared" si="116"/>
        <v>14915</v>
      </c>
      <c r="P178" s="1379">
        <f t="shared" si="116"/>
        <v>25784</v>
      </c>
      <c r="Q178" s="1379">
        <f>+Q179+Q180</f>
        <v>44217</v>
      </c>
      <c r="R178" s="1379"/>
      <c r="S178" s="1379"/>
      <c r="T178" s="1379"/>
      <c r="U178" s="1379"/>
      <c r="V178" s="1379"/>
      <c r="W178" s="1379"/>
      <c r="X178" s="1380">
        <f>+X179+X180</f>
        <v>70001</v>
      </c>
      <c r="Y178" s="2641"/>
      <c r="Z178" s="778"/>
    </row>
    <row r="179" spans="1:26" ht="11.25" customHeight="1">
      <c r="A179" s="2598"/>
      <c r="B179" s="487" t="s">
        <v>24</v>
      </c>
      <c r="C179" s="2643"/>
      <c r="D179" s="1381">
        <f>M179+O179+P179+Q179+R179+S179+T179+U179+V179+W179</f>
        <v>3785577</v>
      </c>
      <c r="E179" s="1344">
        <f>79518+2459-81977</f>
        <v>0</v>
      </c>
      <c r="F179" s="1382">
        <v>0</v>
      </c>
      <c r="G179" s="1346">
        <v>0</v>
      </c>
      <c r="H179" s="1346">
        <v>0</v>
      </c>
      <c r="I179" s="1346">
        <v>154560</v>
      </c>
      <c r="J179" s="1346">
        <v>66783</v>
      </c>
      <c r="K179" s="1346">
        <v>18985</v>
      </c>
      <c r="L179" s="1346">
        <f>2700000-2217033+514066-34101-189956</f>
        <v>772976</v>
      </c>
      <c r="M179" s="1383">
        <f>+E179+I179+J179+K179+L179+N179</f>
        <v>3700661</v>
      </c>
      <c r="N179" s="1346">
        <f>600000+2935934+34101-504029-361236-33703+16290</f>
        <v>2687357</v>
      </c>
      <c r="O179" s="1346">
        <f>175000+30300-120384-70001</f>
        <v>14915</v>
      </c>
      <c r="P179" s="1384">
        <f>70001-44217</f>
        <v>25784</v>
      </c>
      <c r="Q179" s="1384">
        <v>44217</v>
      </c>
      <c r="R179" s="1382"/>
      <c r="S179" s="1382"/>
      <c r="T179" s="1382"/>
      <c r="U179" s="1382"/>
      <c r="V179" s="1382"/>
      <c r="W179" s="1382"/>
      <c r="X179" s="1385">
        <f>SUM(P179:T179)</f>
        <v>70001</v>
      </c>
      <c r="Y179" s="2641"/>
      <c r="Z179" s="778"/>
    </row>
    <row r="180" spans="1:26" ht="11.25" customHeight="1">
      <c r="A180" s="2598"/>
      <c r="B180" s="487" t="s">
        <v>27</v>
      </c>
      <c r="C180" s="2643"/>
      <c r="D180" s="1381">
        <f>M180+O180+P180+Q180+R180+S180+T180+U180+V180+W180</f>
        <v>1000000</v>
      </c>
      <c r="E180" s="1382"/>
      <c r="F180" s="1382"/>
      <c r="G180" s="1384"/>
      <c r="H180" s="1384"/>
      <c r="I180" s="1384"/>
      <c r="J180" s="1384"/>
      <c r="K180" s="1384"/>
      <c r="L180" s="1384"/>
      <c r="M180" s="1383">
        <f>+E180+I180+J180+K180+L180+N180</f>
        <v>1000000</v>
      </c>
      <c r="N180" s="1384">
        <v>1000000</v>
      </c>
      <c r="O180" s="1344"/>
      <c r="P180" s="1382"/>
      <c r="Q180" s="1382"/>
      <c r="R180" s="1382"/>
      <c r="S180" s="1382"/>
      <c r="T180" s="1382"/>
      <c r="U180" s="1382"/>
      <c r="V180" s="1382"/>
      <c r="W180" s="1382"/>
      <c r="X180" s="1385">
        <f>SUM(P180:T180)</f>
        <v>0</v>
      </c>
      <c r="Y180" s="2641"/>
      <c r="Z180" s="778"/>
    </row>
    <row r="181" spans="1:26" ht="11.25" customHeight="1">
      <c r="A181" s="2598"/>
      <c r="B181" s="488" t="s">
        <v>30</v>
      </c>
      <c r="C181" s="2643"/>
      <c r="D181" s="1386">
        <f>+D182</f>
        <v>24094304</v>
      </c>
      <c r="E181" s="1386">
        <f t="shared" ref="E181:P181" si="117">+E182</f>
        <v>81977</v>
      </c>
      <c r="F181" s="1386">
        <f t="shared" si="117"/>
        <v>0</v>
      </c>
      <c r="G181" s="1386">
        <f t="shared" si="117"/>
        <v>0</v>
      </c>
      <c r="H181" s="1386">
        <f t="shared" si="117"/>
        <v>0</v>
      </c>
      <c r="I181" s="1386">
        <f t="shared" si="117"/>
        <v>366800</v>
      </c>
      <c r="J181" s="1386">
        <f t="shared" si="117"/>
        <v>26000</v>
      </c>
      <c r="K181" s="1386">
        <f t="shared" si="117"/>
        <v>842738</v>
      </c>
      <c r="L181" s="1386">
        <f t="shared" si="117"/>
        <v>6246200</v>
      </c>
      <c r="M181" s="1386">
        <f t="shared" si="117"/>
        <v>24094304</v>
      </c>
      <c r="N181" s="1386">
        <f t="shared" si="117"/>
        <v>16530589</v>
      </c>
      <c r="O181" s="1342">
        <f t="shared" si="117"/>
        <v>0</v>
      </c>
      <c r="P181" s="1386">
        <f t="shared" si="117"/>
        <v>0</v>
      </c>
      <c r="Q181" s="1386"/>
      <c r="R181" s="1386"/>
      <c r="S181" s="1386"/>
      <c r="T181" s="1386"/>
      <c r="U181" s="1386"/>
      <c r="V181" s="1386"/>
      <c r="W181" s="1386"/>
      <c r="X181" s="1380">
        <f>+X182</f>
        <v>0</v>
      </c>
      <c r="Y181" s="2641"/>
    </row>
    <row r="182" spans="1:26" ht="11.25" customHeight="1">
      <c r="A182" s="2598"/>
      <c r="B182" s="1387" t="s">
        <v>33</v>
      </c>
      <c r="C182" s="2644"/>
      <c r="D182" s="1381">
        <f>M182+O182+P182+Q182+R182+S182+T182+U182+V182+W182</f>
        <v>24094304</v>
      </c>
      <c r="E182" s="1388">
        <v>81977</v>
      </c>
      <c r="F182" s="1389">
        <v>0</v>
      </c>
      <c r="G182" s="1390">
        <v>0</v>
      </c>
      <c r="H182" s="1390">
        <v>0</v>
      </c>
      <c r="I182" s="1390">
        <v>366800</v>
      </c>
      <c r="J182" s="1390">
        <v>26000</v>
      </c>
      <c r="K182" s="1390">
        <v>842738</v>
      </c>
      <c r="L182" s="1388">
        <f>5217033-514066+1353277+189956</f>
        <v>6246200</v>
      </c>
      <c r="M182" s="1383">
        <f>+E182+I182+J182+K182+L182+N182</f>
        <v>24094304</v>
      </c>
      <c r="N182" s="1388">
        <f>24725124-6435934-1353277-170971-210286-7777-16290</f>
        <v>16530589</v>
      </c>
      <c r="O182" s="1388">
        <v>0</v>
      </c>
      <c r="P182" s="1389">
        <v>0</v>
      </c>
      <c r="Q182" s="1389"/>
      <c r="R182" s="1389"/>
      <c r="S182" s="1389"/>
      <c r="T182" s="1389"/>
      <c r="U182" s="1389"/>
      <c r="V182" s="1389"/>
      <c r="W182" s="1389"/>
      <c r="X182" s="1385">
        <f>SUM(P182:T182)</f>
        <v>0</v>
      </c>
      <c r="Y182" s="2642"/>
    </row>
    <row r="183" spans="1:26" s="862" customFormat="1" ht="11.25" customHeight="1">
      <c r="A183" s="2599"/>
      <c r="B183" s="489" t="s">
        <v>34</v>
      </c>
      <c r="C183" s="359"/>
      <c r="D183" s="1391">
        <f>+D186+D184</f>
        <v>25094304</v>
      </c>
      <c r="E183" s="1391">
        <f t="shared" ref="E183:P183" si="118">+E186+E184</f>
        <v>0</v>
      </c>
      <c r="F183" s="1391">
        <f t="shared" si="118"/>
        <v>0</v>
      </c>
      <c r="G183" s="1391">
        <f t="shared" si="118"/>
        <v>0</v>
      </c>
      <c r="H183" s="1391">
        <f t="shared" si="118"/>
        <v>0</v>
      </c>
      <c r="I183" s="1391">
        <f t="shared" si="118"/>
        <v>0</v>
      </c>
      <c r="J183" s="1391">
        <f t="shared" si="118"/>
        <v>0</v>
      </c>
      <c r="K183" s="1391">
        <f t="shared" si="118"/>
        <v>0</v>
      </c>
      <c r="L183" s="1391">
        <f t="shared" si="118"/>
        <v>0</v>
      </c>
      <c r="M183" s="1391">
        <f>+M186+M184</f>
        <v>25094304</v>
      </c>
      <c r="N183" s="1391">
        <f t="shared" si="118"/>
        <v>25094304</v>
      </c>
      <c r="O183" s="1391">
        <f t="shared" si="118"/>
        <v>0</v>
      </c>
      <c r="P183" s="1391">
        <f t="shared" si="118"/>
        <v>0</v>
      </c>
      <c r="Q183" s="1391"/>
      <c r="R183" s="1391"/>
      <c r="S183" s="1391"/>
      <c r="T183" s="1391"/>
      <c r="U183" s="1391"/>
      <c r="V183" s="1391"/>
      <c r="W183" s="1391"/>
      <c r="X183" s="2704" t="s">
        <v>35</v>
      </c>
      <c r="Y183" s="2612" t="s">
        <v>120</v>
      </c>
    </row>
    <row r="184" spans="1:26" ht="13.5" customHeight="1">
      <c r="A184" s="2599"/>
      <c r="B184" s="1827" t="s">
        <v>36</v>
      </c>
      <c r="C184" s="2594" t="s">
        <v>101</v>
      </c>
      <c r="D184" s="449">
        <f>+D185</f>
        <v>1000000</v>
      </c>
      <c r="E184" s="449">
        <f t="shared" ref="E184:P184" si="119">+E185</f>
        <v>0</v>
      </c>
      <c r="F184" s="449">
        <f t="shared" si="119"/>
        <v>0</v>
      </c>
      <c r="G184" s="449">
        <f t="shared" si="119"/>
        <v>0</v>
      </c>
      <c r="H184" s="449">
        <f t="shared" si="119"/>
        <v>0</v>
      </c>
      <c r="I184" s="449">
        <f t="shared" si="119"/>
        <v>0</v>
      </c>
      <c r="J184" s="449">
        <f t="shared" si="119"/>
        <v>0</v>
      </c>
      <c r="K184" s="449">
        <f t="shared" si="119"/>
        <v>0</v>
      </c>
      <c r="L184" s="449">
        <f t="shared" si="119"/>
        <v>0</v>
      </c>
      <c r="M184" s="449">
        <f t="shared" si="119"/>
        <v>1000000</v>
      </c>
      <c r="N184" s="449">
        <f t="shared" si="119"/>
        <v>1000000</v>
      </c>
      <c r="O184" s="449">
        <f t="shared" si="119"/>
        <v>0</v>
      </c>
      <c r="P184" s="449">
        <f t="shared" si="119"/>
        <v>0</v>
      </c>
      <c r="Q184" s="449"/>
      <c r="R184" s="449"/>
      <c r="S184" s="449"/>
      <c r="T184" s="449"/>
      <c r="U184" s="449"/>
      <c r="V184" s="449"/>
      <c r="W184" s="449"/>
      <c r="X184" s="2705"/>
      <c r="Y184" s="2606"/>
    </row>
    <row r="185" spans="1:26" ht="11.25" customHeight="1">
      <c r="A185" s="2599"/>
      <c r="B185" s="526" t="s">
        <v>27</v>
      </c>
      <c r="C185" s="2595"/>
      <c r="D185" s="1381">
        <f>M185+O185+P185+Q185+R185+S185+T185+U185+V185+W185</f>
        <v>1000000</v>
      </c>
      <c r="E185" s="1343">
        <f>+F185+G185+H185</f>
        <v>0</v>
      </c>
      <c r="F185" s="1343">
        <v>0</v>
      </c>
      <c r="G185" s="1343">
        <v>0</v>
      </c>
      <c r="H185" s="1343">
        <v>0</v>
      </c>
      <c r="I185" s="1343">
        <v>0</v>
      </c>
      <c r="J185" s="1343">
        <v>0</v>
      </c>
      <c r="K185" s="1343">
        <v>0</v>
      </c>
      <c r="L185" s="1343">
        <v>0</v>
      </c>
      <c r="M185" s="1383">
        <f>+E185+I185+J185+K185+L185+N185</f>
        <v>1000000</v>
      </c>
      <c r="N185" s="1343">
        <v>1000000</v>
      </c>
      <c r="O185" s="1343">
        <v>0</v>
      </c>
      <c r="P185" s="1343">
        <v>0</v>
      </c>
      <c r="Q185" s="1343"/>
      <c r="R185" s="1343"/>
      <c r="S185" s="1343"/>
      <c r="T185" s="1343"/>
      <c r="U185" s="1343"/>
      <c r="V185" s="1343"/>
      <c r="W185" s="1343"/>
      <c r="X185" s="2705"/>
      <c r="Y185" s="2606"/>
    </row>
    <row r="186" spans="1:26" s="864" customFormat="1">
      <c r="A186" s="2599"/>
      <c r="B186" s="488" t="s">
        <v>30</v>
      </c>
      <c r="C186" s="2595"/>
      <c r="D186" s="1393">
        <f>+D187</f>
        <v>24094304</v>
      </c>
      <c r="E186" s="1393">
        <f t="shared" ref="E186:P186" si="120">+E187</f>
        <v>0</v>
      </c>
      <c r="F186" s="1393">
        <f t="shared" si="120"/>
        <v>0</v>
      </c>
      <c r="G186" s="1393">
        <f t="shared" si="120"/>
        <v>0</v>
      </c>
      <c r="H186" s="1393">
        <f t="shared" si="120"/>
        <v>0</v>
      </c>
      <c r="I186" s="1393">
        <f t="shared" si="120"/>
        <v>0</v>
      </c>
      <c r="J186" s="1393">
        <f t="shared" si="120"/>
        <v>0</v>
      </c>
      <c r="K186" s="1393">
        <f t="shared" si="120"/>
        <v>0</v>
      </c>
      <c r="L186" s="1393">
        <f t="shared" si="120"/>
        <v>0</v>
      </c>
      <c r="M186" s="1393">
        <f t="shared" si="120"/>
        <v>24094304</v>
      </c>
      <c r="N186" s="1393">
        <f t="shared" si="120"/>
        <v>24094304</v>
      </c>
      <c r="O186" s="1394">
        <f t="shared" si="120"/>
        <v>0</v>
      </c>
      <c r="P186" s="1393">
        <f t="shared" si="120"/>
        <v>0</v>
      </c>
      <c r="Q186" s="1393"/>
      <c r="R186" s="1393"/>
      <c r="S186" s="1393"/>
      <c r="T186" s="1393"/>
      <c r="U186" s="1393"/>
      <c r="V186" s="1393"/>
      <c r="W186" s="1393"/>
      <c r="X186" s="2705"/>
      <c r="Y186" s="2606"/>
    </row>
    <row r="187" spans="1:26" s="862" customFormat="1" ht="13.5" thickBot="1">
      <c r="A187" s="2600"/>
      <c r="B187" s="496" t="s">
        <v>33</v>
      </c>
      <c r="C187" s="2596"/>
      <c r="D187" s="1064">
        <f>M187+O187+P187+Q187+R187+S187+T187+U187+V187+W187</f>
        <v>24094304</v>
      </c>
      <c r="E187" s="475">
        <f>+F187+G187+H187</f>
        <v>0</v>
      </c>
      <c r="F187" s="518">
        <v>0</v>
      </c>
      <c r="G187" s="518">
        <v>0</v>
      </c>
      <c r="H187" s="518">
        <v>0</v>
      </c>
      <c r="I187" s="518">
        <v>0</v>
      </c>
      <c r="J187" s="518">
        <v>0</v>
      </c>
      <c r="K187" s="518">
        <v>0</v>
      </c>
      <c r="L187" s="518">
        <f>4000000-500000-3500000</f>
        <v>0</v>
      </c>
      <c r="M187" s="1064">
        <f>+E187+I187+J187+K187+L187+N187</f>
        <v>24094304</v>
      </c>
      <c r="N187" s="518">
        <f>25000000-5950000+3500000+1623178-54807-7777-16290</f>
        <v>24094304</v>
      </c>
      <c r="O187" s="518">
        <f>2500000-500000-1844521-155479</f>
        <v>0</v>
      </c>
      <c r="P187" s="926">
        <v>0</v>
      </c>
      <c r="Q187" s="926"/>
      <c r="R187" s="926"/>
      <c r="S187" s="926"/>
      <c r="T187" s="926"/>
      <c r="U187" s="926"/>
      <c r="V187" s="926"/>
      <c r="W187" s="926"/>
      <c r="X187" s="2706"/>
      <c r="Y187" s="2607"/>
    </row>
    <row r="188" spans="1:26" ht="26.25" customHeight="1">
      <c r="A188" s="2597" t="s">
        <v>105</v>
      </c>
      <c r="B188" s="1066" t="s">
        <v>533</v>
      </c>
      <c r="C188" s="418" t="s">
        <v>97</v>
      </c>
      <c r="D188" s="555"/>
      <c r="E188" s="531"/>
      <c r="F188" s="531"/>
      <c r="G188" s="530"/>
      <c r="H188" s="530"/>
      <c r="I188" s="530"/>
      <c r="J188" s="530"/>
      <c r="K188" s="530"/>
      <c r="L188" s="530"/>
      <c r="M188" s="532"/>
      <c r="N188" s="532"/>
      <c r="O188" s="532"/>
      <c r="P188" s="532"/>
      <c r="Q188" s="532"/>
      <c r="R188" s="532"/>
      <c r="S188" s="532"/>
      <c r="T188" s="532"/>
      <c r="U188" s="532"/>
      <c r="V188" s="532"/>
      <c r="W188" s="532"/>
      <c r="X188" s="1068"/>
      <c r="Y188" s="519"/>
    </row>
    <row r="189" spans="1:26" ht="13.5" customHeight="1">
      <c r="A189" s="2598"/>
      <c r="B189" s="489" t="s">
        <v>22</v>
      </c>
      <c r="C189" s="359"/>
      <c r="D189" s="1810">
        <f>+D190+D192</f>
        <v>44204727</v>
      </c>
      <c r="E189" s="1810">
        <f t="shared" ref="E189:P189" si="121">+E190+E192</f>
        <v>45985</v>
      </c>
      <c r="F189" s="1810">
        <f t="shared" si="121"/>
        <v>0</v>
      </c>
      <c r="G189" s="1810">
        <f t="shared" si="121"/>
        <v>0</v>
      </c>
      <c r="H189" s="1810">
        <f t="shared" si="121"/>
        <v>0</v>
      </c>
      <c r="I189" s="1810">
        <f t="shared" si="121"/>
        <v>81340</v>
      </c>
      <c r="J189" s="1810">
        <f t="shared" si="121"/>
        <v>498045</v>
      </c>
      <c r="K189" s="1810">
        <f t="shared" si="121"/>
        <v>0</v>
      </c>
      <c r="L189" s="1810">
        <f t="shared" si="121"/>
        <v>14965</v>
      </c>
      <c r="M189" s="1810">
        <f>+M190+M192</f>
        <v>6211821</v>
      </c>
      <c r="N189" s="1810">
        <f t="shared" si="121"/>
        <v>5571486</v>
      </c>
      <c r="O189" s="1810">
        <f t="shared" si="121"/>
        <v>37942906</v>
      </c>
      <c r="P189" s="1810">
        <f t="shared" si="121"/>
        <v>32577</v>
      </c>
      <c r="Q189" s="1810">
        <f>+Q190+Q192</f>
        <v>17423</v>
      </c>
      <c r="R189" s="1810"/>
      <c r="S189" s="1810"/>
      <c r="T189" s="1810"/>
      <c r="U189" s="1810"/>
      <c r="V189" s="1810"/>
      <c r="W189" s="1810"/>
      <c r="X189" s="1811">
        <f>+X190+X192</f>
        <v>50000</v>
      </c>
      <c r="Y189" s="2641" t="s">
        <v>103</v>
      </c>
      <c r="Z189" s="861">
        <f>+O189+P189</f>
        <v>37975483</v>
      </c>
    </row>
    <row r="190" spans="1:26" ht="13.5" customHeight="1">
      <c r="A190" s="2598"/>
      <c r="B190" s="512" t="s">
        <v>36</v>
      </c>
      <c r="C190" s="2668" t="s">
        <v>100</v>
      </c>
      <c r="D190" s="1812">
        <f>+D191</f>
        <v>2490369</v>
      </c>
      <c r="E190" s="1812">
        <f t="shared" ref="E190:Q190" si="122">+E191</f>
        <v>45985</v>
      </c>
      <c r="F190" s="1812">
        <f t="shared" si="122"/>
        <v>0</v>
      </c>
      <c r="G190" s="1812">
        <f t="shared" si="122"/>
        <v>0</v>
      </c>
      <c r="H190" s="1812">
        <f t="shared" si="122"/>
        <v>0</v>
      </c>
      <c r="I190" s="1812">
        <f t="shared" si="122"/>
        <v>0</v>
      </c>
      <c r="J190" s="1812">
        <f t="shared" si="122"/>
        <v>10005</v>
      </c>
      <c r="K190" s="1812">
        <f t="shared" si="122"/>
        <v>0</v>
      </c>
      <c r="L190" s="1812">
        <f t="shared" si="122"/>
        <v>0</v>
      </c>
      <c r="M190" s="1812">
        <f t="shared" si="122"/>
        <v>111462</v>
      </c>
      <c r="N190" s="1812">
        <f t="shared" si="122"/>
        <v>55472</v>
      </c>
      <c r="O190" s="1812">
        <f t="shared" si="122"/>
        <v>2328907</v>
      </c>
      <c r="P190" s="1812">
        <f t="shared" si="122"/>
        <v>32577</v>
      </c>
      <c r="Q190" s="1812">
        <f t="shared" si="122"/>
        <v>17423</v>
      </c>
      <c r="R190" s="1812"/>
      <c r="S190" s="1812"/>
      <c r="T190" s="1812"/>
      <c r="U190" s="1812"/>
      <c r="V190" s="1812"/>
      <c r="W190" s="1812"/>
      <c r="X190" s="1813">
        <f>+X191</f>
        <v>50000</v>
      </c>
      <c r="Y190" s="2641"/>
      <c r="Z190" s="778"/>
    </row>
    <row r="191" spans="1:26" ht="13.5" customHeight="1">
      <c r="A191" s="2598"/>
      <c r="B191" s="487" t="s">
        <v>24</v>
      </c>
      <c r="C191" s="2643"/>
      <c r="D191" s="1814">
        <f>M191+O191+P191+Q191+R191+S191+T191+U191+V191+W191</f>
        <v>2490369</v>
      </c>
      <c r="E191" s="1815">
        <v>45985</v>
      </c>
      <c r="F191" s="1815">
        <v>0</v>
      </c>
      <c r="G191" s="1816"/>
      <c r="H191" s="1816">
        <v>0</v>
      </c>
      <c r="I191" s="1816">
        <v>0</v>
      </c>
      <c r="J191" s="1816">
        <v>10005</v>
      </c>
      <c r="K191" s="1816"/>
      <c r="L191" s="1816">
        <v>0</v>
      </c>
      <c r="M191" s="1817">
        <f>+E191+I191+J191+K191+L191+N191</f>
        <v>111462</v>
      </c>
      <c r="N191" s="1815">
        <f>7161720-7134721+16419+12054</f>
        <v>55472</v>
      </c>
      <c r="O191" s="1815">
        <f>22109790+1683456+807937-19380934-1550147-964153-100000-277042</f>
        <v>2328907</v>
      </c>
      <c r="P191" s="1816">
        <f>40000+10000-17423</f>
        <v>32577</v>
      </c>
      <c r="Q191" s="1815">
        <v>17423</v>
      </c>
      <c r="R191" s="1815"/>
      <c r="S191" s="1818"/>
      <c r="T191" s="1818"/>
      <c r="U191" s="1818"/>
      <c r="V191" s="1818"/>
      <c r="W191" s="1818"/>
      <c r="X191" s="1819">
        <f>SUM(P191:T191)</f>
        <v>50000</v>
      </c>
      <c r="Y191" s="2641"/>
    </row>
    <row r="192" spans="1:26" ht="13.5" customHeight="1">
      <c r="A192" s="2598"/>
      <c r="B192" s="488" t="s">
        <v>30</v>
      </c>
      <c r="C192" s="2643"/>
      <c r="D192" s="1820">
        <f>+D193</f>
        <v>41714358</v>
      </c>
      <c r="E192" s="1820">
        <f t="shared" ref="E192:P192" si="123">+E193</f>
        <v>0</v>
      </c>
      <c r="F192" s="1820">
        <f t="shared" si="123"/>
        <v>0</v>
      </c>
      <c r="G192" s="1820">
        <f t="shared" si="123"/>
        <v>0</v>
      </c>
      <c r="H192" s="1820">
        <f t="shared" si="123"/>
        <v>0</v>
      </c>
      <c r="I192" s="1820">
        <f t="shared" si="123"/>
        <v>81340</v>
      </c>
      <c r="J192" s="1820">
        <f t="shared" si="123"/>
        <v>488040</v>
      </c>
      <c r="K192" s="1820">
        <f t="shared" si="123"/>
        <v>0</v>
      </c>
      <c r="L192" s="1820">
        <f t="shared" si="123"/>
        <v>14965</v>
      </c>
      <c r="M192" s="1820">
        <f t="shared" si="123"/>
        <v>6100359</v>
      </c>
      <c r="N192" s="1820">
        <f t="shared" si="123"/>
        <v>5516014</v>
      </c>
      <c r="O192" s="1820">
        <f t="shared" si="123"/>
        <v>35613999</v>
      </c>
      <c r="P192" s="1820">
        <f t="shared" si="123"/>
        <v>0</v>
      </c>
      <c r="Q192" s="1820"/>
      <c r="R192" s="1820"/>
      <c r="S192" s="1820"/>
      <c r="T192" s="1820"/>
      <c r="U192" s="1820"/>
      <c r="V192" s="1820"/>
      <c r="W192" s="1820"/>
      <c r="X192" s="1813">
        <f>+X193</f>
        <v>0</v>
      </c>
      <c r="Y192" s="2641"/>
    </row>
    <row r="193" spans="1:26" ht="13.5" customHeight="1">
      <c r="A193" s="2598"/>
      <c r="B193" s="1828" t="s">
        <v>33</v>
      </c>
      <c r="C193" s="2643"/>
      <c r="D193" s="1814">
        <f>M193+O193+P193+Q193+R193+S193+T193+U193+V193+W193</f>
        <v>41714358</v>
      </c>
      <c r="E193" s="1815"/>
      <c r="F193" s="1818">
        <v>0</v>
      </c>
      <c r="G193" s="1821"/>
      <c r="H193" s="1816">
        <v>0</v>
      </c>
      <c r="I193" s="1816">
        <v>81340</v>
      </c>
      <c r="J193" s="1816">
        <v>488040</v>
      </c>
      <c r="K193" s="1816"/>
      <c r="L193" s="1815">
        <v>14965</v>
      </c>
      <c r="M193" s="1817">
        <f>+E193+I193+J193+K193+L193+N193</f>
        <v>6100359</v>
      </c>
      <c r="N193" s="1815">
        <f>2000000-453540+3998027-16419-12054</f>
        <v>5516014</v>
      </c>
      <c r="O193" s="1815">
        <f>10900000+453540+22517628+2459854-22346-666969-27708</f>
        <v>35613999</v>
      </c>
      <c r="P193" s="1815">
        <v>0</v>
      </c>
      <c r="Q193" s="1815"/>
      <c r="R193" s="1815"/>
      <c r="S193" s="1818"/>
      <c r="T193" s="1818"/>
      <c r="U193" s="1818"/>
      <c r="V193" s="1818"/>
      <c r="W193" s="1818"/>
      <c r="X193" s="1819">
        <f>SUM(P193:T193)</f>
        <v>0</v>
      </c>
      <c r="Y193" s="2642"/>
    </row>
    <row r="194" spans="1:26" s="862" customFormat="1" ht="12.75" customHeight="1">
      <c r="A194" s="2599"/>
      <c r="B194" s="358" t="s">
        <v>34</v>
      </c>
      <c r="C194" s="359"/>
      <c r="D194" s="1822">
        <f>+D195</f>
        <v>41714358</v>
      </c>
      <c r="E194" s="1822">
        <f t="shared" ref="E194:P195" si="124">+E195</f>
        <v>0</v>
      </c>
      <c r="F194" s="1822">
        <f t="shared" si="124"/>
        <v>0</v>
      </c>
      <c r="G194" s="1822">
        <f t="shared" si="124"/>
        <v>0</v>
      </c>
      <c r="H194" s="1822">
        <f t="shared" si="124"/>
        <v>0</v>
      </c>
      <c r="I194" s="1822">
        <f t="shared" si="124"/>
        <v>0</v>
      </c>
      <c r="J194" s="1822">
        <f t="shared" si="124"/>
        <v>0</v>
      </c>
      <c r="K194" s="1822">
        <f t="shared" si="124"/>
        <v>0</v>
      </c>
      <c r="L194" s="1822">
        <f t="shared" si="124"/>
        <v>0</v>
      </c>
      <c r="M194" s="1822">
        <f t="shared" si="124"/>
        <v>0</v>
      </c>
      <c r="N194" s="1822">
        <f t="shared" si="124"/>
        <v>0</v>
      </c>
      <c r="O194" s="1822">
        <f t="shared" si="124"/>
        <v>41667796</v>
      </c>
      <c r="P194" s="1822">
        <f t="shared" si="124"/>
        <v>46562</v>
      </c>
      <c r="Q194" s="1822"/>
      <c r="R194" s="1822"/>
      <c r="S194" s="1822"/>
      <c r="T194" s="1822"/>
      <c r="U194" s="1822"/>
      <c r="V194" s="1822"/>
      <c r="W194" s="1822"/>
      <c r="X194" s="2762" t="s">
        <v>35</v>
      </c>
      <c r="Y194" s="2667" t="s">
        <v>120</v>
      </c>
      <c r="Z194" s="861"/>
    </row>
    <row r="195" spans="1:26" s="864" customFormat="1" ht="12.75" customHeight="1">
      <c r="A195" s="2599"/>
      <c r="B195" s="502" t="s">
        <v>30</v>
      </c>
      <c r="C195" s="2668" t="s">
        <v>101</v>
      </c>
      <c r="D195" s="1823">
        <f>+D196</f>
        <v>41714358</v>
      </c>
      <c r="E195" s="1824">
        <f t="shared" si="124"/>
        <v>0</v>
      </c>
      <c r="F195" s="1824">
        <f t="shared" si="124"/>
        <v>0</v>
      </c>
      <c r="G195" s="1824">
        <f t="shared" si="124"/>
        <v>0</v>
      </c>
      <c r="H195" s="1824">
        <f t="shared" si="124"/>
        <v>0</v>
      </c>
      <c r="I195" s="1824">
        <f t="shared" si="124"/>
        <v>0</v>
      </c>
      <c r="J195" s="1824">
        <f t="shared" si="124"/>
        <v>0</v>
      </c>
      <c r="K195" s="1824">
        <f t="shared" si="124"/>
        <v>0</v>
      </c>
      <c r="L195" s="1824">
        <f t="shared" si="124"/>
        <v>0</v>
      </c>
      <c r="M195" s="1824">
        <f t="shared" si="124"/>
        <v>0</v>
      </c>
      <c r="N195" s="1824">
        <f t="shared" si="124"/>
        <v>0</v>
      </c>
      <c r="O195" s="1823">
        <f t="shared" si="124"/>
        <v>41667796</v>
      </c>
      <c r="P195" s="1823">
        <f t="shared" si="124"/>
        <v>46562</v>
      </c>
      <c r="Q195" s="1823"/>
      <c r="R195" s="1824"/>
      <c r="S195" s="1824"/>
      <c r="T195" s="1824"/>
      <c r="U195" s="1824"/>
      <c r="V195" s="1824"/>
      <c r="W195" s="1824"/>
      <c r="X195" s="2638"/>
      <c r="Y195" s="2606"/>
    </row>
    <row r="196" spans="1:26" s="864" customFormat="1" ht="12.75" customHeight="1" thickBot="1">
      <c r="A196" s="2600"/>
      <c r="B196" s="556" t="s">
        <v>33</v>
      </c>
      <c r="C196" s="2608"/>
      <c r="D196" s="1825">
        <f>M196+O196+P196+Q196+R196+S196+T196+U196+V196+W196</f>
        <v>41714358</v>
      </c>
      <c r="E196" s="548">
        <f>+F196+G196+H196</f>
        <v>0</v>
      </c>
      <c r="F196" s="549">
        <v>0</v>
      </c>
      <c r="G196" s="548">
        <v>0</v>
      </c>
      <c r="H196" s="548">
        <v>0</v>
      </c>
      <c r="I196" s="548">
        <v>0</v>
      </c>
      <c r="J196" s="548">
        <v>0</v>
      </c>
      <c r="K196" s="548">
        <v>0</v>
      </c>
      <c r="L196" s="548">
        <v>0</v>
      </c>
      <c r="M196" s="1064">
        <f>+E196+I196+J196+K196+L196+N196</f>
        <v>0</v>
      </c>
      <c r="N196" s="548">
        <v>0</v>
      </c>
      <c r="O196" s="550">
        <f>40000000+1750000-73279-8925</f>
        <v>41667796</v>
      </c>
      <c r="P196" s="1069">
        <f>2459854-1788765-593690-30837</f>
        <v>46562</v>
      </c>
      <c r="Q196" s="1069"/>
      <c r="R196" s="551"/>
      <c r="S196" s="551"/>
      <c r="T196" s="551"/>
      <c r="U196" s="551"/>
      <c r="V196" s="551"/>
      <c r="W196" s="551"/>
      <c r="X196" s="2639"/>
      <c r="Y196" s="2607"/>
    </row>
    <row r="197" spans="1:26" ht="26.25" hidden="1" customHeight="1">
      <c r="A197" s="2597" t="s">
        <v>106</v>
      </c>
      <c r="B197" s="927">
        <v>0</v>
      </c>
      <c r="C197" s="418" t="s">
        <v>97</v>
      </c>
      <c r="D197" s="555"/>
      <c r="E197" s="531"/>
      <c r="F197" s="531"/>
      <c r="G197" s="530"/>
      <c r="H197" s="530"/>
      <c r="I197" s="530"/>
      <c r="J197" s="530"/>
      <c r="K197" s="530"/>
      <c r="L197" s="530"/>
      <c r="M197" s="532"/>
      <c r="N197" s="532"/>
      <c r="O197" s="532"/>
      <c r="P197" s="532"/>
      <c r="Q197" s="532"/>
      <c r="R197" s="532"/>
      <c r="S197" s="532"/>
      <c r="T197" s="532"/>
      <c r="U197" s="532"/>
      <c r="V197" s="532"/>
      <c r="W197" s="532"/>
      <c r="X197" s="423"/>
      <c r="Y197" s="519"/>
    </row>
    <row r="198" spans="1:26" ht="13.5" hidden="1" customHeight="1">
      <c r="A198" s="2598"/>
      <c r="B198" s="358" t="s">
        <v>22</v>
      </c>
      <c r="C198" s="359"/>
      <c r="D198" s="1671">
        <f>+D199+D201</f>
        <v>0</v>
      </c>
      <c r="E198" s="1671">
        <f t="shared" ref="E198:P198" si="125">+E199+E201</f>
        <v>0</v>
      </c>
      <c r="F198" s="1671">
        <f t="shared" si="125"/>
        <v>0</v>
      </c>
      <c r="G198" s="1671">
        <f t="shared" si="125"/>
        <v>0</v>
      </c>
      <c r="H198" s="1671">
        <f t="shared" si="125"/>
        <v>0</v>
      </c>
      <c r="I198" s="1671">
        <f t="shared" si="125"/>
        <v>0</v>
      </c>
      <c r="J198" s="1671">
        <f t="shared" si="125"/>
        <v>0</v>
      </c>
      <c r="K198" s="1671">
        <f t="shared" si="125"/>
        <v>0</v>
      </c>
      <c r="L198" s="1671">
        <f t="shared" si="125"/>
        <v>0</v>
      </c>
      <c r="M198" s="1671">
        <f>+M199+M201</f>
        <v>0</v>
      </c>
      <c r="N198" s="1671">
        <f t="shared" si="125"/>
        <v>0</v>
      </c>
      <c r="O198" s="1671">
        <f t="shared" si="125"/>
        <v>0</v>
      </c>
      <c r="P198" s="1671">
        <f t="shared" si="125"/>
        <v>0</v>
      </c>
      <c r="Q198" s="1671"/>
      <c r="R198" s="1671"/>
      <c r="S198" s="1671"/>
      <c r="T198" s="1671"/>
      <c r="U198" s="1671"/>
      <c r="V198" s="1671"/>
      <c r="W198" s="1671"/>
      <c r="X198" s="1672">
        <f>+X199+X201</f>
        <v>0</v>
      </c>
      <c r="Y198" s="2641" t="s">
        <v>103</v>
      </c>
      <c r="Z198" s="778"/>
    </row>
    <row r="199" spans="1:26" ht="13.5" hidden="1" customHeight="1">
      <c r="A199" s="2598"/>
      <c r="B199" s="510" t="s">
        <v>36</v>
      </c>
      <c r="C199" s="2594" t="s">
        <v>100</v>
      </c>
      <c r="D199" s="1684">
        <f>+D200</f>
        <v>0</v>
      </c>
      <c r="E199" s="1684">
        <f t="shared" ref="E199:P199" si="126">+E200</f>
        <v>0</v>
      </c>
      <c r="F199" s="1684">
        <f t="shared" si="126"/>
        <v>0</v>
      </c>
      <c r="G199" s="1684">
        <f t="shared" si="126"/>
        <v>0</v>
      </c>
      <c r="H199" s="1684">
        <f t="shared" si="126"/>
        <v>0</v>
      </c>
      <c r="I199" s="1684">
        <f t="shared" si="126"/>
        <v>0</v>
      </c>
      <c r="J199" s="1684">
        <f t="shared" si="126"/>
        <v>0</v>
      </c>
      <c r="K199" s="1684">
        <f t="shared" si="126"/>
        <v>0</v>
      </c>
      <c r="L199" s="1684">
        <f t="shared" si="126"/>
        <v>0</v>
      </c>
      <c r="M199" s="1684">
        <f t="shared" si="126"/>
        <v>0</v>
      </c>
      <c r="N199" s="1684">
        <f t="shared" si="126"/>
        <v>0</v>
      </c>
      <c r="O199" s="1684">
        <f t="shared" si="126"/>
        <v>0</v>
      </c>
      <c r="P199" s="1684">
        <f t="shared" si="126"/>
        <v>0</v>
      </c>
      <c r="Q199" s="1684"/>
      <c r="R199" s="1684"/>
      <c r="S199" s="1684"/>
      <c r="T199" s="1684"/>
      <c r="U199" s="1684"/>
      <c r="V199" s="1684"/>
      <c r="W199" s="1684"/>
      <c r="X199" s="1674">
        <f>+X200</f>
        <v>0</v>
      </c>
      <c r="Y199" s="2641"/>
      <c r="Z199" s="778"/>
    </row>
    <row r="200" spans="1:26" ht="13.5" hidden="1" customHeight="1" thickBot="1">
      <c r="A200" s="2654"/>
      <c r="B200" s="1474" t="s">
        <v>24</v>
      </c>
      <c r="C200" s="2596"/>
      <c r="D200" s="1065">
        <f>M200+O200+P200+Q200+R200+S200+T200+U200+V200+W200</f>
        <v>0</v>
      </c>
      <c r="E200" s="475">
        <f>+F200+G200+H200</f>
        <v>0</v>
      </c>
      <c r="F200" s="476">
        <v>0</v>
      </c>
      <c r="G200" s="475">
        <v>0</v>
      </c>
      <c r="H200" s="475">
        <v>0</v>
      </c>
      <c r="I200" s="481">
        <v>0</v>
      </c>
      <c r="J200" s="481">
        <v>0</v>
      </c>
      <c r="K200" s="481">
        <v>0</v>
      </c>
      <c r="L200" s="481">
        <f>4000000-4000000</f>
        <v>0</v>
      </c>
      <c r="M200" s="1064">
        <f>+E200+I200+J200+K200+L200+N200</f>
        <v>0</v>
      </c>
      <c r="N200" s="481">
        <f>4000000-1000000-3000000</f>
        <v>0</v>
      </c>
      <c r="O200" s="481">
        <f>3000000-3000000</f>
        <v>0</v>
      </c>
      <c r="P200" s="801">
        <v>0</v>
      </c>
      <c r="Q200" s="476"/>
      <c r="R200" s="476"/>
      <c r="S200" s="476"/>
      <c r="T200" s="476"/>
      <c r="U200" s="476"/>
      <c r="V200" s="476"/>
      <c r="W200" s="476"/>
      <c r="X200" s="739">
        <f>SUM(P200:T200)</f>
        <v>0</v>
      </c>
      <c r="Y200" s="2655"/>
    </row>
    <row r="201" spans="1:26" ht="13.5" hidden="1" customHeight="1" thickBot="1">
      <c r="A201" s="1708"/>
      <c r="B201" s="1756" t="s">
        <v>30</v>
      </c>
      <c r="C201" s="1709"/>
      <c r="D201" s="1757">
        <f>+D202</f>
        <v>0</v>
      </c>
      <c r="E201" s="1757">
        <f t="shared" ref="E201:P201" si="127">+E202</f>
        <v>0</v>
      </c>
      <c r="F201" s="1757">
        <f t="shared" si="127"/>
        <v>0</v>
      </c>
      <c r="G201" s="1757">
        <f t="shared" si="127"/>
        <v>0</v>
      </c>
      <c r="H201" s="1757">
        <f t="shared" si="127"/>
        <v>0</v>
      </c>
      <c r="I201" s="1757">
        <f t="shared" si="127"/>
        <v>0</v>
      </c>
      <c r="J201" s="1757">
        <f t="shared" si="127"/>
        <v>0</v>
      </c>
      <c r="K201" s="1757">
        <f t="shared" si="127"/>
        <v>0</v>
      </c>
      <c r="L201" s="1757">
        <f t="shared" si="127"/>
        <v>0</v>
      </c>
      <c r="M201" s="1757">
        <f t="shared" si="127"/>
        <v>0</v>
      </c>
      <c r="N201" s="1757">
        <f t="shared" si="127"/>
        <v>0</v>
      </c>
      <c r="O201" s="1757">
        <f t="shared" si="127"/>
        <v>0</v>
      </c>
      <c r="P201" s="1757">
        <f t="shared" si="127"/>
        <v>0</v>
      </c>
      <c r="Q201" s="1757"/>
      <c r="R201" s="1757"/>
      <c r="S201" s="1757"/>
      <c r="T201" s="1757"/>
      <c r="U201" s="1757"/>
      <c r="V201" s="1757"/>
      <c r="W201" s="1757"/>
      <c r="X201" s="1758">
        <f>+X202</f>
        <v>0</v>
      </c>
      <c r="Y201" s="1755"/>
    </row>
    <row r="202" spans="1:26" ht="13.5" hidden="1" customHeight="1" thickBot="1">
      <c r="A202" s="1708"/>
      <c r="B202" s="1751" t="s">
        <v>33</v>
      </c>
      <c r="C202" s="1709"/>
      <c r="D202" s="1752">
        <f>M202+O202+P202+Q202+R202+S202+T202+U202+V202+W202</f>
        <v>0</v>
      </c>
      <c r="E202" s="454">
        <f>+F202+G202+H202</f>
        <v>0</v>
      </c>
      <c r="F202" s="455">
        <v>0</v>
      </c>
      <c r="G202" s="455">
        <v>0</v>
      </c>
      <c r="H202" s="454">
        <v>0</v>
      </c>
      <c r="I202" s="1753"/>
      <c r="J202" s="1753"/>
      <c r="K202" s="1753"/>
      <c r="L202" s="454">
        <v>0</v>
      </c>
      <c r="M202" s="1752">
        <f>+E202+I202+J202+K202+L202+N202</f>
        <v>0</v>
      </c>
      <c r="N202" s="454">
        <v>0</v>
      </c>
      <c r="O202" s="454">
        <v>0</v>
      </c>
      <c r="P202" s="455">
        <v>0</v>
      </c>
      <c r="Q202" s="455"/>
      <c r="R202" s="455"/>
      <c r="S202" s="455"/>
      <c r="T202" s="455"/>
      <c r="U202" s="455"/>
      <c r="V202" s="455"/>
      <c r="W202" s="455"/>
      <c r="X202" s="1754">
        <f>SUM(P202:T202)</f>
        <v>0</v>
      </c>
      <c r="Y202" s="1750"/>
    </row>
    <row r="203" spans="1:26" s="862" customFormat="1" ht="12.75" hidden="1" customHeight="1">
      <c r="A203" s="1707"/>
      <c r="B203" s="501" t="s">
        <v>34</v>
      </c>
      <c r="C203" s="522"/>
      <c r="D203" s="523">
        <f>+D204</f>
        <v>0</v>
      </c>
      <c r="E203" s="523">
        <f t="shared" ref="E203:P204" si="128">+E204</f>
        <v>0</v>
      </c>
      <c r="F203" s="523">
        <f t="shared" si="128"/>
        <v>0</v>
      </c>
      <c r="G203" s="523">
        <f t="shared" si="128"/>
        <v>0</v>
      </c>
      <c r="H203" s="523">
        <f t="shared" si="128"/>
        <v>0</v>
      </c>
      <c r="I203" s="523">
        <f t="shared" si="128"/>
        <v>0</v>
      </c>
      <c r="J203" s="523">
        <f t="shared" si="128"/>
        <v>0</v>
      </c>
      <c r="K203" s="523">
        <f t="shared" si="128"/>
        <v>0</v>
      </c>
      <c r="L203" s="523">
        <f t="shared" si="128"/>
        <v>0</v>
      </c>
      <c r="M203" s="523">
        <f t="shared" si="128"/>
        <v>0</v>
      </c>
      <c r="N203" s="523">
        <f t="shared" si="128"/>
        <v>0</v>
      </c>
      <c r="O203" s="523">
        <f t="shared" si="128"/>
        <v>0</v>
      </c>
      <c r="P203" s="523">
        <f t="shared" si="128"/>
        <v>0</v>
      </c>
      <c r="Q203" s="523"/>
      <c r="R203" s="523"/>
      <c r="S203" s="523"/>
      <c r="T203" s="523"/>
      <c r="U203" s="523"/>
      <c r="V203" s="523"/>
      <c r="W203" s="523"/>
      <c r="X203" s="2638" t="s">
        <v>35</v>
      </c>
      <c r="Y203" s="2606" t="s">
        <v>120</v>
      </c>
    </row>
    <row r="204" spans="1:26" s="864" customFormat="1" ht="12.75" hidden="1" customHeight="1">
      <c r="A204" s="1707"/>
      <c r="B204" s="502" t="s">
        <v>30</v>
      </c>
      <c r="C204" s="2594" t="s">
        <v>101</v>
      </c>
      <c r="D204" s="1682">
        <f>+D205</f>
        <v>0</v>
      </c>
      <c r="E204" s="1682">
        <f t="shared" si="128"/>
        <v>0</v>
      </c>
      <c r="F204" s="1682">
        <f t="shared" si="128"/>
        <v>0</v>
      </c>
      <c r="G204" s="1682">
        <f t="shared" si="128"/>
        <v>0</v>
      </c>
      <c r="H204" s="1682">
        <f t="shared" si="128"/>
        <v>0</v>
      </c>
      <c r="I204" s="1682">
        <f t="shared" si="128"/>
        <v>0</v>
      </c>
      <c r="J204" s="1682">
        <f t="shared" si="128"/>
        <v>0</v>
      </c>
      <c r="K204" s="1682">
        <f t="shared" si="128"/>
        <v>0</v>
      </c>
      <c r="L204" s="1682">
        <f t="shared" si="128"/>
        <v>0</v>
      </c>
      <c r="M204" s="1682">
        <f t="shared" si="128"/>
        <v>0</v>
      </c>
      <c r="N204" s="1682">
        <f t="shared" si="128"/>
        <v>0</v>
      </c>
      <c r="O204" s="1682">
        <f t="shared" si="128"/>
        <v>0</v>
      </c>
      <c r="P204" s="1682">
        <f t="shared" si="128"/>
        <v>0</v>
      </c>
      <c r="Q204" s="1682"/>
      <c r="R204" s="1682"/>
      <c r="S204" s="1682"/>
      <c r="T204" s="1682"/>
      <c r="U204" s="1682"/>
      <c r="V204" s="1682"/>
      <c r="W204" s="1682"/>
      <c r="X204" s="2638"/>
      <c r="Y204" s="2606"/>
    </row>
    <row r="205" spans="1:26" s="864" customFormat="1" ht="12.75" hidden="1" customHeight="1" thickBot="1">
      <c r="A205" s="1072"/>
      <c r="B205" s="556" t="s">
        <v>33</v>
      </c>
      <c r="C205" s="2608"/>
      <c r="D205" s="1064">
        <f>M205+O205+P205+Q205+R205+S205+T205+U205+V205+W205</f>
        <v>0</v>
      </c>
      <c r="E205" s="557">
        <f>+F205+G205+H205</f>
        <v>0</v>
      </c>
      <c r="F205" s="549">
        <v>0</v>
      </c>
      <c r="G205" s="548">
        <v>0</v>
      </c>
      <c r="H205" s="548">
        <v>0</v>
      </c>
      <c r="I205" s="548">
        <v>0</v>
      </c>
      <c r="J205" s="548">
        <v>0</v>
      </c>
      <c r="K205" s="548"/>
      <c r="L205" s="548">
        <v>0</v>
      </c>
      <c r="M205" s="1064">
        <f>+E205+I205+J205+K205+L205+N205</f>
        <v>0</v>
      </c>
      <c r="N205" s="548">
        <v>0</v>
      </c>
      <c r="O205" s="548">
        <v>0</v>
      </c>
      <c r="P205" s="551">
        <v>0</v>
      </c>
      <c r="Q205" s="551"/>
      <c r="R205" s="551"/>
      <c r="S205" s="551"/>
      <c r="T205" s="551"/>
      <c r="U205" s="551"/>
      <c r="V205" s="551"/>
      <c r="W205" s="551"/>
      <c r="X205" s="2639"/>
      <c r="Y205" s="2607"/>
    </row>
    <row r="206" spans="1:26" hidden="1">
      <c r="A206" s="2597"/>
      <c r="B206" s="477"/>
      <c r="C206" s="457" t="s">
        <v>97</v>
      </c>
      <c r="D206" s="559"/>
      <c r="E206" s="560"/>
      <c r="F206" s="560"/>
      <c r="G206" s="560"/>
      <c r="H206" s="560"/>
      <c r="I206" s="560"/>
      <c r="J206" s="560"/>
      <c r="K206" s="560"/>
      <c r="L206" s="560"/>
      <c r="M206" s="561"/>
      <c r="N206" s="561"/>
      <c r="O206" s="560"/>
      <c r="P206" s="560"/>
      <c r="Q206" s="560"/>
      <c r="R206" s="560"/>
      <c r="S206" s="807"/>
      <c r="T206" s="807"/>
      <c r="U206" s="807"/>
      <c r="V206" s="807"/>
      <c r="W206" s="807"/>
      <c r="X206" s="423"/>
      <c r="Y206" s="2589"/>
    </row>
    <row r="207" spans="1:26" ht="13.5" hidden="1" customHeight="1">
      <c r="A207" s="2598"/>
      <c r="B207" s="489" t="s">
        <v>22</v>
      </c>
      <c r="C207" s="359"/>
      <c r="D207" s="562">
        <f>+D208</f>
        <v>0</v>
      </c>
      <c r="E207" s="562">
        <v>0</v>
      </c>
      <c r="F207" s="562"/>
      <c r="G207" s="562"/>
      <c r="H207" s="562"/>
      <c r="I207" s="562">
        <v>0</v>
      </c>
      <c r="J207" s="562">
        <v>0</v>
      </c>
      <c r="K207" s="562">
        <v>0</v>
      </c>
      <c r="L207" s="562">
        <f t="shared" ref="L207:P208" si="129">+L208</f>
        <v>0</v>
      </c>
      <c r="M207" s="562">
        <f t="shared" si="129"/>
        <v>0</v>
      </c>
      <c r="N207" s="562">
        <f t="shared" si="129"/>
        <v>0</v>
      </c>
      <c r="O207" s="562">
        <f t="shared" si="129"/>
        <v>0</v>
      </c>
      <c r="P207" s="562">
        <f t="shared" si="129"/>
        <v>0</v>
      </c>
      <c r="Q207" s="562">
        <v>0</v>
      </c>
      <c r="R207" s="562"/>
      <c r="S207" s="562"/>
      <c r="T207" s="562"/>
      <c r="U207" s="562"/>
      <c r="V207" s="562"/>
      <c r="W207" s="562"/>
      <c r="X207" s="385">
        <f>+X208</f>
        <v>0</v>
      </c>
      <c r="Y207" s="2590"/>
      <c r="Z207" s="861">
        <f>+O207+P207</f>
        <v>0</v>
      </c>
    </row>
    <row r="208" spans="1:26" ht="13.5" hidden="1" customHeight="1">
      <c r="A208" s="2598"/>
      <c r="B208" s="512" t="s">
        <v>115</v>
      </c>
      <c r="C208" s="2602"/>
      <c r="D208" s="564">
        <f>+D209</f>
        <v>0</v>
      </c>
      <c r="E208" s="563">
        <v>0</v>
      </c>
      <c r="F208" s="563"/>
      <c r="G208" s="563"/>
      <c r="H208" s="563"/>
      <c r="I208" s="563">
        <v>0</v>
      </c>
      <c r="J208" s="564">
        <v>0</v>
      </c>
      <c r="K208" s="565">
        <v>0</v>
      </c>
      <c r="L208" s="564">
        <f t="shared" si="129"/>
        <v>0</v>
      </c>
      <c r="M208" s="564">
        <f t="shared" si="129"/>
        <v>0</v>
      </c>
      <c r="N208" s="564">
        <f t="shared" si="129"/>
        <v>0</v>
      </c>
      <c r="O208" s="564">
        <f t="shared" si="129"/>
        <v>0</v>
      </c>
      <c r="P208" s="564">
        <f t="shared" si="129"/>
        <v>0</v>
      </c>
      <c r="Q208" s="566">
        <v>0</v>
      </c>
      <c r="R208" s="566"/>
      <c r="S208" s="566"/>
      <c r="T208" s="566"/>
      <c r="U208" s="566"/>
      <c r="V208" s="566"/>
      <c r="W208" s="566"/>
      <c r="X208" s="567">
        <f>+X209</f>
        <v>0</v>
      </c>
      <c r="Y208" s="2590"/>
    </row>
    <row r="209" spans="1:26" ht="13.5" hidden="1" customHeight="1">
      <c r="A209" s="2598"/>
      <c r="B209" s="473" t="s">
        <v>33</v>
      </c>
      <c r="C209" s="2595"/>
      <c r="D209" s="1467">
        <f>M209+O209+P209+Q209+R209+S209+T209+U209+V209+W209</f>
        <v>0</v>
      </c>
      <c r="E209" s="568"/>
      <c r="F209" s="569"/>
      <c r="G209" s="568"/>
      <c r="H209" s="568"/>
      <c r="I209" s="568"/>
      <c r="J209" s="570"/>
      <c r="K209" s="571"/>
      <c r="L209" s="572"/>
      <c r="M209" s="435"/>
      <c r="N209" s="572"/>
      <c r="O209" s="572"/>
      <c r="P209" s="572">
        <f>56000000-24565000-31435000</f>
        <v>0</v>
      </c>
      <c r="Q209" s="573">
        <v>0</v>
      </c>
      <c r="R209" s="573"/>
      <c r="S209" s="573"/>
      <c r="T209" s="573"/>
      <c r="U209" s="573"/>
      <c r="V209" s="573"/>
      <c r="W209" s="573"/>
      <c r="X209" s="393">
        <f>SUM(P209:T209)</f>
        <v>0</v>
      </c>
      <c r="Y209" s="2590"/>
    </row>
    <row r="210" spans="1:26" s="862" customFormat="1" ht="13.5" hidden="1" customHeight="1">
      <c r="A210" s="2598"/>
      <c r="B210" s="489" t="s">
        <v>34</v>
      </c>
      <c r="C210" s="359"/>
      <c r="D210" s="448">
        <f>+D211</f>
        <v>0</v>
      </c>
      <c r="E210" s="448">
        <v>0</v>
      </c>
      <c r="F210" s="448"/>
      <c r="G210" s="448"/>
      <c r="H210" s="448"/>
      <c r="I210" s="448">
        <v>0</v>
      </c>
      <c r="J210" s="448">
        <v>0</v>
      </c>
      <c r="K210" s="448">
        <v>0</v>
      </c>
      <c r="L210" s="448">
        <f t="shared" ref="L210:P211" si="130">+L211</f>
        <v>0</v>
      </c>
      <c r="M210" s="448">
        <f t="shared" si="130"/>
        <v>0</v>
      </c>
      <c r="N210" s="448">
        <f t="shared" si="130"/>
        <v>0</v>
      </c>
      <c r="O210" s="448">
        <f t="shared" si="130"/>
        <v>0</v>
      </c>
      <c r="P210" s="448">
        <f t="shared" si="130"/>
        <v>0</v>
      </c>
      <c r="Q210" s="448">
        <v>0</v>
      </c>
      <c r="R210" s="448"/>
      <c r="S210" s="448"/>
      <c r="T210" s="448"/>
      <c r="U210" s="448"/>
      <c r="V210" s="448"/>
      <c r="W210" s="448"/>
      <c r="X210" s="2637" t="s">
        <v>35</v>
      </c>
      <c r="Y210" s="2590"/>
    </row>
    <row r="211" spans="1:26" s="864" customFormat="1" ht="14.25" hidden="1" customHeight="1">
      <c r="A211" s="2599"/>
      <c r="B211" s="512" t="s">
        <v>115</v>
      </c>
      <c r="C211" s="2602"/>
      <c r="D211" s="520">
        <f>+D212</f>
        <v>0</v>
      </c>
      <c r="E211" s="495">
        <v>0</v>
      </c>
      <c r="F211" s="495"/>
      <c r="G211" s="495"/>
      <c r="H211" s="495"/>
      <c r="I211" s="495">
        <v>0</v>
      </c>
      <c r="J211" s="520">
        <v>0</v>
      </c>
      <c r="K211" s="565">
        <v>0</v>
      </c>
      <c r="L211" s="574">
        <f t="shared" si="130"/>
        <v>0</v>
      </c>
      <c r="M211" s="574">
        <f t="shared" si="130"/>
        <v>0</v>
      </c>
      <c r="N211" s="574">
        <f t="shared" si="130"/>
        <v>0</v>
      </c>
      <c r="O211" s="574">
        <f t="shared" si="130"/>
        <v>0</v>
      </c>
      <c r="P211" s="574">
        <f t="shared" si="130"/>
        <v>0</v>
      </c>
      <c r="Q211" s="495">
        <v>0</v>
      </c>
      <c r="R211" s="495"/>
      <c r="S211" s="495"/>
      <c r="T211" s="495"/>
      <c r="U211" s="495"/>
      <c r="V211" s="495"/>
      <c r="W211" s="495"/>
      <c r="X211" s="2638"/>
      <c r="Y211" s="2590"/>
    </row>
    <row r="212" spans="1:26" s="864" customFormat="1" ht="12.75" hidden="1" customHeight="1" thickBot="1">
      <c r="A212" s="2600"/>
      <c r="B212" s="558" t="s">
        <v>33</v>
      </c>
      <c r="C212" s="2596"/>
      <c r="D212" s="1467">
        <f>M212+O212+P212+Q212+R212+S212+T212+U212+V212+W212</f>
        <v>0</v>
      </c>
      <c r="E212" s="549">
        <v>0</v>
      </c>
      <c r="F212" s="549"/>
      <c r="G212" s="549"/>
      <c r="H212" s="549"/>
      <c r="I212" s="548">
        <v>0</v>
      </c>
      <c r="J212" s="549">
        <v>0</v>
      </c>
      <c r="K212" s="575">
        <v>0</v>
      </c>
      <c r="L212" s="576"/>
      <c r="M212" s="434"/>
      <c r="N212" s="576"/>
      <c r="O212" s="576"/>
      <c r="P212" s="576">
        <f>70000000-38565000-31435000</f>
        <v>0</v>
      </c>
      <c r="Q212" s="549">
        <v>0</v>
      </c>
      <c r="R212" s="549"/>
      <c r="S212" s="549"/>
      <c r="T212" s="549"/>
      <c r="U212" s="549"/>
      <c r="V212" s="549"/>
      <c r="W212" s="549"/>
      <c r="X212" s="2639"/>
      <c r="Y212" s="2591"/>
    </row>
    <row r="213" spans="1:26" ht="26.25" hidden="1" customHeight="1">
      <c r="A213" s="2597"/>
      <c r="B213" s="928"/>
      <c r="C213" s="457" t="s">
        <v>97</v>
      </c>
      <c r="D213" s="555"/>
      <c r="E213" s="530"/>
      <c r="F213" s="531"/>
      <c r="G213" s="530"/>
      <c r="H213" s="530"/>
      <c r="I213" s="530"/>
      <c r="J213" s="530"/>
      <c r="K213" s="530"/>
      <c r="L213" s="530"/>
      <c r="M213" s="530"/>
      <c r="N213" s="530"/>
      <c r="O213" s="530"/>
      <c r="P213" s="532"/>
      <c r="Q213" s="532"/>
      <c r="R213" s="532"/>
      <c r="S213" s="532"/>
      <c r="T213" s="532"/>
      <c r="U213" s="532"/>
      <c r="V213" s="532"/>
      <c r="W213" s="532"/>
      <c r="X213" s="423"/>
      <c r="Y213" s="2698" t="s">
        <v>307</v>
      </c>
    </row>
    <row r="214" spans="1:26" ht="13.5" hidden="1" customHeight="1">
      <c r="A214" s="2598"/>
      <c r="B214" s="358" t="s">
        <v>22</v>
      </c>
      <c r="C214" s="359"/>
      <c r="D214" s="462">
        <f t="shared" ref="D214:P214" si="131">+D215+D217</f>
        <v>0</v>
      </c>
      <c r="E214" s="462">
        <f t="shared" si="131"/>
        <v>0</v>
      </c>
      <c r="F214" s="462">
        <f t="shared" si="131"/>
        <v>0</v>
      </c>
      <c r="G214" s="462">
        <f t="shared" si="131"/>
        <v>0</v>
      </c>
      <c r="H214" s="462">
        <f t="shared" si="131"/>
        <v>0</v>
      </c>
      <c r="I214" s="462">
        <f t="shared" si="131"/>
        <v>0</v>
      </c>
      <c r="J214" s="462">
        <f t="shared" si="131"/>
        <v>0</v>
      </c>
      <c r="K214" s="462">
        <f t="shared" si="131"/>
        <v>0</v>
      </c>
      <c r="L214" s="462">
        <f t="shared" si="131"/>
        <v>0</v>
      </c>
      <c r="M214" s="929">
        <f>+M215+M217</f>
        <v>0</v>
      </c>
      <c r="N214" s="929">
        <f t="shared" si="131"/>
        <v>0</v>
      </c>
      <c r="O214" s="462">
        <f t="shared" si="131"/>
        <v>0</v>
      </c>
      <c r="P214" s="462">
        <f t="shared" si="131"/>
        <v>0</v>
      </c>
      <c r="Q214" s="462"/>
      <c r="R214" s="462"/>
      <c r="S214" s="462"/>
      <c r="T214" s="462"/>
      <c r="U214" s="462"/>
      <c r="V214" s="462"/>
      <c r="W214" s="462"/>
      <c r="X214" s="464">
        <f>+X215+X217</f>
        <v>0</v>
      </c>
      <c r="Y214" s="2641"/>
      <c r="Z214" s="861">
        <f>+O214+P214</f>
        <v>0</v>
      </c>
    </row>
    <row r="215" spans="1:26" ht="13.5" hidden="1" customHeight="1">
      <c r="A215" s="2598"/>
      <c r="B215" s="510" t="s">
        <v>36</v>
      </c>
      <c r="C215" s="2602" t="s">
        <v>100</v>
      </c>
      <c r="D215" s="465">
        <f>+D216</f>
        <v>0</v>
      </c>
      <c r="E215" s="465">
        <f t="shared" ref="E215:P215" si="132">+E216</f>
        <v>0</v>
      </c>
      <c r="F215" s="465">
        <f t="shared" si="132"/>
        <v>0</v>
      </c>
      <c r="G215" s="465">
        <f t="shared" si="132"/>
        <v>0</v>
      </c>
      <c r="H215" s="465">
        <f t="shared" si="132"/>
        <v>0</v>
      </c>
      <c r="I215" s="465">
        <f t="shared" si="132"/>
        <v>0</v>
      </c>
      <c r="J215" s="465">
        <f t="shared" si="132"/>
        <v>0</v>
      </c>
      <c r="K215" s="465">
        <f t="shared" si="132"/>
        <v>0</v>
      </c>
      <c r="L215" s="465">
        <f t="shared" si="132"/>
        <v>0</v>
      </c>
      <c r="M215" s="930">
        <f t="shared" si="132"/>
        <v>0</v>
      </c>
      <c r="N215" s="930">
        <f t="shared" si="132"/>
        <v>0</v>
      </c>
      <c r="O215" s="465">
        <f t="shared" si="132"/>
        <v>0</v>
      </c>
      <c r="P215" s="465">
        <f t="shared" si="132"/>
        <v>0</v>
      </c>
      <c r="Q215" s="465"/>
      <c r="R215" s="465"/>
      <c r="S215" s="465"/>
      <c r="T215" s="465"/>
      <c r="U215" s="465"/>
      <c r="V215" s="465"/>
      <c r="W215" s="465"/>
      <c r="X215" s="486">
        <f>+X216</f>
        <v>0</v>
      </c>
      <c r="Y215" s="2641"/>
      <c r="Z215" s="778"/>
    </row>
    <row r="216" spans="1:26" ht="13.5" hidden="1" customHeight="1">
      <c r="A216" s="2598"/>
      <c r="B216" s="511" t="s">
        <v>24</v>
      </c>
      <c r="C216" s="2643"/>
      <c r="D216" s="433">
        <f>M216+O216+P216+Q216+R216+S216+T216+U216+V216+W216</f>
        <v>0</v>
      </c>
      <c r="E216" s="478">
        <f>+F216+G216+H216</f>
        <v>0</v>
      </c>
      <c r="F216" s="514">
        <v>0</v>
      </c>
      <c r="G216" s="478">
        <v>0</v>
      </c>
      <c r="H216" s="478">
        <v>0</v>
      </c>
      <c r="I216" s="478">
        <f>140382-140382</f>
        <v>0</v>
      </c>
      <c r="J216" s="516">
        <v>0</v>
      </c>
      <c r="K216" s="478">
        <v>0</v>
      </c>
      <c r="L216" s="478">
        <v>0</v>
      </c>
      <c r="M216" s="434">
        <f>+E216+I216+J216+K216+L216+N216</f>
        <v>0</v>
      </c>
      <c r="N216" s="931">
        <v>0</v>
      </c>
      <c r="O216" s="514">
        <v>0</v>
      </c>
      <c r="P216" s="514">
        <f>2050000-2050000</f>
        <v>0</v>
      </c>
      <c r="Q216" s="441"/>
      <c r="R216" s="441"/>
      <c r="S216" s="441"/>
      <c r="T216" s="441"/>
      <c r="U216" s="441"/>
      <c r="V216" s="441"/>
      <c r="W216" s="441"/>
      <c r="X216" s="393">
        <f>SUM(P216:T216)</f>
        <v>0</v>
      </c>
      <c r="Y216" s="2641"/>
    </row>
    <row r="217" spans="1:26" ht="13.5" hidden="1" customHeight="1">
      <c r="A217" s="2598"/>
      <c r="B217" s="502" t="s">
        <v>30</v>
      </c>
      <c r="C217" s="2643"/>
      <c r="D217" s="443">
        <f>+D218</f>
        <v>0</v>
      </c>
      <c r="E217" s="443">
        <f t="shared" ref="E217:P217" si="133">+E218</f>
        <v>0</v>
      </c>
      <c r="F217" s="443">
        <f t="shared" si="133"/>
        <v>0</v>
      </c>
      <c r="G217" s="443">
        <f t="shared" si="133"/>
        <v>0</v>
      </c>
      <c r="H217" s="443">
        <f t="shared" si="133"/>
        <v>0</v>
      </c>
      <c r="I217" s="443">
        <f t="shared" si="133"/>
        <v>0</v>
      </c>
      <c r="J217" s="443">
        <f t="shared" si="133"/>
        <v>0</v>
      </c>
      <c r="K217" s="443">
        <f t="shared" si="133"/>
        <v>0</v>
      </c>
      <c r="L217" s="443">
        <f t="shared" si="133"/>
        <v>0</v>
      </c>
      <c r="M217" s="892">
        <f t="shared" si="133"/>
        <v>0</v>
      </c>
      <c r="N217" s="892">
        <f t="shared" si="133"/>
        <v>0</v>
      </c>
      <c r="O217" s="443">
        <f t="shared" si="133"/>
        <v>0</v>
      </c>
      <c r="P217" s="443">
        <f t="shared" si="133"/>
        <v>0</v>
      </c>
      <c r="Q217" s="443"/>
      <c r="R217" s="443"/>
      <c r="S217" s="443"/>
      <c r="T217" s="443"/>
      <c r="U217" s="443"/>
      <c r="V217" s="443"/>
      <c r="W217" s="443"/>
      <c r="X217" s="486">
        <f>+X218</f>
        <v>0</v>
      </c>
      <c r="Y217" s="2641"/>
    </row>
    <row r="218" spans="1:26" ht="13.5" hidden="1" customHeight="1">
      <c r="A218" s="2598"/>
      <c r="B218" s="447" t="s">
        <v>33</v>
      </c>
      <c r="C218" s="2643"/>
      <c r="D218" s="433">
        <f>M218+O218+P218+Q218+R218+S218+T218+U218+V218+W218</f>
        <v>0</v>
      </c>
      <c r="E218" s="440">
        <f>+F218+G218+H218</f>
        <v>0</v>
      </c>
      <c r="F218" s="441">
        <v>0</v>
      </c>
      <c r="G218" s="441">
        <v>0</v>
      </c>
      <c r="H218" s="440">
        <v>0</v>
      </c>
      <c r="I218" s="440">
        <f>163508-163508</f>
        <v>0</v>
      </c>
      <c r="J218" s="440"/>
      <c r="K218" s="440"/>
      <c r="L218" s="440">
        <v>0</v>
      </c>
      <c r="M218" s="434">
        <f>+E218+I218+J218+K218+L218+N218</f>
        <v>0</v>
      </c>
      <c r="N218" s="786">
        <v>0</v>
      </c>
      <c r="O218" s="440">
        <v>0</v>
      </c>
      <c r="P218" s="441">
        <v>0</v>
      </c>
      <c r="Q218" s="441"/>
      <c r="R218" s="441"/>
      <c r="S218" s="441"/>
      <c r="T218" s="441"/>
      <c r="U218" s="441"/>
      <c r="V218" s="441"/>
      <c r="W218" s="441"/>
      <c r="X218" s="393">
        <f>SUM(P218:T218)</f>
        <v>0</v>
      </c>
      <c r="Y218" s="2641"/>
    </row>
    <row r="219" spans="1:26" s="862" customFormat="1" ht="12.75" hidden="1" customHeight="1">
      <c r="A219" s="2598"/>
      <c r="B219" s="358" t="s">
        <v>34</v>
      </c>
      <c r="C219" s="359"/>
      <c r="D219" s="448">
        <f>+D220</f>
        <v>0</v>
      </c>
      <c r="E219" s="448">
        <f t="shared" ref="E219:P220" si="134">+E220</f>
        <v>0</v>
      </c>
      <c r="F219" s="448">
        <f t="shared" si="134"/>
        <v>0</v>
      </c>
      <c r="G219" s="448">
        <f t="shared" si="134"/>
        <v>0</v>
      </c>
      <c r="H219" s="448">
        <f t="shared" si="134"/>
        <v>0</v>
      </c>
      <c r="I219" s="448">
        <f t="shared" si="134"/>
        <v>0</v>
      </c>
      <c r="J219" s="448">
        <f t="shared" si="134"/>
        <v>0</v>
      </c>
      <c r="K219" s="448">
        <f t="shared" si="134"/>
        <v>0</v>
      </c>
      <c r="L219" s="448">
        <f t="shared" si="134"/>
        <v>0</v>
      </c>
      <c r="M219" s="894">
        <f t="shared" si="134"/>
        <v>0</v>
      </c>
      <c r="N219" s="894">
        <f t="shared" si="134"/>
        <v>0</v>
      </c>
      <c r="O219" s="448">
        <f t="shared" si="134"/>
        <v>0</v>
      </c>
      <c r="P219" s="448">
        <f t="shared" si="134"/>
        <v>0</v>
      </c>
      <c r="Q219" s="448"/>
      <c r="R219" s="448"/>
      <c r="S219" s="448"/>
      <c r="T219" s="448"/>
      <c r="U219" s="448"/>
      <c r="V219" s="448"/>
      <c r="W219" s="448"/>
      <c r="X219" s="2637" t="s">
        <v>35</v>
      </c>
      <c r="Y219" s="2699"/>
    </row>
    <row r="220" spans="1:26" s="864" customFormat="1" ht="12" hidden="1" customHeight="1">
      <c r="A220" s="2598"/>
      <c r="B220" s="502" t="s">
        <v>30</v>
      </c>
      <c r="C220" s="2602" t="s">
        <v>101</v>
      </c>
      <c r="D220" s="495">
        <f>+D221</f>
        <v>0</v>
      </c>
      <c r="E220" s="495">
        <f t="shared" si="134"/>
        <v>0</v>
      </c>
      <c r="F220" s="495">
        <f t="shared" si="134"/>
        <v>0</v>
      </c>
      <c r="G220" s="495">
        <f t="shared" si="134"/>
        <v>0</v>
      </c>
      <c r="H220" s="495">
        <f t="shared" si="134"/>
        <v>0</v>
      </c>
      <c r="I220" s="495">
        <f t="shared" si="134"/>
        <v>0</v>
      </c>
      <c r="J220" s="495">
        <f t="shared" si="134"/>
        <v>0</v>
      </c>
      <c r="K220" s="495">
        <f t="shared" si="134"/>
        <v>0</v>
      </c>
      <c r="L220" s="495">
        <f t="shared" si="134"/>
        <v>0</v>
      </c>
      <c r="M220" s="932">
        <f t="shared" si="134"/>
        <v>0</v>
      </c>
      <c r="N220" s="932">
        <f t="shared" si="134"/>
        <v>0</v>
      </c>
      <c r="O220" s="495">
        <f t="shared" si="134"/>
        <v>0</v>
      </c>
      <c r="P220" s="495">
        <f t="shared" si="134"/>
        <v>0</v>
      </c>
      <c r="Q220" s="495"/>
      <c r="R220" s="495"/>
      <c r="S220" s="495"/>
      <c r="T220" s="495"/>
      <c r="U220" s="495"/>
      <c r="V220" s="495"/>
      <c r="W220" s="495"/>
      <c r="X220" s="2638"/>
      <c r="Y220" s="2699"/>
    </row>
    <row r="221" spans="1:26" s="864" customFormat="1" ht="12.75" hidden="1" customHeight="1" thickBot="1">
      <c r="A221" s="2654"/>
      <c r="B221" s="556" t="s">
        <v>33</v>
      </c>
      <c r="C221" s="2596"/>
      <c r="D221" s="1064">
        <f>M221+O221+P221+Q221+R221+S221+T221+U221+V221+W221</f>
        <v>0</v>
      </c>
      <c r="E221" s="548">
        <f>+F221+G221+H221</f>
        <v>0</v>
      </c>
      <c r="F221" s="549">
        <v>0</v>
      </c>
      <c r="G221" s="548">
        <v>0</v>
      </c>
      <c r="H221" s="548">
        <v>0</v>
      </c>
      <c r="I221" s="548">
        <v>0</v>
      </c>
      <c r="J221" s="548">
        <v>0</v>
      </c>
      <c r="K221" s="548"/>
      <c r="L221" s="548">
        <v>0</v>
      </c>
      <c r="M221" s="1064">
        <f>+E221+I221+J221+K221+L221+N221</f>
        <v>0</v>
      </c>
      <c r="N221" s="933">
        <v>0</v>
      </c>
      <c r="O221" s="548">
        <v>0</v>
      </c>
      <c r="P221" s="551">
        <v>0</v>
      </c>
      <c r="Q221" s="551"/>
      <c r="R221" s="551"/>
      <c r="S221" s="551"/>
      <c r="T221" s="551"/>
      <c r="U221" s="551"/>
      <c r="V221" s="551"/>
      <c r="W221" s="551"/>
      <c r="X221" s="2639"/>
      <c r="Y221" s="2700"/>
    </row>
    <row r="222" spans="1:26" s="864" customFormat="1" ht="16.5" customHeight="1" thickBot="1">
      <c r="A222" s="1741"/>
      <c r="B222" s="917" t="s">
        <v>297</v>
      </c>
      <c r="C222" s="1742"/>
      <c r="D222" s="1743"/>
      <c r="E222" s="1744"/>
      <c r="F222" s="1744"/>
      <c r="G222" s="1745"/>
      <c r="H222" s="1745"/>
      <c r="I222" s="1745"/>
      <c r="J222" s="1745"/>
      <c r="K222" s="1745"/>
      <c r="L222" s="1745"/>
      <c r="M222" s="1746"/>
      <c r="N222" s="1747"/>
      <c r="O222" s="1747"/>
      <c r="P222" s="1747"/>
      <c r="Q222" s="1747"/>
      <c r="R222" s="1747"/>
      <c r="S222" s="1747"/>
      <c r="T222" s="1747"/>
      <c r="U222" s="1747"/>
      <c r="V222" s="1747"/>
      <c r="W222" s="1747"/>
      <c r="X222" s="1748"/>
      <c r="Y222" s="1749"/>
    </row>
    <row r="223" spans="1:26" s="864" customFormat="1" ht="40.5" customHeight="1">
      <c r="A223" s="2597" t="s">
        <v>106</v>
      </c>
      <c r="B223" s="1466" t="s">
        <v>544</v>
      </c>
      <c r="C223" s="457"/>
      <c r="D223" s="458"/>
      <c r="E223" s="459"/>
      <c r="F223" s="459"/>
      <c r="G223" s="460"/>
      <c r="H223" s="460"/>
      <c r="I223" s="420"/>
      <c r="J223" s="420"/>
      <c r="K223" s="420"/>
      <c r="L223" s="420"/>
      <c r="M223" s="422"/>
      <c r="N223" s="422"/>
      <c r="O223" s="422"/>
      <c r="P223" s="422"/>
      <c r="Q223" s="422"/>
      <c r="R223" s="422"/>
      <c r="S223" s="422"/>
      <c r="T223" s="422"/>
      <c r="U223" s="422"/>
      <c r="V223" s="422"/>
      <c r="W223" s="422"/>
      <c r="X223" s="423"/>
      <c r="Y223" s="424"/>
      <c r="Z223" s="1118"/>
    </row>
    <row r="224" spans="1:26" s="864" customFormat="1" ht="13.5" customHeight="1">
      <c r="A224" s="2598"/>
      <c r="B224" s="1400" t="s">
        <v>22</v>
      </c>
      <c r="C224" s="2485" t="s">
        <v>97</v>
      </c>
      <c r="D224" s="1378">
        <f>+D225+D229</f>
        <v>11463988</v>
      </c>
      <c r="E224" s="1345">
        <f t="shared" ref="E224:P224" si="135">+E225+E229</f>
        <v>0</v>
      </c>
      <c r="F224" s="1345">
        <f t="shared" si="135"/>
        <v>0</v>
      </c>
      <c r="G224" s="1345">
        <f t="shared" si="135"/>
        <v>0</v>
      </c>
      <c r="H224" s="1345">
        <f t="shared" si="135"/>
        <v>0</v>
      </c>
      <c r="I224" s="1345">
        <f t="shared" si="135"/>
        <v>0</v>
      </c>
      <c r="J224" s="1345">
        <f>+J225+J229</f>
        <v>0</v>
      </c>
      <c r="K224" s="1345">
        <f t="shared" si="135"/>
        <v>0</v>
      </c>
      <c r="L224" s="1345">
        <f t="shared" si="135"/>
        <v>49692</v>
      </c>
      <c r="M224" s="1345">
        <f>+M225+M229</f>
        <v>450059</v>
      </c>
      <c r="N224" s="1345">
        <f t="shared" si="135"/>
        <v>400367</v>
      </c>
      <c r="O224" s="1345">
        <f t="shared" si="135"/>
        <v>790929</v>
      </c>
      <c r="P224" s="1345">
        <f t="shared" si="135"/>
        <v>10220000</v>
      </c>
      <c r="Q224" s="1345">
        <f t="shared" ref="Q224" si="136">+Q225+Q229</f>
        <v>3000</v>
      </c>
      <c r="R224" s="1345"/>
      <c r="S224" s="1345"/>
      <c r="T224" s="1345"/>
      <c r="U224" s="1345"/>
      <c r="V224" s="1345"/>
      <c r="W224" s="1345"/>
      <c r="X224" s="1833">
        <f>X225+X229</f>
        <v>10223000</v>
      </c>
      <c r="Y224" s="2641" t="s">
        <v>103</v>
      </c>
    </row>
    <row r="225" spans="1:27" s="864" customFormat="1" ht="14.25" customHeight="1">
      <c r="A225" s="2598"/>
      <c r="B225" s="1392" t="s">
        <v>36</v>
      </c>
      <c r="C225" s="2594" t="s">
        <v>100</v>
      </c>
      <c r="D225" s="1379">
        <f>+D226+D227+D228</f>
        <v>612447</v>
      </c>
      <c r="E225" s="1379">
        <f>+E226+E227</f>
        <v>0</v>
      </c>
      <c r="F225" s="1379">
        <f>+F226+F227</f>
        <v>0</v>
      </c>
      <c r="G225" s="1379">
        <f>+G226+G227</f>
        <v>0</v>
      </c>
      <c r="H225" s="1379">
        <f>+H226+H227</f>
        <v>0</v>
      </c>
      <c r="I225" s="1379">
        <f>+I226+I227</f>
        <v>0</v>
      </c>
      <c r="J225" s="1379">
        <f t="shared" ref="J225:P225" si="137">+J226+J227+J228</f>
        <v>0</v>
      </c>
      <c r="K225" s="1379">
        <f t="shared" si="137"/>
        <v>0</v>
      </c>
      <c r="L225" s="1379">
        <f t="shared" si="137"/>
        <v>49692</v>
      </c>
      <c r="M225" s="1379">
        <f>+M226+M227+M228</f>
        <v>95810</v>
      </c>
      <c r="N225" s="1379">
        <f t="shared" si="137"/>
        <v>46118</v>
      </c>
      <c r="O225" s="1379">
        <f t="shared" si="137"/>
        <v>13637</v>
      </c>
      <c r="P225" s="1379">
        <f t="shared" si="137"/>
        <v>500000</v>
      </c>
      <c r="Q225" s="1379">
        <f t="shared" ref="Q225" si="138">+Q226+Q227+Q228</f>
        <v>3000</v>
      </c>
      <c r="R225" s="1379"/>
      <c r="S225" s="1379"/>
      <c r="T225" s="1379"/>
      <c r="U225" s="1379"/>
      <c r="V225" s="1379"/>
      <c r="W225" s="1379"/>
      <c r="X225" s="1395">
        <f>X226</f>
        <v>503000</v>
      </c>
      <c r="Y225" s="2641"/>
    </row>
    <row r="226" spans="1:27" s="864" customFormat="1" ht="12.75" customHeight="1">
      <c r="A226" s="2598"/>
      <c r="B226" s="1468" t="s">
        <v>24</v>
      </c>
      <c r="C226" s="2595"/>
      <c r="D226" s="1381">
        <f>M226+O226+P226+Q226+R226+S226+T226+U226+V226+W226</f>
        <v>612447</v>
      </c>
      <c r="E226" s="1396">
        <v>0</v>
      </c>
      <c r="F226" s="1396"/>
      <c r="G226" s="1396"/>
      <c r="H226" s="1396"/>
      <c r="I226" s="1396"/>
      <c r="J226" s="1396"/>
      <c r="K226" s="1396"/>
      <c r="L226" s="1396">
        <f>95810-46118</f>
        <v>49692</v>
      </c>
      <c r="M226" s="1383">
        <f>+E226+I226+J226+K226+L226+N226</f>
        <v>95810</v>
      </c>
      <c r="N226" s="1396">
        <f>53137+46118-53137</f>
        <v>46118</v>
      </c>
      <c r="O226" s="1396">
        <f>150000-19769-116594</f>
        <v>13637</v>
      </c>
      <c r="P226" s="1396">
        <f>1701863+19769-1077284-144348</f>
        <v>500000</v>
      </c>
      <c r="Q226" s="1396">
        <v>3000</v>
      </c>
      <c r="R226" s="1396"/>
      <c r="S226" s="1396"/>
      <c r="T226" s="1396"/>
      <c r="U226" s="1396"/>
      <c r="V226" s="1396"/>
      <c r="W226" s="1396"/>
      <c r="X226" s="1385">
        <f>SUM(P226:T226)</f>
        <v>503000</v>
      </c>
      <c r="Y226" s="2641"/>
    </row>
    <row r="227" spans="1:27" s="864" customFormat="1" ht="14.25" hidden="1" customHeight="1">
      <c r="A227" s="2598"/>
      <c r="B227" s="1397" t="s">
        <v>29</v>
      </c>
      <c r="C227" s="2643"/>
      <c r="D227" s="1381">
        <f>SUM(M227:T227)</f>
        <v>0</v>
      </c>
      <c r="E227" s="1388">
        <f>+F227+G227+H227</f>
        <v>0</v>
      </c>
      <c r="F227" s="1388"/>
      <c r="G227" s="1390"/>
      <c r="H227" s="1390"/>
      <c r="I227" s="1390"/>
      <c r="J227" s="1390"/>
      <c r="K227" s="1390"/>
      <c r="L227" s="1388">
        <v>0</v>
      </c>
      <c r="M227" s="1388"/>
      <c r="N227" s="1388">
        <v>0</v>
      </c>
      <c r="O227" s="1388">
        <v>0</v>
      </c>
      <c r="P227" s="1388">
        <v>0</v>
      </c>
      <c r="Q227" s="1389"/>
      <c r="R227" s="1388"/>
      <c r="S227" s="1388"/>
      <c r="T227" s="1388"/>
      <c r="U227" s="741"/>
      <c r="V227" s="741"/>
      <c r="W227" s="741"/>
      <c r="X227" s="1834"/>
      <c r="Y227" s="2641"/>
    </row>
    <row r="228" spans="1:27" s="864" customFormat="1" ht="14.25" hidden="1" customHeight="1">
      <c r="A228" s="2598"/>
      <c r="B228" s="1397" t="s">
        <v>27</v>
      </c>
      <c r="C228" s="2643"/>
      <c r="D228" s="1381">
        <f>SUM(M228:T228)</f>
        <v>0</v>
      </c>
      <c r="E228" s="1388">
        <v>0</v>
      </c>
      <c r="F228" s="1388"/>
      <c r="G228" s="1390"/>
      <c r="H228" s="1390"/>
      <c r="I228" s="1390">
        <v>0</v>
      </c>
      <c r="J228" s="1390"/>
      <c r="K228" s="1390"/>
      <c r="L228" s="1388">
        <v>0</v>
      </c>
      <c r="M228" s="1388"/>
      <c r="N228" s="1388">
        <v>0</v>
      </c>
      <c r="O228" s="1388">
        <v>0</v>
      </c>
      <c r="P228" s="1388">
        <v>0</v>
      </c>
      <c r="Q228" s="1389"/>
      <c r="R228" s="1388"/>
      <c r="S228" s="1388"/>
      <c r="T228" s="1388"/>
      <c r="U228" s="741"/>
      <c r="V228" s="741"/>
      <c r="W228" s="741"/>
      <c r="X228" s="1834"/>
      <c r="Y228" s="2641"/>
    </row>
    <row r="229" spans="1:27" s="887" customFormat="1" ht="14.25" customHeight="1">
      <c r="A229" s="2598"/>
      <c r="B229" s="1398" t="s">
        <v>30</v>
      </c>
      <c r="C229" s="2643"/>
      <c r="D229" s="1386">
        <f>+D230</f>
        <v>10851541</v>
      </c>
      <c r="E229" s="1386">
        <f t="shared" ref="E229:P229" si="139">+E230</f>
        <v>0</v>
      </c>
      <c r="F229" s="1386">
        <f t="shared" si="139"/>
        <v>0</v>
      </c>
      <c r="G229" s="1386">
        <f t="shared" si="139"/>
        <v>0</v>
      </c>
      <c r="H229" s="1386">
        <f t="shared" si="139"/>
        <v>0</v>
      </c>
      <c r="I229" s="1386">
        <f t="shared" si="139"/>
        <v>0</v>
      </c>
      <c r="J229" s="1386">
        <f t="shared" si="139"/>
        <v>0</v>
      </c>
      <c r="K229" s="1386">
        <f t="shared" si="139"/>
        <v>0</v>
      </c>
      <c r="L229" s="1386">
        <f t="shared" si="139"/>
        <v>0</v>
      </c>
      <c r="M229" s="1399">
        <f t="shared" si="139"/>
        <v>354249</v>
      </c>
      <c r="N229" s="1386">
        <f t="shared" si="139"/>
        <v>354249</v>
      </c>
      <c r="O229" s="1386">
        <f t="shared" si="139"/>
        <v>777292</v>
      </c>
      <c r="P229" s="1386">
        <f t="shared" si="139"/>
        <v>9720000</v>
      </c>
      <c r="Q229" s="1386"/>
      <c r="R229" s="1386"/>
      <c r="S229" s="1386"/>
      <c r="T229" s="1342"/>
      <c r="U229" s="1386"/>
      <c r="V229" s="1386"/>
      <c r="W229" s="1386"/>
      <c r="X229" s="1395">
        <f>X230</f>
        <v>9720000</v>
      </c>
      <c r="Y229" s="2641"/>
    </row>
    <row r="230" spans="1:27" s="864" customFormat="1" ht="12.75" customHeight="1">
      <c r="A230" s="2598"/>
      <c r="B230" s="1387" t="s">
        <v>33</v>
      </c>
      <c r="C230" s="2644"/>
      <c r="D230" s="1381">
        <f>M230+O230+P230+Q230+R230+S230+T230+U230+V230+W230</f>
        <v>10851541</v>
      </c>
      <c r="E230" s="1388">
        <f>+F230+G230+H230</f>
        <v>0</v>
      </c>
      <c r="F230" s="1388">
        <v>0</v>
      </c>
      <c r="G230" s="1390"/>
      <c r="H230" s="1390"/>
      <c r="I230" s="1390"/>
      <c r="J230" s="1390"/>
      <c r="K230" s="1390"/>
      <c r="L230" s="1388"/>
      <c r="M230" s="1383">
        <f>+E230+I230+J230+K230+L230+N230</f>
        <v>354249</v>
      </c>
      <c r="N230" s="1388">
        <f>301112+53137</f>
        <v>354249</v>
      </c>
      <c r="O230" s="1388">
        <f>850000-189302+116594</f>
        <v>777292</v>
      </c>
      <c r="P230" s="1388">
        <f>9643888+189302+102289-215479</f>
        <v>9720000</v>
      </c>
      <c r="Q230" s="1389"/>
      <c r="R230" s="1388"/>
      <c r="S230" s="1388"/>
      <c r="T230" s="1388"/>
      <c r="U230" s="1389"/>
      <c r="V230" s="1389"/>
      <c r="W230" s="1389"/>
      <c r="X230" s="1385">
        <f>SUM(P230:T230)</f>
        <v>9720000</v>
      </c>
      <c r="Y230" s="2642"/>
    </row>
    <row r="231" spans="1:27" s="864" customFormat="1" ht="21.75" customHeight="1">
      <c r="A231" s="2599"/>
      <c r="B231" s="1400" t="s">
        <v>34</v>
      </c>
      <c r="C231" s="2484" t="s">
        <v>559</v>
      </c>
      <c r="D231" s="1391">
        <f>+D235+D232</f>
        <v>10851541</v>
      </c>
      <c r="E231" s="1391">
        <f t="shared" ref="E231:M231" si="140">+E235+E232</f>
        <v>0</v>
      </c>
      <c r="F231" s="1391">
        <f t="shared" si="140"/>
        <v>0</v>
      </c>
      <c r="G231" s="1391">
        <f t="shared" si="140"/>
        <v>0</v>
      </c>
      <c r="H231" s="1391">
        <f t="shared" si="140"/>
        <v>0</v>
      </c>
      <c r="I231" s="1391">
        <f t="shared" si="140"/>
        <v>0</v>
      </c>
      <c r="J231" s="1391">
        <f t="shared" si="140"/>
        <v>0</v>
      </c>
      <c r="K231" s="1391">
        <f t="shared" si="140"/>
        <v>0</v>
      </c>
      <c r="L231" s="1391">
        <f t="shared" si="140"/>
        <v>0</v>
      </c>
      <c r="M231" s="1835">
        <f t="shared" si="140"/>
        <v>0</v>
      </c>
      <c r="N231" s="1835">
        <f>+N235+N232</f>
        <v>0</v>
      </c>
      <c r="O231" s="1835">
        <f>+O235+O232</f>
        <v>0</v>
      </c>
      <c r="P231" s="1391">
        <f>+P235+P232</f>
        <v>9200000</v>
      </c>
      <c r="Q231" s="1391">
        <f>+Q235+Q232</f>
        <v>1651541</v>
      </c>
      <c r="R231" s="1391"/>
      <c r="S231" s="1391"/>
      <c r="T231" s="1391"/>
      <c r="U231" s="1391"/>
      <c r="V231" s="1391"/>
      <c r="W231" s="1391"/>
      <c r="X231" s="2716" t="s">
        <v>35</v>
      </c>
      <c r="Y231" s="2612" t="s">
        <v>120</v>
      </c>
      <c r="Z231" s="1373"/>
      <c r="AA231" s="1373">
        <f>P231-'[3]Tab. 6A -Drogi'!$P$231</f>
        <v>-1217020</v>
      </c>
    </row>
    <row r="232" spans="1:27" s="864" customFormat="1" ht="14.25" hidden="1" customHeight="1">
      <c r="A232" s="2599"/>
      <c r="B232" s="1392" t="s">
        <v>36</v>
      </c>
      <c r="C232" s="2594" t="s">
        <v>289</v>
      </c>
      <c r="D232" s="449">
        <f>+D233+D234</f>
        <v>0</v>
      </c>
      <c r="E232" s="449">
        <f t="shared" ref="E232:M232" si="141">+E233+E234</f>
        <v>0</v>
      </c>
      <c r="F232" s="449">
        <f t="shared" si="141"/>
        <v>0</v>
      </c>
      <c r="G232" s="449">
        <f t="shared" si="141"/>
        <v>0</v>
      </c>
      <c r="H232" s="449">
        <f t="shared" si="141"/>
        <v>0</v>
      </c>
      <c r="I232" s="449">
        <f t="shared" si="141"/>
        <v>0</v>
      </c>
      <c r="J232" s="449">
        <f t="shared" si="141"/>
        <v>0</v>
      </c>
      <c r="K232" s="449">
        <f t="shared" si="141"/>
        <v>0</v>
      </c>
      <c r="L232" s="449">
        <f t="shared" si="141"/>
        <v>0</v>
      </c>
      <c r="M232" s="895">
        <f t="shared" si="141"/>
        <v>0</v>
      </c>
      <c r="N232" s="895">
        <f>+N233+N234</f>
        <v>0</v>
      </c>
      <c r="O232" s="895">
        <f>+O233+O234</f>
        <v>0</v>
      </c>
      <c r="P232" s="449">
        <f>+P233+P234</f>
        <v>0</v>
      </c>
      <c r="Q232" s="449">
        <f>+Q233+Q234</f>
        <v>0</v>
      </c>
      <c r="R232" s="449"/>
      <c r="S232" s="449"/>
      <c r="T232" s="449"/>
      <c r="U232" s="449"/>
      <c r="V232" s="449"/>
      <c r="W232" s="449"/>
      <c r="X232" s="2646"/>
      <c r="Y232" s="2606"/>
    </row>
    <row r="233" spans="1:27" s="864" customFormat="1" ht="14.25" hidden="1" customHeight="1">
      <c r="A233" s="2599"/>
      <c r="B233" s="1397" t="s">
        <v>29</v>
      </c>
      <c r="C233" s="2595"/>
      <c r="D233" s="1836">
        <f>SUM(M233:T233)</f>
        <v>0</v>
      </c>
      <c r="E233" s="1837">
        <f t="shared" ref="E233:I234" si="142">+F233+J233+K233+L233+M233+O233+P233</f>
        <v>0</v>
      </c>
      <c r="F233" s="1837">
        <f t="shared" si="142"/>
        <v>0</v>
      </c>
      <c r="G233" s="1837">
        <f t="shared" si="142"/>
        <v>0</v>
      </c>
      <c r="H233" s="1837">
        <f t="shared" si="142"/>
        <v>0</v>
      </c>
      <c r="I233" s="1837">
        <f t="shared" si="142"/>
        <v>0</v>
      </c>
      <c r="J233" s="1837"/>
      <c r="K233" s="1837"/>
      <c r="L233" s="1837">
        <f>+M233+Q233+R233+S233+T233+Y233+Z233</f>
        <v>0</v>
      </c>
      <c r="M233" s="1838">
        <f>+N233+R233+S233+T233+Z233+AA233</f>
        <v>0</v>
      </c>
      <c r="N233" s="1836">
        <v>0</v>
      </c>
      <c r="O233" s="1836">
        <v>0</v>
      </c>
      <c r="P233" s="1343">
        <v>0</v>
      </c>
      <c r="Q233" s="1343">
        <v>0</v>
      </c>
      <c r="R233" s="1343"/>
      <c r="S233" s="1343"/>
      <c r="T233" s="1343"/>
      <c r="U233" s="1343"/>
      <c r="V233" s="1343"/>
      <c r="W233" s="1343"/>
      <c r="X233" s="2646"/>
      <c r="Y233" s="2606"/>
    </row>
    <row r="234" spans="1:27" s="864" customFormat="1" ht="3" hidden="1" customHeight="1">
      <c r="A234" s="2599"/>
      <c r="B234" s="1397" t="s">
        <v>27</v>
      </c>
      <c r="C234" s="2595"/>
      <c r="D234" s="1838">
        <f>SUM(M234:T234)</f>
        <v>0</v>
      </c>
      <c r="E234" s="1837">
        <f t="shared" si="142"/>
        <v>0</v>
      </c>
      <c r="F234" s="1837">
        <f t="shared" si="142"/>
        <v>0</v>
      </c>
      <c r="G234" s="1837">
        <f t="shared" si="142"/>
        <v>0</v>
      </c>
      <c r="H234" s="1837">
        <f t="shared" si="142"/>
        <v>0</v>
      </c>
      <c r="I234" s="1837">
        <f t="shared" si="142"/>
        <v>0</v>
      </c>
      <c r="J234" s="1837"/>
      <c r="K234" s="1837">
        <f>+L234+P234+Q234+R234+S234+Y234</f>
        <v>0</v>
      </c>
      <c r="L234" s="1837">
        <f>+M234+Q234+R234+S234+T234+Y234+Z234</f>
        <v>0</v>
      </c>
      <c r="M234" s="1838">
        <f>+N234+R234+S234+T234+Z234+AA234</f>
        <v>0</v>
      </c>
      <c r="N234" s="1838">
        <v>0</v>
      </c>
      <c r="O234" s="1838">
        <v>0</v>
      </c>
      <c r="P234" s="1837">
        <v>0</v>
      </c>
      <c r="Q234" s="1837">
        <v>0</v>
      </c>
      <c r="R234" s="1837"/>
      <c r="S234" s="1837"/>
      <c r="T234" s="1837"/>
      <c r="U234" s="1837"/>
      <c r="V234" s="1837"/>
      <c r="W234" s="1837"/>
      <c r="X234" s="2646"/>
      <c r="Y234" s="2606"/>
    </row>
    <row r="235" spans="1:27" s="887" customFormat="1" ht="14.25" customHeight="1">
      <c r="A235" s="2599"/>
      <c r="B235" s="1398" t="s">
        <v>30</v>
      </c>
      <c r="C235" s="2595"/>
      <c r="D235" s="1386">
        <f>+D237+D236</f>
        <v>10851541</v>
      </c>
      <c r="E235" s="1386">
        <f t="shared" ref="E235:M235" si="143">+E237+E236</f>
        <v>0</v>
      </c>
      <c r="F235" s="1386">
        <f t="shared" si="143"/>
        <v>0</v>
      </c>
      <c r="G235" s="1386">
        <f t="shared" si="143"/>
        <v>0</v>
      </c>
      <c r="H235" s="1386">
        <f t="shared" si="143"/>
        <v>0</v>
      </c>
      <c r="I235" s="1386">
        <f t="shared" si="143"/>
        <v>0</v>
      </c>
      <c r="J235" s="1386">
        <f t="shared" si="143"/>
        <v>0</v>
      </c>
      <c r="K235" s="1386">
        <f t="shared" si="143"/>
        <v>0</v>
      </c>
      <c r="L235" s="1386">
        <f t="shared" si="143"/>
        <v>0</v>
      </c>
      <c r="M235" s="1839">
        <f t="shared" si="143"/>
        <v>0</v>
      </c>
      <c r="N235" s="1839">
        <f>+N237+N236</f>
        <v>0</v>
      </c>
      <c r="O235" s="1839">
        <f>+O237+O236</f>
        <v>0</v>
      </c>
      <c r="P235" s="1386">
        <f>+P237+P236</f>
        <v>9200000</v>
      </c>
      <c r="Q235" s="1386">
        <f>+Q237+Q236</f>
        <v>1651541</v>
      </c>
      <c r="R235" s="1837"/>
      <c r="S235" s="1837"/>
      <c r="T235" s="1837"/>
      <c r="U235" s="1837"/>
      <c r="V235" s="1837"/>
      <c r="W235" s="1837"/>
      <c r="X235" s="2646"/>
      <c r="Y235" s="2606"/>
    </row>
    <row r="236" spans="1:27" s="864" customFormat="1" ht="14.25" hidden="1" customHeight="1">
      <c r="A236" s="2599"/>
      <c r="B236" s="1397" t="s">
        <v>29</v>
      </c>
      <c r="C236" s="2595"/>
      <c r="D236" s="1343">
        <f>+E236+I236+J236+K236+L236</f>
        <v>0</v>
      </c>
      <c r="E236" s="1388">
        <v>0</v>
      </c>
      <c r="F236" s="1388"/>
      <c r="G236" s="1390"/>
      <c r="H236" s="1390"/>
      <c r="I236" s="1390">
        <v>0</v>
      </c>
      <c r="J236" s="1390">
        <v>0</v>
      </c>
      <c r="K236" s="1390">
        <v>0</v>
      </c>
      <c r="L236" s="1388">
        <v>0</v>
      </c>
      <c r="M236" s="1840"/>
      <c r="N236" s="1840">
        <v>0</v>
      </c>
      <c r="O236" s="1840">
        <v>0</v>
      </c>
      <c r="P236" s="1388">
        <v>0</v>
      </c>
      <c r="Q236" s="1388"/>
      <c r="R236" s="1837"/>
      <c r="S236" s="1837"/>
      <c r="T236" s="1837"/>
      <c r="U236" s="1837"/>
      <c r="V236" s="1837"/>
      <c r="W236" s="1837"/>
      <c r="X236" s="2646"/>
      <c r="Y236" s="2606"/>
    </row>
    <row r="237" spans="1:27" s="888" customFormat="1" ht="14.25" customHeight="1" thickBot="1">
      <c r="A237" s="2600"/>
      <c r="B237" s="1841" t="s">
        <v>33</v>
      </c>
      <c r="C237" s="2596"/>
      <c r="D237" s="1064">
        <f>M237+O237+P237+Q237+R237+S237+T237+U237+V237+W237</f>
        <v>10851541</v>
      </c>
      <c r="E237" s="897">
        <f>+F237+G237+H237</f>
        <v>0</v>
      </c>
      <c r="F237" s="1842"/>
      <c r="G237" s="897"/>
      <c r="H237" s="897"/>
      <c r="I237" s="897">
        <v>0</v>
      </c>
      <c r="J237" s="897"/>
      <c r="K237" s="897"/>
      <c r="L237" s="897"/>
      <c r="M237" s="1071">
        <f>+E237+I237+J237+K237+L237+N237</f>
        <v>0</v>
      </c>
      <c r="N237" s="898">
        <v>0</v>
      </c>
      <c r="O237" s="898">
        <v>0</v>
      </c>
      <c r="P237" s="897">
        <f>10145000+272020-2917020+1700000</f>
        <v>9200000</v>
      </c>
      <c r="Q237" s="897">
        <f>650000+2917020-1915479</f>
        <v>1651541</v>
      </c>
      <c r="R237" s="1843"/>
      <c r="S237" s="1843"/>
      <c r="T237" s="1843"/>
      <c r="U237" s="1843"/>
      <c r="V237" s="1843"/>
      <c r="W237" s="1843"/>
      <c r="X237" s="2647"/>
      <c r="Y237" s="2607"/>
    </row>
    <row r="238" spans="1:27" ht="25.5" customHeight="1">
      <c r="A238" s="2597" t="s">
        <v>107</v>
      </c>
      <c r="B238" s="477" t="s">
        <v>494</v>
      </c>
      <c r="C238" s="457"/>
      <c r="D238" s="555"/>
      <c r="E238" s="530"/>
      <c r="F238" s="531"/>
      <c r="G238" s="530"/>
      <c r="H238" s="530"/>
      <c r="I238" s="530"/>
      <c r="J238" s="530"/>
      <c r="K238" s="530"/>
      <c r="L238" s="530"/>
      <c r="M238" s="530"/>
      <c r="N238" s="530"/>
      <c r="O238" s="530"/>
      <c r="P238" s="532"/>
      <c r="Q238" s="532"/>
      <c r="R238" s="532"/>
      <c r="S238" s="532"/>
      <c r="T238" s="532"/>
      <c r="U238" s="532"/>
      <c r="V238" s="532"/>
      <c r="W238" s="532"/>
      <c r="X238" s="423"/>
      <c r="Y238" s="519"/>
    </row>
    <row r="239" spans="1:27" ht="13.5" customHeight="1">
      <c r="A239" s="2598"/>
      <c r="B239" s="358" t="s">
        <v>22</v>
      </c>
      <c r="C239" s="2485" t="s">
        <v>97</v>
      </c>
      <c r="D239" s="462">
        <f t="shared" ref="D239:P239" si="144">+D240+D243</f>
        <v>9993294</v>
      </c>
      <c r="E239" s="462">
        <f t="shared" si="144"/>
        <v>0</v>
      </c>
      <c r="F239" s="462">
        <f t="shared" si="144"/>
        <v>0</v>
      </c>
      <c r="G239" s="462">
        <f t="shared" si="144"/>
        <v>0</v>
      </c>
      <c r="H239" s="462">
        <f t="shared" si="144"/>
        <v>0</v>
      </c>
      <c r="I239" s="462">
        <f t="shared" si="144"/>
        <v>0</v>
      </c>
      <c r="J239" s="462">
        <f t="shared" si="144"/>
        <v>0</v>
      </c>
      <c r="K239" s="462">
        <f t="shared" si="144"/>
        <v>57340</v>
      </c>
      <c r="L239" s="462">
        <f t="shared" si="144"/>
        <v>223550</v>
      </c>
      <c r="M239" s="462">
        <f t="shared" si="144"/>
        <v>2220489</v>
      </c>
      <c r="N239" s="462">
        <f t="shared" si="144"/>
        <v>1939599</v>
      </c>
      <c r="O239" s="929">
        <f t="shared" si="144"/>
        <v>0</v>
      </c>
      <c r="P239" s="462">
        <f t="shared" si="144"/>
        <v>7772805</v>
      </c>
      <c r="Q239" s="462"/>
      <c r="R239" s="462"/>
      <c r="S239" s="462"/>
      <c r="T239" s="462"/>
      <c r="U239" s="462"/>
      <c r="V239" s="462"/>
      <c r="W239" s="462"/>
      <c r="X239" s="464">
        <f>+X240+X243</f>
        <v>7772805</v>
      </c>
      <c r="Y239" s="2641" t="s">
        <v>103</v>
      </c>
      <c r="Z239" s="778"/>
    </row>
    <row r="240" spans="1:27" ht="13.5" customHeight="1">
      <c r="A240" s="2598"/>
      <c r="B240" s="510" t="s">
        <v>36</v>
      </c>
      <c r="C240" s="2602" t="s">
        <v>100</v>
      </c>
      <c r="D240" s="465">
        <f>+D241+D242</f>
        <v>1400985</v>
      </c>
      <c r="E240" s="465">
        <f t="shared" ref="E240:L240" si="145">+E241+E242</f>
        <v>0</v>
      </c>
      <c r="F240" s="465">
        <f t="shared" si="145"/>
        <v>0</v>
      </c>
      <c r="G240" s="465">
        <f t="shared" si="145"/>
        <v>0</v>
      </c>
      <c r="H240" s="465">
        <f t="shared" si="145"/>
        <v>0</v>
      </c>
      <c r="I240" s="465">
        <f t="shared" si="145"/>
        <v>0</v>
      </c>
      <c r="J240" s="465">
        <f t="shared" si="145"/>
        <v>0</v>
      </c>
      <c r="K240" s="465">
        <f t="shared" si="145"/>
        <v>57340</v>
      </c>
      <c r="L240" s="465">
        <f t="shared" si="145"/>
        <v>223550</v>
      </c>
      <c r="M240" s="465">
        <f>+M241+M242</f>
        <v>1323680</v>
      </c>
      <c r="N240" s="465">
        <f>+N241</f>
        <v>1042790</v>
      </c>
      <c r="O240" s="930">
        <f>+O241</f>
        <v>0</v>
      </c>
      <c r="P240" s="465">
        <f>+P241+P242</f>
        <v>77305</v>
      </c>
      <c r="Q240" s="465"/>
      <c r="R240" s="465"/>
      <c r="S240" s="465"/>
      <c r="T240" s="465"/>
      <c r="U240" s="465"/>
      <c r="V240" s="465"/>
      <c r="W240" s="465"/>
      <c r="X240" s="486">
        <f>+X241+X242</f>
        <v>77305</v>
      </c>
      <c r="Y240" s="2641"/>
      <c r="Z240" s="778"/>
    </row>
    <row r="241" spans="1:27" ht="13.5" customHeight="1">
      <c r="A241" s="2598"/>
      <c r="B241" s="487" t="s">
        <v>24</v>
      </c>
      <c r="C241" s="2643"/>
      <c r="D241" s="433">
        <f>M241+O241+P241+Q241+R241+S241+T241+U241+V241+W241</f>
        <v>1384780</v>
      </c>
      <c r="E241" s="440">
        <f>+F241+G241+H241</f>
        <v>0</v>
      </c>
      <c r="F241" s="441">
        <v>0</v>
      </c>
      <c r="G241" s="440">
        <v>0</v>
      </c>
      <c r="H241" s="440">
        <v>0</v>
      </c>
      <c r="I241" s="440">
        <f>140382-140382</f>
        <v>0</v>
      </c>
      <c r="J241" s="440">
        <v>0</v>
      </c>
      <c r="K241" s="440">
        <v>57340</v>
      </c>
      <c r="L241" s="478">
        <f>2252660-1000000-1027660-1450-46118+46118</f>
        <v>223550</v>
      </c>
      <c r="M241" s="434">
        <f>+E241+I241+J241+K241+L241+N241</f>
        <v>1323680</v>
      </c>
      <c r="N241" s="478">
        <f>1000000+820000+180000-60401-1648659+46118-46118+751850</f>
        <v>1042790</v>
      </c>
      <c r="O241" s="786">
        <v>0</v>
      </c>
      <c r="P241" s="441">
        <f>1905000-1677728-16205-149967</f>
        <v>61100</v>
      </c>
      <c r="Q241" s="441"/>
      <c r="R241" s="441"/>
      <c r="S241" s="441"/>
      <c r="T241" s="441"/>
      <c r="U241" s="441"/>
      <c r="V241" s="441"/>
      <c r="W241" s="441"/>
      <c r="X241" s="393">
        <f>SUM(P241:T241)</f>
        <v>61100</v>
      </c>
      <c r="Y241" s="2641"/>
    </row>
    <row r="242" spans="1:27" ht="13.5" customHeight="1">
      <c r="A242" s="2598"/>
      <c r="B242" s="468" t="s">
        <v>27</v>
      </c>
      <c r="C242" s="2643"/>
      <c r="D242" s="433">
        <f>M242+O242+P242+Q242+R242+S242+T242+U242+V242+W242</f>
        <v>16205</v>
      </c>
      <c r="E242" s="1999"/>
      <c r="F242" s="1999"/>
      <c r="G242" s="1999"/>
      <c r="H242" s="1999"/>
      <c r="I242" s="1999"/>
      <c r="J242" s="1999"/>
      <c r="K242" s="1999"/>
      <c r="L242" s="2000"/>
      <c r="M242" s="2001"/>
      <c r="N242" s="2000"/>
      <c r="O242" s="2002">
        <v>0</v>
      </c>
      <c r="P242" s="1999">
        <v>16205</v>
      </c>
      <c r="Q242" s="1999"/>
      <c r="R242" s="1999"/>
      <c r="S242" s="1999"/>
      <c r="T242" s="1999"/>
      <c r="U242" s="1999"/>
      <c r="V242" s="1999"/>
      <c r="W242" s="1999"/>
      <c r="X242" s="393">
        <f>SUM(P242:T242)</f>
        <v>16205</v>
      </c>
      <c r="Y242" s="2641"/>
    </row>
    <row r="243" spans="1:27" ht="13.5" customHeight="1">
      <c r="A243" s="2598"/>
      <c r="B243" s="502" t="s">
        <v>30</v>
      </c>
      <c r="C243" s="2643"/>
      <c r="D243" s="443">
        <f>+D244</f>
        <v>8592309</v>
      </c>
      <c r="E243" s="443">
        <f t="shared" ref="E243:P243" si="146">+E244</f>
        <v>0</v>
      </c>
      <c r="F243" s="443">
        <f t="shared" si="146"/>
        <v>0</v>
      </c>
      <c r="G243" s="443">
        <f t="shared" si="146"/>
        <v>0</v>
      </c>
      <c r="H243" s="443">
        <f t="shared" si="146"/>
        <v>0</v>
      </c>
      <c r="I243" s="443">
        <f t="shared" si="146"/>
        <v>0</v>
      </c>
      <c r="J243" s="443">
        <f t="shared" si="146"/>
        <v>0</v>
      </c>
      <c r="K243" s="443">
        <f t="shared" si="146"/>
        <v>0</v>
      </c>
      <c r="L243" s="443">
        <f t="shared" si="146"/>
        <v>0</v>
      </c>
      <c r="M243" s="443">
        <f t="shared" si="146"/>
        <v>896809</v>
      </c>
      <c r="N243" s="443">
        <f t="shared" si="146"/>
        <v>896809</v>
      </c>
      <c r="O243" s="892">
        <f t="shared" si="146"/>
        <v>0</v>
      </c>
      <c r="P243" s="443">
        <f t="shared" si="146"/>
        <v>7695500</v>
      </c>
      <c r="Q243" s="443"/>
      <c r="R243" s="443"/>
      <c r="S243" s="443"/>
      <c r="T243" s="443"/>
      <c r="U243" s="443"/>
      <c r="V243" s="443"/>
      <c r="W243" s="443"/>
      <c r="X243" s="486">
        <f>+X244</f>
        <v>7695500</v>
      </c>
      <c r="Y243" s="2641"/>
    </row>
    <row r="244" spans="1:27" ht="13.5" customHeight="1">
      <c r="A244" s="2598"/>
      <c r="B244" s="473" t="s">
        <v>33</v>
      </c>
      <c r="C244" s="2643"/>
      <c r="D244" s="433">
        <f>M244+O244+P244+Q244+R244+S244+T244+U244+V244+W244</f>
        <v>8592309</v>
      </c>
      <c r="E244" s="440">
        <f>+F244+G244+H244</f>
        <v>0</v>
      </c>
      <c r="F244" s="441">
        <v>0</v>
      </c>
      <c r="G244" s="441">
        <v>0</v>
      </c>
      <c r="H244" s="440">
        <v>0</v>
      </c>
      <c r="I244" s="440">
        <f>163508-163508</f>
        <v>0</v>
      </c>
      <c r="J244" s="440"/>
      <c r="K244" s="440"/>
      <c r="L244" s="440">
        <v>0</v>
      </c>
      <c r="M244" s="434">
        <f>+E244+I244+J244+K244+L244+N244</f>
        <v>896809</v>
      </c>
      <c r="N244" s="440">
        <f>1648659-751850</f>
        <v>896809</v>
      </c>
      <c r="O244" s="786">
        <v>0</v>
      </c>
      <c r="P244" s="441">
        <f>10795000-2725515-373985</f>
        <v>7695500</v>
      </c>
      <c r="Q244" s="441"/>
      <c r="R244" s="441"/>
      <c r="S244" s="441"/>
      <c r="T244" s="441"/>
      <c r="U244" s="441"/>
      <c r="V244" s="441"/>
      <c r="W244" s="441"/>
      <c r="X244" s="393">
        <f>SUM(P244:T244)</f>
        <v>7695500</v>
      </c>
      <c r="Y244" s="2642"/>
    </row>
    <row r="245" spans="1:27" s="862" customFormat="1" ht="24.75" customHeight="1">
      <c r="A245" s="2599"/>
      <c r="B245" s="489" t="s">
        <v>34</v>
      </c>
      <c r="C245" s="2484" t="s">
        <v>559</v>
      </c>
      <c r="D245" s="448">
        <f>+D248+D246</f>
        <v>8608514</v>
      </c>
      <c r="E245" s="448">
        <f t="shared" ref="E245:Q245" si="147">+E248+E246</f>
        <v>0</v>
      </c>
      <c r="F245" s="448">
        <f t="shared" si="147"/>
        <v>0</v>
      </c>
      <c r="G245" s="448">
        <f t="shared" si="147"/>
        <v>0</v>
      </c>
      <c r="H245" s="448">
        <f t="shared" si="147"/>
        <v>0</v>
      </c>
      <c r="I245" s="448">
        <f t="shared" si="147"/>
        <v>0</v>
      </c>
      <c r="J245" s="448">
        <f t="shared" si="147"/>
        <v>0</v>
      </c>
      <c r="K245" s="448">
        <f t="shared" si="147"/>
        <v>0</v>
      </c>
      <c r="L245" s="448">
        <f t="shared" si="147"/>
        <v>0</v>
      </c>
      <c r="M245" s="448">
        <f t="shared" si="147"/>
        <v>0</v>
      </c>
      <c r="N245" s="448">
        <f t="shared" si="147"/>
        <v>0</v>
      </c>
      <c r="O245" s="448">
        <f t="shared" si="147"/>
        <v>0</v>
      </c>
      <c r="P245" s="448">
        <f t="shared" si="147"/>
        <v>7066205</v>
      </c>
      <c r="Q245" s="448">
        <f t="shared" si="147"/>
        <v>1542309</v>
      </c>
      <c r="R245" s="448"/>
      <c r="S245" s="448"/>
      <c r="T245" s="448"/>
      <c r="U245" s="448"/>
      <c r="V245" s="448"/>
      <c r="W245" s="448"/>
      <c r="X245" s="2637" t="s">
        <v>35</v>
      </c>
      <c r="Y245" s="2605" t="s">
        <v>120</v>
      </c>
      <c r="Z245" s="861"/>
      <c r="AA245" s="861">
        <f>P245-'[3]Tab. 6A -Drogi'!$P$239</f>
        <v>-1230552</v>
      </c>
    </row>
    <row r="246" spans="1:27" s="862" customFormat="1" ht="12" customHeight="1">
      <c r="A246" s="2599"/>
      <c r="B246" s="429" t="s">
        <v>36</v>
      </c>
      <c r="C246" s="2701" t="s">
        <v>289</v>
      </c>
      <c r="D246" s="443">
        <f>+D247</f>
        <v>16205</v>
      </c>
      <c r="E246" s="443">
        <f t="shared" ref="E246:Q246" si="148">+E247</f>
        <v>0</v>
      </c>
      <c r="F246" s="443">
        <f t="shared" si="148"/>
        <v>0</v>
      </c>
      <c r="G246" s="443">
        <f t="shared" si="148"/>
        <v>0</v>
      </c>
      <c r="H246" s="443">
        <f t="shared" si="148"/>
        <v>0</v>
      </c>
      <c r="I246" s="443">
        <f t="shared" si="148"/>
        <v>0</v>
      </c>
      <c r="J246" s="443">
        <f t="shared" si="148"/>
        <v>0</v>
      </c>
      <c r="K246" s="443">
        <f t="shared" si="148"/>
        <v>0</v>
      </c>
      <c r="L246" s="443">
        <f t="shared" si="148"/>
        <v>0</v>
      </c>
      <c r="M246" s="443"/>
      <c r="N246" s="443">
        <f t="shared" si="148"/>
        <v>0</v>
      </c>
      <c r="O246" s="443">
        <f t="shared" si="148"/>
        <v>0</v>
      </c>
      <c r="P246" s="443">
        <f t="shared" si="148"/>
        <v>16205</v>
      </c>
      <c r="Q246" s="443">
        <f t="shared" si="148"/>
        <v>0</v>
      </c>
      <c r="R246" s="443"/>
      <c r="S246" s="443"/>
      <c r="T246" s="443"/>
      <c r="U246" s="443"/>
      <c r="V246" s="443"/>
      <c r="W246" s="443"/>
      <c r="X246" s="2638"/>
      <c r="Y246" s="2606"/>
    </row>
    <row r="247" spans="1:27" s="862" customFormat="1" ht="12" customHeight="1">
      <c r="A247" s="2599"/>
      <c r="B247" s="468" t="s">
        <v>27</v>
      </c>
      <c r="C247" s="2595"/>
      <c r="D247" s="451">
        <f>+M247+O247+P247+Q247+R247+S247+T247+U247+V247+W247</f>
        <v>16205</v>
      </c>
      <c r="E247" s="451"/>
      <c r="F247" s="451"/>
      <c r="G247" s="451"/>
      <c r="H247" s="451"/>
      <c r="I247" s="451"/>
      <c r="J247" s="451"/>
      <c r="K247" s="451"/>
      <c r="L247" s="451"/>
      <c r="M247" s="451"/>
      <c r="N247" s="451"/>
      <c r="O247" s="451"/>
      <c r="P247" s="451">
        <v>16205</v>
      </c>
      <c r="Q247" s="451"/>
      <c r="R247" s="451"/>
      <c r="S247" s="451"/>
      <c r="T247" s="451"/>
      <c r="U247" s="451"/>
      <c r="V247" s="451"/>
      <c r="W247" s="451"/>
      <c r="X247" s="2638"/>
      <c r="Y247" s="2606"/>
    </row>
    <row r="248" spans="1:27" s="864" customFormat="1" ht="13.5" customHeight="1">
      <c r="A248" s="2599"/>
      <c r="B248" s="488" t="s">
        <v>30</v>
      </c>
      <c r="C248" s="2595"/>
      <c r="D248" s="495">
        <f>+D249</f>
        <v>8592309</v>
      </c>
      <c r="E248" s="495">
        <f t="shared" ref="E248:Q248" si="149">+E249</f>
        <v>0</v>
      </c>
      <c r="F248" s="495">
        <f t="shared" si="149"/>
        <v>0</v>
      </c>
      <c r="G248" s="495">
        <f t="shared" si="149"/>
        <v>0</v>
      </c>
      <c r="H248" s="495">
        <f t="shared" si="149"/>
        <v>0</v>
      </c>
      <c r="I248" s="495">
        <f t="shared" si="149"/>
        <v>0</v>
      </c>
      <c r="J248" s="495">
        <f t="shared" si="149"/>
        <v>0</v>
      </c>
      <c r="K248" s="495">
        <f t="shared" si="149"/>
        <v>0</v>
      </c>
      <c r="L248" s="495">
        <f t="shared" si="149"/>
        <v>0</v>
      </c>
      <c r="M248" s="932">
        <f t="shared" si="149"/>
        <v>0</v>
      </c>
      <c r="N248" s="932">
        <f t="shared" si="149"/>
        <v>0</v>
      </c>
      <c r="O248" s="932">
        <f t="shared" si="149"/>
        <v>0</v>
      </c>
      <c r="P248" s="495">
        <f t="shared" si="149"/>
        <v>7050000</v>
      </c>
      <c r="Q248" s="495">
        <f t="shared" si="149"/>
        <v>1542309</v>
      </c>
      <c r="R248" s="495"/>
      <c r="S248" s="495"/>
      <c r="T248" s="495"/>
      <c r="U248" s="495"/>
      <c r="V248" s="495"/>
      <c r="W248" s="495"/>
      <c r="X248" s="2638"/>
      <c r="Y248" s="2606"/>
    </row>
    <row r="249" spans="1:27" s="864" customFormat="1" ht="13.5" thickBot="1">
      <c r="A249" s="2600"/>
      <c r="B249" s="558" t="s">
        <v>33</v>
      </c>
      <c r="C249" s="2596"/>
      <c r="D249" s="433">
        <f>M249+O249+P249+Q249+R249+S249+T249+U249+V249+W249</f>
        <v>8592309</v>
      </c>
      <c r="E249" s="548">
        <f>+F249+G249+H249</f>
        <v>0</v>
      </c>
      <c r="F249" s="549">
        <v>0</v>
      </c>
      <c r="G249" s="548">
        <v>0</v>
      </c>
      <c r="H249" s="548">
        <v>0</v>
      </c>
      <c r="I249" s="548">
        <v>0</v>
      </c>
      <c r="J249" s="548">
        <v>0</v>
      </c>
      <c r="K249" s="548"/>
      <c r="L249" s="548">
        <v>0</v>
      </c>
      <c r="M249" s="434">
        <f>+E249+I249+J249+K249+L249+N249</f>
        <v>0</v>
      </c>
      <c r="N249" s="933">
        <v>0</v>
      </c>
      <c r="O249" s="933">
        <v>0</v>
      </c>
      <c r="P249" s="551">
        <f>11693659-3477365-1816294+650000</f>
        <v>7050000</v>
      </c>
      <c r="Q249" s="551">
        <f>750000+1816294-1023985</f>
        <v>1542309</v>
      </c>
      <c r="R249" s="551"/>
      <c r="S249" s="551"/>
      <c r="T249" s="551"/>
      <c r="U249" s="551"/>
      <c r="V249" s="551"/>
      <c r="W249" s="551"/>
      <c r="X249" s="2639"/>
      <c r="Y249" s="2607"/>
    </row>
    <row r="250" spans="1:27" s="862" customFormat="1" ht="26.25" customHeight="1">
      <c r="A250" s="2597" t="s">
        <v>108</v>
      </c>
      <c r="B250" s="477" t="s">
        <v>495</v>
      </c>
      <c r="C250" s="457"/>
      <c r="D250" s="458"/>
      <c r="E250" s="460"/>
      <c r="F250" s="460"/>
      <c r="G250" s="460"/>
      <c r="H250" s="460"/>
      <c r="I250" s="420"/>
      <c r="J250" s="420"/>
      <c r="K250" s="420"/>
      <c r="L250" s="420"/>
      <c r="M250" s="422"/>
      <c r="N250" s="422"/>
      <c r="O250" s="422"/>
      <c r="P250" s="422"/>
      <c r="Q250" s="422"/>
      <c r="R250" s="422"/>
      <c r="S250" s="422"/>
      <c r="T250" s="422"/>
      <c r="U250" s="800"/>
      <c r="V250" s="800"/>
      <c r="W250" s="800"/>
      <c r="X250" s="461"/>
      <c r="Y250" s="424"/>
      <c r="Z250" s="1118"/>
    </row>
    <row r="251" spans="1:27" s="862" customFormat="1" ht="14.25" customHeight="1">
      <c r="A251" s="2598"/>
      <c r="B251" s="383" t="s">
        <v>22</v>
      </c>
      <c r="C251" s="2485" t="s">
        <v>97</v>
      </c>
      <c r="D251" s="462">
        <f t="shared" ref="D251:Q251" si="150">+D252+D256</f>
        <v>41966334</v>
      </c>
      <c r="E251" s="462">
        <f t="shared" si="150"/>
        <v>0</v>
      </c>
      <c r="F251" s="462">
        <f t="shared" si="150"/>
        <v>0</v>
      </c>
      <c r="G251" s="462">
        <f t="shared" si="150"/>
        <v>0</v>
      </c>
      <c r="H251" s="462">
        <f t="shared" si="150"/>
        <v>0</v>
      </c>
      <c r="I251" s="462">
        <f t="shared" si="150"/>
        <v>0</v>
      </c>
      <c r="J251" s="462">
        <f t="shared" si="150"/>
        <v>0</v>
      </c>
      <c r="K251" s="462">
        <f t="shared" si="150"/>
        <v>0</v>
      </c>
      <c r="L251" s="462">
        <f t="shared" si="150"/>
        <v>394091</v>
      </c>
      <c r="M251" s="462">
        <f t="shared" si="150"/>
        <v>5830974</v>
      </c>
      <c r="N251" s="462">
        <f t="shared" si="150"/>
        <v>5436883</v>
      </c>
      <c r="O251" s="462">
        <f t="shared" si="150"/>
        <v>187125</v>
      </c>
      <c r="P251" s="462">
        <f t="shared" si="150"/>
        <v>15207148</v>
      </c>
      <c r="Q251" s="462">
        <f t="shared" si="150"/>
        <v>20741087</v>
      </c>
      <c r="R251" s="462"/>
      <c r="S251" s="462"/>
      <c r="T251" s="462"/>
      <c r="U251" s="462"/>
      <c r="V251" s="462"/>
      <c r="W251" s="462"/>
      <c r="X251" s="464">
        <f>X252+X256</f>
        <v>35948235</v>
      </c>
      <c r="Y251" s="2641" t="s">
        <v>103</v>
      </c>
    </row>
    <row r="252" spans="1:27" s="862" customFormat="1" ht="12" customHeight="1">
      <c r="A252" s="2598"/>
      <c r="B252" s="429" t="s">
        <v>36</v>
      </c>
      <c r="C252" s="2602" t="s">
        <v>100</v>
      </c>
      <c r="D252" s="465">
        <f>+D253+D254+D255</f>
        <v>4370166</v>
      </c>
      <c r="E252" s="465">
        <f t="shared" ref="E252:Q252" si="151">+E253+E254+E255</f>
        <v>0</v>
      </c>
      <c r="F252" s="465">
        <f t="shared" si="151"/>
        <v>0</v>
      </c>
      <c r="G252" s="465">
        <f t="shared" si="151"/>
        <v>0</v>
      </c>
      <c r="H252" s="465">
        <f t="shared" si="151"/>
        <v>0</v>
      </c>
      <c r="I252" s="465">
        <f t="shared" si="151"/>
        <v>0</v>
      </c>
      <c r="J252" s="465">
        <f t="shared" si="151"/>
        <v>0</v>
      </c>
      <c r="K252" s="465">
        <f t="shared" si="151"/>
        <v>0</v>
      </c>
      <c r="L252" s="465">
        <f t="shared" si="151"/>
        <v>394091</v>
      </c>
      <c r="M252" s="465">
        <f t="shared" si="151"/>
        <v>2079894</v>
      </c>
      <c r="N252" s="465">
        <f t="shared" si="151"/>
        <v>1685803</v>
      </c>
      <c r="O252" s="465">
        <f t="shared" si="151"/>
        <v>186225</v>
      </c>
      <c r="P252" s="465">
        <f t="shared" si="151"/>
        <v>1047148</v>
      </c>
      <c r="Q252" s="465">
        <f t="shared" si="151"/>
        <v>1056899</v>
      </c>
      <c r="R252" s="465"/>
      <c r="S252" s="465"/>
      <c r="T252" s="465"/>
      <c r="U252" s="465"/>
      <c r="V252" s="465"/>
      <c r="W252" s="465"/>
      <c r="X252" s="486">
        <f>+X253+X255</f>
        <v>2104047</v>
      </c>
      <c r="Y252" s="2641"/>
    </row>
    <row r="253" spans="1:27" s="862" customFormat="1" ht="11.25" customHeight="1">
      <c r="A253" s="2598"/>
      <c r="B253" s="432" t="s">
        <v>24</v>
      </c>
      <c r="C253" s="2595"/>
      <c r="D253" s="433">
        <f>M253+O253+P253+Q253+R253+S253+T253+U253+V253+W253</f>
        <v>2870166</v>
      </c>
      <c r="E253" s="440"/>
      <c r="F253" s="440"/>
      <c r="G253" s="440"/>
      <c r="H253" s="478"/>
      <c r="I253" s="478"/>
      <c r="J253" s="478"/>
      <c r="K253" s="478"/>
      <c r="L253" s="478">
        <v>394091</v>
      </c>
      <c r="M253" s="434">
        <f>+E253+I253+J253+K253+L253+N253</f>
        <v>2079894</v>
      </c>
      <c r="N253" s="434">
        <f>815532+870271</f>
        <v>1685803</v>
      </c>
      <c r="O253" s="434">
        <f>75000-46931+158156</f>
        <v>186225</v>
      </c>
      <c r="P253" s="434">
        <f>5550000+46931-4390000-802884-197047-159852</f>
        <v>47148</v>
      </c>
      <c r="Q253" s="434">
        <f>1933354-1900000+166646+197047+159852</f>
        <v>556899</v>
      </c>
      <c r="R253" s="441"/>
      <c r="S253" s="441"/>
      <c r="T253" s="441"/>
      <c r="U253" s="441"/>
      <c r="V253" s="441"/>
      <c r="W253" s="441"/>
      <c r="X253" s="393">
        <f>SUM(P253:T253)</f>
        <v>604047</v>
      </c>
      <c r="Y253" s="2641"/>
    </row>
    <row r="254" spans="1:27" s="862" customFormat="1" ht="12" hidden="1" customHeight="1">
      <c r="A254" s="2598"/>
      <c r="B254" s="487" t="s">
        <v>29</v>
      </c>
      <c r="C254" s="2595"/>
      <c r="D254" s="451">
        <f>+E254+I254+J254+K254+L254</f>
        <v>0</v>
      </c>
      <c r="E254" s="440">
        <f>+F254+G254+H254</f>
        <v>0</v>
      </c>
      <c r="F254" s="441">
        <v>0</v>
      </c>
      <c r="G254" s="440">
        <v>0</v>
      </c>
      <c r="H254" s="478">
        <f>142740-142740</f>
        <v>0</v>
      </c>
      <c r="I254" s="478">
        <f>201581-201581</f>
        <v>0</v>
      </c>
      <c r="J254" s="478"/>
      <c r="K254" s="440"/>
      <c r="L254" s="440">
        <v>0</v>
      </c>
      <c r="M254" s="440"/>
      <c r="N254" s="440">
        <v>0</v>
      </c>
      <c r="O254" s="440">
        <v>0</v>
      </c>
      <c r="P254" s="441">
        <v>0</v>
      </c>
      <c r="Q254" s="441"/>
      <c r="R254" s="441"/>
      <c r="S254" s="441"/>
      <c r="T254" s="441"/>
      <c r="U254" s="741"/>
      <c r="V254" s="741"/>
      <c r="W254" s="741"/>
      <c r="X254" s="470"/>
      <c r="Y254" s="2641"/>
    </row>
    <row r="255" spans="1:27" s="862" customFormat="1" ht="12" customHeight="1">
      <c r="A255" s="2598"/>
      <c r="B255" s="468" t="s">
        <v>27</v>
      </c>
      <c r="C255" s="2595"/>
      <c r="D255" s="433">
        <f>SUM(M255:T255)</f>
        <v>1500000</v>
      </c>
      <c r="E255" s="440">
        <v>0</v>
      </c>
      <c r="F255" s="441"/>
      <c r="G255" s="440"/>
      <c r="H255" s="478"/>
      <c r="I255" s="478">
        <v>0</v>
      </c>
      <c r="J255" s="478">
        <v>0</v>
      </c>
      <c r="K255" s="478"/>
      <c r="L255" s="440">
        <v>0</v>
      </c>
      <c r="M255" s="440">
        <v>0</v>
      </c>
      <c r="N255" s="440">
        <v>0</v>
      </c>
      <c r="O255" s="440">
        <v>0</v>
      </c>
      <c r="P255" s="441">
        <v>1000000</v>
      </c>
      <c r="Q255" s="441">
        <v>500000</v>
      </c>
      <c r="R255" s="441"/>
      <c r="S255" s="441"/>
      <c r="T255" s="441"/>
      <c r="U255" s="1844"/>
      <c r="V255" s="1844"/>
      <c r="W255" s="1844"/>
      <c r="X255" s="470">
        <f>SUM(P255:T255)</f>
        <v>1500000</v>
      </c>
      <c r="Y255" s="2641"/>
    </row>
    <row r="256" spans="1:27" s="862" customFormat="1" ht="12" customHeight="1">
      <c r="A256" s="2598"/>
      <c r="B256" s="442" t="s">
        <v>30</v>
      </c>
      <c r="C256" s="2595"/>
      <c r="D256" s="443">
        <f t="shared" ref="D256:Q256" si="152">+D257+D258</f>
        <v>37596168</v>
      </c>
      <c r="E256" s="443">
        <f t="shared" si="152"/>
        <v>0</v>
      </c>
      <c r="F256" s="443">
        <f t="shared" si="152"/>
        <v>0</v>
      </c>
      <c r="G256" s="443">
        <f t="shared" si="152"/>
        <v>0</v>
      </c>
      <c r="H256" s="443">
        <f t="shared" si="152"/>
        <v>0</v>
      </c>
      <c r="I256" s="443">
        <f t="shared" si="152"/>
        <v>0</v>
      </c>
      <c r="J256" s="443">
        <f t="shared" si="152"/>
        <v>0</v>
      </c>
      <c r="K256" s="443">
        <f t="shared" si="152"/>
        <v>0</v>
      </c>
      <c r="L256" s="443">
        <f t="shared" si="152"/>
        <v>0</v>
      </c>
      <c r="M256" s="443">
        <f t="shared" si="152"/>
        <v>3751080</v>
      </c>
      <c r="N256" s="443">
        <f t="shared" si="152"/>
        <v>3751080</v>
      </c>
      <c r="O256" s="443">
        <f t="shared" si="152"/>
        <v>900</v>
      </c>
      <c r="P256" s="443">
        <f t="shared" si="152"/>
        <v>14160000</v>
      </c>
      <c r="Q256" s="443">
        <f t="shared" si="152"/>
        <v>19684188</v>
      </c>
      <c r="R256" s="443"/>
      <c r="S256" s="443"/>
      <c r="T256" s="443"/>
      <c r="U256" s="443"/>
      <c r="V256" s="443"/>
      <c r="W256" s="443"/>
      <c r="X256" s="486">
        <f>+X257+X258</f>
        <v>33844188</v>
      </c>
      <c r="Y256" s="2641"/>
    </row>
    <row r="257" spans="1:27" s="862" customFormat="1" ht="12" hidden="1" customHeight="1">
      <c r="A257" s="2598"/>
      <c r="B257" s="487" t="s">
        <v>29</v>
      </c>
      <c r="C257" s="2595"/>
      <c r="D257" s="451">
        <v>0</v>
      </c>
      <c r="E257" s="440">
        <v>0</v>
      </c>
      <c r="F257" s="441">
        <v>0</v>
      </c>
      <c r="G257" s="440">
        <v>0</v>
      </c>
      <c r="H257" s="478">
        <v>0</v>
      </c>
      <c r="I257" s="478">
        <v>0</v>
      </c>
      <c r="J257" s="478">
        <v>0</v>
      </c>
      <c r="K257" s="440">
        <v>0</v>
      </c>
      <c r="L257" s="440">
        <v>0</v>
      </c>
      <c r="M257" s="786"/>
      <c r="N257" s="440">
        <v>0</v>
      </c>
      <c r="O257" s="440">
        <v>0</v>
      </c>
      <c r="P257" s="441">
        <v>0</v>
      </c>
      <c r="Q257" s="441"/>
      <c r="R257" s="441"/>
      <c r="S257" s="441"/>
      <c r="T257" s="441"/>
      <c r="U257" s="741"/>
      <c r="V257" s="741"/>
      <c r="W257" s="741"/>
      <c r="X257" s="470"/>
      <c r="Y257" s="2641"/>
    </row>
    <row r="258" spans="1:27" s="862" customFormat="1" ht="12" customHeight="1">
      <c r="A258" s="2598"/>
      <c r="B258" s="487" t="s">
        <v>33</v>
      </c>
      <c r="C258" s="2662"/>
      <c r="D258" s="433">
        <f>M258+O258+P258+Q258+R258+S258+T258+U258+V258+W258</f>
        <v>37596168</v>
      </c>
      <c r="E258" s="440">
        <f>+F258+G258+H258</f>
        <v>0</v>
      </c>
      <c r="F258" s="441"/>
      <c r="G258" s="440"/>
      <c r="H258" s="478"/>
      <c r="I258" s="478"/>
      <c r="J258" s="478"/>
      <c r="K258" s="440"/>
      <c r="L258" s="440">
        <v>0</v>
      </c>
      <c r="M258" s="434">
        <f>+E258+I258+J258+K258+L258+N258</f>
        <v>3751080</v>
      </c>
      <c r="N258" s="434">
        <f>4621351-870271</f>
        <v>3751080</v>
      </c>
      <c r="O258" s="434">
        <f>425000-265944-158156</f>
        <v>900</v>
      </c>
      <c r="P258" s="434">
        <f>31450000+265944-197116-17358828</f>
        <v>14160000</v>
      </c>
      <c r="Q258" s="434">
        <f>10955672-8630312+17358828</f>
        <v>19684188</v>
      </c>
      <c r="R258" s="441"/>
      <c r="S258" s="441"/>
      <c r="T258" s="441"/>
      <c r="U258" s="441"/>
      <c r="V258" s="441"/>
      <c r="W258" s="441"/>
      <c r="X258" s="393">
        <f>SUM(P258:T258)</f>
        <v>33844188</v>
      </c>
      <c r="Y258" s="2642"/>
    </row>
    <row r="259" spans="1:27" s="862" customFormat="1" ht="22.5" customHeight="1">
      <c r="A259" s="2598"/>
      <c r="B259" s="501" t="s">
        <v>34</v>
      </c>
      <c r="C259" s="2484" t="s">
        <v>559</v>
      </c>
      <c r="D259" s="448">
        <f t="shared" ref="D259:Q259" si="153">+D263+D260</f>
        <v>39096168</v>
      </c>
      <c r="E259" s="448">
        <f t="shared" si="153"/>
        <v>0</v>
      </c>
      <c r="F259" s="448">
        <f t="shared" si="153"/>
        <v>0</v>
      </c>
      <c r="G259" s="448">
        <f t="shared" si="153"/>
        <v>0</v>
      </c>
      <c r="H259" s="448">
        <f t="shared" si="153"/>
        <v>0</v>
      </c>
      <c r="I259" s="448">
        <f t="shared" si="153"/>
        <v>0</v>
      </c>
      <c r="J259" s="448">
        <f t="shared" si="153"/>
        <v>0</v>
      </c>
      <c r="K259" s="448">
        <f t="shared" si="153"/>
        <v>0</v>
      </c>
      <c r="L259" s="448">
        <f t="shared" si="153"/>
        <v>0</v>
      </c>
      <c r="M259" s="894">
        <f t="shared" si="153"/>
        <v>0</v>
      </c>
      <c r="N259" s="894">
        <f t="shared" si="153"/>
        <v>0</v>
      </c>
      <c r="O259" s="894">
        <f t="shared" si="153"/>
        <v>0</v>
      </c>
      <c r="P259" s="448">
        <f t="shared" si="153"/>
        <v>14000000</v>
      </c>
      <c r="Q259" s="448">
        <f t="shared" si="153"/>
        <v>25096168</v>
      </c>
      <c r="R259" s="448"/>
      <c r="S259" s="448"/>
      <c r="T259" s="448"/>
      <c r="U259" s="448"/>
      <c r="V259" s="448"/>
      <c r="W259" s="448"/>
      <c r="X259" s="2768" t="s">
        <v>35</v>
      </c>
      <c r="Y259" s="2667" t="s">
        <v>120</v>
      </c>
      <c r="Z259" s="861"/>
      <c r="AA259" s="861">
        <f>P259-'[3]Tab. 6A -Drogi'!$P$256</f>
        <v>-14140496</v>
      </c>
    </row>
    <row r="260" spans="1:27" s="862" customFormat="1" ht="12" customHeight="1">
      <c r="A260" s="2598"/>
      <c r="B260" s="429" t="s">
        <v>36</v>
      </c>
      <c r="C260" s="2668" t="s">
        <v>289</v>
      </c>
      <c r="D260" s="443">
        <f>+D261+D262</f>
        <v>1500000</v>
      </c>
      <c r="E260" s="443">
        <f t="shared" ref="E260:P260" si="154">+E261+E262</f>
        <v>0</v>
      </c>
      <c r="F260" s="443">
        <f t="shared" si="154"/>
        <v>0</v>
      </c>
      <c r="G260" s="443">
        <f t="shared" si="154"/>
        <v>0</v>
      </c>
      <c r="H260" s="443">
        <f t="shared" si="154"/>
        <v>0</v>
      </c>
      <c r="I260" s="443">
        <f t="shared" si="154"/>
        <v>0</v>
      </c>
      <c r="J260" s="443">
        <f t="shared" si="154"/>
        <v>0</v>
      </c>
      <c r="K260" s="443">
        <f t="shared" si="154"/>
        <v>0</v>
      </c>
      <c r="L260" s="443">
        <f t="shared" si="154"/>
        <v>0</v>
      </c>
      <c r="M260" s="892">
        <v>0</v>
      </c>
      <c r="N260" s="892">
        <f t="shared" si="154"/>
        <v>0</v>
      </c>
      <c r="O260" s="892">
        <f t="shared" si="154"/>
        <v>0</v>
      </c>
      <c r="P260" s="443">
        <f t="shared" si="154"/>
        <v>1000000</v>
      </c>
      <c r="Q260" s="443">
        <f>+Q261+Q262</f>
        <v>500000</v>
      </c>
      <c r="R260" s="443"/>
      <c r="S260" s="443"/>
      <c r="T260" s="443"/>
      <c r="U260" s="443"/>
      <c r="V260" s="443"/>
      <c r="W260" s="443"/>
      <c r="X260" s="2638"/>
      <c r="Y260" s="2606"/>
    </row>
    <row r="261" spans="1:27" s="862" customFormat="1" ht="12" hidden="1" customHeight="1">
      <c r="A261" s="2598"/>
      <c r="B261" s="468" t="s">
        <v>29</v>
      </c>
      <c r="C261" s="2595"/>
      <c r="D261" s="433">
        <f>SUM(M261:T261)</f>
        <v>0</v>
      </c>
      <c r="E261" s="450">
        <f>+F261+G261+H261</f>
        <v>0</v>
      </c>
      <c r="F261" s="450">
        <v>0</v>
      </c>
      <c r="G261" s="450">
        <v>0</v>
      </c>
      <c r="H261" s="450">
        <v>0</v>
      </c>
      <c r="I261" s="450">
        <v>0</v>
      </c>
      <c r="J261" s="450"/>
      <c r="K261" s="450"/>
      <c r="L261" s="450"/>
      <c r="M261" s="1845"/>
      <c r="N261" s="1845">
        <v>0</v>
      </c>
      <c r="O261" s="1845">
        <v>0</v>
      </c>
      <c r="P261" s="451">
        <v>0</v>
      </c>
      <c r="Q261" s="451">
        <v>0</v>
      </c>
      <c r="R261" s="451"/>
      <c r="S261" s="451"/>
      <c r="T261" s="451"/>
      <c r="U261" s="451"/>
      <c r="V261" s="451"/>
      <c r="W261" s="451"/>
      <c r="X261" s="2638"/>
      <c r="Y261" s="2606"/>
    </row>
    <row r="262" spans="1:27" s="862" customFormat="1" ht="12" customHeight="1">
      <c r="A262" s="2598"/>
      <c r="B262" s="468" t="s">
        <v>27</v>
      </c>
      <c r="C262" s="2595"/>
      <c r="D262" s="451">
        <f>M262+O262+P262+Q262+R262+S262+T262+U262+V262+W262</f>
        <v>1500000</v>
      </c>
      <c r="E262" s="450">
        <v>0</v>
      </c>
      <c r="F262" s="450"/>
      <c r="G262" s="450"/>
      <c r="H262" s="450"/>
      <c r="I262" s="450">
        <v>0</v>
      </c>
      <c r="J262" s="450">
        <v>0</v>
      </c>
      <c r="K262" s="450"/>
      <c r="L262" s="450">
        <v>0</v>
      </c>
      <c r="M262" s="1845">
        <v>0</v>
      </c>
      <c r="N262" s="1845">
        <v>0</v>
      </c>
      <c r="O262" s="1845">
        <v>0</v>
      </c>
      <c r="P262" s="451">
        <v>1000000</v>
      </c>
      <c r="Q262" s="451">
        <v>500000</v>
      </c>
      <c r="R262" s="451"/>
      <c r="S262" s="451"/>
      <c r="T262" s="451"/>
      <c r="U262" s="451"/>
      <c r="V262" s="451"/>
      <c r="W262" s="451"/>
      <c r="X262" s="2638"/>
      <c r="Y262" s="2606"/>
    </row>
    <row r="263" spans="1:27" s="862" customFormat="1" ht="12" customHeight="1">
      <c r="A263" s="2598"/>
      <c r="B263" s="502" t="s">
        <v>30</v>
      </c>
      <c r="C263" s="2595"/>
      <c r="D263" s="495">
        <f t="shared" ref="D263:L263" si="155">+D264+D265</f>
        <v>37596168</v>
      </c>
      <c r="E263" s="495">
        <f t="shared" si="155"/>
        <v>0</v>
      </c>
      <c r="F263" s="495">
        <f t="shared" si="155"/>
        <v>0</v>
      </c>
      <c r="G263" s="495">
        <f t="shared" si="155"/>
        <v>0</v>
      </c>
      <c r="H263" s="495">
        <f t="shared" si="155"/>
        <v>0</v>
      </c>
      <c r="I263" s="495">
        <f t="shared" si="155"/>
        <v>0</v>
      </c>
      <c r="J263" s="495">
        <f t="shared" si="155"/>
        <v>0</v>
      </c>
      <c r="K263" s="495">
        <f t="shared" si="155"/>
        <v>0</v>
      </c>
      <c r="L263" s="495">
        <f t="shared" si="155"/>
        <v>0</v>
      </c>
      <c r="M263" s="932">
        <v>0</v>
      </c>
      <c r="N263" s="932">
        <f>+N264+N265</f>
        <v>0</v>
      </c>
      <c r="O263" s="932">
        <f>+O264+O265</f>
        <v>0</v>
      </c>
      <c r="P263" s="503">
        <f>+P264+P265</f>
        <v>13000000</v>
      </c>
      <c r="Q263" s="503">
        <f>+Q264+Q265</f>
        <v>24596168</v>
      </c>
      <c r="R263" s="503"/>
      <c r="S263" s="503"/>
      <c r="T263" s="503"/>
      <c r="U263" s="503"/>
      <c r="V263" s="503"/>
      <c r="W263" s="503"/>
      <c r="X263" s="2638"/>
      <c r="Y263" s="2606"/>
    </row>
    <row r="264" spans="1:27" s="862" customFormat="1" ht="12" hidden="1" customHeight="1">
      <c r="A264" s="2598"/>
      <c r="B264" s="487" t="s">
        <v>29</v>
      </c>
      <c r="C264" s="2595"/>
      <c r="D264" s="433">
        <f>SUM(M264:T264)</f>
        <v>0</v>
      </c>
      <c r="E264" s="450">
        <f>+F264+G264+H264</f>
        <v>0</v>
      </c>
      <c r="F264" s="450">
        <v>0</v>
      </c>
      <c r="G264" s="450">
        <v>0</v>
      </c>
      <c r="H264" s="450">
        <v>0</v>
      </c>
      <c r="I264" s="450">
        <v>0</v>
      </c>
      <c r="J264" s="450">
        <v>0</v>
      </c>
      <c r="K264" s="450">
        <v>0</v>
      </c>
      <c r="L264" s="450">
        <v>0</v>
      </c>
      <c r="M264" s="1845"/>
      <c r="N264" s="1845">
        <v>0</v>
      </c>
      <c r="O264" s="1845">
        <v>0</v>
      </c>
      <c r="P264" s="451">
        <v>0</v>
      </c>
      <c r="Q264" s="451"/>
      <c r="R264" s="451"/>
      <c r="S264" s="451"/>
      <c r="T264" s="451"/>
      <c r="U264" s="451"/>
      <c r="V264" s="451"/>
      <c r="W264" s="451"/>
      <c r="X264" s="2638"/>
      <c r="Y264" s="2606"/>
    </row>
    <row r="265" spans="1:27" s="862" customFormat="1" ht="14.25" customHeight="1" thickBot="1">
      <c r="A265" s="2654"/>
      <c r="B265" s="505" t="s">
        <v>33</v>
      </c>
      <c r="C265" s="2596"/>
      <c r="D265" s="433">
        <f>M265+O265+P265+Q265+R265+S265+T265+U265+V265+W265</f>
        <v>37596168</v>
      </c>
      <c r="E265" s="453">
        <v>0</v>
      </c>
      <c r="F265" s="453"/>
      <c r="G265" s="453"/>
      <c r="H265" s="453"/>
      <c r="I265" s="453">
        <v>0</v>
      </c>
      <c r="J265" s="453">
        <v>0</v>
      </c>
      <c r="K265" s="453"/>
      <c r="L265" s="453"/>
      <c r="M265" s="434">
        <f>+E265+I265+J265+K265+L265+N265</f>
        <v>0</v>
      </c>
      <c r="N265" s="1846">
        <v>0</v>
      </c>
      <c r="O265" s="1846">
        <v>0</v>
      </c>
      <c r="P265" s="434">
        <f>36496351-9355855-20900496+6760000</f>
        <v>13000000</v>
      </c>
      <c r="Q265" s="434">
        <f>10955672-500000+20900496-6760000</f>
        <v>24596168</v>
      </c>
      <c r="R265" s="480"/>
      <c r="S265" s="480"/>
      <c r="T265" s="480"/>
      <c r="U265" s="480"/>
      <c r="V265" s="480"/>
      <c r="W265" s="480"/>
      <c r="X265" s="2639"/>
      <c r="Y265" s="2607"/>
    </row>
    <row r="266" spans="1:27" ht="24.75" customHeight="1">
      <c r="A266" s="2597" t="s">
        <v>109</v>
      </c>
      <c r="B266" s="477" t="s">
        <v>503</v>
      </c>
      <c r="C266" s="457"/>
      <c r="D266" s="458"/>
      <c r="E266" s="460"/>
      <c r="F266" s="459"/>
      <c r="G266" s="460"/>
      <c r="H266" s="460"/>
      <c r="I266" s="420"/>
      <c r="J266" s="420"/>
      <c r="K266" s="420"/>
      <c r="L266" s="420"/>
      <c r="M266" s="422"/>
      <c r="N266" s="422"/>
      <c r="O266" s="422"/>
      <c r="P266" s="422"/>
      <c r="Q266" s="422"/>
      <c r="R266" s="422"/>
      <c r="S266" s="422"/>
      <c r="T266" s="422"/>
      <c r="U266" s="422"/>
      <c r="V266" s="422"/>
      <c r="W266" s="422"/>
      <c r="X266" s="423"/>
      <c r="Y266" s="519"/>
    </row>
    <row r="267" spans="1:27" ht="13.5" customHeight="1">
      <c r="A267" s="2598"/>
      <c r="B267" s="358" t="s">
        <v>22</v>
      </c>
      <c r="C267" s="2485" t="s">
        <v>97</v>
      </c>
      <c r="D267" s="462">
        <f t="shared" ref="D267:O267" si="156">+D268+D271</f>
        <v>8380189</v>
      </c>
      <c r="E267" s="462">
        <f>+E268+E271</f>
        <v>0</v>
      </c>
      <c r="F267" s="463">
        <f t="shared" si="156"/>
        <v>0</v>
      </c>
      <c r="G267" s="463">
        <f t="shared" si="156"/>
        <v>0</v>
      </c>
      <c r="H267" s="463">
        <f t="shared" si="156"/>
        <v>0</v>
      </c>
      <c r="I267" s="463">
        <f t="shared" si="156"/>
        <v>0</v>
      </c>
      <c r="J267" s="463">
        <f t="shared" si="156"/>
        <v>0</v>
      </c>
      <c r="K267" s="463">
        <f t="shared" si="156"/>
        <v>0</v>
      </c>
      <c r="L267" s="463">
        <f t="shared" si="156"/>
        <v>0</v>
      </c>
      <c r="M267" s="934">
        <f>+M268+M271</f>
        <v>0</v>
      </c>
      <c r="N267" s="934">
        <f t="shared" si="156"/>
        <v>0</v>
      </c>
      <c r="O267" s="463">
        <f t="shared" si="156"/>
        <v>0</v>
      </c>
      <c r="P267" s="463">
        <f>+P268+P271</f>
        <v>5920529</v>
      </c>
      <c r="Q267" s="463">
        <f>+Q268+Q271</f>
        <v>2459660</v>
      </c>
      <c r="R267" s="463"/>
      <c r="S267" s="463"/>
      <c r="T267" s="463"/>
      <c r="U267" s="463"/>
      <c r="V267" s="463"/>
      <c r="W267" s="463"/>
      <c r="X267" s="464">
        <f>X268+X271</f>
        <v>8380189</v>
      </c>
      <c r="Y267" s="2641" t="s">
        <v>103</v>
      </c>
      <c r="Z267" s="778"/>
    </row>
    <row r="268" spans="1:27" ht="13.5" customHeight="1">
      <c r="A268" s="2598"/>
      <c r="B268" s="510" t="s">
        <v>36</v>
      </c>
      <c r="C268" s="2602" t="s">
        <v>100</v>
      </c>
      <c r="D268" s="465">
        <f>+D269+D270</f>
        <v>211019</v>
      </c>
      <c r="E268" s="465">
        <f>+E269+E270</f>
        <v>0</v>
      </c>
      <c r="F268" s="465">
        <f t="shared" ref="F268:O268" si="157">+F269+F270</f>
        <v>0</v>
      </c>
      <c r="G268" s="465">
        <f t="shared" si="157"/>
        <v>0</v>
      </c>
      <c r="H268" s="465">
        <f t="shared" si="157"/>
        <v>0</v>
      </c>
      <c r="I268" s="465">
        <f t="shared" si="157"/>
        <v>0</v>
      </c>
      <c r="J268" s="465">
        <f t="shared" si="157"/>
        <v>0</v>
      </c>
      <c r="K268" s="465">
        <f t="shared" si="157"/>
        <v>0</v>
      </c>
      <c r="L268" s="465">
        <f t="shared" si="157"/>
        <v>0</v>
      </c>
      <c r="M268" s="930">
        <f>+M269+M270</f>
        <v>0</v>
      </c>
      <c r="N268" s="930">
        <f t="shared" si="157"/>
        <v>0</v>
      </c>
      <c r="O268" s="465">
        <f t="shared" si="157"/>
        <v>0</v>
      </c>
      <c r="P268" s="465">
        <f>+P269+P270</f>
        <v>11019</v>
      </c>
      <c r="Q268" s="465">
        <f>+Q269+Q270</f>
        <v>200000</v>
      </c>
      <c r="R268" s="465"/>
      <c r="S268" s="465"/>
      <c r="T268" s="465"/>
      <c r="U268" s="465"/>
      <c r="V268" s="465"/>
      <c r="W268" s="465"/>
      <c r="X268" s="486">
        <f>X269</f>
        <v>211019</v>
      </c>
      <c r="Y268" s="2641"/>
      <c r="Z268" s="778"/>
    </row>
    <row r="269" spans="1:27" ht="11.25" customHeight="1">
      <c r="A269" s="2598"/>
      <c r="B269" s="511" t="s">
        <v>24</v>
      </c>
      <c r="C269" s="2643"/>
      <c r="D269" s="433">
        <f>M269+O269+P269+Q269+R269+S269+T269+U269+V269+W269</f>
        <v>211019</v>
      </c>
      <c r="E269" s="440"/>
      <c r="F269" s="441">
        <v>0</v>
      </c>
      <c r="G269" s="440">
        <v>0</v>
      </c>
      <c r="H269" s="478">
        <v>0</v>
      </c>
      <c r="I269" s="478"/>
      <c r="J269" s="478"/>
      <c r="K269" s="440"/>
      <c r="L269" s="478"/>
      <c r="M269" s="1070">
        <f>+E269+I269+J269+K269+L269+N269</f>
        <v>0</v>
      </c>
      <c r="N269" s="786">
        <v>0</v>
      </c>
      <c r="O269" s="935">
        <f>6000-6000</f>
        <v>0</v>
      </c>
      <c r="P269" s="935">
        <f>894000+6000-889921+940</f>
        <v>11019</v>
      </c>
      <c r="Q269" s="935">
        <f>465000-265000</f>
        <v>200000</v>
      </c>
      <c r="R269" s="935"/>
      <c r="S269" s="434"/>
      <c r="T269" s="434"/>
      <c r="U269" s="434"/>
      <c r="V269" s="434"/>
      <c r="W269" s="434"/>
      <c r="X269" s="393">
        <f>SUM(P269:T269)</f>
        <v>211019</v>
      </c>
      <c r="Y269" s="2641"/>
      <c r="Z269" s="778"/>
    </row>
    <row r="270" spans="1:27" ht="10.5" hidden="1" customHeight="1">
      <c r="A270" s="2598"/>
      <c r="B270" s="1469" t="s">
        <v>27</v>
      </c>
      <c r="C270" s="2643"/>
      <c r="D270" s="817">
        <f>SUM(M270:T270)</f>
        <v>0</v>
      </c>
      <c r="E270" s="440">
        <v>0</v>
      </c>
      <c r="F270" s="438">
        <v>0</v>
      </c>
      <c r="G270" s="438">
        <v>0</v>
      </c>
      <c r="H270" s="471">
        <v>0</v>
      </c>
      <c r="I270" s="471"/>
      <c r="J270" s="471"/>
      <c r="K270" s="438">
        <v>0</v>
      </c>
      <c r="L270" s="438">
        <v>0</v>
      </c>
      <c r="M270" s="893">
        <v>0</v>
      </c>
      <c r="N270" s="893">
        <v>0</v>
      </c>
      <c r="O270" s="438">
        <v>0</v>
      </c>
      <c r="P270" s="438">
        <v>0</v>
      </c>
      <c r="Q270" s="438"/>
      <c r="R270" s="438"/>
      <c r="S270" s="438"/>
      <c r="T270" s="438"/>
      <c r="U270" s="741"/>
      <c r="V270" s="741"/>
      <c r="W270" s="741"/>
      <c r="X270" s="470"/>
      <c r="Y270" s="2641"/>
    </row>
    <row r="271" spans="1:27" ht="12.75" customHeight="1">
      <c r="A271" s="2598"/>
      <c r="B271" s="502" t="s">
        <v>30</v>
      </c>
      <c r="C271" s="2643"/>
      <c r="D271" s="443">
        <f>+D272</f>
        <v>8169170</v>
      </c>
      <c r="E271" s="444">
        <f>+E272</f>
        <v>0</v>
      </c>
      <c r="F271" s="444">
        <f t="shared" ref="F271:Q271" si="158">+F272</f>
        <v>0</v>
      </c>
      <c r="G271" s="444">
        <f t="shared" si="158"/>
        <v>0</v>
      </c>
      <c r="H271" s="444">
        <f t="shared" si="158"/>
        <v>0</v>
      </c>
      <c r="I271" s="444">
        <f t="shared" si="158"/>
        <v>0</v>
      </c>
      <c r="J271" s="444">
        <f t="shared" si="158"/>
        <v>0</v>
      </c>
      <c r="K271" s="444">
        <f t="shared" si="158"/>
        <v>0</v>
      </c>
      <c r="L271" s="444">
        <f t="shared" si="158"/>
        <v>0</v>
      </c>
      <c r="M271" s="936">
        <f t="shared" si="158"/>
        <v>0</v>
      </c>
      <c r="N271" s="936">
        <f t="shared" si="158"/>
        <v>0</v>
      </c>
      <c r="O271" s="444">
        <f t="shared" si="158"/>
        <v>0</v>
      </c>
      <c r="P271" s="444">
        <f t="shared" si="158"/>
        <v>5909510</v>
      </c>
      <c r="Q271" s="444">
        <f t="shared" si="158"/>
        <v>2259660</v>
      </c>
      <c r="R271" s="444"/>
      <c r="S271" s="444"/>
      <c r="T271" s="444"/>
      <c r="U271" s="443"/>
      <c r="V271" s="443"/>
      <c r="W271" s="443"/>
      <c r="X271" s="486">
        <f>X272</f>
        <v>8169170</v>
      </c>
      <c r="Y271" s="2641"/>
    </row>
    <row r="272" spans="1:27" ht="12" customHeight="1">
      <c r="A272" s="2598"/>
      <c r="B272" s="511" t="s">
        <v>33</v>
      </c>
      <c r="C272" s="2644"/>
      <c r="D272" s="1635">
        <f>M272+O272+P272+Q272+R272+S272+T272+U272+V272+W272</f>
        <v>8169170</v>
      </c>
      <c r="E272" s="440"/>
      <c r="F272" s="441">
        <v>0</v>
      </c>
      <c r="G272" s="440">
        <v>0</v>
      </c>
      <c r="H272" s="478">
        <v>0</v>
      </c>
      <c r="I272" s="478"/>
      <c r="J272" s="478"/>
      <c r="K272" s="440">
        <v>0</v>
      </c>
      <c r="L272" s="440">
        <v>0</v>
      </c>
      <c r="M272" s="1070">
        <f>+E272+I272+J272+K272+L272+N272</f>
        <v>0</v>
      </c>
      <c r="N272" s="786">
        <v>0</v>
      </c>
      <c r="O272" s="434">
        <f>34000-34000</f>
        <v>0</v>
      </c>
      <c r="P272" s="434">
        <f>5066000+34000+889921-80411</f>
        <v>5909510</v>
      </c>
      <c r="Q272" s="434">
        <f>2635000-453934+78594</f>
        <v>2259660</v>
      </c>
      <c r="R272" s="434"/>
      <c r="S272" s="440"/>
      <c r="T272" s="440"/>
      <c r="U272" s="441"/>
      <c r="V272" s="441"/>
      <c r="W272" s="441"/>
      <c r="X272" s="393">
        <f>SUM(P272:T272)</f>
        <v>8169170</v>
      </c>
      <c r="Y272" s="2642"/>
    </row>
    <row r="273" spans="1:27" s="782" customFormat="1" ht="22.5" customHeight="1">
      <c r="A273" s="2599"/>
      <c r="B273" s="527" t="s">
        <v>34</v>
      </c>
      <c r="C273" s="2484" t="s">
        <v>559</v>
      </c>
      <c r="D273" s="554">
        <f t="shared" ref="D273:O273" si="159">+D274+D276</f>
        <v>8169170</v>
      </c>
      <c r="E273" s="783">
        <f t="shared" si="159"/>
        <v>0</v>
      </c>
      <c r="F273" s="783">
        <f t="shared" si="159"/>
        <v>0</v>
      </c>
      <c r="G273" s="783">
        <f t="shared" si="159"/>
        <v>0</v>
      </c>
      <c r="H273" s="783">
        <f t="shared" si="159"/>
        <v>0</v>
      </c>
      <c r="I273" s="783">
        <f t="shared" si="159"/>
        <v>0</v>
      </c>
      <c r="J273" s="783">
        <f t="shared" si="159"/>
        <v>0</v>
      </c>
      <c r="K273" s="783">
        <f t="shared" si="159"/>
        <v>0</v>
      </c>
      <c r="L273" s="783">
        <f t="shared" si="159"/>
        <v>0</v>
      </c>
      <c r="M273" s="787">
        <f>+M274+M276</f>
        <v>0</v>
      </c>
      <c r="N273" s="787">
        <f t="shared" si="159"/>
        <v>0</v>
      </c>
      <c r="O273" s="787">
        <f t="shared" si="159"/>
        <v>0</v>
      </c>
      <c r="P273" s="783">
        <f>+P274+P276</f>
        <v>3000000</v>
      </c>
      <c r="Q273" s="783">
        <f>+Q274+Q276</f>
        <v>5169170</v>
      </c>
      <c r="R273" s="783"/>
      <c r="S273" s="783"/>
      <c r="T273" s="783"/>
      <c r="U273" s="783"/>
      <c r="V273" s="783"/>
      <c r="W273" s="783"/>
      <c r="X273" s="2659" t="s">
        <v>35</v>
      </c>
      <c r="Y273" s="2660" t="s">
        <v>120</v>
      </c>
      <c r="Z273" s="1710"/>
      <c r="AA273" s="1710">
        <f>P273-'[3]Tab. 6A -Drogi'!$P$270</f>
        <v>-1435987</v>
      </c>
    </row>
    <row r="274" spans="1:27" ht="13.5" hidden="1" customHeight="1">
      <c r="A274" s="2599"/>
      <c r="B274" s="429" t="s">
        <v>36</v>
      </c>
      <c r="C274" s="2661" t="s">
        <v>305</v>
      </c>
      <c r="D274" s="449">
        <f>+D275</f>
        <v>0</v>
      </c>
      <c r="E274" s="449">
        <f t="shared" ref="E274:P274" si="160">+E275</f>
        <v>0</v>
      </c>
      <c r="F274" s="449">
        <f t="shared" si="160"/>
        <v>0</v>
      </c>
      <c r="G274" s="449">
        <f t="shared" si="160"/>
        <v>0</v>
      </c>
      <c r="H274" s="449">
        <f t="shared" si="160"/>
        <v>0</v>
      </c>
      <c r="I274" s="449">
        <f t="shared" si="160"/>
        <v>0</v>
      </c>
      <c r="J274" s="449">
        <f t="shared" si="160"/>
        <v>0</v>
      </c>
      <c r="K274" s="449">
        <f t="shared" si="160"/>
        <v>0</v>
      </c>
      <c r="L274" s="449">
        <f t="shared" si="160"/>
        <v>0</v>
      </c>
      <c r="M274" s="895">
        <f t="shared" si="160"/>
        <v>0</v>
      </c>
      <c r="N274" s="895">
        <f t="shared" si="160"/>
        <v>0</v>
      </c>
      <c r="O274" s="895">
        <f t="shared" si="160"/>
        <v>0</v>
      </c>
      <c r="P274" s="449">
        <f t="shared" si="160"/>
        <v>0</v>
      </c>
      <c r="Q274" s="449"/>
      <c r="R274" s="449"/>
      <c r="S274" s="449"/>
      <c r="T274" s="449"/>
      <c r="U274" s="449"/>
      <c r="V274" s="449"/>
      <c r="W274" s="449"/>
      <c r="X274" s="2646"/>
      <c r="Y274" s="2649"/>
    </row>
    <row r="275" spans="1:27" ht="0.75" customHeight="1">
      <c r="A275" s="2599"/>
      <c r="B275" s="526" t="s">
        <v>27</v>
      </c>
      <c r="C275" s="2652"/>
      <c r="D275" s="433">
        <f>SUM(M275:T275)</f>
        <v>0</v>
      </c>
      <c r="E275" s="451">
        <f>+F275+G275+H275</f>
        <v>0</v>
      </c>
      <c r="F275" s="451">
        <v>0</v>
      </c>
      <c r="G275" s="451">
        <v>0</v>
      </c>
      <c r="H275" s="451">
        <v>0</v>
      </c>
      <c r="I275" s="451"/>
      <c r="J275" s="451"/>
      <c r="K275" s="451">
        <v>0</v>
      </c>
      <c r="L275" s="451">
        <v>0</v>
      </c>
      <c r="M275" s="896">
        <v>0</v>
      </c>
      <c r="N275" s="896">
        <v>0</v>
      </c>
      <c r="O275" s="896">
        <v>0</v>
      </c>
      <c r="P275" s="451">
        <v>0</v>
      </c>
      <c r="Q275" s="451"/>
      <c r="R275" s="451"/>
      <c r="S275" s="451"/>
      <c r="T275" s="451"/>
      <c r="U275" s="451"/>
      <c r="V275" s="451"/>
      <c r="W275" s="451"/>
      <c r="X275" s="2646"/>
      <c r="Y275" s="2649"/>
    </row>
    <row r="276" spans="1:27" ht="12" customHeight="1">
      <c r="A276" s="2599"/>
      <c r="B276" s="442" t="s">
        <v>30</v>
      </c>
      <c r="C276" s="2652"/>
      <c r="D276" s="443">
        <f t="shared" ref="D276:Q276" si="161">+D277</f>
        <v>8169170</v>
      </c>
      <c r="E276" s="444">
        <f t="shared" si="161"/>
        <v>0</v>
      </c>
      <c r="F276" s="444">
        <f t="shared" si="161"/>
        <v>0</v>
      </c>
      <c r="G276" s="444">
        <f t="shared" si="161"/>
        <v>0</v>
      </c>
      <c r="H276" s="444">
        <f t="shared" si="161"/>
        <v>0</v>
      </c>
      <c r="I276" s="444">
        <f t="shared" si="161"/>
        <v>0</v>
      </c>
      <c r="J276" s="444">
        <f t="shared" si="161"/>
        <v>0</v>
      </c>
      <c r="K276" s="444">
        <f t="shared" si="161"/>
        <v>0</v>
      </c>
      <c r="L276" s="444">
        <f t="shared" si="161"/>
        <v>0</v>
      </c>
      <c r="M276" s="936">
        <f t="shared" si="161"/>
        <v>0</v>
      </c>
      <c r="N276" s="936">
        <f t="shared" si="161"/>
        <v>0</v>
      </c>
      <c r="O276" s="936">
        <f t="shared" si="161"/>
        <v>0</v>
      </c>
      <c r="P276" s="444">
        <f t="shared" si="161"/>
        <v>3000000</v>
      </c>
      <c r="Q276" s="444">
        <f t="shared" si="161"/>
        <v>5169170</v>
      </c>
      <c r="R276" s="444"/>
      <c r="S276" s="444"/>
      <c r="T276" s="444"/>
      <c r="U276" s="444"/>
      <c r="V276" s="444"/>
      <c r="W276" s="444"/>
      <c r="X276" s="2646"/>
      <c r="Y276" s="2649"/>
    </row>
    <row r="277" spans="1:27" ht="13.5" customHeight="1" thickBot="1">
      <c r="A277" s="2600"/>
      <c r="B277" s="474" t="s">
        <v>33</v>
      </c>
      <c r="C277" s="2653"/>
      <c r="D277" s="1064">
        <f>M277+O277+P277+Q277+R277+S277+T277+U277+V277+W277</f>
        <v>8169170</v>
      </c>
      <c r="E277" s="475">
        <f>+F277+G277+H277</f>
        <v>0</v>
      </c>
      <c r="F277" s="476">
        <v>0</v>
      </c>
      <c r="G277" s="475">
        <v>0</v>
      </c>
      <c r="H277" s="475">
        <v>0</v>
      </c>
      <c r="I277" s="475"/>
      <c r="J277" s="475"/>
      <c r="K277" s="475">
        <v>0</v>
      </c>
      <c r="L277" s="475">
        <v>0</v>
      </c>
      <c r="M277" s="1071">
        <f>+E277+I277+J277+K277+L277+N277</f>
        <v>0</v>
      </c>
      <c r="N277" s="937">
        <v>0</v>
      </c>
      <c r="O277" s="937">
        <v>0</v>
      </c>
      <c r="P277" s="475">
        <f>4000000+435987-1575987+140000</f>
        <v>3000000</v>
      </c>
      <c r="Q277" s="475">
        <f>3735000+1575987-141817</f>
        <v>5169170</v>
      </c>
      <c r="R277" s="475"/>
      <c r="S277" s="475"/>
      <c r="T277" s="475"/>
      <c r="U277" s="475"/>
      <c r="V277" s="475"/>
      <c r="W277" s="475"/>
      <c r="X277" s="2647"/>
      <c r="Y277" s="2650"/>
    </row>
    <row r="278" spans="1:27" ht="25.5" customHeight="1">
      <c r="A278" s="2597" t="s">
        <v>110</v>
      </c>
      <c r="B278" s="477" t="s">
        <v>496</v>
      </c>
      <c r="C278" s="457" t="s">
        <v>97</v>
      </c>
      <c r="D278" s="458"/>
      <c r="E278" s="460"/>
      <c r="F278" s="459"/>
      <c r="G278" s="460"/>
      <c r="H278" s="460"/>
      <c r="I278" s="420"/>
      <c r="J278" s="420"/>
      <c r="K278" s="420"/>
      <c r="L278" s="420"/>
      <c r="M278" s="422"/>
      <c r="N278" s="422"/>
      <c r="O278" s="422"/>
      <c r="P278" s="422"/>
      <c r="Q278" s="422"/>
      <c r="R278" s="422"/>
      <c r="S278" s="422"/>
      <c r="T278" s="422"/>
      <c r="U278" s="422"/>
      <c r="V278" s="422"/>
      <c r="W278" s="422"/>
      <c r="X278" s="423"/>
      <c r="Y278" s="519"/>
      <c r="Z278" s="1118" t="s">
        <v>452</v>
      </c>
    </row>
    <row r="279" spans="1:27">
      <c r="A279" s="2598"/>
      <c r="B279" s="358" t="s">
        <v>22</v>
      </c>
      <c r="C279" s="1670"/>
      <c r="D279" s="1671">
        <f>+D280+D283</f>
        <v>67060838</v>
      </c>
      <c r="E279" s="1671">
        <f>+E280+E283</f>
        <v>0</v>
      </c>
      <c r="F279" s="1759">
        <f t="shared" ref="F279:O279" si="162">+F280+F283</f>
        <v>0</v>
      </c>
      <c r="G279" s="1759">
        <f t="shared" si="162"/>
        <v>0</v>
      </c>
      <c r="H279" s="1759">
        <f t="shared" si="162"/>
        <v>0</v>
      </c>
      <c r="I279" s="1759">
        <f t="shared" si="162"/>
        <v>0</v>
      </c>
      <c r="J279" s="1759">
        <f t="shared" si="162"/>
        <v>0</v>
      </c>
      <c r="K279" s="1759">
        <f t="shared" si="162"/>
        <v>0</v>
      </c>
      <c r="L279" s="1759">
        <f t="shared" si="162"/>
        <v>0</v>
      </c>
      <c r="M279" s="1760">
        <f t="shared" si="162"/>
        <v>0</v>
      </c>
      <c r="N279" s="1760">
        <f t="shared" si="162"/>
        <v>0</v>
      </c>
      <c r="O279" s="1759">
        <f t="shared" si="162"/>
        <v>0</v>
      </c>
      <c r="P279" s="1759">
        <f>+P280+P283</f>
        <v>100000</v>
      </c>
      <c r="Q279" s="1759">
        <f>+Q280+Q283</f>
        <v>48900000</v>
      </c>
      <c r="R279" s="1759">
        <f>+R280+R283</f>
        <v>18060838</v>
      </c>
      <c r="S279" s="1759"/>
      <c r="T279" s="1759"/>
      <c r="U279" s="1759"/>
      <c r="V279" s="1759"/>
      <c r="W279" s="1759"/>
      <c r="X279" s="1672">
        <f>X280+X283</f>
        <v>67060838</v>
      </c>
      <c r="Y279" s="2641" t="s">
        <v>103</v>
      </c>
      <c r="Z279" s="778"/>
    </row>
    <row r="280" spans="1:27">
      <c r="A280" s="2598"/>
      <c r="B280" s="510" t="s">
        <v>36</v>
      </c>
      <c r="C280" s="2594" t="s">
        <v>100</v>
      </c>
      <c r="D280" s="1684">
        <f>+D281+D282</f>
        <v>10660625</v>
      </c>
      <c r="E280" s="1684">
        <f>+E281+E282</f>
        <v>0</v>
      </c>
      <c r="F280" s="1684">
        <f t="shared" ref="F280:O280" si="163">+F281+F282</f>
        <v>0</v>
      </c>
      <c r="G280" s="1684">
        <f t="shared" si="163"/>
        <v>0</v>
      </c>
      <c r="H280" s="1684">
        <f t="shared" si="163"/>
        <v>0</v>
      </c>
      <c r="I280" s="1684">
        <f t="shared" si="163"/>
        <v>0</v>
      </c>
      <c r="J280" s="1684">
        <f t="shared" si="163"/>
        <v>0</v>
      </c>
      <c r="K280" s="1684">
        <f t="shared" si="163"/>
        <v>0</v>
      </c>
      <c r="L280" s="1684">
        <f t="shared" si="163"/>
        <v>0</v>
      </c>
      <c r="M280" s="1761">
        <f t="shared" si="163"/>
        <v>0</v>
      </c>
      <c r="N280" s="1761">
        <f t="shared" si="163"/>
        <v>0</v>
      </c>
      <c r="O280" s="1684">
        <f t="shared" si="163"/>
        <v>0</v>
      </c>
      <c r="P280" s="1684">
        <f>+P281+P282</f>
        <v>15000</v>
      </c>
      <c r="Q280" s="1684">
        <f>+Q281+Q282</f>
        <v>7335000</v>
      </c>
      <c r="R280" s="1684">
        <f>+R281+R282</f>
        <v>3310625</v>
      </c>
      <c r="S280" s="1684"/>
      <c r="T280" s="1684"/>
      <c r="U280" s="1684"/>
      <c r="V280" s="1684"/>
      <c r="W280" s="1684"/>
      <c r="X280" s="1674">
        <f>X281</f>
        <v>10660625</v>
      </c>
      <c r="Y280" s="2641"/>
      <c r="Z280" s="778"/>
    </row>
    <row r="281" spans="1:27" ht="11.25" customHeight="1">
      <c r="A281" s="2598"/>
      <c r="B281" s="511" t="s">
        <v>24</v>
      </c>
      <c r="C281" s="2643"/>
      <c r="D281" s="1381">
        <f>M281+O281+P281+Q281+R281+S281+T281+U281+V281+W281</f>
        <v>10660625</v>
      </c>
      <c r="E281" s="1618"/>
      <c r="F281" s="1675">
        <v>0</v>
      </c>
      <c r="G281" s="1618">
        <v>0</v>
      </c>
      <c r="H281" s="1631">
        <v>0</v>
      </c>
      <c r="I281" s="1631"/>
      <c r="J281" s="1631"/>
      <c r="K281" s="1618"/>
      <c r="L281" s="1631"/>
      <c r="M281" s="1762">
        <f>+E281+I281+J281+K281+L281+N281</f>
        <v>0</v>
      </c>
      <c r="N281" s="1763">
        <v>0</v>
      </c>
      <c r="O281" s="1764">
        <f>6000-6000</f>
        <v>0</v>
      </c>
      <c r="P281" s="1764">
        <f>150000-135000</f>
        <v>15000</v>
      </c>
      <c r="Q281" s="1764">
        <f>5700000+1500000+135000</f>
        <v>7335000</v>
      </c>
      <c r="R281" s="1764">
        <f>1875000+1435625</f>
        <v>3310625</v>
      </c>
      <c r="S281" s="1676"/>
      <c r="T281" s="1676"/>
      <c r="U281" s="1676"/>
      <c r="V281" s="1676"/>
      <c r="W281" s="1676"/>
      <c r="X281" s="1678">
        <f>SUM(P281:T281)</f>
        <v>10660625</v>
      </c>
      <c r="Y281" s="2641"/>
      <c r="Z281" s="778"/>
    </row>
    <row r="282" spans="1:27" ht="10.5" hidden="1" customHeight="1">
      <c r="A282" s="2598"/>
      <c r="B282" s="1469" t="s">
        <v>27</v>
      </c>
      <c r="C282" s="2643"/>
      <c r="D282" s="1765">
        <f>SUM(M282:T282)</f>
        <v>0</v>
      </c>
      <c r="E282" s="1618">
        <v>0</v>
      </c>
      <c r="F282" s="1620">
        <v>0</v>
      </c>
      <c r="G282" s="1620">
        <v>0</v>
      </c>
      <c r="H282" s="1622">
        <v>0</v>
      </c>
      <c r="I282" s="1622"/>
      <c r="J282" s="1622"/>
      <c r="K282" s="1620">
        <v>0</v>
      </c>
      <c r="L282" s="1620">
        <v>0</v>
      </c>
      <c r="M282" s="1694">
        <v>0</v>
      </c>
      <c r="N282" s="1694">
        <v>0</v>
      </c>
      <c r="O282" s="1620">
        <v>0</v>
      </c>
      <c r="P282" s="1620">
        <v>0</v>
      </c>
      <c r="Q282" s="1620"/>
      <c r="R282" s="1620"/>
      <c r="S282" s="1620"/>
      <c r="T282" s="1620"/>
      <c r="U282" s="741"/>
      <c r="V282" s="741"/>
      <c r="W282" s="741"/>
      <c r="X282" s="470"/>
      <c r="Y282" s="2641"/>
    </row>
    <row r="283" spans="1:27">
      <c r="A283" s="2598"/>
      <c r="B283" s="502" t="s">
        <v>30</v>
      </c>
      <c r="C283" s="2643"/>
      <c r="D283" s="1679">
        <f>+D284</f>
        <v>56400213</v>
      </c>
      <c r="E283" s="1680">
        <f>+E284</f>
        <v>0</v>
      </c>
      <c r="F283" s="1680">
        <f t="shared" ref="F283:R283" si="164">+F284</f>
        <v>0</v>
      </c>
      <c r="G283" s="1680">
        <f t="shared" si="164"/>
        <v>0</v>
      </c>
      <c r="H283" s="1680">
        <f t="shared" si="164"/>
        <v>0</v>
      </c>
      <c r="I283" s="1680">
        <f t="shared" si="164"/>
        <v>0</v>
      </c>
      <c r="J283" s="1680">
        <f t="shared" si="164"/>
        <v>0</v>
      </c>
      <c r="K283" s="1680">
        <f t="shared" si="164"/>
        <v>0</v>
      </c>
      <c r="L283" s="1680">
        <f t="shared" si="164"/>
        <v>0</v>
      </c>
      <c r="M283" s="1695">
        <f t="shared" si="164"/>
        <v>0</v>
      </c>
      <c r="N283" s="1695">
        <f t="shared" si="164"/>
        <v>0</v>
      </c>
      <c r="O283" s="1680">
        <f t="shared" si="164"/>
        <v>0</v>
      </c>
      <c r="P283" s="1680">
        <f t="shared" si="164"/>
        <v>85000</v>
      </c>
      <c r="Q283" s="1680">
        <f t="shared" si="164"/>
        <v>41565000</v>
      </c>
      <c r="R283" s="1680">
        <f t="shared" si="164"/>
        <v>14750213</v>
      </c>
      <c r="S283" s="1680"/>
      <c r="T283" s="1680"/>
      <c r="U283" s="1679"/>
      <c r="V283" s="1679"/>
      <c r="W283" s="1679"/>
      <c r="X283" s="1674">
        <f>X284</f>
        <v>56400213</v>
      </c>
      <c r="Y283" s="2641"/>
    </row>
    <row r="284" spans="1:27" ht="12" customHeight="1">
      <c r="A284" s="2598"/>
      <c r="B284" s="511" t="s">
        <v>33</v>
      </c>
      <c r="C284" s="2644"/>
      <c r="D284" s="1635">
        <f>M284+O284+P284+Q284+R284+S284+T284+U284+V284+W284</f>
        <v>56400213</v>
      </c>
      <c r="E284" s="1618"/>
      <c r="F284" s="1675">
        <v>0</v>
      </c>
      <c r="G284" s="1618">
        <v>0</v>
      </c>
      <c r="H284" s="1631">
        <v>0</v>
      </c>
      <c r="I284" s="1631"/>
      <c r="J284" s="1631"/>
      <c r="K284" s="1618">
        <v>0</v>
      </c>
      <c r="L284" s="1618">
        <v>0</v>
      </c>
      <c r="M284" s="1762">
        <f>+E284+I284+J284+K284+L284+N284</f>
        <v>0</v>
      </c>
      <c r="N284" s="1763">
        <v>0</v>
      </c>
      <c r="O284" s="1676">
        <f>34000-34000</f>
        <v>0</v>
      </c>
      <c r="P284" s="1676">
        <f>850000-765000</f>
        <v>85000</v>
      </c>
      <c r="Q284" s="1676">
        <f>32300000+8500000+765000</f>
        <v>41565000</v>
      </c>
      <c r="R284" s="1676">
        <f>10625000+4125213</f>
        <v>14750213</v>
      </c>
      <c r="S284" s="1618"/>
      <c r="T284" s="1618"/>
      <c r="U284" s="1675"/>
      <c r="V284" s="1675"/>
      <c r="W284" s="1675"/>
      <c r="X284" s="1678">
        <f>SUM(P284:T284)</f>
        <v>56400213</v>
      </c>
      <c r="Y284" s="2642"/>
    </row>
    <row r="285" spans="1:27" s="782" customFormat="1" ht="12" customHeight="1">
      <c r="A285" s="2599"/>
      <c r="B285" s="527" t="s">
        <v>34</v>
      </c>
      <c r="C285" s="522"/>
      <c r="D285" s="554">
        <f t="shared" ref="D285:O285" si="165">+D286+D288</f>
        <v>56400213</v>
      </c>
      <c r="E285" s="783">
        <f t="shared" si="165"/>
        <v>0</v>
      </c>
      <c r="F285" s="783">
        <f t="shared" si="165"/>
        <v>0</v>
      </c>
      <c r="G285" s="783">
        <f t="shared" si="165"/>
        <v>0</v>
      </c>
      <c r="H285" s="783">
        <f t="shared" si="165"/>
        <v>0</v>
      </c>
      <c r="I285" s="783">
        <f t="shared" si="165"/>
        <v>0</v>
      </c>
      <c r="J285" s="783">
        <f t="shared" si="165"/>
        <v>0</v>
      </c>
      <c r="K285" s="783">
        <f t="shared" si="165"/>
        <v>0</v>
      </c>
      <c r="L285" s="783">
        <f t="shared" si="165"/>
        <v>0</v>
      </c>
      <c r="M285" s="787">
        <f t="shared" si="165"/>
        <v>0</v>
      </c>
      <c r="N285" s="787">
        <f t="shared" si="165"/>
        <v>0</v>
      </c>
      <c r="O285" s="787">
        <f t="shared" si="165"/>
        <v>0</v>
      </c>
      <c r="P285" s="783">
        <f>+P286+P288</f>
        <v>0</v>
      </c>
      <c r="Q285" s="783">
        <f>+Q286+Q288</f>
        <v>35000000</v>
      </c>
      <c r="R285" s="783">
        <f>+R286+R288</f>
        <v>21400213</v>
      </c>
      <c r="S285" s="783"/>
      <c r="T285" s="783"/>
      <c r="U285" s="783"/>
      <c r="V285" s="783"/>
      <c r="W285" s="783"/>
      <c r="X285" s="2645" t="s">
        <v>35</v>
      </c>
      <c r="Y285" s="2648" t="s">
        <v>120</v>
      </c>
    </row>
    <row r="286" spans="1:27" ht="13.5" hidden="1" customHeight="1">
      <c r="A286" s="2599"/>
      <c r="B286" s="1392" t="s">
        <v>36</v>
      </c>
      <c r="C286" s="2651" t="s">
        <v>305</v>
      </c>
      <c r="D286" s="449">
        <f>+D287</f>
        <v>0</v>
      </c>
      <c r="E286" s="449">
        <f t="shared" ref="E286:P286" si="166">+E287</f>
        <v>0</v>
      </c>
      <c r="F286" s="449">
        <f t="shared" si="166"/>
        <v>0</v>
      </c>
      <c r="G286" s="449">
        <f t="shared" si="166"/>
        <v>0</v>
      </c>
      <c r="H286" s="449">
        <f t="shared" si="166"/>
        <v>0</v>
      </c>
      <c r="I286" s="449">
        <f t="shared" si="166"/>
        <v>0</v>
      </c>
      <c r="J286" s="449">
        <f t="shared" si="166"/>
        <v>0</v>
      </c>
      <c r="K286" s="449">
        <f t="shared" si="166"/>
        <v>0</v>
      </c>
      <c r="L286" s="449">
        <f t="shared" si="166"/>
        <v>0</v>
      </c>
      <c r="M286" s="895">
        <f t="shared" si="166"/>
        <v>0</v>
      </c>
      <c r="N286" s="895">
        <f t="shared" si="166"/>
        <v>0</v>
      </c>
      <c r="O286" s="895">
        <f t="shared" si="166"/>
        <v>0</v>
      </c>
      <c r="P286" s="449">
        <f t="shared" si="166"/>
        <v>0</v>
      </c>
      <c r="Q286" s="449"/>
      <c r="R286" s="449"/>
      <c r="S286" s="449"/>
      <c r="T286" s="449"/>
      <c r="U286" s="449"/>
      <c r="V286" s="449"/>
      <c r="W286" s="449"/>
      <c r="X286" s="2646"/>
      <c r="Y286" s="2649"/>
    </row>
    <row r="287" spans="1:27" ht="13.5" hidden="1" customHeight="1">
      <c r="A287" s="2599"/>
      <c r="B287" s="526" t="s">
        <v>27</v>
      </c>
      <c r="C287" s="2652"/>
      <c r="D287" s="1381">
        <f>SUM(M287:T287)</f>
        <v>0</v>
      </c>
      <c r="E287" s="1681">
        <f>+F287+G287+H287</f>
        <v>0</v>
      </c>
      <c r="F287" s="1681">
        <v>0</v>
      </c>
      <c r="G287" s="1681">
        <v>0</v>
      </c>
      <c r="H287" s="1681">
        <v>0</v>
      </c>
      <c r="I287" s="1681"/>
      <c r="J287" s="1681"/>
      <c r="K287" s="1681">
        <v>0</v>
      </c>
      <c r="L287" s="1681">
        <v>0</v>
      </c>
      <c r="M287" s="1697">
        <v>0</v>
      </c>
      <c r="N287" s="1697">
        <v>0</v>
      </c>
      <c r="O287" s="1697">
        <v>0</v>
      </c>
      <c r="P287" s="1681">
        <v>0</v>
      </c>
      <c r="Q287" s="1681"/>
      <c r="R287" s="1681"/>
      <c r="S287" s="1681"/>
      <c r="T287" s="1681"/>
      <c r="U287" s="1681"/>
      <c r="V287" s="1681"/>
      <c r="W287" s="1681"/>
      <c r="X287" s="2646"/>
      <c r="Y287" s="2649"/>
    </row>
    <row r="288" spans="1:27" ht="12" customHeight="1">
      <c r="A288" s="2599"/>
      <c r="B288" s="1530" t="s">
        <v>30</v>
      </c>
      <c r="C288" s="2652"/>
      <c r="D288" s="1679">
        <f t="shared" ref="D288:R288" si="167">+D289</f>
        <v>56400213</v>
      </c>
      <c r="E288" s="1680">
        <f t="shared" si="167"/>
        <v>0</v>
      </c>
      <c r="F288" s="1680">
        <f t="shared" si="167"/>
        <v>0</v>
      </c>
      <c r="G288" s="1680">
        <f t="shared" si="167"/>
        <v>0</v>
      </c>
      <c r="H288" s="1680">
        <f t="shared" si="167"/>
        <v>0</v>
      </c>
      <c r="I288" s="1680">
        <f t="shared" si="167"/>
        <v>0</v>
      </c>
      <c r="J288" s="1680">
        <f t="shared" si="167"/>
        <v>0</v>
      </c>
      <c r="K288" s="1680">
        <f t="shared" si="167"/>
        <v>0</v>
      </c>
      <c r="L288" s="1680">
        <f t="shared" si="167"/>
        <v>0</v>
      </c>
      <c r="M288" s="1695">
        <f t="shared" si="167"/>
        <v>0</v>
      </c>
      <c r="N288" s="1695">
        <f t="shared" si="167"/>
        <v>0</v>
      </c>
      <c r="O288" s="1695">
        <f t="shared" si="167"/>
        <v>0</v>
      </c>
      <c r="P288" s="1680">
        <f t="shared" si="167"/>
        <v>0</v>
      </c>
      <c r="Q288" s="1680">
        <f t="shared" si="167"/>
        <v>35000000</v>
      </c>
      <c r="R288" s="1680">
        <f t="shared" si="167"/>
        <v>21400213</v>
      </c>
      <c r="S288" s="1680"/>
      <c r="T288" s="1680"/>
      <c r="U288" s="1680"/>
      <c r="V288" s="1680"/>
      <c r="W288" s="1680"/>
      <c r="X288" s="2646"/>
      <c r="Y288" s="2649"/>
    </row>
    <row r="289" spans="1:26" ht="13.5" customHeight="1" thickBot="1">
      <c r="A289" s="2600"/>
      <c r="B289" s="474" t="s">
        <v>33</v>
      </c>
      <c r="C289" s="2653"/>
      <c r="D289" s="1064">
        <f>M289+O289+P289+Q289+R289+S289+T289+U289+V289+W289</f>
        <v>56400213</v>
      </c>
      <c r="E289" s="475">
        <f>+F289+G289+H289</f>
        <v>0</v>
      </c>
      <c r="F289" s="476">
        <v>0</v>
      </c>
      <c r="G289" s="475">
        <v>0</v>
      </c>
      <c r="H289" s="475">
        <v>0</v>
      </c>
      <c r="I289" s="475"/>
      <c r="J289" s="475"/>
      <c r="K289" s="475">
        <v>0</v>
      </c>
      <c r="L289" s="475">
        <v>0</v>
      </c>
      <c r="M289" s="1071">
        <f>+E289+I289+J289+K289+L289+N289</f>
        <v>0</v>
      </c>
      <c r="N289" s="937">
        <v>0</v>
      </c>
      <c r="O289" s="937">
        <v>0</v>
      </c>
      <c r="P289" s="475">
        <v>0</v>
      </c>
      <c r="Q289" s="475">
        <f>29000000+6000000</f>
        <v>35000000</v>
      </c>
      <c r="R289" s="475">
        <f>14775000+6625213</f>
        <v>21400213</v>
      </c>
      <c r="S289" s="475"/>
      <c r="T289" s="475"/>
      <c r="U289" s="475"/>
      <c r="V289" s="475"/>
      <c r="W289" s="475"/>
      <c r="X289" s="2647"/>
      <c r="Y289" s="2650"/>
    </row>
    <row r="290" spans="1:26" ht="27" customHeight="1">
      <c r="A290" s="2597" t="s">
        <v>111</v>
      </c>
      <c r="B290" s="477" t="s">
        <v>445</v>
      </c>
      <c r="C290" s="457" t="s">
        <v>97</v>
      </c>
      <c r="D290" s="458"/>
      <c r="E290" s="460"/>
      <c r="F290" s="459"/>
      <c r="G290" s="460"/>
      <c r="H290" s="460"/>
      <c r="I290" s="420"/>
      <c r="J290" s="420"/>
      <c r="K290" s="420"/>
      <c r="L290" s="420"/>
      <c r="M290" s="422"/>
      <c r="N290" s="422"/>
      <c r="O290" s="422"/>
      <c r="P290" s="422"/>
      <c r="Q290" s="422"/>
      <c r="R290" s="422"/>
      <c r="S290" s="422"/>
      <c r="T290" s="422"/>
      <c r="U290" s="422"/>
      <c r="V290" s="422"/>
      <c r="W290" s="422"/>
      <c r="X290" s="423"/>
      <c r="Y290" s="519"/>
      <c r="Z290" s="1118" t="s">
        <v>452</v>
      </c>
    </row>
    <row r="291" spans="1:26" ht="13.5" customHeight="1">
      <c r="A291" s="2598"/>
      <c r="B291" s="358" t="s">
        <v>22</v>
      </c>
      <c r="C291" s="359"/>
      <c r="D291" s="462">
        <f>+D292+D295</f>
        <v>18000000</v>
      </c>
      <c r="E291" s="462">
        <f>+E292+E295</f>
        <v>0</v>
      </c>
      <c r="F291" s="463">
        <f t="shared" ref="F291:O291" si="168">+F292+F295</f>
        <v>0</v>
      </c>
      <c r="G291" s="463">
        <f t="shared" si="168"/>
        <v>0</v>
      </c>
      <c r="H291" s="463">
        <f t="shared" si="168"/>
        <v>0</v>
      </c>
      <c r="I291" s="463">
        <f t="shared" si="168"/>
        <v>0</v>
      </c>
      <c r="J291" s="463">
        <f t="shared" si="168"/>
        <v>0</v>
      </c>
      <c r="K291" s="463">
        <f t="shared" si="168"/>
        <v>0</v>
      </c>
      <c r="L291" s="463">
        <f t="shared" si="168"/>
        <v>0</v>
      </c>
      <c r="M291" s="934">
        <f t="shared" si="168"/>
        <v>0</v>
      </c>
      <c r="N291" s="934">
        <f t="shared" si="168"/>
        <v>0</v>
      </c>
      <c r="O291" s="463">
        <f t="shared" si="168"/>
        <v>0</v>
      </c>
      <c r="P291" s="463">
        <f>+P292+P295</f>
        <v>0</v>
      </c>
      <c r="Q291" s="463">
        <f>+Q292+Q295</f>
        <v>18000000</v>
      </c>
      <c r="R291" s="463">
        <f>+R292+R295</f>
        <v>0</v>
      </c>
      <c r="S291" s="463"/>
      <c r="T291" s="463"/>
      <c r="U291" s="463"/>
      <c r="V291" s="463"/>
      <c r="W291" s="463"/>
      <c r="X291" s="464">
        <f>X292+X295</f>
        <v>18000000</v>
      </c>
      <c r="Y291" s="2641" t="s">
        <v>103</v>
      </c>
      <c r="Z291" s="778"/>
    </row>
    <row r="292" spans="1:26" ht="13.5" customHeight="1">
      <c r="A292" s="2598"/>
      <c r="B292" s="510" t="s">
        <v>36</v>
      </c>
      <c r="C292" s="2602" t="s">
        <v>100</v>
      </c>
      <c r="D292" s="465">
        <f>+D293+D294</f>
        <v>2836000</v>
      </c>
      <c r="E292" s="465">
        <f>+E293+E294</f>
        <v>0</v>
      </c>
      <c r="F292" s="465">
        <f t="shared" ref="F292:O292" si="169">+F293+F294</f>
        <v>0</v>
      </c>
      <c r="G292" s="465">
        <f t="shared" si="169"/>
        <v>0</v>
      </c>
      <c r="H292" s="465">
        <f t="shared" si="169"/>
        <v>0</v>
      </c>
      <c r="I292" s="465">
        <f t="shared" si="169"/>
        <v>0</v>
      </c>
      <c r="J292" s="465">
        <f t="shared" si="169"/>
        <v>0</v>
      </c>
      <c r="K292" s="465">
        <f t="shared" si="169"/>
        <v>0</v>
      </c>
      <c r="L292" s="465">
        <f t="shared" si="169"/>
        <v>0</v>
      </c>
      <c r="M292" s="930">
        <f t="shared" si="169"/>
        <v>0</v>
      </c>
      <c r="N292" s="930">
        <f t="shared" si="169"/>
        <v>0</v>
      </c>
      <c r="O292" s="465">
        <f t="shared" si="169"/>
        <v>0</v>
      </c>
      <c r="P292" s="465">
        <f>+P293+P294</f>
        <v>0</v>
      </c>
      <c r="Q292" s="465">
        <f>+Q293+Q294</f>
        <v>2836000</v>
      </c>
      <c r="R292" s="465">
        <f>+R293+R294</f>
        <v>0</v>
      </c>
      <c r="S292" s="465"/>
      <c r="T292" s="465"/>
      <c r="U292" s="465"/>
      <c r="V292" s="465"/>
      <c r="W292" s="465"/>
      <c r="X292" s="486">
        <f>X293</f>
        <v>2836000</v>
      </c>
      <c r="Y292" s="2641"/>
      <c r="Z292" s="778"/>
    </row>
    <row r="293" spans="1:26">
      <c r="A293" s="2598"/>
      <c r="B293" s="511" t="s">
        <v>24</v>
      </c>
      <c r="C293" s="2643"/>
      <c r="D293" s="433">
        <f>M293+O293+P293+Q293+R293+S293+T293+U293+V293+W293</f>
        <v>2836000</v>
      </c>
      <c r="E293" s="440"/>
      <c r="F293" s="441">
        <v>0</v>
      </c>
      <c r="G293" s="440">
        <v>0</v>
      </c>
      <c r="H293" s="478">
        <v>0</v>
      </c>
      <c r="I293" s="478"/>
      <c r="J293" s="478"/>
      <c r="K293" s="440"/>
      <c r="L293" s="478"/>
      <c r="M293" s="1070">
        <f>+E293+I293+J293+K293+L293+N293</f>
        <v>0</v>
      </c>
      <c r="N293" s="786">
        <v>0</v>
      </c>
      <c r="O293" s="935">
        <f>6000-6000</f>
        <v>0</v>
      </c>
      <c r="P293" s="935">
        <f>15000-15000</f>
        <v>0</v>
      </c>
      <c r="Q293" s="935">
        <f>2821000+15000</f>
        <v>2836000</v>
      </c>
      <c r="R293" s="935">
        <v>0</v>
      </c>
      <c r="S293" s="434"/>
      <c r="T293" s="434"/>
      <c r="U293" s="434"/>
      <c r="V293" s="434"/>
      <c r="W293" s="434"/>
      <c r="X293" s="393">
        <f>SUM(P293:T293)</f>
        <v>2836000</v>
      </c>
      <c r="Y293" s="2641"/>
      <c r="Z293" s="778"/>
    </row>
    <row r="294" spans="1:26" ht="10.5" hidden="1" customHeight="1">
      <c r="A294" s="2598"/>
      <c r="B294" s="1469" t="s">
        <v>27</v>
      </c>
      <c r="C294" s="2643"/>
      <c r="D294" s="817">
        <f>SUM(M294:T294)</f>
        <v>0</v>
      </c>
      <c r="E294" s="440">
        <v>0</v>
      </c>
      <c r="F294" s="438">
        <v>0</v>
      </c>
      <c r="G294" s="438">
        <v>0</v>
      </c>
      <c r="H294" s="471">
        <v>0</v>
      </c>
      <c r="I294" s="471"/>
      <c r="J294" s="471"/>
      <c r="K294" s="438">
        <v>0</v>
      </c>
      <c r="L294" s="438">
        <v>0</v>
      </c>
      <c r="M294" s="893">
        <v>0</v>
      </c>
      <c r="N294" s="893">
        <v>0</v>
      </c>
      <c r="O294" s="438">
        <v>0</v>
      </c>
      <c r="P294" s="438">
        <v>0</v>
      </c>
      <c r="Q294" s="438"/>
      <c r="R294" s="438"/>
      <c r="S294" s="438"/>
      <c r="T294" s="438"/>
      <c r="U294" s="741"/>
      <c r="V294" s="741"/>
      <c r="W294" s="741"/>
      <c r="X294" s="470"/>
      <c r="Y294" s="2641"/>
    </row>
    <row r="295" spans="1:26" ht="12.75" customHeight="1">
      <c r="A295" s="2598"/>
      <c r="B295" s="502" t="s">
        <v>30</v>
      </c>
      <c r="C295" s="2643"/>
      <c r="D295" s="443">
        <f>+D296</f>
        <v>15164000</v>
      </c>
      <c r="E295" s="444">
        <f>+E296</f>
        <v>0</v>
      </c>
      <c r="F295" s="444">
        <f t="shared" ref="F295:R295" si="170">+F296</f>
        <v>0</v>
      </c>
      <c r="G295" s="444">
        <f t="shared" si="170"/>
        <v>0</v>
      </c>
      <c r="H295" s="444">
        <f t="shared" si="170"/>
        <v>0</v>
      </c>
      <c r="I295" s="444">
        <f t="shared" si="170"/>
        <v>0</v>
      </c>
      <c r="J295" s="444">
        <f t="shared" si="170"/>
        <v>0</v>
      </c>
      <c r="K295" s="444">
        <f t="shared" si="170"/>
        <v>0</v>
      </c>
      <c r="L295" s="444">
        <f t="shared" si="170"/>
        <v>0</v>
      </c>
      <c r="M295" s="936">
        <f t="shared" si="170"/>
        <v>0</v>
      </c>
      <c r="N295" s="936">
        <f t="shared" si="170"/>
        <v>0</v>
      </c>
      <c r="O295" s="444">
        <f t="shared" si="170"/>
        <v>0</v>
      </c>
      <c r="P295" s="444">
        <f t="shared" si="170"/>
        <v>0</v>
      </c>
      <c r="Q295" s="444">
        <f t="shared" si="170"/>
        <v>15164000</v>
      </c>
      <c r="R295" s="444">
        <f t="shared" si="170"/>
        <v>0</v>
      </c>
      <c r="S295" s="444"/>
      <c r="T295" s="444"/>
      <c r="U295" s="443"/>
      <c r="V295" s="443"/>
      <c r="W295" s="443"/>
      <c r="X295" s="486">
        <f>X296</f>
        <v>15164000</v>
      </c>
      <c r="Y295" s="2641"/>
    </row>
    <row r="296" spans="1:26">
      <c r="A296" s="2598"/>
      <c r="B296" s="511" t="s">
        <v>33</v>
      </c>
      <c r="C296" s="2644"/>
      <c r="D296" s="1635">
        <f>M296+O296+P296+Q296+R296+S296+T296+U296+V296+W296</f>
        <v>15164000</v>
      </c>
      <c r="E296" s="440"/>
      <c r="F296" s="441">
        <v>0</v>
      </c>
      <c r="G296" s="440">
        <v>0</v>
      </c>
      <c r="H296" s="478">
        <v>0</v>
      </c>
      <c r="I296" s="478"/>
      <c r="J296" s="478"/>
      <c r="K296" s="440">
        <v>0</v>
      </c>
      <c r="L296" s="440">
        <v>0</v>
      </c>
      <c r="M296" s="1070">
        <f>+E296+I296+J296+K296+L296+N296</f>
        <v>0</v>
      </c>
      <c r="N296" s="786">
        <v>0</v>
      </c>
      <c r="O296" s="434">
        <f>34000-34000</f>
        <v>0</v>
      </c>
      <c r="P296" s="434">
        <f>85000-85000</f>
        <v>0</v>
      </c>
      <c r="Q296" s="434">
        <f>15079000+85000</f>
        <v>15164000</v>
      </c>
      <c r="R296" s="434">
        <v>0</v>
      </c>
      <c r="S296" s="440"/>
      <c r="T296" s="440"/>
      <c r="U296" s="441"/>
      <c r="V296" s="441"/>
      <c r="W296" s="441"/>
      <c r="X296" s="393">
        <f>SUM(P296:T296)</f>
        <v>15164000</v>
      </c>
      <c r="Y296" s="2642"/>
    </row>
    <row r="297" spans="1:26" s="782" customFormat="1" ht="13.5" customHeight="1">
      <c r="A297" s="2599"/>
      <c r="B297" s="527" t="s">
        <v>34</v>
      </c>
      <c r="C297" s="522"/>
      <c r="D297" s="554">
        <f t="shared" ref="D297:O297" si="171">+D298+D300</f>
        <v>15164000</v>
      </c>
      <c r="E297" s="783">
        <f t="shared" si="171"/>
        <v>0</v>
      </c>
      <c r="F297" s="783">
        <f t="shared" si="171"/>
        <v>0</v>
      </c>
      <c r="G297" s="783">
        <f t="shared" si="171"/>
        <v>0</v>
      </c>
      <c r="H297" s="783">
        <f t="shared" si="171"/>
        <v>0</v>
      </c>
      <c r="I297" s="783">
        <f t="shared" si="171"/>
        <v>0</v>
      </c>
      <c r="J297" s="783">
        <f t="shared" si="171"/>
        <v>0</v>
      </c>
      <c r="K297" s="783">
        <f t="shared" si="171"/>
        <v>0</v>
      </c>
      <c r="L297" s="783">
        <f t="shared" si="171"/>
        <v>0</v>
      </c>
      <c r="M297" s="787">
        <f t="shared" si="171"/>
        <v>0</v>
      </c>
      <c r="N297" s="787">
        <f t="shared" si="171"/>
        <v>0</v>
      </c>
      <c r="O297" s="787">
        <f t="shared" si="171"/>
        <v>0</v>
      </c>
      <c r="P297" s="783">
        <f>+P298+P300</f>
        <v>0</v>
      </c>
      <c r="Q297" s="783">
        <f>+Q298+Q300</f>
        <v>14164000</v>
      </c>
      <c r="R297" s="783">
        <f>+R298+R300</f>
        <v>1000000</v>
      </c>
      <c r="S297" s="783"/>
      <c r="T297" s="783"/>
      <c r="U297" s="783"/>
      <c r="V297" s="783"/>
      <c r="W297" s="783"/>
      <c r="X297" s="2659" t="s">
        <v>35</v>
      </c>
      <c r="Y297" s="2660" t="s">
        <v>120</v>
      </c>
    </row>
    <row r="298" spans="1:26" ht="13.5" hidden="1" customHeight="1">
      <c r="A298" s="2599"/>
      <c r="B298" s="429" t="s">
        <v>36</v>
      </c>
      <c r="C298" s="2661" t="s">
        <v>305</v>
      </c>
      <c r="D298" s="449">
        <f>+D299</f>
        <v>0</v>
      </c>
      <c r="E298" s="449">
        <f t="shared" ref="E298:P298" si="172">+E299</f>
        <v>0</v>
      </c>
      <c r="F298" s="449">
        <f t="shared" si="172"/>
        <v>0</v>
      </c>
      <c r="G298" s="449">
        <f t="shared" si="172"/>
        <v>0</v>
      </c>
      <c r="H298" s="449">
        <f t="shared" si="172"/>
        <v>0</v>
      </c>
      <c r="I298" s="449">
        <f t="shared" si="172"/>
        <v>0</v>
      </c>
      <c r="J298" s="449">
        <f t="shared" si="172"/>
        <v>0</v>
      </c>
      <c r="K298" s="449">
        <f t="shared" si="172"/>
        <v>0</v>
      </c>
      <c r="L298" s="449">
        <f t="shared" si="172"/>
        <v>0</v>
      </c>
      <c r="M298" s="895">
        <f t="shared" si="172"/>
        <v>0</v>
      </c>
      <c r="N298" s="895">
        <f t="shared" si="172"/>
        <v>0</v>
      </c>
      <c r="O298" s="895">
        <f t="shared" si="172"/>
        <v>0</v>
      </c>
      <c r="P298" s="449">
        <f t="shared" si="172"/>
        <v>0</v>
      </c>
      <c r="Q298" s="449"/>
      <c r="R298" s="449"/>
      <c r="S298" s="449"/>
      <c r="T298" s="449"/>
      <c r="U298" s="449"/>
      <c r="V298" s="449"/>
      <c r="W298" s="449"/>
      <c r="X298" s="2646"/>
      <c r="Y298" s="2649"/>
    </row>
    <row r="299" spans="1:26" ht="13.5" hidden="1" customHeight="1">
      <c r="A299" s="2599"/>
      <c r="B299" s="526" t="s">
        <v>27</v>
      </c>
      <c r="C299" s="2652"/>
      <c r="D299" s="433">
        <f>SUM(M299:T299)</f>
        <v>0</v>
      </c>
      <c r="E299" s="451">
        <f>+F299+G299+H299</f>
        <v>0</v>
      </c>
      <c r="F299" s="451">
        <v>0</v>
      </c>
      <c r="G299" s="451">
        <v>0</v>
      </c>
      <c r="H299" s="451">
        <v>0</v>
      </c>
      <c r="I299" s="451"/>
      <c r="J299" s="451"/>
      <c r="K299" s="451">
        <v>0</v>
      </c>
      <c r="L299" s="451">
        <v>0</v>
      </c>
      <c r="M299" s="896">
        <v>0</v>
      </c>
      <c r="N299" s="896">
        <v>0</v>
      </c>
      <c r="O299" s="896">
        <v>0</v>
      </c>
      <c r="P299" s="451">
        <v>0</v>
      </c>
      <c r="Q299" s="451"/>
      <c r="R299" s="451"/>
      <c r="S299" s="451"/>
      <c r="T299" s="451"/>
      <c r="U299" s="451"/>
      <c r="V299" s="451"/>
      <c r="W299" s="451"/>
      <c r="X299" s="2646"/>
      <c r="Y299" s="2649"/>
    </row>
    <row r="300" spans="1:26" ht="12" customHeight="1">
      <c r="A300" s="2599"/>
      <c r="B300" s="442" t="s">
        <v>30</v>
      </c>
      <c r="C300" s="2652"/>
      <c r="D300" s="443">
        <f t="shared" ref="D300:R300" si="173">+D301</f>
        <v>15164000</v>
      </c>
      <c r="E300" s="444">
        <f t="shared" si="173"/>
        <v>0</v>
      </c>
      <c r="F300" s="444">
        <f t="shared" si="173"/>
        <v>0</v>
      </c>
      <c r="G300" s="444">
        <f t="shared" si="173"/>
        <v>0</v>
      </c>
      <c r="H300" s="444">
        <f t="shared" si="173"/>
        <v>0</v>
      </c>
      <c r="I300" s="444">
        <f t="shared" si="173"/>
        <v>0</v>
      </c>
      <c r="J300" s="444">
        <f t="shared" si="173"/>
        <v>0</v>
      </c>
      <c r="K300" s="444">
        <f t="shared" si="173"/>
        <v>0</v>
      </c>
      <c r="L300" s="444">
        <f t="shared" si="173"/>
        <v>0</v>
      </c>
      <c r="M300" s="936">
        <f t="shared" si="173"/>
        <v>0</v>
      </c>
      <c r="N300" s="936">
        <f t="shared" si="173"/>
        <v>0</v>
      </c>
      <c r="O300" s="936">
        <f t="shared" si="173"/>
        <v>0</v>
      </c>
      <c r="P300" s="444">
        <f t="shared" si="173"/>
        <v>0</v>
      </c>
      <c r="Q300" s="444">
        <f t="shared" si="173"/>
        <v>14164000</v>
      </c>
      <c r="R300" s="444">
        <f t="shared" si="173"/>
        <v>1000000</v>
      </c>
      <c r="S300" s="444"/>
      <c r="T300" s="444"/>
      <c r="U300" s="444"/>
      <c r="V300" s="444"/>
      <c r="W300" s="444"/>
      <c r="X300" s="2646"/>
      <c r="Y300" s="2649"/>
    </row>
    <row r="301" spans="1:26" ht="13.5" customHeight="1" thickBot="1">
      <c r="A301" s="2600"/>
      <c r="B301" s="474" t="s">
        <v>33</v>
      </c>
      <c r="C301" s="2653"/>
      <c r="D301" s="1064">
        <f>M301+O301+P301+Q301+R301+S301+T301+U301+V301+W301</f>
        <v>15164000</v>
      </c>
      <c r="E301" s="475">
        <f>+F301+G301+H301</f>
        <v>0</v>
      </c>
      <c r="F301" s="476">
        <v>0</v>
      </c>
      <c r="G301" s="475">
        <v>0</v>
      </c>
      <c r="H301" s="475">
        <v>0</v>
      </c>
      <c r="I301" s="475"/>
      <c r="J301" s="475"/>
      <c r="K301" s="475">
        <v>0</v>
      </c>
      <c r="L301" s="475">
        <v>0</v>
      </c>
      <c r="M301" s="1071">
        <f>+E301+I301+J301+K301+L301+N301</f>
        <v>0</v>
      </c>
      <c r="N301" s="937">
        <v>0</v>
      </c>
      <c r="O301" s="937">
        <v>0</v>
      </c>
      <c r="P301" s="475">
        <v>0</v>
      </c>
      <c r="Q301" s="475">
        <v>14164000</v>
      </c>
      <c r="R301" s="475">
        <v>1000000</v>
      </c>
      <c r="S301" s="475"/>
      <c r="T301" s="475"/>
      <c r="U301" s="475"/>
      <c r="V301" s="475"/>
      <c r="W301" s="475"/>
      <c r="X301" s="2647"/>
      <c r="Y301" s="2650"/>
    </row>
    <row r="302" spans="1:26" ht="29.25" customHeight="1">
      <c r="A302" s="2597" t="s">
        <v>112</v>
      </c>
      <c r="B302" s="477" t="s">
        <v>446</v>
      </c>
      <c r="C302" s="457" t="s">
        <v>97</v>
      </c>
      <c r="D302" s="458"/>
      <c r="E302" s="460"/>
      <c r="F302" s="459"/>
      <c r="G302" s="460"/>
      <c r="H302" s="460"/>
      <c r="I302" s="420"/>
      <c r="J302" s="420"/>
      <c r="K302" s="420"/>
      <c r="L302" s="420"/>
      <c r="M302" s="422"/>
      <c r="N302" s="422"/>
      <c r="O302" s="422"/>
      <c r="P302" s="422"/>
      <c r="Q302" s="422"/>
      <c r="R302" s="422"/>
      <c r="S302" s="422"/>
      <c r="T302" s="422"/>
      <c r="U302" s="422"/>
      <c r="V302" s="422"/>
      <c r="W302" s="422"/>
      <c r="X302" s="423"/>
      <c r="Y302" s="519"/>
      <c r="Z302" s="1118" t="s">
        <v>452</v>
      </c>
    </row>
    <row r="303" spans="1:26" ht="13.5" customHeight="1">
      <c r="A303" s="2598"/>
      <c r="B303" s="358" t="s">
        <v>22</v>
      </c>
      <c r="C303" s="359"/>
      <c r="D303" s="462">
        <f>+D304+D307</f>
        <v>63000000</v>
      </c>
      <c r="E303" s="462">
        <f>+E304+E307</f>
        <v>0</v>
      </c>
      <c r="F303" s="463">
        <f t="shared" ref="F303:O303" si="174">+F304+F307</f>
        <v>0</v>
      </c>
      <c r="G303" s="463">
        <f t="shared" si="174"/>
        <v>0</v>
      </c>
      <c r="H303" s="463">
        <f t="shared" si="174"/>
        <v>0</v>
      </c>
      <c r="I303" s="463">
        <f t="shared" si="174"/>
        <v>0</v>
      </c>
      <c r="J303" s="463">
        <f t="shared" si="174"/>
        <v>0</v>
      </c>
      <c r="K303" s="463">
        <f t="shared" si="174"/>
        <v>0</v>
      </c>
      <c r="L303" s="463">
        <f t="shared" si="174"/>
        <v>0</v>
      </c>
      <c r="M303" s="934">
        <f t="shared" si="174"/>
        <v>0</v>
      </c>
      <c r="N303" s="934">
        <f t="shared" si="174"/>
        <v>0</v>
      </c>
      <c r="O303" s="463">
        <f t="shared" si="174"/>
        <v>0</v>
      </c>
      <c r="P303" s="463">
        <f>+P304+P307</f>
        <v>0</v>
      </c>
      <c r="Q303" s="463">
        <f>+Q304+Q307</f>
        <v>45100000</v>
      </c>
      <c r="R303" s="463">
        <f>+R304+R307</f>
        <v>17900000</v>
      </c>
      <c r="S303" s="463"/>
      <c r="T303" s="463"/>
      <c r="U303" s="463"/>
      <c r="V303" s="463"/>
      <c r="W303" s="463"/>
      <c r="X303" s="464">
        <f>X304+X307</f>
        <v>63000000</v>
      </c>
      <c r="Y303" s="2641" t="s">
        <v>103</v>
      </c>
      <c r="Z303" s="778"/>
    </row>
    <row r="304" spans="1:26" ht="13.5" customHeight="1">
      <c r="A304" s="2598"/>
      <c r="B304" s="510" t="s">
        <v>36</v>
      </c>
      <c r="C304" s="2602" t="s">
        <v>100</v>
      </c>
      <c r="D304" s="465">
        <f>+D305+D306</f>
        <v>10980000</v>
      </c>
      <c r="E304" s="465">
        <f>+E305+E306</f>
        <v>0</v>
      </c>
      <c r="F304" s="465">
        <f t="shared" ref="F304:O304" si="175">+F305+F306</f>
        <v>0</v>
      </c>
      <c r="G304" s="465">
        <f t="shared" si="175"/>
        <v>0</v>
      </c>
      <c r="H304" s="465">
        <f t="shared" si="175"/>
        <v>0</v>
      </c>
      <c r="I304" s="465">
        <f t="shared" si="175"/>
        <v>0</v>
      </c>
      <c r="J304" s="465">
        <f t="shared" si="175"/>
        <v>0</v>
      </c>
      <c r="K304" s="465">
        <f t="shared" si="175"/>
        <v>0</v>
      </c>
      <c r="L304" s="465">
        <f t="shared" si="175"/>
        <v>0</v>
      </c>
      <c r="M304" s="930">
        <f t="shared" si="175"/>
        <v>0</v>
      </c>
      <c r="N304" s="930">
        <f t="shared" si="175"/>
        <v>0</v>
      </c>
      <c r="O304" s="465">
        <f t="shared" si="175"/>
        <v>0</v>
      </c>
      <c r="P304" s="465">
        <f>+P305+P306</f>
        <v>0</v>
      </c>
      <c r="Q304" s="465">
        <f>+Q305+Q306</f>
        <v>6765000</v>
      </c>
      <c r="R304" s="465">
        <f>+R305+R306</f>
        <v>4215000</v>
      </c>
      <c r="S304" s="465"/>
      <c r="T304" s="465"/>
      <c r="U304" s="465"/>
      <c r="V304" s="465"/>
      <c r="W304" s="465"/>
      <c r="X304" s="486">
        <f>X305</f>
        <v>10980000</v>
      </c>
      <c r="Y304" s="2641"/>
      <c r="Z304" s="778"/>
    </row>
    <row r="305" spans="1:26">
      <c r="A305" s="2598"/>
      <c r="B305" s="511" t="s">
        <v>24</v>
      </c>
      <c r="C305" s="2643"/>
      <c r="D305" s="433">
        <f>M305+O305+P305+Q305+R305+S305+T305+U305+V305+W305</f>
        <v>10980000</v>
      </c>
      <c r="E305" s="440"/>
      <c r="F305" s="441">
        <v>0</v>
      </c>
      <c r="G305" s="440">
        <v>0</v>
      </c>
      <c r="H305" s="478">
        <v>0</v>
      </c>
      <c r="I305" s="478"/>
      <c r="J305" s="478"/>
      <c r="K305" s="440"/>
      <c r="L305" s="478"/>
      <c r="M305" s="1070">
        <f>+E305+I305+J305+K305+L305+N305</f>
        <v>0</v>
      </c>
      <c r="N305" s="786">
        <v>0</v>
      </c>
      <c r="O305" s="935">
        <f>6000-6000</f>
        <v>0</v>
      </c>
      <c r="P305" s="935">
        <f>15000-15000</f>
        <v>0</v>
      </c>
      <c r="Q305" s="935">
        <f>6750000+15000</f>
        <v>6765000</v>
      </c>
      <c r="R305" s="935">
        <v>4215000</v>
      </c>
      <c r="S305" s="434"/>
      <c r="T305" s="434"/>
      <c r="U305" s="434"/>
      <c r="V305" s="434"/>
      <c r="W305" s="434"/>
      <c r="X305" s="393">
        <f>SUM(P305:T305)</f>
        <v>10980000</v>
      </c>
      <c r="Y305" s="2641"/>
      <c r="Z305" s="778" t="s">
        <v>466</v>
      </c>
    </row>
    <row r="306" spans="1:26" ht="10.5" hidden="1" customHeight="1">
      <c r="A306" s="2598"/>
      <c r="B306" s="1469" t="s">
        <v>27</v>
      </c>
      <c r="C306" s="2643"/>
      <c r="D306" s="817">
        <f>SUM(M306:T306)</f>
        <v>0</v>
      </c>
      <c r="E306" s="440">
        <v>0</v>
      </c>
      <c r="F306" s="438">
        <v>0</v>
      </c>
      <c r="G306" s="438">
        <v>0</v>
      </c>
      <c r="H306" s="471">
        <v>0</v>
      </c>
      <c r="I306" s="471"/>
      <c r="J306" s="471"/>
      <c r="K306" s="438">
        <v>0</v>
      </c>
      <c r="L306" s="438">
        <v>0</v>
      </c>
      <c r="M306" s="893">
        <v>0</v>
      </c>
      <c r="N306" s="893">
        <v>0</v>
      </c>
      <c r="O306" s="438">
        <v>0</v>
      </c>
      <c r="P306" s="438">
        <v>0</v>
      </c>
      <c r="Q306" s="438"/>
      <c r="R306" s="438"/>
      <c r="S306" s="438"/>
      <c r="T306" s="438"/>
      <c r="U306" s="741"/>
      <c r="V306" s="741"/>
      <c r="W306" s="741"/>
      <c r="X306" s="470"/>
      <c r="Y306" s="2641"/>
    </row>
    <row r="307" spans="1:26" ht="12.75" customHeight="1">
      <c r="A307" s="2598"/>
      <c r="B307" s="502" t="s">
        <v>30</v>
      </c>
      <c r="C307" s="2643"/>
      <c r="D307" s="443">
        <f>+D308</f>
        <v>52020000</v>
      </c>
      <c r="E307" s="444">
        <f>+E308</f>
        <v>0</v>
      </c>
      <c r="F307" s="444">
        <f t="shared" ref="F307:R307" si="176">+F308</f>
        <v>0</v>
      </c>
      <c r="G307" s="444">
        <f t="shared" si="176"/>
        <v>0</v>
      </c>
      <c r="H307" s="444">
        <f t="shared" si="176"/>
        <v>0</v>
      </c>
      <c r="I307" s="444">
        <f t="shared" si="176"/>
        <v>0</v>
      </c>
      <c r="J307" s="444">
        <f t="shared" si="176"/>
        <v>0</v>
      </c>
      <c r="K307" s="444">
        <f t="shared" si="176"/>
        <v>0</v>
      </c>
      <c r="L307" s="444">
        <f t="shared" si="176"/>
        <v>0</v>
      </c>
      <c r="M307" s="936">
        <f t="shared" si="176"/>
        <v>0</v>
      </c>
      <c r="N307" s="936">
        <f t="shared" si="176"/>
        <v>0</v>
      </c>
      <c r="O307" s="444">
        <f t="shared" si="176"/>
        <v>0</v>
      </c>
      <c r="P307" s="444">
        <f t="shared" si="176"/>
        <v>0</v>
      </c>
      <c r="Q307" s="444">
        <f t="shared" si="176"/>
        <v>38335000</v>
      </c>
      <c r="R307" s="444">
        <f t="shared" si="176"/>
        <v>13685000</v>
      </c>
      <c r="S307" s="444"/>
      <c r="T307" s="444"/>
      <c r="U307" s="443"/>
      <c r="V307" s="443"/>
      <c r="W307" s="443"/>
      <c r="X307" s="486">
        <f>X308</f>
        <v>52020000</v>
      </c>
      <c r="Y307" s="2641"/>
    </row>
    <row r="308" spans="1:26">
      <c r="A308" s="2598"/>
      <c r="B308" s="511" t="s">
        <v>33</v>
      </c>
      <c r="C308" s="2644"/>
      <c r="D308" s="1635">
        <f>M308+O308+P308+Q308+R308+S308+T308+U308+V308+W308</f>
        <v>52020000</v>
      </c>
      <c r="E308" s="440"/>
      <c r="F308" s="441">
        <v>0</v>
      </c>
      <c r="G308" s="440">
        <v>0</v>
      </c>
      <c r="H308" s="478">
        <v>0</v>
      </c>
      <c r="I308" s="478"/>
      <c r="J308" s="478"/>
      <c r="K308" s="440">
        <v>0</v>
      </c>
      <c r="L308" s="440">
        <v>0</v>
      </c>
      <c r="M308" s="1070">
        <f>+E308+I308+J308+K308+L308+N308</f>
        <v>0</v>
      </c>
      <c r="N308" s="786">
        <v>0</v>
      </c>
      <c r="O308" s="434">
        <f>34000-34000</f>
        <v>0</v>
      </c>
      <c r="P308" s="434">
        <f>85000-85000</f>
        <v>0</v>
      </c>
      <c r="Q308" s="434">
        <f>38250000+85000</f>
        <v>38335000</v>
      </c>
      <c r="R308" s="434">
        <v>13685000</v>
      </c>
      <c r="S308" s="440"/>
      <c r="T308" s="440"/>
      <c r="U308" s="441"/>
      <c r="V308" s="441"/>
      <c r="W308" s="441"/>
      <c r="X308" s="393">
        <f>SUM(P308:T308)</f>
        <v>52020000</v>
      </c>
      <c r="Y308" s="2642"/>
    </row>
    <row r="309" spans="1:26" s="782" customFormat="1" ht="13.5" customHeight="1">
      <c r="A309" s="2599"/>
      <c r="B309" s="527" t="s">
        <v>34</v>
      </c>
      <c r="C309" s="522"/>
      <c r="D309" s="554">
        <f t="shared" ref="D309:O309" si="177">+D310+D312</f>
        <v>52020000</v>
      </c>
      <c r="E309" s="783">
        <f t="shared" si="177"/>
        <v>0</v>
      </c>
      <c r="F309" s="783">
        <f t="shared" si="177"/>
        <v>0</v>
      </c>
      <c r="G309" s="783">
        <f t="shared" si="177"/>
        <v>0</v>
      </c>
      <c r="H309" s="783">
        <f t="shared" si="177"/>
        <v>0</v>
      </c>
      <c r="I309" s="783">
        <f t="shared" si="177"/>
        <v>0</v>
      </c>
      <c r="J309" s="783">
        <f t="shared" si="177"/>
        <v>0</v>
      </c>
      <c r="K309" s="783">
        <f t="shared" si="177"/>
        <v>0</v>
      </c>
      <c r="L309" s="783">
        <f t="shared" si="177"/>
        <v>0</v>
      </c>
      <c r="M309" s="787">
        <f t="shared" si="177"/>
        <v>0</v>
      </c>
      <c r="N309" s="787">
        <f t="shared" si="177"/>
        <v>0</v>
      </c>
      <c r="O309" s="787">
        <f t="shared" si="177"/>
        <v>0</v>
      </c>
      <c r="P309" s="783">
        <f>+P310+P312</f>
        <v>0</v>
      </c>
      <c r="Q309" s="783">
        <f>+Q310+Q312</f>
        <v>38335000</v>
      </c>
      <c r="R309" s="783">
        <f>+R310+R312</f>
        <v>13685000</v>
      </c>
      <c r="S309" s="783"/>
      <c r="T309" s="783"/>
      <c r="U309" s="783"/>
      <c r="V309" s="783"/>
      <c r="W309" s="783"/>
      <c r="X309" s="2659" t="s">
        <v>35</v>
      </c>
      <c r="Y309" s="2660" t="s">
        <v>120</v>
      </c>
    </row>
    <row r="310" spans="1:26" ht="13.5" hidden="1" customHeight="1">
      <c r="A310" s="2599"/>
      <c r="B310" s="429" t="s">
        <v>36</v>
      </c>
      <c r="C310" s="2661" t="s">
        <v>305</v>
      </c>
      <c r="D310" s="449">
        <f>+D311</f>
        <v>0</v>
      </c>
      <c r="E310" s="449">
        <f t="shared" ref="E310:P310" si="178">+E311</f>
        <v>0</v>
      </c>
      <c r="F310" s="449">
        <f t="shared" si="178"/>
        <v>0</v>
      </c>
      <c r="G310" s="449">
        <f t="shared" si="178"/>
        <v>0</v>
      </c>
      <c r="H310" s="449">
        <f t="shared" si="178"/>
        <v>0</v>
      </c>
      <c r="I310" s="449">
        <f t="shared" si="178"/>
        <v>0</v>
      </c>
      <c r="J310" s="449">
        <f t="shared" si="178"/>
        <v>0</v>
      </c>
      <c r="K310" s="449">
        <f t="shared" si="178"/>
        <v>0</v>
      </c>
      <c r="L310" s="449">
        <f t="shared" si="178"/>
        <v>0</v>
      </c>
      <c r="M310" s="895">
        <f t="shared" si="178"/>
        <v>0</v>
      </c>
      <c r="N310" s="895">
        <f t="shared" si="178"/>
        <v>0</v>
      </c>
      <c r="O310" s="895">
        <f t="shared" si="178"/>
        <v>0</v>
      </c>
      <c r="P310" s="449">
        <f t="shared" si="178"/>
        <v>0</v>
      </c>
      <c r="Q310" s="449"/>
      <c r="R310" s="449"/>
      <c r="S310" s="449"/>
      <c r="T310" s="449"/>
      <c r="U310" s="449"/>
      <c r="V310" s="449"/>
      <c r="W310" s="449"/>
      <c r="X310" s="2646"/>
      <c r="Y310" s="2649"/>
    </row>
    <row r="311" spans="1:26" ht="13.5" hidden="1" customHeight="1">
      <c r="A311" s="2599"/>
      <c r="B311" s="526" t="s">
        <v>27</v>
      </c>
      <c r="C311" s="2652"/>
      <c r="D311" s="433">
        <f>SUM(M311:T311)</f>
        <v>0</v>
      </c>
      <c r="E311" s="451">
        <f>+F311+G311+H311</f>
        <v>0</v>
      </c>
      <c r="F311" s="451">
        <v>0</v>
      </c>
      <c r="G311" s="451">
        <v>0</v>
      </c>
      <c r="H311" s="451">
        <v>0</v>
      </c>
      <c r="I311" s="451"/>
      <c r="J311" s="451"/>
      <c r="K311" s="451">
        <v>0</v>
      </c>
      <c r="L311" s="451">
        <v>0</v>
      </c>
      <c r="M311" s="896">
        <v>0</v>
      </c>
      <c r="N311" s="896">
        <v>0</v>
      </c>
      <c r="O311" s="896">
        <v>0</v>
      </c>
      <c r="P311" s="451">
        <v>0</v>
      </c>
      <c r="Q311" s="451"/>
      <c r="R311" s="451"/>
      <c r="S311" s="451"/>
      <c r="T311" s="451"/>
      <c r="U311" s="451"/>
      <c r="V311" s="451"/>
      <c r="W311" s="451"/>
      <c r="X311" s="2646"/>
      <c r="Y311" s="2649"/>
    </row>
    <row r="312" spans="1:26" ht="12" customHeight="1">
      <c r="A312" s="2599"/>
      <c r="B312" s="442" t="s">
        <v>30</v>
      </c>
      <c r="C312" s="2652"/>
      <c r="D312" s="443">
        <f t="shared" ref="D312:R312" si="179">+D313</f>
        <v>52020000</v>
      </c>
      <c r="E312" s="444">
        <f t="shared" si="179"/>
        <v>0</v>
      </c>
      <c r="F312" s="444">
        <f t="shared" si="179"/>
        <v>0</v>
      </c>
      <c r="G312" s="444">
        <f t="shared" si="179"/>
        <v>0</v>
      </c>
      <c r="H312" s="444">
        <f t="shared" si="179"/>
        <v>0</v>
      </c>
      <c r="I312" s="444">
        <f t="shared" si="179"/>
        <v>0</v>
      </c>
      <c r="J312" s="444">
        <f t="shared" si="179"/>
        <v>0</v>
      </c>
      <c r="K312" s="444">
        <f t="shared" si="179"/>
        <v>0</v>
      </c>
      <c r="L312" s="444">
        <f t="shared" si="179"/>
        <v>0</v>
      </c>
      <c r="M312" s="936">
        <f t="shared" si="179"/>
        <v>0</v>
      </c>
      <c r="N312" s="936">
        <f t="shared" si="179"/>
        <v>0</v>
      </c>
      <c r="O312" s="936">
        <f t="shared" si="179"/>
        <v>0</v>
      </c>
      <c r="P312" s="444">
        <f t="shared" si="179"/>
        <v>0</v>
      </c>
      <c r="Q312" s="444">
        <f t="shared" si="179"/>
        <v>38335000</v>
      </c>
      <c r="R312" s="444">
        <f t="shared" si="179"/>
        <v>13685000</v>
      </c>
      <c r="S312" s="444"/>
      <c r="T312" s="444"/>
      <c r="U312" s="444"/>
      <c r="V312" s="444"/>
      <c r="W312" s="444"/>
      <c r="X312" s="2646"/>
      <c r="Y312" s="2649"/>
    </row>
    <row r="313" spans="1:26" ht="13.5" customHeight="1" thickBot="1">
      <c r="A313" s="2600"/>
      <c r="B313" s="474" t="s">
        <v>33</v>
      </c>
      <c r="C313" s="2653"/>
      <c r="D313" s="1064">
        <f>M313+O313+P313+Q313+R313+S313+T313+U313+V313+W313</f>
        <v>52020000</v>
      </c>
      <c r="E313" s="475">
        <f>+F313+G313+H313</f>
        <v>0</v>
      </c>
      <c r="F313" s="476">
        <v>0</v>
      </c>
      <c r="G313" s="475">
        <v>0</v>
      </c>
      <c r="H313" s="475">
        <v>0</v>
      </c>
      <c r="I313" s="475"/>
      <c r="J313" s="475"/>
      <c r="K313" s="475">
        <v>0</v>
      </c>
      <c r="L313" s="475">
        <v>0</v>
      </c>
      <c r="M313" s="1071">
        <f>+E313+I313+J313+K313+L313+N313</f>
        <v>0</v>
      </c>
      <c r="N313" s="937">
        <v>0</v>
      </c>
      <c r="O313" s="937">
        <v>0</v>
      </c>
      <c r="P313" s="475">
        <v>0</v>
      </c>
      <c r="Q313" s="475">
        <v>38335000</v>
      </c>
      <c r="R313" s="475">
        <v>13685000</v>
      </c>
      <c r="S313" s="475"/>
      <c r="T313" s="475"/>
      <c r="U313" s="475"/>
      <c r="V313" s="475"/>
      <c r="W313" s="475"/>
      <c r="X313" s="2647"/>
      <c r="Y313" s="2650"/>
    </row>
    <row r="314" spans="1:26" ht="39.75" customHeight="1">
      <c r="A314" s="2597" t="s">
        <v>113</v>
      </c>
      <c r="B314" s="477" t="s">
        <v>447</v>
      </c>
      <c r="C314" s="457" t="s">
        <v>97</v>
      </c>
      <c r="D314" s="458"/>
      <c r="E314" s="460"/>
      <c r="F314" s="459"/>
      <c r="G314" s="460"/>
      <c r="H314" s="460"/>
      <c r="I314" s="420"/>
      <c r="J314" s="420"/>
      <c r="K314" s="420"/>
      <c r="L314" s="420"/>
      <c r="M314" s="422"/>
      <c r="N314" s="422"/>
      <c r="O314" s="422"/>
      <c r="P314" s="422"/>
      <c r="Q314" s="422"/>
      <c r="R314" s="422"/>
      <c r="S314" s="422"/>
      <c r="T314" s="422"/>
      <c r="U314" s="422"/>
      <c r="V314" s="422"/>
      <c r="W314" s="422"/>
      <c r="X314" s="423"/>
      <c r="Y314" s="519"/>
      <c r="Z314" s="1118" t="s">
        <v>452</v>
      </c>
    </row>
    <row r="315" spans="1:26" ht="13.5" customHeight="1">
      <c r="A315" s="2598"/>
      <c r="B315" s="358" t="s">
        <v>22</v>
      </c>
      <c r="C315" s="1670"/>
      <c r="D315" s="1671">
        <f>+D316+D319</f>
        <v>4500000</v>
      </c>
      <c r="E315" s="1671">
        <f>+E316+E319</f>
        <v>0</v>
      </c>
      <c r="F315" s="1759">
        <f t="shared" ref="F315:O315" si="180">+F316+F319</f>
        <v>0</v>
      </c>
      <c r="G315" s="1759">
        <f t="shared" si="180"/>
        <v>0</v>
      </c>
      <c r="H315" s="1759">
        <f t="shared" si="180"/>
        <v>0</v>
      </c>
      <c r="I315" s="1759">
        <f t="shared" si="180"/>
        <v>0</v>
      </c>
      <c r="J315" s="1759">
        <f t="shared" si="180"/>
        <v>0</v>
      </c>
      <c r="K315" s="1759">
        <f t="shared" si="180"/>
        <v>0</v>
      </c>
      <c r="L315" s="1759">
        <f t="shared" si="180"/>
        <v>0</v>
      </c>
      <c r="M315" s="1760">
        <f t="shared" si="180"/>
        <v>0</v>
      </c>
      <c r="N315" s="1760">
        <f t="shared" si="180"/>
        <v>0</v>
      </c>
      <c r="O315" s="1759">
        <f t="shared" si="180"/>
        <v>0</v>
      </c>
      <c r="P315" s="1759">
        <f>+P316+P319</f>
        <v>100000</v>
      </c>
      <c r="Q315" s="1759">
        <f>+Q316+Q319</f>
        <v>4400000</v>
      </c>
      <c r="R315" s="1759">
        <f>+R316+R319</f>
        <v>0</v>
      </c>
      <c r="S315" s="1759"/>
      <c r="T315" s="1759"/>
      <c r="U315" s="1759"/>
      <c r="V315" s="1759"/>
      <c r="W315" s="1759"/>
      <c r="X315" s="1672">
        <f>X316+X319</f>
        <v>4500000</v>
      </c>
      <c r="Y315" s="2641" t="s">
        <v>103</v>
      </c>
      <c r="Z315" s="778"/>
    </row>
    <row r="316" spans="1:26" ht="13.5" customHeight="1">
      <c r="A316" s="2598"/>
      <c r="B316" s="510" t="s">
        <v>36</v>
      </c>
      <c r="C316" s="2594" t="s">
        <v>100</v>
      </c>
      <c r="D316" s="1684">
        <f>+D317+D318</f>
        <v>675000</v>
      </c>
      <c r="E316" s="1684">
        <f>+E317+E318</f>
        <v>0</v>
      </c>
      <c r="F316" s="1684">
        <f t="shared" ref="F316:O316" si="181">+F317+F318</f>
        <v>0</v>
      </c>
      <c r="G316" s="1684">
        <f t="shared" si="181"/>
        <v>0</v>
      </c>
      <c r="H316" s="1684">
        <f t="shared" si="181"/>
        <v>0</v>
      </c>
      <c r="I316" s="1684">
        <f t="shared" si="181"/>
        <v>0</v>
      </c>
      <c r="J316" s="1684">
        <f t="shared" si="181"/>
        <v>0</v>
      </c>
      <c r="K316" s="1684">
        <f t="shared" si="181"/>
        <v>0</v>
      </c>
      <c r="L316" s="1684">
        <f t="shared" si="181"/>
        <v>0</v>
      </c>
      <c r="M316" s="1761">
        <f t="shared" si="181"/>
        <v>0</v>
      </c>
      <c r="N316" s="1761">
        <f t="shared" si="181"/>
        <v>0</v>
      </c>
      <c r="O316" s="1684">
        <f t="shared" si="181"/>
        <v>0</v>
      </c>
      <c r="P316" s="1684">
        <f>+P317+P318</f>
        <v>15000</v>
      </c>
      <c r="Q316" s="1684">
        <f>+Q317+Q318</f>
        <v>660000</v>
      </c>
      <c r="R316" s="1684">
        <f>+R317+R318</f>
        <v>0</v>
      </c>
      <c r="S316" s="1684"/>
      <c r="T316" s="1684"/>
      <c r="U316" s="1684"/>
      <c r="V316" s="1684"/>
      <c r="W316" s="1684"/>
      <c r="X316" s="1674">
        <f>X317</f>
        <v>675000</v>
      </c>
      <c r="Y316" s="2641"/>
      <c r="Z316" s="778"/>
    </row>
    <row r="317" spans="1:26" ht="11.25" customHeight="1">
      <c r="A317" s="2598"/>
      <c r="B317" s="511" t="s">
        <v>24</v>
      </c>
      <c r="C317" s="2643"/>
      <c r="D317" s="1381">
        <f>M317+O317+P317+Q317+R317+S317+T317+U317+V317+W317</f>
        <v>675000</v>
      </c>
      <c r="E317" s="1618"/>
      <c r="F317" s="1675">
        <v>0</v>
      </c>
      <c r="G317" s="1618">
        <v>0</v>
      </c>
      <c r="H317" s="1631">
        <v>0</v>
      </c>
      <c r="I317" s="1631"/>
      <c r="J317" s="1631"/>
      <c r="K317" s="1618"/>
      <c r="L317" s="1631"/>
      <c r="M317" s="1762">
        <f>+E317+I317+J317+K317+L317+N317</f>
        <v>0</v>
      </c>
      <c r="N317" s="1763">
        <v>0</v>
      </c>
      <c r="O317" s="1764">
        <f>6000-6000</f>
        <v>0</v>
      </c>
      <c r="P317" s="1764">
        <f>45000-30000</f>
        <v>15000</v>
      </c>
      <c r="Q317" s="1764">
        <f>630000+30000</f>
        <v>660000</v>
      </c>
      <c r="R317" s="1764">
        <v>0</v>
      </c>
      <c r="S317" s="1676"/>
      <c r="T317" s="1676"/>
      <c r="U317" s="1676"/>
      <c r="V317" s="1676"/>
      <c r="W317" s="1676"/>
      <c r="X317" s="1678">
        <f>SUM(P317:T317)</f>
        <v>675000</v>
      </c>
      <c r="Y317" s="2641"/>
      <c r="Z317" s="778"/>
    </row>
    <row r="318" spans="1:26" ht="10.5" hidden="1" customHeight="1">
      <c r="A318" s="2598"/>
      <c r="B318" s="1469" t="s">
        <v>27</v>
      </c>
      <c r="C318" s="2643"/>
      <c r="D318" s="1765">
        <f>SUM(M318:T318)</f>
        <v>0</v>
      </c>
      <c r="E318" s="1618">
        <v>0</v>
      </c>
      <c r="F318" s="1620">
        <v>0</v>
      </c>
      <c r="G318" s="1620">
        <v>0</v>
      </c>
      <c r="H318" s="1622">
        <v>0</v>
      </c>
      <c r="I318" s="1622"/>
      <c r="J318" s="1622"/>
      <c r="K318" s="1620">
        <v>0</v>
      </c>
      <c r="L318" s="1620">
        <v>0</v>
      </c>
      <c r="M318" s="1694">
        <v>0</v>
      </c>
      <c r="N318" s="1694">
        <v>0</v>
      </c>
      <c r="O318" s="1620">
        <v>0</v>
      </c>
      <c r="P318" s="1620">
        <v>0</v>
      </c>
      <c r="Q318" s="1620"/>
      <c r="R318" s="1620"/>
      <c r="S318" s="1620"/>
      <c r="T318" s="1620"/>
      <c r="U318" s="741"/>
      <c r="V318" s="741"/>
      <c r="W318" s="741"/>
      <c r="X318" s="470"/>
      <c r="Y318" s="2641"/>
    </row>
    <row r="319" spans="1:26" ht="12.75" customHeight="1">
      <c r="A319" s="2598"/>
      <c r="B319" s="502" t="s">
        <v>30</v>
      </c>
      <c r="C319" s="2643"/>
      <c r="D319" s="1679">
        <f>+D320</f>
        <v>3825000</v>
      </c>
      <c r="E319" s="1680">
        <f>+E320</f>
        <v>0</v>
      </c>
      <c r="F319" s="1680">
        <f t="shared" ref="F319:R319" si="182">+F320</f>
        <v>0</v>
      </c>
      <c r="G319" s="1680">
        <f t="shared" si="182"/>
        <v>0</v>
      </c>
      <c r="H319" s="1680">
        <f t="shared" si="182"/>
        <v>0</v>
      </c>
      <c r="I319" s="1680">
        <f t="shared" si="182"/>
        <v>0</v>
      </c>
      <c r="J319" s="1680">
        <f t="shared" si="182"/>
        <v>0</v>
      </c>
      <c r="K319" s="1680">
        <f t="shared" si="182"/>
        <v>0</v>
      </c>
      <c r="L319" s="1680">
        <f t="shared" si="182"/>
        <v>0</v>
      </c>
      <c r="M319" s="1695">
        <f t="shared" si="182"/>
        <v>0</v>
      </c>
      <c r="N319" s="1695">
        <f t="shared" si="182"/>
        <v>0</v>
      </c>
      <c r="O319" s="1680">
        <f t="shared" si="182"/>
        <v>0</v>
      </c>
      <c r="P319" s="1680">
        <f t="shared" si="182"/>
        <v>85000</v>
      </c>
      <c r="Q319" s="1680">
        <f t="shared" si="182"/>
        <v>3740000</v>
      </c>
      <c r="R319" s="1680">
        <f t="shared" si="182"/>
        <v>0</v>
      </c>
      <c r="S319" s="1680"/>
      <c r="T319" s="1680"/>
      <c r="U319" s="1679"/>
      <c r="V319" s="1679"/>
      <c r="W319" s="1679"/>
      <c r="X319" s="1674">
        <f>X320</f>
        <v>3825000</v>
      </c>
      <c r="Y319" s="2641"/>
    </row>
    <row r="320" spans="1:26" ht="12" customHeight="1">
      <c r="A320" s="2598"/>
      <c r="B320" s="511" t="s">
        <v>33</v>
      </c>
      <c r="C320" s="2644"/>
      <c r="D320" s="1635">
        <f>M320+O320+P320+Q320+R320+S320+T320+U320+V320+W320</f>
        <v>3825000</v>
      </c>
      <c r="E320" s="1618"/>
      <c r="F320" s="1675">
        <v>0</v>
      </c>
      <c r="G320" s="1618">
        <v>0</v>
      </c>
      <c r="H320" s="1631">
        <v>0</v>
      </c>
      <c r="I320" s="1631"/>
      <c r="J320" s="1631"/>
      <c r="K320" s="1618">
        <v>0</v>
      </c>
      <c r="L320" s="1618">
        <v>0</v>
      </c>
      <c r="M320" s="1762">
        <f>+E320+I320+J320+K320+L320+N320</f>
        <v>0</v>
      </c>
      <c r="N320" s="1763">
        <v>0</v>
      </c>
      <c r="O320" s="1676">
        <f>34000-34000</f>
        <v>0</v>
      </c>
      <c r="P320" s="1676">
        <f>255000-170000</f>
        <v>85000</v>
      </c>
      <c r="Q320" s="1676">
        <f>3570000+170000</f>
        <v>3740000</v>
      </c>
      <c r="R320" s="1676">
        <v>0</v>
      </c>
      <c r="S320" s="1618"/>
      <c r="T320" s="1618"/>
      <c r="U320" s="1675"/>
      <c r="V320" s="1675"/>
      <c r="W320" s="1675"/>
      <c r="X320" s="1678">
        <f>SUM(P320:T320)</f>
        <v>3825000</v>
      </c>
      <c r="Y320" s="2642"/>
    </row>
    <row r="321" spans="1:26" s="782" customFormat="1" ht="13.5" customHeight="1">
      <c r="A321" s="2599"/>
      <c r="B321" s="527" t="s">
        <v>34</v>
      </c>
      <c r="C321" s="522"/>
      <c r="D321" s="554">
        <f t="shared" ref="D321:O321" si="183">+D322+D324</f>
        <v>3825000</v>
      </c>
      <c r="E321" s="783">
        <f t="shared" si="183"/>
        <v>0</v>
      </c>
      <c r="F321" s="783">
        <f t="shared" si="183"/>
        <v>0</v>
      </c>
      <c r="G321" s="783">
        <f t="shared" si="183"/>
        <v>0</v>
      </c>
      <c r="H321" s="783">
        <f t="shared" si="183"/>
        <v>0</v>
      </c>
      <c r="I321" s="783">
        <f t="shared" si="183"/>
        <v>0</v>
      </c>
      <c r="J321" s="783">
        <f t="shared" si="183"/>
        <v>0</v>
      </c>
      <c r="K321" s="783">
        <f t="shared" si="183"/>
        <v>0</v>
      </c>
      <c r="L321" s="783">
        <f t="shared" si="183"/>
        <v>0</v>
      </c>
      <c r="M321" s="787">
        <f t="shared" si="183"/>
        <v>0</v>
      </c>
      <c r="N321" s="787">
        <f t="shared" si="183"/>
        <v>0</v>
      </c>
      <c r="O321" s="787">
        <f t="shared" si="183"/>
        <v>0</v>
      </c>
      <c r="P321" s="783">
        <f>+P322+P324</f>
        <v>0</v>
      </c>
      <c r="Q321" s="783">
        <f>+Q322+Q324</f>
        <v>3500000</v>
      </c>
      <c r="R321" s="783">
        <f>+R322+R324</f>
        <v>325000</v>
      </c>
      <c r="S321" s="783"/>
      <c r="T321" s="783"/>
      <c r="U321" s="783"/>
      <c r="V321" s="783"/>
      <c r="W321" s="783"/>
      <c r="X321" s="2645" t="s">
        <v>35</v>
      </c>
      <c r="Y321" s="2648" t="s">
        <v>120</v>
      </c>
    </row>
    <row r="322" spans="1:26" ht="13.5" hidden="1" customHeight="1">
      <c r="A322" s="2599"/>
      <c r="B322" s="1392" t="s">
        <v>36</v>
      </c>
      <c r="C322" s="2651" t="s">
        <v>305</v>
      </c>
      <c r="D322" s="449">
        <f>+D323</f>
        <v>0</v>
      </c>
      <c r="E322" s="449">
        <f t="shared" ref="E322:P322" si="184">+E323</f>
        <v>0</v>
      </c>
      <c r="F322" s="449">
        <f t="shared" si="184"/>
        <v>0</v>
      </c>
      <c r="G322" s="449">
        <f t="shared" si="184"/>
        <v>0</v>
      </c>
      <c r="H322" s="449">
        <f t="shared" si="184"/>
        <v>0</v>
      </c>
      <c r="I322" s="449">
        <f t="shared" si="184"/>
        <v>0</v>
      </c>
      <c r="J322" s="449">
        <f t="shared" si="184"/>
        <v>0</v>
      </c>
      <c r="K322" s="449">
        <f t="shared" si="184"/>
        <v>0</v>
      </c>
      <c r="L322" s="449">
        <f t="shared" si="184"/>
        <v>0</v>
      </c>
      <c r="M322" s="895">
        <f t="shared" si="184"/>
        <v>0</v>
      </c>
      <c r="N322" s="895">
        <f t="shared" si="184"/>
        <v>0</v>
      </c>
      <c r="O322" s="895">
        <f t="shared" si="184"/>
        <v>0</v>
      </c>
      <c r="P322" s="449">
        <f t="shared" si="184"/>
        <v>0</v>
      </c>
      <c r="Q322" s="449"/>
      <c r="R322" s="449"/>
      <c r="S322" s="449"/>
      <c r="T322" s="449"/>
      <c r="U322" s="449"/>
      <c r="V322" s="449"/>
      <c r="W322" s="449"/>
      <c r="X322" s="2646"/>
      <c r="Y322" s="2649"/>
    </row>
    <row r="323" spans="1:26" ht="13.5" hidden="1" customHeight="1">
      <c r="A323" s="2599"/>
      <c r="B323" s="526" t="s">
        <v>27</v>
      </c>
      <c r="C323" s="2652"/>
      <c r="D323" s="1381">
        <f>SUM(M323:T323)</f>
        <v>0</v>
      </c>
      <c r="E323" s="1681">
        <f>+F323+G323+H323</f>
        <v>0</v>
      </c>
      <c r="F323" s="1681">
        <v>0</v>
      </c>
      <c r="G323" s="1681">
        <v>0</v>
      </c>
      <c r="H323" s="1681">
        <v>0</v>
      </c>
      <c r="I323" s="1681"/>
      <c r="J323" s="1681"/>
      <c r="K323" s="1681">
        <v>0</v>
      </c>
      <c r="L323" s="1681">
        <v>0</v>
      </c>
      <c r="M323" s="1697">
        <v>0</v>
      </c>
      <c r="N323" s="1697">
        <v>0</v>
      </c>
      <c r="O323" s="1697">
        <v>0</v>
      </c>
      <c r="P323" s="1681">
        <v>0</v>
      </c>
      <c r="Q323" s="1681"/>
      <c r="R323" s="1681"/>
      <c r="S323" s="1681"/>
      <c r="T323" s="1681"/>
      <c r="U323" s="1681"/>
      <c r="V323" s="1681"/>
      <c r="W323" s="1681"/>
      <c r="X323" s="2646"/>
      <c r="Y323" s="2649"/>
    </row>
    <row r="324" spans="1:26" ht="12" customHeight="1">
      <c r="A324" s="2599"/>
      <c r="B324" s="1530" t="s">
        <v>30</v>
      </c>
      <c r="C324" s="2652"/>
      <c r="D324" s="1679">
        <f t="shared" ref="D324:R324" si="185">+D325</f>
        <v>3825000</v>
      </c>
      <c r="E324" s="1680">
        <f t="shared" si="185"/>
        <v>0</v>
      </c>
      <c r="F324" s="1680">
        <f t="shared" si="185"/>
        <v>0</v>
      </c>
      <c r="G324" s="1680">
        <f t="shared" si="185"/>
        <v>0</v>
      </c>
      <c r="H324" s="1680">
        <f t="shared" si="185"/>
        <v>0</v>
      </c>
      <c r="I324" s="1680">
        <f t="shared" si="185"/>
        <v>0</v>
      </c>
      <c r="J324" s="1680">
        <f t="shared" si="185"/>
        <v>0</v>
      </c>
      <c r="K324" s="1680">
        <f t="shared" si="185"/>
        <v>0</v>
      </c>
      <c r="L324" s="1680">
        <f t="shared" si="185"/>
        <v>0</v>
      </c>
      <c r="M324" s="1695">
        <f t="shared" si="185"/>
        <v>0</v>
      </c>
      <c r="N324" s="1695">
        <f t="shared" si="185"/>
        <v>0</v>
      </c>
      <c r="O324" s="1695">
        <f t="shared" si="185"/>
        <v>0</v>
      </c>
      <c r="P324" s="1680">
        <f t="shared" si="185"/>
        <v>0</v>
      </c>
      <c r="Q324" s="1680">
        <f t="shared" si="185"/>
        <v>3500000</v>
      </c>
      <c r="R324" s="1680">
        <f t="shared" si="185"/>
        <v>325000</v>
      </c>
      <c r="S324" s="1680"/>
      <c r="T324" s="1680"/>
      <c r="U324" s="1680"/>
      <c r="V324" s="1680"/>
      <c r="W324" s="1680"/>
      <c r="X324" s="2646"/>
      <c r="Y324" s="2649"/>
    </row>
    <row r="325" spans="1:26" ht="13.5" thickBot="1">
      <c r="A325" s="2600"/>
      <c r="B325" s="474" t="s">
        <v>33</v>
      </c>
      <c r="C325" s="2653"/>
      <c r="D325" s="1064">
        <f>M325+O325+P325+Q325+R325+S325+T325+U325+V325+W325</f>
        <v>3825000</v>
      </c>
      <c r="E325" s="475">
        <f>+F325+G325+H325</f>
        <v>0</v>
      </c>
      <c r="F325" s="476">
        <v>0</v>
      </c>
      <c r="G325" s="475">
        <v>0</v>
      </c>
      <c r="H325" s="475">
        <v>0</v>
      </c>
      <c r="I325" s="475"/>
      <c r="J325" s="475"/>
      <c r="K325" s="475">
        <v>0</v>
      </c>
      <c r="L325" s="475">
        <v>0</v>
      </c>
      <c r="M325" s="1071">
        <f>+E325+I325+J325+K325+L325+N325</f>
        <v>0</v>
      </c>
      <c r="N325" s="937">
        <v>0</v>
      </c>
      <c r="O325" s="937">
        <v>0</v>
      </c>
      <c r="P325" s="475">
        <v>0</v>
      </c>
      <c r="Q325" s="475">
        <v>3500000</v>
      </c>
      <c r="R325" s="475">
        <v>325000</v>
      </c>
      <c r="S325" s="475"/>
      <c r="T325" s="475"/>
      <c r="U325" s="475"/>
      <c r="V325" s="475"/>
      <c r="W325" s="475"/>
      <c r="X325" s="2647"/>
      <c r="Y325" s="2650"/>
    </row>
    <row r="326" spans="1:26" ht="27.75" customHeight="1">
      <c r="A326" s="2597" t="s">
        <v>114</v>
      </c>
      <c r="B326" s="1466" t="s">
        <v>497</v>
      </c>
      <c r="C326" s="418" t="s">
        <v>97</v>
      </c>
      <c r="D326" s="419"/>
      <c r="E326" s="421"/>
      <c r="F326" s="421"/>
      <c r="G326" s="420"/>
      <c r="H326" s="420"/>
      <c r="I326" s="420"/>
      <c r="J326" s="420"/>
      <c r="K326" s="420"/>
      <c r="L326" s="420"/>
      <c r="M326" s="422"/>
      <c r="N326" s="422"/>
      <c r="O326" s="422"/>
      <c r="P326" s="422"/>
      <c r="Q326" s="422"/>
      <c r="R326" s="422"/>
      <c r="S326" s="422"/>
      <c r="T326" s="422"/>
      <c r="U326" s="422"/>
      <c r="V326" s="422"/>
      <c r="W326" s="422"/>
      <c r="X326" s="423"/>
      <c r="Y326" s="519"/>
    </row>
    <row r="327" spans="1:26" ht="13.5" customHeight="1">
      <c r="A327" s="2598"/>
      <c r="B327" s="489" t="s">
        <v>22</v>
      </c>
      <c r="C327" s="1847"/>
      <c r="D327" s="1848">
        <f>+D328+D330</f>
        <v>3559294</v>
      </c>
      <c r="E327" s="1848">
        <f t="shared" ref="E327:P327" si="186">+E328+E330</f>
        <v>0</v>
      </c>
      <c r="F327" s="1848">
        <f t="shared" si="186"/>
        <v>0</v>
      </c>
      <c r="G327" s="1848">
        <f t="shared" si="186"/>
        <v>0</v>
      </c>
      <c r="H327" s="1848">
        <f t="shared" si="186"/>
        <v>0</v>
      </c>
      <c r="I327" s="1848">
        <f t="shared" si="186"/>
        <v>315360</v>
      </c>
      <c r="J327" s="1848">
        <f t="shared" si="186"/>
        <v>243934</v>
      </c>
      <c r="K327" s="1848">
        <f t="shared" si="186"/>
        <v>0</v>
      </c>
      <c r="L327" s="1848">
        <f t="shared" si="186"/>
        <v>0</v>
      </c>
      <c r="M327" s="1848">
        <f t="shared" si="186"/>
        <v>559294</v>
      </c>
      <c r="N327" s="1848">
        <f t="shared" si="186"/>
        <v>0</v>
      </c>
      <c r="O327" s="1848">
        <f t="shared" si="186"/>
        <v>0</v>
      </c>
      <c r="P327" s="1848">
        <f t="shared" si="186"/>
        <v>39320</v>
      </c>
      <c r="Q327" s="1848">
        <f>+Q328+Q330</f>
        <v>2960680</v>
      </c>
      <c r="R327" s="1848"/>
      <c r="S327" s="1848"/>
      <c r="T327" s="1848"/>
      <c r="U327" s="1848"/>
      <c r="V327" s="1848"/>
      <c r="W327" s="1848"/>
      <c r="X327" s="1698">
        <f>+X328+X330</f>
        <v>3000000</v>
      </c>
      <c r="Y327" s="2641" t="s">
        <v>103</v>
      </c>
      <c r="Z327" s="1118" t="s">
        <v>452</v>
      </c>
    </row>
    <row r="328" spans="1:26" ht="13.5" customHeight="1">
      <c r="A328" s="2598"/>
      <c r="B328" s="512" t="s">
        <v>36</v>
      </c>
      <c r="C328" s="2656" t="s">
        <v>100</v>
      </c>
      <c r="D328" s="1617">
        <f>+D329</f>
        <v>3559294</v>
      </c>
      <c r="E328" s="1617">
        <f t="shared" ref="E328:Q328" si="187">+E329</f>
        <v>0</v>
      </c>
      <c r="F328" s="1617">
        <f t="shared" si="187"/>
        <v>0</v>
      </c>
      <c r="G328" s="1617">
        <f t="shared" si="187"/>
        <v>0</v>
      </c>
      <c r="H328" s="1617">
        <f t="shared" si="187"/>
        <v>0</v>
      </c>
      <c r="I328" s="1617">
        <f t="shared" si="187"/>
        <v>315360</v>
      </c>
      <c r="J328" s="1617">
        <f t="shared" si="187"/>
        <v>243934</v>
      </c>
      <c r="K328" s="1617">
        <f t="shared" si="187"/>
        <v>0</v>
      </c>
      <c r="L328" s="1617">
        <f t="shared" si="187"/>
        <v>0</v>
      </c>
      <c r="M328" s="1617">
        <f t="shared" si="187"/>
        <v>559294</v>
      </c>
      <c r="N328" s="1617">
        <f t="shared" si="187"/>
        <v>0</v>
      </c>
      <c r="O328" s="1617">
        <f t="shared" si="187"/>
        <v>0</v>
      </c>
      <c r="P328" s="1617">
        <f t="shared" si="187"/>
        <v>39320</v>
      </c>
      <c r="Q328" s="1617">
        <f t="shared" si="187"/>
        <v>2960680</v>
      </c>
      <c r="R328" s="1617"/>
      <c r="S328" s="1617"/>
      <c r="T328" s="1617"/>
      <c r="U328" s="1617"/>
      <c r="V328" s="1617"/>
      <c r="W328" s="1617"/>
      <c r="X328" s="1706">
        <f>+X329</f>
        <v>3000000</v>
      </c>
      <c r="Y328" s="2641"/>
      <c r="Z328" s="778"/>
    </row>
    <row r="329" spans="1:26" ht="13.5" customHeight="1" thickBot="1">
      <c r="A329" s="2654"/>
      <c r="B329" s="496" t="s">
        <v>24</v>
      </c>
      <c r="C329" s="2657"/>
      <c r="D329" s="1849">
        <f>M329+O329+P329+Q329+R329+S329+T329+U329+V329+W329</f>
        <v>3559294</v>
      </c>
      <c r="E329" s="475">
        <f>+F329+G329+H329</f>
        <v>0</v>
      </c>
      <c r="F329" s="476">
        <v>0</v>
      </c>
      <c r="G329" s="475">
        <v>0</v>
      </c>
      <c r="H329" s="475">
        <v>0</v>
      </c>
      <c r="I329" s="475">
        <f>305899+9461</f>
        <v>315360</v>
      </c>
      <c r="J329" s="475">
        <v>243934</v>
      </c>
      <c r="K329" s="475">
        <v>0</v>
      </c>
      <c r="L329" s="475">
        <f>4000000-4000000</f>
        <v>0</v>
      </c>
      <c r="M329" s="1825">
        <f>+E329+I329+J329+K329+L329+N329</f>
        <v>559294</v>
      </c>
      <c r="N329" s="475">
        <f>4000000-1000000-3000000</f>
        <v>0</v>
      </c>
      <c r="O329" s="475">
        <f>3000000-3000000</f>
        <v>0</v>
      </c>
      <c r="P329" s="476">
        <f>3000000-2960680</f>
        <v>39320</v>
      </c>
      <c r="Q329" s="476">
        <v>2960680</v>
      </c>
      <c r="R329" s="476"/>
      <c r="S329" s="476"/>
      <c r="T329" s="476"/>
      <c r="U329" s="476"/>
      <c r="V329" s="476"/>
      <c r="W329" s="476"/>
      <c r="X329" s="1850">
        <f>SUM(P329:T329)</f>
        <v>3000000</v>
      </c>
      <c r="Y329" s="2655"/>
    </row>
    <row r="330" spans="1:26" ht="23.25" customHeight="1">
      <c r="A330" s="2597" t="s">
        <v>117</v>
      </c>
      <c r="B330" s="928" t="s">
        <v>413</v>
      </c>
      <c r="C330" s="457" t="s">
        <v>97</v>
      </c>
      <c r="D330" s="419"/>
      <c r="E330" s="420"/>
      <c r="F330" s="421"/>
      <c r="G330" s="420"/>
      <c r="H330" s="420"/>
      <c r="I330" s="420"/>
      <c r="J330" s="420"/>
      <c r="K330" s="420"/>
      <c r="L330" s="420"/>
      <c r="M330" s="422"/>
      <c r="N330" s="422"/>
      <c r="O330" s="422"/>
      <c r="P330" s="422"/>
      <c r="Q330" s="422"/>
      <c r="R330" s="422"/>
      <c r="S330" s="422"/>
      <c r="T330" s="422"/>
      <c r="U330" s="422"/>
      <c r="V330" s="422"/>
      <c r="W330" s="422"/>
      <c r="X330" s="423"/>
      <c r="Y330" s="2698" t="s">
        <v>103</v>
      </c>
      <c r="Z330" s="1118" t="s">
        <v>452</v>
      </c>
    </row>
    <row r="331" spans="1:26" ht="12" customHeight="1">
      <c r="A331" s="2598"/>
      <c r="B331" s="1400" t="s">
        <v>22</v>
      </c>
      <c r="C331" s="1670"/>
      <c r="D331" s="1687">
        <f t="shared" ref="D331:P331" si="188">+D332+D335</f>
        <v>11225421</v>
      </c>
      <c r="E331" s="1688">
        <f t="shared" si="188"/>
        <v>0</v>
      </c>
      <c r="F331" s="1688">
        <f t="shared" si="188"/>
        <v>0</v>
      </c>
      <c r="G331" s="1688">
        <f t="shared" si="188"/>
        <v>0</v>
      </c>
      <c r="H331" s="1688">
        <f t="shared" si="188"/>
        <v>0</v>
      </c>
      <c r="I331" s="1688">
        <f t="shared" si="188"/>
        <v>0</v>
      </c>
      <c r="J331" s="1688">
        <f t="shared" si="188"/>
        <v>0</v>
      </c>
      <c r="K331" s="1688">
        <f t="shared" si="188"/>
        <v>0</v>
      </c>
      <c r="L331" s="1688">
        <f t="shared" si="188"/>
        <v>0</v>
      </c>
      <c r="M331" s="1689">
        <f>+M332+M335</f>
        <v>0</v>
      </c>
      <c r="N331" s="1689">
        <f t="shared" si="188"/>
        <v>0</v>
      </c>
      <c r="O331" s="1689">
        <f t="shared" si="188"/>
        <v>0</v>
      </c>
      <c r="P331" s="1688">
        <f t="shared" si="188"/>
        <v>632197</v>
      </c>
      <c r="Q331" s="1688">
        <f>+Q332+Q335</f>
        <v>4397803</v>
      </c>
      <c r="R331" s="1688">
        <f>+R332+R335</f>
        <v>6195421</v>
      </c>
      <c r="S331" s="1688"/>
      <c r="T331" s="1688"/>
      <c r="U331" s="1688"/>
      <c r="V331" s="1688"/>
      <c r="W331" s="1688"/>
      <c r="X331" s="1672">
        <f>X332+X335</f>
        <v>11225421</v>
      </c>
      <c r="Y331" s="2641"/>
      <c r="Z331" s="778"/>
    </row>
    <row r="332" spans="1:26" ht="13.5" customHeight="1">
      <c r="A332" s="2598"/>
      <c r="B332" s="1392" t="s">
        <v>36</v>
      </c>
      <c r="C332" s="2594" t="s">
        <v>100</v>
      </c>
      <c r="D332" s="1690">
        <f>+D333+D334</f>
        <v>9325331</v>
      </c>
      <c r="E332" s="1690">
        <f t="shared" ref="E332:J332" si="189">+E333+E334</f>
        <v>0</v>
      </c>
      <c r="F332" s="1690">
        <f t="shared" si="189"/>
        <v>0</v>
      </c>
      <c r="G332" s="1690">
        <f t="shared" si="189"/>
        <v>0</v>
      </c>
      <c r="H332" s="1690">
        <f t="shared" si="189"/>
        <v>0</v>
      </c>
      <c r="I332" s="1690">
        <f t="shared" si="189"/>
        <v>0</v>
      </c>
      <c r="J332" s="1690">
        <f t="shared" si="189"/>
        <v>0</v>
      </c>
      <c r="K332" s="1690">
        <f t="shared" ref="K332:R332" si="190">+K333</f>
        <v>0</v>
      </c>
      <c r="L332" s="1615">
        <f t="shared" si="190"/>
        <v>0</v>
      </c>
      <c r="M332" s="1616">
        <f t="shared" si="190"/>
        <v>0</v>
      </c>
      <c r="N332" s="1616">
        <f t="shared" si="190"/>
        <v>0</v>
      </c>
      <c r="O332" s="1691">
        <f t="shared" si="190"/>
        <v>0</v>
      </c>
      <c r="P332" s="1690">
        <f t="shared" si="190"/>
        <v>349829</v>
      </c>
      <c r="Q332" s="1690">
        <f t="shared" si="190"/>
        <v>2780081</v>
      </c>
      <c r="R332" s="1615">
        <f t="shared" si="190"/>
        <v>6195421</v>
      </c>
      <c r="S332" s="1690"/>
      <c r="T332" s="1690"/>
      <c r="U332" s="1684"/>
      <c r="V332" s="1684"/>
      <c r="W332" s="1684"/>
      <c r="X332" s="1674">
        <f>X333</f>
        <v>9325331</v>
      </c>
      <c r="Y332" s="2641"/>
      <c r="Z332" s="778"/>
    </row>
    <row r="333" spans="1:26" ht="12" customHeight="1">
      <c r="A333" s="2598"/>
      <c r="B333" s="1397" t="s">
        <v>24</v>
      </c>
      <c r="C333" s="2643"/>
      <c r="D333" s="1381">
        <f>M333+O333+P333+Q333+R333+S333+T333+U333+V333+W333</f>
        <v>9325331</v>
      </c>
      <c r="E333" s="1618"/>
      <c r="F333" s="1675">
        <v>0</v>
      </c>
      <c r="G333" s="1618"/>
      <c r="H333" s="1618"/>
      <c r="I333" s="1618"/>
      <c r="J333" s="1618"/>
      <c r="K333" s="1618"/>
      <c r="L333" s="1618"/>
      <c r="M333" s="1676">
        <f>+E333+I333+J333+K333+L333+N333</f>
        <v>0</v>
      </c>
      <c r="N333" s="1692">
        <f>161080-161080</f>
        <v>0</v>
      </c>
      <c r="O333" s="1692">
        <v>0</v>
      </c>
      <c r="P333" s="1675">
        <f>2385310-385400-1650081</f>
        <v>349829</v>
      </c>
      <c r="Q333" s="1675">
        <f>3200000-1940000+1520081</f>
        <v>2780081</v>
      </c>
      <c r="R333" s="1675">
        <f>4984499+500000+710922</f>
        <v>6195421</v>
      </c>
      <c r="S333" s="1675"/>
      <c r="T333" s="1675"/>
      <c r="U333" s="1675"/>
      <c r="V333" s="1675"/>
      <c r="W333" s="1675"/>
      <c r="X333" s="1678">
        <f>SUM(P333:T333)</f>
        <v>9325331</v>
      </c>
      <c r="Y333" s="2641"/>
    </row>
    <row r="334" spans="1:26" hidden="1">
      <c r="A334" s="2598"/>
      <c r="B334" s="526" t="s">
        <v>27</v>
      </c>
      <c r="C334" s="2643"/>
      <c r="D334" s="1693">
        <f>+E334+I334+J334+K334+L334</f>
        <v>0</v>
      </c>
      <c r="E334" s="1618">
        <v>0</v>
      </c>
      <c r="F334" s="1620"/>
      <c r="G334" s="1620"/>
      <c r="H334" s="1622"/>
      <c r="I334" s="1622"/>
      <c r="J334" s="1622"/>
      <c r="K334" s="1620">
        <v>0</v>
      </c>
      <c r="L334" s="1620">
        <v>0</v>
      </c>
      <c r="M334" s="1694">
        <v>0</v>
      </c>
      <c r="N334" s="1694">
        <v>0</v>
      </c>
      <c r="O334" s="1694">
        <v>0</v>
      </c>
      <c r="P334" s="1620">
        <v>0</v>
      </c>
      <c r="Q334" s="1620"/>
      <c r="R334" s="1620"/>
      <c r="S334" s="1620"/>
      <c r="T334" s="1620"/>
      <c r="U334" s="741"/>
      <c r="V334" s="741"/>
      <c r="W334" s="741"/>
      <c r="X334" s="470"/>
      <c r="Y334" s="2641"/>
    </row>
    <row r="335" spans="1:26" ht="13.5" customHeight="1">
      <c r="A335" s="2598"/>
      <c r="B335" s="1530" t="s">
        <v>30</v>
      </c>
      <c r="C335" s="2643"/>
      <c r="D335" s="1679">
        <f>+D336</f>
        <v>1900090</v>
      </c>
      <c r="E335" s="1680">
        <f t="shared" ref="E335:R335" si="191">+E336</f>
        <v>0</v>
      </c>
      <c r="F335" s="1680">
        <f t="shared" si="191"/>
        <v>0</v>
      </c>
      <c r="G335" s="1680">
        <f t="shared" si="191"/>
        <v>0</v>
      </c>
      <c r="H335" s="1680">
        <f t="shared" si="191"/>
        <v>0</v>
      </c>
      <c r="I335" s="1680">
        <f t="shared" si="191"/>
        <v>0</v>
      </c>
      <c r="J335" s="1680">
        <f t="shared" si="191"/>
        <v>0</v>
      </c>
      <c r="K335" s="1680">
        <f t="shared" si="191"/>
        <v>0</v>
      </c>
      <c r="L335" s="1680">
        <f t="shared" si="191"/>
        <v>0</v>
      </c>
      <c r="M335" s="1695">
        <f t="shared" si="191"/>
        <v>0</v>
      </c>
      <c r="N335" s="1695">
        <f t="shared" si="191"/>
        <v>0</v>
      </c>
      <c r="O335" s="1695">
        <f t="shared" si="191"/>
        <v>0</v>
      </c>
      <c r="P335" s="1680">
        <f t="shared" si="191"/>
        <v>282368</v>
      </c>
      <c r="Q335" s="1690">
        <f t="shared" si="191"/>
        <v>1617722</v>
      </c>
      <c r="R335" s="1695">
        <f t="shared" si="191"/>
        <v>0</v>
      </c>
      <c r="S335" s="1680"/>
      <c r="T335" s="1680"/>
      <c r="U335" s="1679"/>
      <c r="V335" s="1679"/>
      <c r="W335" s="1679"/>
      <c r="X335" s="1674">
        <f>X336</f>
        <v>1900090</v>
      </c>
      <c r="Y335" s="2641"/>
    </row>
    <row r="336" spans="1:26">
      <c r="A336" s="2598"/>
      <c r="B336" s="487" t="s">
        <v>33</v>
      </c>
      <c r="C336" s="2644"/>
      <c r="D336" s="1635">
        <f>M336+O336+P336+Q336+R336+S336+T336+U336+V336+W336</f>
        <v>1900090</v>
      </c>
      <c r="E336" s="1618">
        <f>+F336+G336+H336</f>
        <v>0</v>
      </c>
      <c r="F336" s="1675">
        <v>0</v>
      </c>
      <c r="G336" s="1618"/>
      <c r="H336" s="1618"/>
      <c r="I336" s="1618"/>
      <c r="J336" s="1618"/>
      <c r="K336" s="1618"/>
      <c r="L336" s="1618">
        <v>0</v>
      </c>
      <c r="M336" s="1676">
        <f>+E336+I336+J336+K336+L336+N336</f>
        <v>0</v>
      </c>
      <c r="N336" s="1692">
        <v>0</v>
      </c>
      <c r="O336" s="1692">
        <v>0</v>
      </c>
      <c r="P336" s="1675">
        <f>1900090-1617722</f>
        <v>282368</v>
      </c>
      <c r="Q336" s="1675">
        <v>1617722</v>
      </c>
      <c r="R336" s="1692">
        <v>0</v>
      </c>
      <c r="S336" s="1675"/>
      <c r="T336" s="1675"/>
      <c r="U336" s="1675"/>
      <c r="V336" s="1675"/>
      <c r="W336" s="1675"/>
      <c r="X336" s="1678">
        <f>SUM(P336:T336)</f>
        <v>1900090</v>
      </c>
      <c r="Y336" s="2642"/>
    </row>
    <row r="337" spans="1:28" ht="12" customHeight="1">
      <c r="A337" s="2599"/>
      <c r="B337" s="1400" t="s">
        <v>34</v>
      </c>
      <c r="C337" s="522"/>
      <c r="D337" s="523">
        <f>+D340+D338</f>
        <v>1900090</v>
      </c>
      <c r="E337" s="523">
        <f t="shared" ref="E337:J337" si="192">+E340+E338</f>
        <v>0</v>
      </c>
      <c r="F337" s="523">
        <f t="shared" si="192"/>
        <v>0</v>
      </c>
      <c r="G337" s="523">
        <f t="shared" si="192"/>
        <v>0</v>
      </c>
      <c r="H337" s="523">
        <f t="shared" si="192"/>
        <v>0</v>
      </c>
      <c r="I337" s="523">
        <f t="shared" si="192"/>
        <v>0</v>
      </c>
      <c r="J337" s="523">
        <f t="shared" si="192"/>
        <v>0</v>
      </c>
      <c r="K337" s="523">
        <f t="shared" ref="K337:Q337" si="193">+K340+K338</f>
        <v>0</v>
      </c>
      <c r="L337" s="523">
        <f t="shared" si="193"/>
        <v>0</v>
      </c>
      <c r="M337" s="1471">
        <f t="shared" si="193"/>
        <v>0</v>
      </c>
      <c r="N337" s="1471">
        <f t="shared" si="193"/>
        <v>0</v>
      </c>
      <c r="O337" s="1471">
        <f t="shared" si="193"/>
        <v>0</v>
      </c>
      <c r="P337" s="1471">
        <f t="shared" si="193"/>
        <v>0</v>
      </c>
      <c r="Q337" s="523">
        <f t="shared" si="193"/>
        <v>1900090</v>
      </c>
      <c r="R337" s="523"/>
      <c r="S337" s="523"/>
      <c r="T337" s="523"/>
      <c r="U337" s="523"/>
      <c r="V337" s="523"/>
      <c r="W337" s="523"/>
      <c r="X337" s="2763" t="s">
        <v>35</v>
      </c>
      <c r="Y337" s="2648" t="s">
        <v>120</v>
      </c>
    </row>
    <row r="338" spans="1:28" s="782" customFormat="1" ht="13.5" hidden="1" customHeight="1">
      <c r="A338" s="2599"/>
      <c r="B338" s="1696" t="s">
        <v>36</v>
      </c>
      <c r="C338" s="2594" t="s">
        <v>289</v>
      </c>
      <c r="D338" s="449">
        <f>+D339</f>
        <v>0</v>
      </c>
      <c r="E338" s="449">
        <f t="shared" ref="E338:P338" si="194">+E339</f>
        <v>0</v>
      </c>
      <c r="F338" s="449">
        <f t="shared" si="194"/>
        <v>0</v>
      </c>
      <c r="G338" s="449">
        <f t="shared" si="194"/>
        <v>0</v>
      </c>
      <c r="H338" s="449">
        <f t="shared" si="194"/>
        <v>0</v>
      </c>
      <c r="I338" s="449">
        <f t="shared" si="194"/>
        <v>0</v>
      </c>
      <c r="J338" s="449">
        <f t="shared" si="194"/>
        <v>0</v>
      </c>
      <c r="K338" s="449">
        <f t="shared" si="194"/>
        <v>0</v>
      </c>
      <c r="L338" s="449">
        <f t="shared" si="194"/>
        <v>0</v>
      </c>
      <c r="M338" s="895">
        <f t="shared" si="194"/>
        <v>0</v>
      </c>
      <c r="N338" s="895">
        <f t="shared" si="194"/>
        <v>0</v>
      </c>
      <c r="O338" s="895">
        <f t="shared" si="194"/>
        <v>0</v>
      </c>
      <c r="P338" s="895">
        <f t="shared" si="194"/>
        <v>0</v>
      </c>
      <c r="Q338" s="449"/>
      <c r="R338" s="449"/>
      <c r="S338" s="449"/>
      <c r="T338" s="449"/>
      <c r="U338" s="449"/>
      <c r="V338" s="449"/>
      <c r="W338" s="449"/>
      <c r="X338" s="2764"/>
      <c r="Y338" s="2649"/>
    </row>
    <row r="339" spans="1:28" ht="12.75" hidden="1" customHeight="1">
      <c r="A339" s="2599"/>
      <c r="B339" s="526" t="s">
        <v>27</v>
      </c>
      <c r="C339" s="2595"/>
      <c r="D339" s="1693">
        <f>+E339+I339+J339+K339+L339+N339+O339</f>
        <v>0</v>
      </c>
      <c r="E339" s="1681">
        <f>+F339+G339+H339</f>
        <v>0</v>
      </c>
      <c r="F339" s="1681">
        <v>0</v>
      </c>
      <c r="G339" s="1681">
        <v>0</v>
      </c>
      <c r="H339" s="1681">
        <v>0</v>
      </c>
      <c r="I339" s="1681"/>
      <c r="J339" s="1681"/>
      <c r="K339" s="1681">
        <v>0</v>
      </c>
      <c r="L339" s="1681">
        <v>0</v>
      </c>
      <c r="M339" s="1697">
        <v>0</v>
      </c>
      <c r="N339" s="1697">
        <v>0</v>
      </c>
      <c r="O339" s="1697">
        <v>0</v>
      </c>
      <c r="P339" s="1697">
        <v>0</v>
      </c>
      <c r="Q339" s="1681"/>
      <c r="R339" s="1681"/>
      <c r="S339" s="1681"/>
      <c r="T339" s="1681"/>
      <c r="U339" s="1681"/>
      <c r="V339" s="1681"/>
      <c r="W339" s="1681"/>
      <c r="X339" s="2764"/>
      <c r="Y339" s="2649"/>
    </row>
    <row r="340" spans="1:28" ht="12" customHeight="1">
      <c r="A340" s="2599"/>
      <c r="B340" s="1530" t="s">
        <v>30</v>
      </c>
      <c r="C340" s="2595"/>
      <c r="D340" s="1679">
        <f t="shared" ref="D340:Q340" si="195">+D341</f>
        <v>1900090</v>
      </c>
      <c r="E340" s="1680">
        <f t="shared" si="195"/>
        <v>0</v>
      </c>
      <c r="F340" s="1680">
        <f t="shared" si="195"/>
        <v>0</v>
      </c>
      <c r="G340" s="1680">
        <f t="shared" si="195"/>
        <v>0</v>
      </c>
      <c r="H340" s="1680">
        <f t="shared" si="195"/>
        <v>0</v>
      </c>
      <c r="I340" s="1680">
        <f t="shared" si="195"/>
        <v>0</v>
      </c>
      <c r="J340" s="1680">
        <f t="shared" si="195"/>
        <v>0</v>
      </c>
      <c r="K340" s="1680">
        <f t="shared" si="195"/>
        <v>0</v>
      </c>
      <c r="L340" s="1680">
        <f t="shared" si="195"/>
        <v>0</v>
      </c>
      <c r="M340" s="1695">
        <f t="shared" si="195"/>
        <v>0</v>
      </c>
      <c r="N340" s="1695">
        <f t="shared" si="195"/>
        <v>0</v>
      </c>
      <c r="O340" s="1695">
        <f t="shared" si="195"/>
        <v>0</v>
      </c>
      <c r="P340" s="1695">
        <f t="shared" si="195"/>
        <v>0</v>
      </c>
      <c r="Q340" s="1680">
        <f t="shared" si="195"/>
        <v>1900090</v>
      </c>
      <c r="R340" s="1680"/>
      <c r="S340" s="1680"/>
      <c r="T340" s="1680"/>
      <c r="U340" s="1680"/>
      <c r="V340" s="1680"/>
      <c r="W340" s="1680"/>
      <c r="X340" s="2764"/>
      <c r="Y340" s="2649"/>
    </row>
    <row r="341" spans="1:28" ht="13.5" customHeight="1" thickBot="1">
      <c r="A341" s="2600"/>
      <c r="B341" s="474" t="s">
        <v>33</v>
      </c>
      <c r="C341" s="2596"/>
      <c r="D341" s="1064">
        <f>M341+O341+P341+Q341+R341+S341+T341+U341+V341+W341</f>
        <v>1900090</v>
      </c>
      <c r="E341" s="475">
        <f>+F341+G341+H341</f>
        <v>0</v>
      </c>
      <c r="F341" s="476">
        <v>0</v>
      </c>
      <c r="G341" s="475">
        <v>0</v>
      </c>
      <c r="H341" s="475">
        <v>0</v>
      </c>
      <c r="I341" s="475">
        <f>2300000-2300000</f>
        <v>0</v>
      </c>
      <c r="J341" s="475"/>
      <c r="K341" s="475"/>
      <c r="L341" s="475"/>
      <c r="M341" s="1064">
        <f>+E341+I341+J341+K341+L341+N341</f>
        <v>0</v>
      </c>
      <c r="N341" s="1472">
        <v>0</v>
      </c>
      <c r="O341" s="1472">
        <v>0</v>
      </c>
      <c r="P341" s="1472">
        <v>0</v>
      </c>
      <c r="Q341" s="456">
        <v>1900090</v>
      </c>
      <c r="R341" s="456"/>
      <c r="S341" s="456"/>
      <c r="T341" s="475"/>
      <c r="U341" s="475"/>
      <c r="V341" s="475"/>
      <c r="W341" s="475"/>
      <c r="X341" s="2765"/>
      <c r="Y341" s="2650"/>
    </row>
    <row r="342" spans="1:28" ht="27.75" customHeight="1">
      <c r="A342" s="2597" t="s">
        <v>402</v>
      </c>
      <c r="B342" s="477" t="s">
        <v>498</v>
      </c>
      <c r="C342" s="457" t="s">
        <v>97</v>
      </c>
      <c r="D342" s="458"/>
      <c r="E342" s="1851"/>
      <c r="F342" s="458"/>
      <c r="G342" s="546"/>
      <c r="H342" s="546"/>
      <c r="I342" s="542"/>
      <c r="J342" s="542"/>
      <c r="K342" s="542"/>
      <c r="L342" s="542"/>
      <c r="M342" s="422"/>
      <c r="N342" s="422"/>
      <c r="O342" s="422"/>
      <c r="P342" s="422"/>
      <c r="Q342" s="422"/>
      <c r="R342" s="422"/>
      <c r="S342" s="422"/>
      <c r="T342" s="422"/>
      <c r="U342" s="422"/>
      <c r="V342" s="422"/>
      <c r="W342" s="422"/>
      <c r="X342" s="423"/>
      <c r="Y342" s="2715" t="s">
        <v>120</v>
      </c>
      <c r="Z342" s="2618" t="s">
        <v>451</v>
      </c>
      <c r="AA342" s="2619"/>
      <c r="AB342" s="2619"/>
    </row>
    <row r="343" spans="1:28" ht="15" customHeight="1">
      <c r="A343" s="2598"/>
      <c r="B343" s="1400" t="s">
        <v>22</v>
      </c>
      <c r="C343" s="359"/>
      <c r="D343" s="1378">
        <f>+D344+D347</f>
        <v>36435000</v>
      </c>
      <c r="E343" s="1378">
        <f>+E344+E347</f>
        <v>0</v>
      </c>
      <c r="F343" s="1378">
        <f t="shared" ref="F343:O343" si="196">+F344+F347</f>
        <v>0</v>
      </c>
      <c r="G343" s="1378">
        <f t="shared" si="196"/>
        <v>0</v>
      </c>
      <c r="H343" s="1378">
        <f t="shared" si="196"/>
        <v>0</v>
      </c>
      <c r="I343" s="1378">
        <f t="shared" si="196"/>
        <v>0</v>
      </c>
      <c r="J343" s="1378">
        <f t="shared" si="196"/>
        <v>0</v>
      </c>
      <c r="K343" s="1378">
        <f t="shared" si="196"/>
        <v>0</v>
      </c>
      <c r="L343" s="1378">
        <f t="shared" si="196"/>
        <v>0</v>
      </c>
      <c r="M343" s="1378">
        <f>+M344+M347</f>
        <v>5000000</v>
      </c>
      <c r="N343" s="1378">
        <f t="shared" si="196"/>
        <v>5000000</v>
      </c>
      <c r="O343" s="1852">
        <f t="shared" si="196"/>
        <v>0</v>
      </c>
      <c r="P343" s="1378">
        <f>+P344+P347</f>
        <v>31435000</v>
      </c>
      <c r="Q343" s="1378"/>
      <c r="R343" s="1378"/>
      <c r="S343" s="1378"/>
      <c r="T343" s="1378"/>
      <c r="U343" s="1378"/>
      <c r="V343" s="1378"/>
      <c r="W343" s="1378"/>
      <c r="X343" s="1341">
        <f>X344+X347</f>
        <v>31435000</v>
      </c>
      <c r="Y343" s="2606"/>
      <c r="Z343" s="778"/>
    </row>
    <row r="344" spans="1:28" ht="13.5" hidden="1" customHeight="1">
      <c r="A344" s="2598"/>
      <c r="B344" s="1392" t="s">
        <v>36</v>
      </c>
      <c r="C344" s="2594" t="s">
        <v>116</v>
      </c>
      <c r="D344" s="485">
        <f>+D345+D346</f>
        <v>0</v>
      </c>
      <c r="E344" s="485">
        <f t="shared" ref="E344:P344" si="197">+E345+E346</f>
        <v>0</v>
      </c>
      <c r="F344" s="485">
        <f t="shared" si="197"/>
        <v>0</v>
      </c>
      <c r="G344" s="485">
        <f t="shared" si="197"/>
        <v>0</v>
      </c>
      <c r="H344" s="485">
        <f t="shared" si="197"/>
        <v>0</v>
      </c>
      <c r="I344" s="485">
        <f t="shared" si="197"/>
        <v>0</v>
      </c>
      <c r="J344" s="485">
        <f t="shared" si="197"/>
        <v>0</v>
      </c>
      <c r="K344" s="485">
        <f t="shared" si="197"/>
        <v>0</v>
      </c>
      <c r="L344" s="485">
        <f t="shared" si="197"/>
        <v>0</v>
      </c>
      <c r="M344" s="485">
        <f t="shared" si="197"/>
        <v>0</v>
      </c>
      <c r="N344" s="485">
        <f t="shared" si="197"/>
        <v>0</v>
      </c>
      <c r="O344" s="1853">
        <f t="shared" si="197"/>
        <v>0</v>
      </c>
      <c r="P344" s="485">
        <f t="shared" si="197"/>
        <v>0</v>
      </c>
      <c r="Q344" s="485"/>
      <c r="R344" s="485"/>
      <c r="S344" s="485"/>
      <c r="T344" s="485"/>
      <c r="U344" s="485"/>
      <c r="V344" s="485"/>
      <c r="W344" s="485"/>
      <c r="X344" s="1380">
        <f>+X345+X346</f>
        <v>0</v>
      </c>
      <c r="Y344" s="2606"/>
      <c r="Z344" s="778"/>
    </row>
    <row r="345" spans="1:28" ht="11.25" hidden="1" customHeight="1">
      <c r="A345" s="2598"/>
      <c r="B345" s="1468" t="s">
        <v>24</v>
      </c>
      <c r="C345" s="2643"/>
      <c r="D345" s="1381">
        <f>M345+O345+P345+Q345+R345+S345+T345+U345+V345+W345</f>
        <v>0</v>
      </c>
      <c r="E345" s="1344">
        <f>+F345+G345+H345</f>
        <v>0</v>
      </c>
      <c r="F345" s="1382">
        <v>0</v>
      </c>
      <c r="G345" s="1344">
        <v>0</v>
      </c>
      <c r="H345" s="1344">
        <v>0</v>
      </c>
      <c r="I345" s="1346">
        <f>184163-184163</f>
        <v>0</v>
      </c>
      <c r="J345" s="1346"/>
      <c r="K345" s="1346"/>
      <c r="L345" s="1346"/>
      <c r="M345" s="1383">
        <f>+E345+I345+J345+K345+L345+N345</f>
        <v>0</v>
      </c>
      <c r="N345" s="1346">
        <f>750000-750000</f>
        <v>0</v>
      </c>
      <c r="O345" s="1854">
        <v>0</v>
      </c>
      <c r="P345" s="1855">
        <v>0</v>
      </c>
      <c r="Q345" s="1855"/>
      <c r="R345" s="1855"/>
      <c r="S345" s="1855"/>
      <c r="T345" s="1855"/>
      <c r="U345" s="1855"/>
      <c r="V345" s="1855"/>
      <c r="W345" s="1855"/>
      <c r="X345" s="1856">
        <f>SUM(P345:T345)</f>
        <v>0</v>
      </c>
      <c r="Y345" s="2606"/>
    </row>
    <row r="346" spans="1:28" ht="11.25" hidden="1" customHeight="1">
      <c r="A346" s="2598"/>
      <c r="B346" s="626" t="s">
        <v>124</v>
      </c>
      <c r="C346" s="2643"/>
      <c r="D346" s="1381">
        <f>M346+O346+P346+Q346+R346+S346+T346+U346+V346+W346</f>
        <v>0</v>
      </c>
      <c r="E346" s="1382"/>
      <c r="F346" s="1382"/>
      <c r="G346" s="1382"/>
      <c r="H346" s="1382"/>
      <c r="I346" s="1384"/>
      <c r="J346" s="1384"/>
      <c r="K346" s="1384"/>
      <c r="L346" s="1384"/>
      <c r="M346" s="1857">
        <f>+E346+I346+J346+K346+L346+N346</f>
        <v>0</v>
      </c>
      <c r="N346" s="1384"/>
      <c r="O346" s="1858">
        <v>0</v>
      </c>
      <c r="P346" s="1382">
        <f>4715250-4715250</f>
        <v>0</v>
      </c>
      <c r="Q346" s="1382"/>
      <c r="R346" s="1382"/>
      <c r="S346" s="1382"/>
      <c r="T346" s="1382"/>
      <c r="U346" s="1382"/>
      <c r="V346" s="1382"/>
      <c r="W346" s="1382"/>
      <c r="X346" s="1385">
        <f>SUM(P346:T346)</f>
        <v>0</v>
      </c>
      <c r="Y346" s="2606"/>
    </row>
    <row r="347" spans="1:28">
      <c r="A347" s="2598"/>
      <c r="B347" s="502" t="s">
        <v>30</v>
      </c>
      <c r="C347" s="2643"/>
      <c r="D347" s="1386">
        <f>+D348</f>
        <v>36435000</v>
      </c>
      <c r="E347" s="1386">
        <f t="shared" ref="E347:P347" si="198">+E348</f>
        <v>0</v>
      </c>
      <c r="F347" s="1386">
        <f t="shared" si="198"/>
        <v>0</v>
      </c>
      <c r="G347" s="1386">
        <f t="shared" si="198"/>
        <v>0</v>
      </c>
      <c r="H347" s="1386">
        <f t="shared" si="198"/>
        <v>0</v>
      </c>
      <c r="I347" s="1386">
        <f t="shared" si="198"/>
        <v>0</v>
      </c>
      <c r="J347" s="1386">
        <f t="shared" si="198"/>
        <v>0</v>
      </c>
      <c r="K347" s="1386">
        <f t="shared" si="198"/>
        <v>0</v>
      </c>
      <c r="L347" s="1386">
        <f t="shared" si="198"/>
        <v>0</v>
      </c>
      <c r="M347" s="1386">
        <f t="shared" si="198"/>
        <v>5000000</v>
      </c>
      <c r="N347" s="1386">
        <f t="shared" si="198"/>
        <v>5000000</v>
      </c>
      <c r="O347" s="1839">
        <f t="shared" si="198"/>
        <v>0</v>
      </c>
      <c r="P347" s="1386">
        <f t="shared" si="198"/>
        <v>31435000</v>
      </c>
      <c r="Q347" s="1386"/>
      <c r="R347" s="1386"/>
      <c r="S347" s="1386"/>
      <c r="T347" s="1386"/>
      <c r="U347" s="1386"/>
      <c r="V347" s="1386"/>
      <c r="W347" s="1386"/>
      <c r="X347" s="1380">
        <f>X348</f>
        <v>31435000</v>
      </c>
      <c r="Y347" s="2606"/>
    </row>
    <row r="348" spans="1:28">
      <c r="A348" s="2598"/>
      <c r="B348" s="1859" t="s">
        <v>33</v>
      </c>
      <c r="C348" s="2643"/>
      <c r="D348" s="1765">
        <f>M348+O348+P348+Q348+R348+S348+T348+U348+V348+W348</f>
        <v>36435000</v>
      </c>
      <c r="E348" s="1344">
        <f>+F348+G348+H348</f>
        <v>0</v>
      </c>
      <c r="F348" s="1382">
        <v>0</v>
      </c>
      <c r="G348" s="1344">
        <v>0</v>
      </c>
      <c r="H348" s="1344">
        <v>0</v>
      </c>
      <c r="I348" s="1346">
        <f>225757-225757</f>
        <v>0</v>
      </c>
      <c r="J348" s="1346"/>
      <c r="K348" s="1346"/>
      <c r="L348" s="1344"/>
      <c r="M348" s="1860">
        <f>+E348+I348+J348+K348+L348+N348</f>
        <v>5000000</v>
      </c>
      <c r="N348" s="1344">
        <f>4250000+750000</f>
        <v>5000000</v>
      </c>
      <c r="O348" s="1460">
        <v>0</v>
      </c>
      <c r="P348" s="1382">
        <f>26719750+4715250</f>
        <v>31435000</v>
      </c>
      <c r="Q348" s="1382"/>
      <c r="R348" s="1382"/>
      <c r="S348" s="1382"/>
      <c r="T348" s="1382"/>
      <c r="U348" s="1382"/>
      <c r="V348" s="1382"/>
      <c r="W348" s="1382"/>
      <c r="X348" s="1385">
        <f>SUM(P348:T348)</f>
        <v>31435000</v>
      </c>
      <c r="Y348" s="2606"/>
    </row>
    <row r="349" spans="1:28" s="862" customFormat="1" ht="15.75" customHeight="1">
      <c r="A349" s="2599"/>
      <c r="B349" s="358" t="s">
        <v>34</v>
      </c>
      <c r="C349" s="359"/>
      <c r="D349" s="1461">
        <f>+D352+D350</f>
        <v>36435000</v>
      </c>
      <c r="E349" s="1461">
        <f t="shared" ref="E349:P349" si="199">+E352+E350</f>
        <v>0</v>
      </c>
      <c r="F349" s="1461">
        <f t="shared" si="199"/>
        <v>0</v>
      </c>
      <c r="G349" s="1461">
        <f t="shared" si="199"/>
        <v>0</v>
      </c>
      <c r="H349" s="1461">
        <f t="shared" si="199"/>
        <v>0</v>
      </c>
      <c r="I349" s="1461">
        <f t="shared" si="199"/>
        <v>0</v>
      </c>
      <c r="J349" s="1461">
        <f t="shared" si="199"/>
        <v>0</v>
      </c>
      <c r="K349" s="1461">
        <f t="shared" si="199"/>
        <v>0</v>
      </c>
      <c r="L349" s="1461">
        <f t="shared" si="199"/>
        <v>0</v>
      </c>
      <c r="M349" s="1861">
        <f t="shared" si="199"/>
        <v>0</v>
      </c>
      <c r="N349" s="1861">
        <f t="shared" si="199"/>
        <v>0</v>
      </c>
      <c r="O349" s="1861">
        <f t="shared" si="199"/>
        <v>0</v>
      </c>
      <c r="P349" s="1461">
        <f t="shared" si="199"/>
        <v>36435000</v>
      </c>
      <c r="Q349" s="1461"/>
      <c r="R349" s="1461"/>
      <c r="S349" s="1461"/>
      <c r="T349" s="1461"/>
      <c r="U349" s="1461"/>
      <c r="V349" s="1461"/>
      <c r="W349" s="1461"/>
      <c r="X349" s="2658" t="s">
        <v>35</v>
      </c>
      <c r="Y349" s="2606"/>
    </row>
    <row r="350" spans="1:28" s="862" customFormat="1" ht="12.75" hidden="1" customHeight="1">
      <c r="A350" s="2599"/>
      <c r="B350" s="1392" t="s">
        <v>36</v>
      </c>
      <c r="C350" s="2594" t="s">
        <v>444</v>
      </c>
      <c r="D350" s="1473">
        <f>D351</f>
        <v>0</v>
      </c>
      <c r="E350" s="1473">
        <f t="shared" ref="E350:P350" si="200">E351</f>
        <v>0</v>
      </c>
      <c r="F350" s="1473">
        <f t="shared" si="200"/>
        <v>0</v>
      </c>
      <c r="G350" s="1473">
        <f t="shared" si="200"/>
        <v>0</v>
      </c>
      <c r="H350" s="1473">
        <f t="shared" si="200"/>
        <v>0</v>
      </c>
      <c r="I350" s="1473">
        <f t="shared" si="200"/>
        <v>0</v>
      </c>
      <c r="J350" s="1473">
        <f t="shared" si="200"/>
        <v>0</v>
      </c>
      <c r="K350" s="1473">
        <f t="shared" si="200"/>
        <v>0</v>
      </c>
      <c r="L350" s="1473">
        <f t="shared" si="200"/>
        <v>0</v>
      </c>
      <c r="M350" s="1862">
        <f t="shared" si="200"/>
        <v>0</v>
      </c>
      <c r="N350" s="1862">
        <f t="shared" si="200"/>
        <v>0</v>
      </c>
      <c r="O350" s="1862">
        <f t="shared" si="200"/>
        <v>0</v>
      </c>
      <c r="P350" s="1473">
        <f t="shared" si="200"/>
        <v>0</v>
      </c>
      <c r="Q350" s="1473"/>
      <c r="R350" s="1473"/>
      <c r="S350" s="1473"/>
      <c r="T350" s="1473"/>
      <c r="U350" s="1473"/>
      <c r="V350" s="1473"/>
      <c r="W350" s="1473"/>
      <c r="X350" s="2638"/>
      <c r="Y350" s="2606"/>
    </row>
    <row r="351" spans="1:28" s="862" customFormat="1" ht="12.75" hidden="1" customHeight="1">
      <c r="A351" s="2599"/>
      <c r="B351" s="626" t="s">
        <v>124</v>
      </c>
      <c r="C351" s="2595"/>
      <c r="D351" s="1381">
        <f>M351+O351+P351+Q351+R351+S351+T351+U351+V351+W351</f>
        <v>0</v>
      </c>
      <c r="E351" s="1473"/>
      <c r="F351" s="1473"/>
      <c r="G351" s="1473"/>
      <c r="H351" s="1473"/>
      <c r="I351" s="1473"/>
      <c r="J351" s="1473"/>
      <c r="K351" s="1473"/>
      <c r="L351" s="1473"/>
      <c r="M351" s="1857">
        <f>+E351+I351+J351+K351+L351+N351</f>
        <v>0</v>
      </c>
      <c r="N351" s="1863">
        <f>4715250-4715250</f>
        <v>0</v>
      </c>
      <c r="O351" s="1862">
        <v>0</v>
      </c>
      <c r="P351" s="1473">
        <v>0</v>
      </c>
      <c r="Q351" s="1473"/>
      <c r="R351" s="1473"/>
      <c r="S351" s="1473"/>
      <c r="T351" s="1473"/>
      <c r="U351" s="1473"/>
      <c r="V351" s="1473"/>
      <c r="W351" s="1473"/>
      <c r="X351" s="2638"/>
      <c r="Y351" s="2606"/>
    </row>
    <row r="352" spans="1:28" s="887" customFormat="1" ht="16.5" customHeight="1">
      <c r="A352" s="2599"/>
      <c r="B352" s="1768" t="s">
        <v>30</v>
      </c>
      <c r="C352" s="2595"/>
      <c r="D352" s="1864">
        <f>+D353</f>
        <v>36435000</v>
      </c>
      <c r="E352" s="1865">
        <f t="shared" ref="E352:P352" si="201">+E353</f>
        <v>0</v>
      </c>
      <c r="F352" s="1865">
        <f t="shared" si="201"/>
        <v>0</v>
      </c>
      <c r="G352" s="1865">
        <f t="shared" si="201"/>
        <v>0</v>
      </c>
      <c r="H352" s="1865">
        <f t="shared" si="201"/>
        <v>0</v>
      </c>
      <c r="I352" s="1865">
        <f t="shared" si="201"/>
        <v>0</v>
      </c>
      <c r="J352" s="1865">
        <f t="shared" si="201"/>
        <v>0</v>
      </c>
      <c r="K352" s="1865">
        <f t="shared" si="201"/>
        <v>0</v>
      </c>
      <c r="L352" s="1864">
        <f t="shared" si="201"/>
        <v>0</v>
      </c>
      <c r="M352" s="1866">
        <f t="shared" si="201"/>
        <v>0</v>
      </c>
      <c r="N352" s="1866">
        <f t="shared" si="201"/>
        <v>0</v>
      </c>
      <c r="O352" s="1866">
        <f t="shared" si="201"/>
        <v>0</v>
      </c>
      <c r="P352" s="1865">
        <f t="shared" si="201"/>
        <v>36435000</v>
      </c>
      <c r="Q352" s="1865"/>
      <c r="R352" s="1865"/>
      <c r="S352" s="1865"/>
      <c r="T352" s="1865"/>
      <c r="U352" s="1865"/>
      <c r="V352" s="1865"/>
      <c r="W352" s="1865"/>
      <c r="X352" s="2638"/>
      <c r="Y352" s="2606"/>
    </row>
    <row r="353" spans="1:27" s="887" customFormat="1" ht="17.25" customHeight="1" thickBot="1">
      <c r="A353" s="2600"/>
      <c r="B353" s="1210" t="s">
        <v>33</v>
      </c>
      <c r="C353" s="2596"/>
      <c r="D353" s="1867">
        <f>M353+O353+P353+Q353+R353+S353+T353+U353+V353+W353</f>
        <v>36435000</v>
      </c>
      <c r="E353" s="1868">
        <f>+F353+G353+H353</f>
        <v>0</v>
      </c>
      <c r="F353" s="1869">
        <v>0</v>
      </c>
      <c r="G353" s="1868">
        <v>0</v>
      </c>
      <c r="H353" s="1868">
        <v>0</v>
      </c>
      <c r="I353" s="1868">
        <v>0</v>
      </c>
      <c r="J353" s="1868">
        <v>0</v>
      </c>
      <c r="K353" s="1868">
        <v>0</v>
      </c>
      <c r="L353" s="1870"/>
      <c r="M353" s="1602">
        <f>+E353+I353+J353+K353+L353+N353</f>
        <v>0</v>
      </c>
      <c r="N353" s="1871">
        <v>0</v>
      </c>
      <c r="O353" s="1871">
        <f>953694-953694</f>
        <v>0</v>
      </c>
      <c r="P353" s="1872">
        <f>30969750+5465250</f>
        <v>36435000</v>
      </c>
      <c r="Q353" s="1872"/>
      <c r="R353" s="1872"/>
      <c r="S353" s="1872"/>
      <c r="T353" s="1872"/>
      <c r="U353" s="1872"/>
      <c r="V353" s="1872"/>
      <c r="W353" s="1872"/>
      <c r="X353" s="2639"/>
      <c r="Y353" s="2607"/>
    </row>
    <row r="354" spans="1:27" ht="26.25" customHeight="1">
      <c r="A354" s="2597" t="s">
        <v>122</v>
      </c>
      <c r="B354" s="477" t="s">
        <v>414</v>
      </c>
      <c r="C354" s="457" t="s">
        <v>97</v>
      </c>
      <c r="D354" s="419"/>
      <c r="E354" s="420"/>
      <c r="F354" s="421"/>
      <c r="G354" s="420"/>
      <c r="H354" s="420"/>
      <c r="I354" s="420"/>
      <c r="J354" s="420"/>
      <c r="K354" s="420"/>
      <c r="L354" s="420"/>
      <c r="M354" s="1475"/>
      <c r="N354" s="1475"/>
      <c r="O354" s="1475"/>
      <c r="P354" s="1475"/>
      <c r="Q354" s="1475"/>
      <c r="R354" s="1475"/>
      <c r="S354" s="1475"/>
      <c r="T354" s="1475"/>
      <c r="U354" s="422"/>
      <c r="V354" s="422"/>
      <c r="W354" s="422"/>
      <c r="X354" s="423"/>
      <c r="Y354" s="2715" t="s">
        <v>120</v>
      </c>
      <c r="Z354" s="1118" t="s">
        <v>452</v>
      </c>
    </row>
    <row r="355" spans="1:27" ht="13.5" customHeight="1">
      <c r="A355" s="2598"/>
      <c r="B355" s="483" t="s">
        <v>22</v>
      </c>
      <c r="C355" s="359"/>
      <c r="D355" s="448">
        <f t="shared" ref="D355:O355" si="202">+D356+D359</f>
        <v>36000000</v>
      </c>
      <c r="E355" s="427">
        <f t="shared" si="202"/>
        <v>0</v>
      </c>
      <c r="F355" s="427">
        <f t="shared" si="202"/>
        <v>0</v>
      </c>
      <c r="G355" s="427">
        <f t="shared" si="202"/>
        <v>0</v>
      </c>
      <c r="H355" s="427">
        <f t="shared" si="202"/>
        <v>0</v>
      </c>
      <c r="I355" s="427">
        <f t="shared" si="202"/>
        <v>0</v>
      </c>
      <c r="J355" s="427">
        <f t="shared" si="202"/>
        <v>0</v>
      </c>
      <c r="K355" s="427">
        <f t="shared" si="202"/>
        <v>0</v>
      </c>
      <c r="L355" s="427">
        <f t="shared" si="202"/>
        <v>0</v>
      </c>
      <c r="M355" s="1476">
        <f>+M356+M359</f>
        <v>0</v>
      </c>
      <c r="N355" s="1476">
        <f t="shared" si="202"/>
        <v>0</v>
      </c>
      <c r="O355" s="1476">
        <f t="shared" si="202"/>
        <v>0</v>
      </c>
      <c r="P355" s="1476">
        <f>+P356+P359</f>
        <v>0</v>
      </c>
      <c r="Q355" s="427">
        <f>+Q356+Q359</f>
        <v>36000000</v>
      </c>
      <c r="R355" s="427"/>
      <c r="S355" s="427"/>
      <c r="T355" s="427"/>
      <c r="U355" s="427"/>
      <c r="V355" s="427"/>
      <c r="W355" s="427"/>
      <c r="X355" s="464">
        <f>X356+X359</f>
        <v>36000000</v>
      </c>
      <c r="Y355" s="2606"/>
      <c r="Z355" s="778"/>
    </row>
    <row r="356" spans="1:27" ht="14.25" customHeight="1">
      <c r="A356" s="2598"/>
      <c r="B356" s="1477" t="s">
        <v>36</v>
      </c>
      <c r="C356" s="2602" t="s">
        <v>116</v>
      </c>
      <c r="D356" s="495">
        <f t="shared" ref="D356:P356" si="203">+D357+D358</f>
        <v>5400000</v>
      </c>
      <c r="E356" s="495">
        <f t="shared" si="203"/>
        <v>0</v>
      </c>
      <c r="F356" s="495">
        <f t="shared" si="203"/>
        <v>0</v>
      </c>
      <c r="G356" s="495">
        <f t="shared" si="203"/>
        <v>0</v>
      </c>
      <c r="H356" s="495">
        <f t="shared" si="203"/>
        <v>0</v>
      </c>
      <c r="I356" s="495">
        <f t="shared" si="203"/>
        <v>0</v>
      </c>
      <c r="J356" s="495">
        <f t="shared" si="203"/>
        <v>0</v>
      </c>
      <c r="K356" s="495">
        <f t="shared" si="203"/>
        <v>0</v>
      </c>
      <c r="L356" s="495">
        <f t="shared" si="203"/>
        <v>0</v>
      </c>
      <c r="M356" s="932">
        <f t="shared" si="203"/>
        <v>0</v>
      </c>
      <c r="N356" s="932">
        <f t="shared" si="203"/>
        <v>0</v>
      </c>
      <c r="O356" s="932">
        <f t="shared" si="203"/>
        <v>0</v>
      </c>
      <c r="P356" s="932">
        <f t="shared" si="203"/>
        <v>0</v>
      </c>
      <c r="Q356" s="495">
        <f>+Q357+Q358</f>
        <v>5400000</v>
      </c>
      <c r="R356" s="495"/>
      <c r="S356" s="495"/>
      <c r="T356" s="495"/>
      <c r="U356" s="495"/>
      <c r="V356" s="495"/>
      <c r="W356" s="495"/>
      <c r="X356" s="486">
        <f>+X357+X358</f>
        <v>5400000</v>
      </c>
      <c r="Y356" s="2606"/>
      <c r="Z356" s="778"/>
    </row>
    <row r="357" spans="1:27" ht="12.75" hidden="1" customHeight="1">
      <c r="A357" s="2598"/>
      <c r="B357" s="521" t="s">
        <v>24</v>
      </c>
      <c r="C357" s="2643"/>
      <c r="D357" s="433">
        <f>SUM(M357:W357)</f>
        <v>0</v>
      </c>
      <c r="E357" s="440">
        <f>+F357+G357+H357</f>
        <v>0</v>
      </c>
      <c r="F357" s="441">
        <v>0</v>
      </c>
      <c r="G357" s="440"/>
      <c r="H357" s="440"/>
      <c r="I357" s="440"/>
      <c r="J357" s="440"/>
      <c r="K357" s="440"/>
      <c r="L357" s="440">
        <f>420000-420000</f>
        <v>0</v>
      </c>
      <c r="M357" s="1070"/>
      <c r="N357" s="1478"/>
      <c r="O357" s="1070">
        <v>0</v>
      </c>
      <c r="P357" s="1070">
        <v>0</v>
      </c>
      <c r="Q357" s="440"/>
      <c r="R357" s="440"/>
      <c r="S357" s="440"/>
      <c r="T357" s="440"/>
      <c r="U357" s="440"/>
      <c r="V357" s="440"/>
      <c r="W357" s="440"/>
      <c r="X357" s="1479"/>
      <c r="Y357" s="2606"/>
    </row>
    <row r="358" spans="1:27" ht="11.25" customHeight="1">
      <c r="A358" s="2598"/>
      <c r="B358" s="626" t="s">
        <v>124</v>
      </c>
      <c r="C358" s="2643"/>
      <c r="D358" s="433">
        <f>SUM(M358:W358)</f>
        <v>5400000</v>
      </c>
      <c r="E358" s="1094"/>
      <c r="F358" s="1106"/>
      <c r="G358" s="1094"/>
      <c r="H358" s="1094"/>
      <c r="I358" s="1094"/>
      <c r="J358" s="1094"/>
      <c r="K358" s="1094"/>
      <c r="L358" s="1094"/>
      <c r="M358" s="1480">
        <v>0</v>
      </c>
      <c r="N358" s="1481"/>
      <c r="O358" s="1070">
        <v>0</v>
      </c>
      <c r="P358" s="1070">
        <v>0</v>
      </c>
      <c r="Q358" s="1094">
        <v>5400000</v>
      </c>
      <c r="R358" s="1095"/>
      <c r="S358" s="1095"/>
      <c r="T358" s="1095"/>
      <c r="U358" s="1095"/>
      <c r="V358" s="1095"/>
      <c r="W358" s="1095"/>
      <c r="X358" s="393">
        <f>SUM(P358:T358)</f>
        <v>5400000</v>
      </c>
      <c r="Y358" s="2606"/>
    </row>
    <row r="359" spans="1:27" ht="11.25" customHeight="1">
      <c r="A359" s="2598"/>
      <c r="B359" s="1482" t="s">
        <v>30</v>
      </c>
      <c r="C359" s="2643"/>
      <c r="D359" s="443">
        <f t="shared" ref="D359:Q359" si="204">+D360</f>
        <v>30600000</v>
      </c>
      <c r="E359" s="444">
        <f t="shared" si="204"/>
        <v>0</v>
      </c>
      <c r="F359" s="444">
        <f t="shared" si="204"/>
        <v>0</v>
      </c>
      <c r="G359" s="444">
        <f t="shared" si="204"/>
        <v>0</v>
      </c>
      <c r="H359" s="444">
        <f t="shared" si="204"/>
        <v>0</v>
      </c>
      <c r="I359" s="444">
        <f t="shared" si="204"/>
        <v>0</v>
      </c>
      <c r="J359" s="444">
        <f t="shared" si="204"/>
        <v>0</v>
      </c>
      <c r="K359" s="444">
        <f t="shared" si="204"/>
        <v>0</v>
      </c>
      <c r="L359" s="444">
        <f t="shared" si="204"/>
        <v>0</v>
      </c>
      <c r="M359" s="936">
        <f t="shared" si="204"/>
        <v>0</v>
      </c>
      <c r="N359" s="936">
        <f t="shared" si="204"/>
        <v>0</v>
      </c>
      <c r="O359" s="936">
        <f t="shared" si="204"/>
        <v>0</v>
      </c>
      <c r="P359" s="936">
        <f t="shared" si="204"/>
        <v>0</v>
      </c>
      <c r="Q359" s="444">
        <f t="shared" si="204"/>
        <v>30600000</v>
      </c>
      <c r="R359" s="444"/>
      <c r="S359" s="444"/>
      <c r="T359" s="444"/>
      <c r="U359" s="444"/>
      <c r="V359" s="444"/>
      <c r="W359" s="444"/>
      <c r="X359" s="486">
        <f>X360</f>
        <v>30600000</v>
      </c>
      <c r="Y359" s="2606"/>
    </row>
    <row r="360" spans="1:27" ht="13.5" customHeight="1">
      <c r="A360" s="2598"/>
      <c r="B360" s="1483" t="s">
        <v>33</v>
      </c>
      <c r="C360" s="2644"/>
      <c r="D360" s="1484">
        <f>SUM(M360:W360)</f>
        <v>30600000</v>
      </c>
      <c r="E360" s="440">
        <f>+F360+G360+H360</f>
        <v>0</v>
      </c>
      <c r="F360" s="441">
        <v>0</v>
      </c>
      <c r="G360" s="440"/>
      <c r="H360" s="440"/>
      <c r="I360" s="440"/>
      <c r="J360" s="440"/>
      <c r="K360" s="440"/>
      <c r="L360" s="440">
        <v>0</v>
      </c>
      <c r="M360" s="1070">
        <f>+E360+I360+J360+K360+L360</f>
        <v>0</v>
      </c>
      <c r="N360" s="786">
        <v>0</v>
      </c>
      <c r="O360" s="786">
        <v>0</v>
      </c>
      <c r="P360" s="786">
        <v>0</v>
      </c>
      <c r="Q360" s="440">
        <v>30600000</v>
      </c>
      <c r="R360" s="440"/>
      <c r="S360" s="441"/>
      <c r="T360" s="441"/>
      <c r="U360" s="441"/>
      <c r="V360" s="441"/>
      <c r="W360" s="441"/>
      <c r="X360" s="393">
        <f>SUM(P360:T360)</f>
        <v>30600000</v>
      </c>
      <c r="Y360" s="2606"/>
    </row>
    <row r="361" spans="1:27" ht="13.5" customHeight="1">
      <c r="A361" s="2599"/>
      <c r="B361" s="1485" t="s">
        <v>34</v>
      </c>
      <c r="C361" s="522"/>
      <c r="D361" s="523">
        <f>+D364+D362</f>
        <v>36000000</v>
      </c>
      <c r="E361" s="523">
        <f t="shared" ref="E361:Q361" si="205">+E364+E362</f>
        <v>0</v>
      </c>
      <c r="F361" s="523">
        <f t="shared" si="205"/>
        <v>0</v>
      </c>
      <c r="G361" s="523">
        <f t="shared" si="205"/>
        <v>0</v>
      </c>
      <c r="H361" s="523">
        <f t="shared" si="205"/>
        <v>0</v>
      </c>
      <c r="I361" s="523">
        <f t="shared" si="205"/>
        <v>0</v>
      </c>
      <c r="J361" s="523">
        <f t="shared" si="205"/>
        <v>0</v>
      </c>
      <c r="K361" s="523">
        <f t="shared" si="205"/>
        <v>0</v>
      </c>
      <c r="L361" s="523">
        <f t="shared" si="205"/>
        <v>0</v>
      </c>
      <c r="M361" s="1471">
        <f t="shared" si="205"/>
        <v>0</v>
      </c>
      <c r="N361" s="1471">
        <f t="shared" si="205"/>
        <v>0</v>
      </c>
      <c r="O361" s="1471">
        <f t="shared" si="205"/>
        <v>0</v>
      </c>
      <c r="P361" s="523">
        <f t="shared" si="205"/>
        <v>5400000</v>
      </c>
      <c r="Q361" s="523">
        <f t="shared" si="205"/>
        <v>30600000</v>
      </c>
      <c r="R361" s="523"/>
      <c r="S361" s="523"/>
      <c r="T361" s="523"/>
      <c r="U361" s="523"/>
      <c r="V361" s="523"/>
      <c r="W361" s="523"/>
      <c r="X361" s="2716" t="s">
        <v>35</v>
      </c>
      <c r="Y361" s="2606"/>
    </row>
    <row r="362" spans="1:27" ht="13.5" customHeight="1">
      <c r="A362" s="2599"/>
      <c r="B362" s="429" t="s">
        <v>36</v>
      </c>
      <c r="C362" s="2594" t="s">
        <v>444</v>
      </c>
      <c r="D362" s="1486">
        <f>D363</f>
        <v>5400000</v>
      </c>
      <c r="E362" s="1486">
        <f t="shared" ref="E362:Q362" si="206">E363</f>
        <v>0</v>
      </c>
      <c r="F362" s="1486">
        <f t="shared" si="206"/>
        <v>0</v>
      </c>
      <c r="G362" s="1486">
        <f t="shared" si="206"/>
        <v>0</v>
      </c>
      <c r="H362" s="1486">
        <f t="shared" si="206"/>
        <v>0</v>
      </c>
      <c r="I362" s="1486">
        <f t="shared" si="206"/>
        <v>0</v>
      </c>
      <c r="J362" s="1486">
        <f t="shared" si="206"/>
        <v>0</v>
      </c>
      <c r="K362" s="1486">
        <f t="shared" si="206"/>
        <v>0</v>
      </c>
      <c r="L362" s="1486">
        <f t="shared" si="206"/>
        <v>0</v>
      </c>
      <c r="M362" s="1487">
        <f t="shared" si="206"/>
        <v>0</v>
      </c>
      <c r="N362" s="1487">
        <f t="shared" si="206"/>
        <v>0</v>
      </c>
      <c r="O362" s="1487">
        <f t="shared" si="206"/>
        <v>0</v>
      </c>
      <c r="P362" s="1486">
        <f t="shared" si="206"/>
        <v>5400000</v>
      </c>
      <c r="Q362" s="1486">
        <f t="shared" si="206"/>
        <v>0</v>
      </c>
      <c r="R362" s="1486"/>
      <c r="S362" s="1486"/>
      <c r="T362" s="1486"/>
      <c r="U362" s="1486"/>
      <c r="V362" s="1486"/>
      <c r="W362" s="1486"/>
      <c r="X362" s="2646"/>
      <c r="Y362" s="2606"/>
    </row>
    <row r="363" spans="1:27" ht="13.5" customHeight="1">
      <c r="A363" s="2599"/>
      <c r="B363" s="626" t="s">
        <v>124</v>
      </c>
      <c r="C363" s="2595"/>
      <c r="D363" s="433">
        <f>SUM(M363:W363)</f>
        <v>5400000</v>
      </c>
      <c r="E363" s="1486"/>
      <c r="F363" s="1486"/>
      <c r="G363" s="1486"/>
      <c r="H363" s="1486"/>
      <c r="I363" s="1486"/>
      <c r="J363" s="1486"/>
      <c r="K363" s="1486"/>
      <c r="L363" s="1486"/>
      <c r="M363" s="1487">
        <v>0</v>
      </c>
      <c r="N363" s="1487"/>
      <c r="O363" s="1487">
        <v>0</v>
      </c>
      <c r="P363" s="1488">
        <v>5400000</v>
      </c>
      <c r="Q363" s="1488">
        <v>0</v>
      </c>
      <c r="R363" s="1486"/>
      <c r="S363" s="1486"/>
      <c r="T363" s="1486"/>
      <c r="U363" s="1486"/>
      <c r="V363" s="1486"/>
      <c r="W363" s="1486"/>
      <c r="X363" s="2646"/>
      <c r="Y363" s="2606"/>
    </row>
    <row r="364" spans="1:27" ht="12" customHeight="1">
      <c r="A364" s="2599"/>
      <c r="B364" s="524" t="s">
        <v>30</v>
      </c>
      <c r="C364" s="2595"/>
      <c r="D364" s="443">
        <f>+D365</f>
        <v>30600000</v>
      </c>
      <c r="E364" s="444">
        <f t="shared" ref="E364:Q364" si="207">+E365</f>
        <v>0</v>
      </c>
      <c r="F364" s="444">
        <f t="shared" si="207"/>
        <v>0</v>
      </c>
      <c r="G364" s="444">
        <f t="shared" si="207"/>
        <v>0</v>
      </c>
      <c r="H364" s="444">
        <f t="shared" si="207"/>
        <v>0</v>
      </c>
      <c r="I364" s="444">
        <f t="shared" si="207"/>
        <v>0</v>
      </c>
      <c r="J364" s="444">
        <f t="shared" si="207"/>
        <v>0</v>
      </c>
      <c r="K364" s="444">
        <f t="shared" si="207"/>
        <v>0</v>
      </c>
      <c r="L364" s="444">
        <f t="shared" si="207"/>
        <v>0</v>
      </c>
      <c r="M364" s="936">
        <f t="shared" si="207"/>
        <v>0</v>
      </c>
      <c r="N364" s="936">
        <f t="shared" si="207"/>
        <v>0</v>
      </c>
      <c r="O364" s="936">
        <f t="shared" si="207"/>
        <v>0</v>
      </c>
      <c r="P364" s="936">
        <f t="shared" si="207"/>
        <v>0</v>
      </c>
      <c r="Q364" s="444">
        <f t="shared" si="207"/>
        <v>30600000</v>
      </c>
      <c r="R364" s="444"/>
      <c r="S364" s="444"/>
      <c r="T364" s="444"/>
      <c r="U364" s="444"/>
      <c r="V364" s="444"/>
      <c r="W364" s="444"/>
      <c r="X364" s="2646"/>
      <c r="Y364" s="2606"/>
    </row>
    <row r="365" spans="1:27" ht="13.5" customHeight="1" thickBot="1">
      <c r="A365" s="2600"/>
      <c r="B365" s="474" t="s">
        <v>33</v>
      </c>
      <c r="C365" s="2596"/>
      <c r="D365" s="433">
        <f>SUM(M365:W365)</f>
        <v>30600000</v>
      </c>
      <c r="E365" s="475">
        <f>+F365+G365+H365</f>
        <v>0</v>
      </c>
      <c r="F365" s="476">
        <v>0</v>
      </c>
      <c r="G365" s="475">
        <v>0</v>
      </c>
      <c r="H365" s="475">
        <v>0</v>
      </c>
      <c r="I365" s="475">
        <f>5500000-5500000</f>
        <v>0</v>
      </c>
      <c r="J365" s="475"/>
      <c r="K365" s="475"/>
      <c r="L365" s="475">
        <f>862500-862500</f>
        <v>0</v>
      </c>
      <c r="M365" s="1489">
        <f>L365+E365+I365+J365+K365</f>
        <v>0</v>
      </c>
      <c r="N365" s="1472"/>
      <c r="O365" s="1472">
        <v>0</v>
      </c>
      <c r="P365" s="1472">
        <v>0</v>
      </c>
      <c r="Q365" s="456">
        <v>30600000</v>
      </c>
      <c r="R365" s="456"/>
      <c r="S365" s="456"/>
      <c r="T365" s="456"/>
      <c r="U365" s="456"/>
      <c r="V365" s="456"/>
      <c r="W365" s="456"/>
      <c r="X365" s="2647"/>
      <c r="Y365" s="2607"/>
    </row>
    <row r="366" spans="1:27" ht="26.25" customHeight="1">
      <c r="A366" s="2597" t="s">
        <v>403</v>
      </c>
      <c r="B366" s="477" t="s">
        <v>534</v>
      </c>
      <c r="C366" s="457" t="s">
        <v>97</v>
      </c>
      <c r="D366" s="2193"/>
      <c r="E366" s="530"/>
      <c r="F366" s="531"/>
      <c r="G366" s="530"/>
      <c r="H366" s="530"/>
      <c r="I366" s="530"/>
      <c r="J366" s="530"/>
      <c r="K366" s="530"/>
      <c r="L366" s="530"/>
      <c r="M366" s="530"/>
      <c r="N366" s="530"/>
      <c r="O366" s="530"/>
      <c r="P366" s="532"/>
      <c r="Q366" s="532">
        <f>+Q370-Q376+Q358</f>
        <v>10450715</v>
      </c>
      <c r="R366" s="532"/>
      <c r="S366" s="532"/>
      <c r="T366" s="532"/>
      <c r="U366" s="532"/>
      <c r="V366" s="532"/>
      <c r="W366" s="532"/>
      <c r="X366" s="423"/>
      <c r="Y366" s="2715" t="s">
        <v>120</v>
      </c>
      <c r="Z366" s="1118" t="s">
        <v>452</v>
      </c>
    </row>
    <row r="367" spans="1:27" ht="13.5" customHeight="1">
      <c r="A367" s="2598"/>
      <c r="B367" s="2194" t="s">
        <v>22</v>
      </c>
      <c r="C367" s="359"/>
      <c r="D367" s="2195">
        <f t="shared" ref="D367:O367" si="208">+D368+D372</f>
        <v>203900000</v>
      </c>
      <c r="E367" s="2196">
        <f t="shared" si="208"/>
        <v>0</v>
      </c>
      <c r="F367" s="2196">
        <f t="shared" si="208"/>
        <v>0</v>
      </c>
      <c r="G367" s="2196">
        <f t="shared" si="208"/>
        <v>0</v>
      </c>
      <c r="H367" s="2196">
        <f t="shared" si="208"/>
        <v>0</v>
      </c>
      <c r="I367" s="2196">
        <f t="shared" si="208"/>
        <v>0</v>
      </c>
      <c r="J367" s="2196">
        <f t="shared" si="208"/>
        <v>0</v>
      </c>
      <c r="K367" s="2196">
        <f t="shared" si="208"/>
        <v>0</v>
      </c>
      <c r="L367" s="2197">
        <f t="shared" si="208"/>
        <v>0</v>
      </c>
      <c r="M367" s="2198">
        <f>+M368+M372</f>
        <v>0</v>
      </c>
      <c r="N367" s="2198">
        <f t="shared" si="208"/>
        <v>0</v>
      </c>
      <c r="O367" s="2198">
        <f t="shared" si="208"/>
        <v>0</v>
      </c>
      <c r="P367" s="1991">
        <f>+P368+P372</f>
        <v>0</v>
      </c>
      <c r="Q367" s="2196">
        <f>+Q368+Q372</f>
        <v>89800000</v>
      </c>
      <c r="R367" s="2196">
        <f>+R368+R372</f>
        <v>100260000</v>
      </c>
      <c r="S367" s="2196">
        <f>+S368+S372</f>
        <v>0</v>
      </c>
      <c r="T367" s="2196">
        <f>+T368+T372</f>
        <v>13840000</v>
      </c>
      <c r="U367" s="2196"/>
      <c r="V367" s="2196"/>
      <c r="W367" s="2196"/>
      <c r="X367" s="2062">
        <f>+X368+X372</f>
        <v>203900000</v>
      </c>
      <c r="Y367" s="2606"/>
      <c r="AA367" s="778"/>
    </row>
    <row r="368" spans="1:27" ht="13.5" customHeight="1">
      <c r="A368" s="2598"/>
      <c r="B368" s="2199" t="s">
        <v>36</v>
      </c>
      <c r="C368" s="2701" t="s">
        <v>116</v>
      </c>
      <c r="D368" s="2200">
        <f>+D369+D371+D370</f>
        <v>30585000</v>
      </c>
      <c r="E368" s="2200">
        <f t="shared" ref="E368:R368" si="209">+E369+E371+E370</f>
        <v>0</v>
      </c>
      <c r="F368" s="2200">
        <f t="shared" si="209"/>
        <v>0</v>
      </c>
      <c r="G368" s="2200">
        <f t="shared" si="209"/>
        <v>0</v>
      </c>
      <c r="H368" s="2200">
        <f t="shared" si="209"/>
        <v>0</v>
      </c>
      <c r="I368" s="2200">
        <f t="shared" si="209"/>
        <v>0</v>
      </c>
      <c r="J368" s="2200">
        <f t="shared" si="209"/>
        <v>0</v>
      </c>
      <c r="K368" s="2200">
        <f t="shared" si="209"/>
        <v>0</v>
      </c>
      <c r="L368" s="2200">
        <f t="shared" si="209"/>
        <v>0</v>
      </c>
      <c r="M368" s="2201">
        <f t="shared" si="209"/>
        <v>0</v>
      </c>
      <c r="N368" s="2201">
        <f t="shared" si="209"/>
        <v>0</v>
      </c>
      <c r="O368" s="2201">
        <f t="shared" si="209"/>
        <v>0</v>
      </c>
      <c r="P368" s="2201">
        <f t="shared" si="209"/>
        <v>0</v>
      </c>
      <c r="Q368" s="2200">
        <f t="shared" si="209"/>
        <v>13470000</v>
      </c>
      <c r="R368" s="2200">
        <f t="shared" si="209"/>
        <v>15039000</v>
      </c>
      <c r="S368" s="2200">
        <f>+S369+S371+S370</f>
        <v>0</v>
      </c>
      <c r="T368" s="2200">
        <f>+T369+T371+T370</f>
        <v>2076000</v>
      </c>
      <c r="U368" s="2200"/>
      <c r="V368" s="2200"/>
      <c r="W368" s="2200"/>
      <c r="X368" s="2202">
        <f>+X369+X371+X370</f>
        <v>30585000</v>
      </c>
      <c r="Y368" s="2606"/>
      <c r="AA368" s="778"/>
    </row>
    <row r="369" spans="1:27" ht="12.75" hidden="1" customHeight="1">
      <c r="A369" s="2598"/>
      <c r="B369" s="2203" t="s">
        <v>24</v>
      </c>
      <c r="C369" s="2643"/>
      <c r="D369" s="2204">
        <f>SUM(M369:T369)</f>
        <v>0</v>
      </c>
      <c r="E369" s="2070">
        <f>+F369+G369+H369</f>
        <v>0</v>
      </c>
      <c r="F369" s="1999">
        <v>0</v>
      </c>
      <c r="G369" s="2080">
        <v>0</v>
      </c>
      <c r="H369" s="2080"/>
      <c r="I369" s="2080"/>
      <c r="J369" s="2080"/>
      <c r="K369" s="2070"/>
      <c r="L369" s="2080"/>
      <c r="M369" s="2205">
        <f>+E369+I369+J369+K369+L369</f>
        <v>0</v>
      </c>
      <c r="N369" s="2206"/>
      <c r="O369" s="2002">
        <v>0</v>
      </c>
      <c r="P369" s="2002">
        <v>0</v>
      </c>
      <c r="Q369" s="1999">
        <f>4253144-4253144</f>
        <v>0</v>
      </c>
      <c r="R369" s="2000">
        <f>8680715-8680715</f>
        <v>0</v>
      </c>
      <c r="S369" s="1999">
        <v>0</v>
      </c>
      <c r="T369" s="2000"/>
      <c r="U369" s="1999"/>
      <c r="V369" s="1999"/>
      <c r="W369" s="1999"/>
      <c r="X369" s="2207">
        <f>SUM(P369:T369)</f>
        <v>0</v>
      </c>
      <c r="Y369" s="2606"/>
    </row>
    <row r="370" spans="1:27" ht="12.75" customHeight="1">
      <c r="A370" s="2598"/>
      <c r="B370" s="626" t="s">
        <v>124</v>
      </c>
      <c r="C370" s="2643"/>
      <c r="D370" s="2204">
        <f>SUM(M370:T370)</f>
        <v>30585000</v>
      </c>
      <c r="E370" s="2070"/>
      <c r="F370" s="2208"/>
      <c r="G370" s="2209"/>
      <c r="H370" s="2209"/>
      <c r="I370" s="2209"/>
      <c r="J370" s="2209"/>
      <c r="K370" s="2210"/>
      <c r="L370" s="2209"/>
      <c r="M370" s="2205">
        <v>0</v>
      </c>
      <c r="N370" s="2211"/>
      <c r="O370" s="2212">
        <v>0</v>
      </c>
      <c r="P370" s="2212">
        <v>0</v>
      </c>
      <c r="Q370" s="2208">
        <f>15546856-2076856</f>
        <v>13470000</v>
      </c>
      <c r="R370" s="2213">
        <f>8419285+6619715</f>
        <v>15039000</v>
      </c>
      <c r="S370" s="2208">
        <v>0</v>
      </c>
      <c r="T370" s="2213">
        <v>2076000</v>
      </c>
      <c r="U370" s="2208"/>
      <c r="V370" s="2208"/>
      <c r="W370" s="2208"/>
      <c r="X370" s="2207">
        <f>SUM(P370:W370)</f>
        <v>30585000</v>
      </c>
      <c r="Y370" s="2606"/>
    </row>
    <row r="371" spans="1:27" ht="13.5" hidden="1" customHeight="1">
      <c r="A371" s="2598"/>
      <c r="B371" s="526" t="s">
        <v>27</v>
      </c>
      <c r="C371" s="2643"/>
      <c r="D371" s="2204">
        <f>SUM(M371:T371)</f>
        <v>0</v>
      </c>
      <c r="E371" s="2070">
        <f>+F371+G371+H371</f>
        <v>0</v>
      </c>
      <c r="F371" s="2210">
        <v>0</v>
      </c>
      <c r="G371" s="2210">
        <v>0</v>
      </c>
      <c r="H371" s="2209"/>
      <c r="I371" s="2209"/>
      <c r="J371" s="2209">
        <v>0</v>
      </c>
      <c r="K371" s="2210">
        <v>0</v>
      </c>
      <c r="L371" s="2210">
        <v>0</v>
      </c>
      <c r="M371" s="2205"/>
      <c r="N371" s="2212">
        <v>0</v>
      </c>
      <c r="O371" s="2212">
        <v>0</v>
      </c>
      <c r="P371" s="2212">
        <v>0</v>
      </c>
      <c r="Q371" s="2208">
        <v>0</v>
      </c>
      <c r="R371" s="2208">
        <v>0</v>
      </c>
      <c r="S371" s="2208"/>
      <c r="T371" s="2208"/>
      <c r="U371" s="2208"/>
      <c r="V371" s="2208"/>
      <c r="W371" s="2208"/>
      <c r="X371" s="470"/>
      <c r="Y371" s="2606"/>
    </row>
    <row r="372" spans="1:27" ht="13.5" customHeight="1">
      <c r="A372" s="2598"/>
      <c r="B372" s="2214" t="s">
        <v>30</v>
      </c>
      <c r="C372" s="2643"/>
      <c r="D372" s="2215">
        <f>+D373</f>
        <v>173315000</v>
      </c>
      <c r="E372" s="2064">
        <f t="shared" ref="E372:X372" si="210">+E373</f>
        <v>0</v>
      </c>
      <c r="F372" s="2064">
        <f t="shared" si="210"/>
        <v>0</v>
      </c>
      <c r="G372" s="2064">
        <f t="shared" si="210"/>
        <v>0</v>
      </c>
      <c r="H372" s="2064">
        <f t="shared" si="210"/>
        <v>0</v>
      </c>
      <c r="I372" s="2064">
        <f t="shared" si="210"/>
        <v>0</v>
      </c>
      <c r="J372" s="2064">
        <f t="shared" si="210"/>
        <v>0</v>
      </c>
      <c r="K372" s="2064">
        <f t="shared" si="210"/>
        <v>0</v>
      </c>
      <c r="L372" s="2064">
        <f t="shared" si="210"/>
        <v>0</v>
      </c>
      <c r="M372" s="2216">
        <f t="shared" si="210"/>
        <v>0</v>
      </c>
      <c r="N372" s="2216">
        <f t="shared" si="210"/>
        <v>0</v>
      </c>
      <c r="O372" s="2216">
        <f t="shared" si="210"/>
        <v>0</v>
      </c>
      <c r="P372" s="2216">
        <f t="shared" si="210"/>
        <v>0</v>
      </c>
      <c r="Q372" s="2064">
        <f t="shared" si="210"/>
        <v>76330000</v>
      </c>
      <c r="R372" s="2064">
        <f t="shared" si="210"/>
        <v>85221000</v>
      </c>
      <c r="S372" s="2064">
        <f t="shared" si="210"/>
        <v>0</v>
      </c>
      <c r="T372" s="2064">
        <f t="shared" si="210"/>
        <v>11764000</v>
      </c>
      <c r="U372" s="2064"/>
      <c r="V372" s="2064"/>
      <c r="W372" s="2064"/>
      <c r="X372" s="2202">
        <f t="shared" si="210"/>
        <v>173315000</v>
      </c>
      <c r="Y372" s="2606"/>
    </row>
    <row r="373" spans="1:27" ht="13.5" customHeight="1">
      <c r="A373" s="2598"/>
      <c r="B373" s="2217" t="s">
        <v>33</v>
      </c>
      <c r="C373" s="2644"/>
      <c r="D373" s="2204">
        <f>SUM(M373:T373)</f>
        <v>173315000</v>
      </c>
      <c r="E373" s="2210">
        <f>+F373+G373+H373</f>
        <v>0</v>
      </c>
      <c r="F373" s="2208">
        <v>0</v>
      </c>
      <c r="G373" s="2209">
        <v>0</v>
      </c>
      <c r="H373" s="2209"/>
      <c r="I373" s="2209"/>
      <c r="J373" s="2209"/>
      <c r="K373" s="2209">
        <v>0</v>
      </c>
      <c r="L373" s="2210">
        <v>0</v>
      </c>
      <c r="M373" s="2205">
        <f>+E373+I373+J373+K373+L373</f>
        <v>0</v>
      </c>
      <c r="N373" s="2212">
        <v>0</v>
      </c>
      <c r="O373" s="2212">
        <v>0</v>
      </c>
      <c r="P373" s="2212">
        <v>0</v>
      </c>
      <c r="Q373" s="2208">
        <f>112200000-35870000</f>
        <v>76330000</v>
      </c>
      <c r="R373" s="2208">
        <f>96900000-11679000</f>
        <v>85221000</v>
      </c>
      <c r="S373" s="2208">
        <v>0</v>
      </c>
      <c r="T373" s="2208">
        <v>11764000</v>
      </c>
      <c r="U373" s="2208"/>
      <c r="V373" s="2208"/>
      <c r="W373" s="2208"/>
      <c r="X373" s="2207">
        <f>SUM(P373:T373)</f>
        <v>173315000</v>
      </c>
      <c r="Y373" s="2606"/>
    </row>
    <row r="374" spans="1:27" ht="12.75" customHeight="1">
      <c r="A374" s="2599"/>
      <c r="B374" s="2194" t="s">
        <v>34</v>
      </c>
      <c r="C374" s="359"/>
      <c r="D374" s="2218">
        <f>+D375+D378</f>
        <v>203900000</v>
      </c>
      <c r="E374" s="2061">
        <f t="shared" ref="E374:L374" si="211">+E375+E378</f>
        <v>0</v>
      </c>
      <c r="F374" s="2061">
        <f t="shared" si="211"/>
        <v>0</v>
      </c>
      <c r="G374" s="2061">
        <f t="shared" si="211"/>
        <v>0</v>
      </c>
      <c r="H374" s="2061">
        <f t="shared" si="211"/>
        <v>0</v>
      </c>
      <c r="I374" s="2061">
        <f t="shared" si="211"/>
        <v>0</v>
      </c>
      <c r="J374" s="2061">
        <f t="shared" si="211"/>
        <v>0</v>
      </c>
      <c r="K374" s="2061">
        <f t="shared" si="211"/>
        <v>0</v>
      </c>
      <c r="L374" s="2061">
        <f t="shared" si="211"/>
        <v>0</v>
      </c>
      <c r="M374" s="2061">
        <f t="shared" ref="M374:T374" si="212">+M375+M378</f>
        <v>4477145</v>
      </c>
      <c r="N374" s="2061">
        <f t="shared" si="212"/>
        <v>4477145</v>
      </c>
      <c r="O374" s="2061">
        <f t="shared" si="212"/>
        <v>6250000</v>
      </c>
      <c r="P374" s="2061">
        <f t="shared" si="212"/>
        <v>3019285</v>
      </c>
      <c r="Q374" s="2061">
        <f t="shared" si="212"/>
        <v>84749285</v>
      </c>
      <c r="R374" s="2061">
        <f t="shared" si="212"/>
        <v>93640285</v>
      </c>
      <c r="S374" s="2061">
        <f t="shared" si="212"/>
        <v>0</v>
      </c>
      <c r="T374" s="2061">
        <f t="shared" si="212"/>
        <v>11764000</v>
      </c>
      <c r="U374" s="2061"/>
      <c r="V374" s="2061"/>
      <c r="W374" s="2061"/>
      <c r="X374" s="2219"/>
      <c r="Y374" s="2606"/>
    </row>
    <row r="375" spans="1:27" ht="13.5" customHeight="1">
      <c r="A375" s="2599"/>
      <c r="B375" s="2199" t="s">
        <v>36</v>
      </c>
      <c r="C375" s="2702" t="s">
        <v>444</v>
      </c>
      <c r="D375" s="449">
        <f>+D377+D376</f>
        <v>30585000</v>
      </c>
      <c r="E375" s="449">
        <f t="shared" ref="E375:R375" si="213">+E377+E376</f>
        <v>0</v>
      </c>
      <c r="F375" s="449">
        <f t="shared" si="213"/>
        <v>0</v>
      </c>
      <c r="G375" s="449">
        <f t="shared" si="213"/>
        <v>0</v>
      </c>
      <c r="H375" s="449">
        <f t="shared" si="213"/>
        <v>0</v>
      </c>
      <c r="I375" s="449">
        <f t="shared" si="213"/>
        <v>0</v>
      </c>
      <c r="J375" s="449">
        <f t="shared" si="213"/>
        <v>0</v>
      </c>
      <c r="K375" s="449">
        <f t="shared" si="213"/>
        <v>0</v>
      </c>
      <c r="L375" s="449">
        <f t="shared" si="213"/>
        <v>0</v>
      </c>
      <c r="M375" s="449">
        <f t="shared" si="213"/>
        <v>4477145</v>
      </c>
      <c r="N375" s="449">
        <f t="shared" si="213"/>
        <v>4477145</v>
      </c>
      <c r="O375" s="449">
        <f t="shared" si="213"/>
        <v>6250000</v>
      </c>
      <c r="P375" s="449">
        <f t="shared" si="213"/>
        <v>3019285</v>
      </c>
      <c r="Q375" s="449">
        <f t="shared" si="213"/>
        <v>8419285</v>
      </c>
      <c r="R375" s="449">
        <f t="shared" si="213"/>
        <v>8419285</v>
      </c>
      <c r="S375" s="449">
        <f>+S377+S376</f>
        <v>0</v>
      </c>
      <c r="T375" s="449">
        <f>+T377+T376</f>
        <v>0</v>
      </c>
      <c r="U375" s="449"/>
      <c r="V375" s="449"/>
      <c r="W375" s="449"/>
      <c r="X375" s="2522"/>
      <c r="Y375" s="2606"/>
    </row>
    <row r="376" spans="1:27" s="782" customFormat="1" ht="13.5" customHeight="1">
      <c r="A376" s="2599"/>
      <c r="B376" s="2220" t="s">
        <v>124</v>
      </c>
      <c r="C376" s="2703"/>
      <c r="D376" s="2221">
        <f>M376+O376+P376+Q376+R376+S376+T376+U376+V376+W376</f>
        <v>30585000</v>
      </c>
      <c r="E376" s="449"/>
      <c r="F376" s="449"/>
      <c r="G376" s="449"/>
      <c r="H376" s="449"/>
      <c r="I376" s="449"/>
      <c r="J376" s="449"/>
      <c r="K376" s="449"/>
      <c r="L376" s="449"/>
      <c r="M376" s="2222">
        <f>+E376+I376+J376+K376+L376+N376</f>
        <v>4477145</v>
      </c>
      <c r="N376" s="2223">
        <f>4108286+368859</f>
        <v>4477145</v>
      </c>
      <c r="O376" s="2222">
        <v>6250000</v>
      </c>
      <c r="P376" s="2223">
        <v>3019285</v>
      </c>
      <c r="Q376" s="2223">
        <v>8419285</v>
      </c>
      <c r="R376" s="2223">
        <v>8419285</v>
      </c>
      <c r="S376" s="449">
        <v>0</v>
      </c>
      <c r="T376" s="449">
        <v>0</v>
      </c>
      <c r="U376" s="449"/>
      <c r="V376" s="449"/>
      <c r="W376" s="449"/>
      <c r="X376" s="2522"/>
      <c r="Y376" s="2606"/>
    </row>
    <row r="377" spans="1:27" ht="12.75" hidden="1" customHeight="1">
      <c r="A377" s="2599"/>
      <c r="B377" s="526" t="s">
        <v>27</v>
      </c>
      <c r="C377" s="2652"/>
      <c r="D377" s="2204">
        <f>SUM(M377:T377)</f>
        <v>0</v>
      </c>
      <c r="E377" s="2070">
        <f>+F377+G377+H377</f>
        <v>0</v>
      </c>
      <c r="F377" s="2069">
        <v>0</v>
      </c>
      <c r="G377" s="2069">
        <v>0</v>
      </c>
      <c r="H377" s="2069">
        <v>0</v>
      </c>
      <c r="I377" s="2069"/>
      <c r="J377" s="2069">
        <v>0</v>
      </c>
      <c r="K377" s="2069">
        <v>0</v>
      </c>
      <c r="L377" s="2069">
        <v>0</v>
      </c>
      <c r="M377" s="2001">
        <f>+E377+I377+J377+K377+L377</f>
        <v>0</v>
      </c>
      <c r="N377" s="2069">
        <v>0</v>
      </c>
      <c r="O377" s="2224">
        <v>0</v>
      </c>
      <c r="P377" s="534">
        <v>0</v>
      </c>
      <c r="Q377" s="534"/>
      <c r="R377" s="534"/>
      <c r="S377" s="534"/>
      <c r="T377" s="534"/>
      <c r="U377" s="534"/>
      <c r="V377" s="534"/>
      <c r="W377" s="534"/>
      <c r="X377" s="2522"/>
      <c r="Y377" s="2606"/>
    </row>
    <row r="378" spans="1:27" ht="12" customHeight="1">
      <c r="A378" s="2599"/>
      <c r="B378" s="2214" t="s">
        <v>30</v>
      </c>
      <c r="C378" s="2652"/>
      <c r="D378" s="2215">
        <f t="shared" ref="D378:T378" si="214">+D379</f>
        <v>173315000</v>
      </c>
      <c r="E378" s="2064">
        <f t="shared" si="214"/>
        <v>0</v>
      </c>
      <c r="F378" s="2064">
        <f t="shared" si="214"/>
        <v>0</v>
      </c>
      <c r="G378" s="2064">
        <f t="shared" si="214"/>
        <v>0</v>
      </c>
      <c r="H378" s="2064">
        <f t="shared" si="214"/>
        <v>0</v>
      </c>
      <c r="I378" s="2064">
        <f t="shared" si="214"/>
        <v>0</v>
      </c>
      <c r="J378" s="2064">
        <f t="shared" si="214"/>
        <v>0</v>
      </c>
      <c r="K378" s="2064">
        <f t="shared" si="214"/>
        <v>0</v>
      </c>
      <c r="L378" s="2064">
        <f t="shared" si="214"/>
        <v>0</v>
      </c>
      <c r="M378" s="2216">
        <f t="shared" si="214"/>
        <v>0</v>
      </c>
      <c r="N378" s="2216">
        <f t="shared" si="214"/>
        <v>0</v>
      </c>
      <c r="O378" s="2216">
        <f t="shared" si="214"/>
        <v>0</v>
      </c>
      <c r="P378" s="2216">
        <f t="shared" si="214"/>
        <v>0</v>
      </c>
      <c r="Q378" s="2064">
        <f t="shared" si="214"/>
        <v>76330000</v>
      </c>
      <c r="R378" s="2064">
        <f t="shared" si="214"/>
        <v>85221000</v>
      </c>
      <c r="S378" s="2064">
        <f t="shared" si="214"/>
        <v>0</v>
      </c>
      <c r="T378" s="2064">
        <f t="shared" si="214"/>
        <v>11764000</v>
      </c>
      <c r="U378" s="2064"/>
      <c r="V378" s="2064"/>
      <c r="W378" s="2064"/>
      <c r="X378" s="2522"/>
      <c r="Y378" s="2606"/>
    </row>
    <row r="379" spans="1:27" ht="13.5" customHeight="1" thickBot="1">
      <c r="A379" s="2600"/>
      <c r="B379" s="474" t="s">
        <v>33</v>
      </c>
      <c r="C379" s="2653"/>
      <c r="D379" s="1064">
        <f>SUM(M379:T379)</f>
        <v>173315000</v>
      </c>
      <c r="E379" s="475">
        <f>+F379+G379+H379</f>
        <v>0</v>
      </c>
      <c r="F379" s="476">
        <v>0</v>
      </c>
      <c r="G379" s="475">
        <v>0</v>
      </c>
      <c r="H379" s="475">
        <v>0</v>
      </c>
      <c r="I379" s="475"/>
      <c r="J379" s="475"/>
      <c r="K379" s="475"/>
      <c r="L379" s="475">
        <v>0</v>
      </c>
      <c r="M379" s="1071">
        <f>+E379+I379+J379+K379+L379</f>
        <v>0</v>
      </c>
      <c r="N379" s="937">
        <v>0</v>
      </c>
      <c r="O379" s="937">
        <v>0</v>
      </c>
      <c r="P379" s="1472">
        <v>0</v>
      </c>
      <c r="Q379" s="456">
        <f>112200000-35870000</f>
        <v>76330000</v>
      </c>
      <c r="R379" s="456">
        <f>96900000-11679000</f>
        <v>85221000</v>
      </c>
      <c r="S379" s="456">
        <v>0</v>
      </c>
      <c r="T379" s="456">
        <v>11764000</v>
      </c>
      <c r="U379" s="456"/>
      <c r="V379" s="456"/>
      <c r="W379" s="456"/>
      <c r="X379" s="2523"/>
      <c r="Y379" s="2607"/>
    </row>
    <row r="380" spans="1:27" ht="17.25" customHeight="1">
      <c r="A380" s="2709" t="s">
        <v>299</v>
      </c>
      <c r="B380" s="577" t="s">
        <v>313</v>
      </c>
      <c r="C380" s="578"/>
      <c r="D380" s="579"/>
      <c r="E380" s="580"/>
      <c r="F380" s="580"/>
      <c r="G380" s="580"/>
      <c r="H380" s="580"/>
      <c r="I380" s="580"/>
      <c r="J380" s="581"/>
      <c r="K380" s="581"/>
      <c r="L380" s="581"/>
      <c r="M380" s="581"/>
      <c r="N380" s="581"/>
      <c r="O380" s="581"/>
      <c r="P380" s="581"/>
      <c r="Q380" s="581">
        <f>+Q381-Q387</f>
        <v>17984290</v>
      </c>
      <c r="R380" s="581"/>
      <c r="S380" s="581"/>
      <c r="T380" s="581"/>
      <c r="U380" s="1020"/>
      <c r="V380" s="1021"/>
      <c r="W380" s="1021"/>
      <c r="X380" s="582"/>
      <c r="Y380" s="2713"/>
    </row>
    <row r="381" spans="1:27" s="867" customFormat="1" ht="14.25" customHeight="1">
      <c r="A381" s="2710"/>
      <c r="B381" s="1400" t="s">
        <v>22</v>
      </c>
      <c r="C381" s="522"/>
      <c r="D381" s="583">
        <f>+D382+D385</f>
        <v>45043940</v>
      </c>
      <c r="E381" s="583">
        <f t="shared" ref="E381:N381" si="215">+E382+E385</f>
        <v>0</v>
      </c>
      <c r="F381" s="583">
        <f t="shared" si="215"/>
        <v>0</v>
      </c>
      <c r="G381" s="583">
        <f t="shared" si="215"/>
        <v>0</v>
      </c>
      <c r="H381" s="583">
        <f t="shared" si="215"/>
        <v>0</v>
      </c>
      <c r="I381" s="583">
        <f t="shared" si="215"/>
        <v>228400</v>
      </c>
      <c r="J381" s="583">
        <f t="shared" si="215"/>
        <v>3000</v>
      </c>
      <c r="K381" s="583">
        <f t="shared" si="215"/>
        <v>22878</v>
      </c>
      <c r="L381" s="583">
        <f t="shared" si="215"/>
        <v>137917</v>
      </c>
      <c r="M381" s="583">
        <f t="shared" si="215"/>
        <v>395660</v>
      </c>
      <c r="N381" s="583">
        <f t="shared" si="215"/>
        <v>3465</v>
      </c>
      <c r="O381" s="583">
        <f t="shared" ref="O381:X381" si="216">+O382+O385</f>
        <v>0</v>
      </c>
      <c r="P381" s="583">
        <f t="shared" si="216"/>
        <v>498816</v>
      </c>
      <c r="Q381" s="583">
        <f t="shared" si="216"/>
        <v>31790494</v>
      </c>
      <c r="R381" s="583">
        <f t="shared" si="216"/>
        <v>4637525</v>
      </c>
      <c r="S381" s="583">
        <f t="shared" si="216"/>
        <v>7721445</v>
      </c>
      <c r="T381" s="583">
        <f t="shared" si="216"/>
        <v>0</v>
      </c>
      <c r="U381" s="583">
        <f t="shared" si="216"/>
        <v>0</v>
      </c>
      <c r="V381" s="583">
        <f t="shared" si="216"/>
        <v>0</v>
      </c>
      <c r="W381" s="583">
        <f t="shared" si="216"/>
        <v>0</v>
      </c>
      <c r="X381" s="1698">
        <f t="shared" si="216"/>
        <v>44648280</v>
      </c>
      <c r="Y381" s="2714"/>
      <c r="Z381" s="861">
        <f>+O381+P381</f>
        <v>498816</v>
      </c>
      <c r="AA381" s="866"/>
    </row>
    <row r="382" spans="1:27" s="868" customFormat="1" ht="13.5" customHeight="1">
      <c r="A382" s="2710"/>
      <c r="B382" s="584" t="s">
        <v>23</v>
      </c>
      <c r="C382" s="585"/>
      <c r="D382" s="1699">
        <f>+D383+D384</f>
        <v>12142837</v>
      </c>
      <c r="E382" s="1699">
        <f t="shared" ref="E382:N382" si="217">+E383+E384</f>
        <v>0</v>
      </c>
      <c r="F382" s="1699">
        <f t="shared" si="217"/>
        <v>0</v>
      </c>
      <c r="G382" s="1699">
        <f t="shared" si="217"/>
        <v>0</v>
      </c>
      <c r="H382" s="1699">
        <f t="shared" si="217"/>
        <v>0</v>
      </c>
      <c r="I382" s="1699">
        <f t="shared" si="217"/>
        <v>228400</v>
      </c>
      <c r="J382" s="1699">
        <f t="shared" si="217"/>
        <v>3000</v>
      </c>
      <c r="K382" s="1699">
        <f t="shared" si="217"/>
        <v>22878</v>
      </c>
      <c r="L382" s="1699">
        <f t="shared" si="217"/>
        <v>137917</v>
      </c>
      <c r="M382" s="1699">
        <f t="shared" si="217"/>
        <v>395660</v>
      </c>
      <c r="N382" s="1699">
        <f t="shared" si="217"/>
        <v>3465</v>
      </c>
      <c r="O382" s="1699">
        <f t="shared" ref="O382:W382" si="218">+O383</f>
        <v>0</v>
      </c>
      <c r="P382" s="1699">
        <f t="shared" si="218"/>
        <v>156769</v>
      </c>
      <c r="Q382" s="1699">
        <f t="shared" si="218"/>
        <v>8658582</v>
      </c>
      <c r="R382" s="1699">
        <f t="shared" si="218"/>
        <v>1094482</v>
      </c>
      <c r="S382" s="1699">
        <f t="shared" si="218"/>
        <v>1837344</v>
      </c>
      <c r="T382" s="1699">
        <f t="shared" si="218"/>
        <v>0</v>
      </c>
      <c r="U382" s="1699">
        <f t="shared" si="218"/>
        <v>0</v>
      </c>
      <c r="V382" s="1699">
        <f t="shared" si="218"/>
        <v>0</v>
      </c>
      <c r="W382" s="1699">
        <f t="shared" si="218"/>
        <v>0</v>
      </c>
      <c r="X382" s="1674">
        <f>+X383</f>
        <v>11747177</v>
      </c>
      <c r="Y382" s="2714"/>
      <c r="AA382" s="866"/>
    </row>
    <row r="383" spans="1:27" s="867" customFormat="1" ht="11.25" customHeight="1">
      <c r="A383" s="2710"/>
      <c r="B383" s="408" t="s">
        <v>24</v>
      </c>
      <c r="C383" s="409"/>
      <c r="D383" s="1634">
        <f>+D395+D405+D462++D414+D426+D435+D444+D453</f>
        <v>12085834</v>
      </c>
      <c r="E383" s="1634">
        <f t="shared" ref="E383:W383" si="219">+E395+E405+E462++E414+E426+E435+E444+E453</f>
        <v>0</v>
      </c>
      <c r="F383" s="1634">
        <f t="shared" si="219"/>
        <v>0</v>
      </c>
      <c r="G383" s="1634">
        <f t="shared" si="219"/>
        <v>0</v>
      </c>
      <c r="H383" s="1634">
        <f t="shared" si="219"/>
        <v>0</v>
      </c>
      <c r="I383" s="1634">
        <f t="shared" si="219"/>
        <v>228400</v>
      </c>
      <c r="J383" s="1634">
        <f t="shared" si="219"/>
        <v>3000</v>
      </c>
      <c r="K383" s="1634">
        <f t="shared" si="219"/>
        <v>0</v>
      </c>
      <c r="L383" s="1634">
        <f t="shared" si="219"/>
        <v>103792</v>
      </c>
      <c r="M383" s="1634">
        <f t="shared" si="219"/>
        <v>338657</v>
      </c>
      <c r="N383" s="1634">
        <f t="shared" si="219"/>
        <v>3465</v>
      </c>
      <c r="O383" s="1634">
        <f t="shared" si="219"/>
        <v>0</v>
      </c>
      <c r="P383" s="1634">
        <f t="shared" si="219"/>
        <v>156769</v>
      </c>
      <c r="Q383" s="1634">
        <f t="shared" si="219"/>
        <v>8658582</v>
      </c>
      <c r="R383" s="1634">
        <f t="shared" si="219"/>
        <v>1094482</v>
      </c>
      <c r="S383" s="1634">
        <f t="shared" si="219"/>
        <v>1837344</v>
      </c>
      <c r="T383" s="1634">
        <f t="shared" si="219"/>
        <v>0</v>
      </c>
      <c r="U383" s="1634">
        <f t="shared" si="219"/>
        <v>0</v>
      </c>
      <c r="V383" s="1634">
        <f t="shared" si="219"/>
        <v>0</v>
      </c>
      <c r="W383" s="1634">
        <f t="shared" si="219"/>
        <v>0</v>
      </c>
      <c r="X383" s="1678">
        <f>SUM(P383:T383)</f>
        <v>11747177</v>
      </c>
      <c r="Y383" s="2714"/>
      <c r="Z383" s="866"/>
      <c r="AA383" s="866"/>
    </row>
    <row r="384" spans="1:27" s="867" customFormat="1" ht="11.25" customHeight="1">
      <c r="A384" s="2710"/>
      <c r="B384" s="408" t="s">
        <v>27</v>
      </c>
      <c r="C384" s="409"/>
      <c r="D384" s="1634">
        <f>+D415</f>
        <v>57003</v>
      </c>
      <c r="E384" s="1634">
        <f t="shared" ref="E384:W384" si="220">+E415</f>
        <v>0</v>
      </c>
      <c r="F384" s="1634">
        <f t="shared" si="220"/>
        <v>0</v>
      </c>
      <c r="G384" s="1634">
        <f t="shared" si="220"/>
        <v>0</v>
      </c>
      <c r="H384" s="1634">
        <f t="shared" si="220"/>
        <v>0</v>
      </c>
      <c r="I384" s="1634">
        <f t="shared" si="220"/>
        <v>0</v>
      </c>
      <c r="J384" s="1634">
        <f t="shared" si="220"/>
        <v>0</v>
      </c>
      <c r="K384" s="1634">
        <f t="shared" si="220"/>
        <v>22878</v>
      </c>
      <c r="L384" s="1634">
        <f t="shared" si="220"/>
        <v>34125</v>
      </c>
      <c r="M384" s="1634">
        <f t="shared" si="220"/>
        <v>57003</v>
      </c>
      <c r="N384" s="1634">
        <f t="shared" si="220"/>
        <v>0</v>
      </c>
      <c r="O384" s="1634">
        <f t="shared" si="220"/>
        <v>0</v>
      </c>
      <c r="P384" s="1634">
        <f t="shared" si="220"/>
        <v>0</v>
      </c>
      <c r="Q384" s="1634">
        <f t="shared" si="220"/>
        <v>0</v>
      </c>
      <c r="R384" s="1634">
        <f t="shared" si="220"/>
        <v>0</v>
      </c>
      <c r="S384" s="1634">
        <f t="shared" si="220"/>
        <v>0</v>
      </c>
      <c r="T384" s="1634">
        <f t="shared" si="220"/>
        <v>0</v>
      </c>
      <c r="U384" s="1634">
        <f t="shared" si="220"/>
        <v>0</v>
      </c>
      <c r="V384" s="1634">
        <f t="shared" si="220"/>
        <v>0</v>
      </c>
      <c r="W384" s="1634">
        <f t="shared" si="220"/>
        <v>0</v>
      </c>
      <c r="X384" s="1678">
        <f>SUM(P384:T384)</f>
        <v>0</v>
      </c>
      <c r="Y384" s="2714"/>
      <c r="Z384" s="866"/>
      <c r="AA384" s="866"/>
    </row>
    <row r="385" spans="1:27" s="868" customFormat="1" ht="13.5" customHeight="1">
      <c r="A385" s="2710"/>
      <c r="B385" s="1700" t="s">
        <v>118</v>
      </c>
      <c r="C385" s="1701"/>
      <c r="D385" s="1702">
        <f>+D386</f>
        <v>32901103</v>
      </c>
      <c r="E385" s="1702">
        <f t="shared" ref="E385:W385" si="221">+E386</f>
        <v>0</v>
      </c>
      <c r="F385" s="1702">
        <f t="shared" si="221"/>
        <v>0</v>
      </c>
      <c r="G385" s="1702">
        <f t="shared" si="221"/>
        <v>0</v>
      </c>
      <c r="H385" s="1702">
        <f t="shared" si="221"/>
        <v>0</v>
      </c>
      <c r="I385" s="1702">
        <f t="shared" si="221"/>
        <v>0</v>
      </c>
      <c r="J385" s="1702">
        <f t="shared" si="221"/>
        <v>0</v>
      </c>
      <c r="K385" s="1702">
        <f t="shared" si="221"/>
        <v>0</v>
      </c>
      <c r="L385" s="1702">
        <f t="shared" si="221"/>
        <v>0</v>
      </c>
      <c r="M385" s="1702">
        <f t="shared" si="221"/>
        <v>0</v>
      </c>
      <c r="N385" s="1702">
        <f t="shared" si="221"/>
        <v>0</v>
      </c>
      <c r="O385" s="1702">
        <f t="shared" si="221"/>
        <v>0</v>
      </c>
      <c r="P385" s="1702">
        <f t="shared" si="221"/>
        <v>342047</v>
      </c>
      <c r="Q385" s="1702">
        <f t="shared" si="221"/>
        <v>23131912</v>
      </c>
      <c r="R385" s="1702">
        <f t="shared" si="221"/>
        <v>3543043</v>
      </c>
      <c r="S385" s="1702">
        <f t="shared" si="221"/>
        <v>5884101</v>
      </c>
      <c r="T385" s="1702">
        <f t="shared" si="221"/>
        <v>0</v>
      </c>
      <c r="U385" s="1702">
        <f t="shared" si="221"/>
        <v>0</v>
      </c>
      <c r="V385" s="1702">
        <f t="shared" si="221"/>
        <v>0</v>
      </c>
      <c r="W385" s="1702">
        <f t="shared" si="221"/>
        <v>0</v>
      </c>
      <c r="X385" s="1674">
        <f>+X386</f>
        <v>32901103</v>
      </c>
      <c r="Y385" s="2714"/>
      <c r="AA385" s="866"/>
    </row>
    <row r="386" spans="1:27" s="867" customFormat="1" ht="12.75" customHeight="1">
      <c r="A386" s="2710"/>
      <c r="B386" s="408" t="s">
        <v>32</v>
      </c>
      <c r="C386" s="409"/>
      <c r="D386" s="1634">
        <f>+D397+D407+D467+D417+D428+D437+D446+D455</f>
        <v>32901103</v>
      </c>
      <c r="E386" s="1634">
        <f t="shared" ref="E386:W386" si="222">+E397+E407+E467+E417+E428+E437+E446+E455</f>
        <v>0</v>
      </c>
      <c r="F386" s="1634">
        <f t="shared" si="222"/>
        <v>0</v>
      </c>
      <c r="G386" s="1634">
        <f t="shared" si="222"/>
        <v>0</v>
      </c>
      <c r="H386" s="1634">
        <f t="shared" si="222"/>
        <v>0</v>
      </c>
      <c r="I386" s="1634">
        <f t="shared" si="222"/>
        <v>0</v>
      </c>
      <c r="J386" s="1634">
        <f t="shared" si="222"/>
        <v>0</v>
      </c>
      <c r="K386" s="1634">
        <f t="shared" si="222"/>
        <v>0</v>
      </c>
      <c r="L386" s="1634">
        <f t="shared" si="222"/>
        <v>0</v>
      </c>
      <c r="M386" s="1634">
        <f t="shared" si="222"/>
        <v>0</v>
      </c>
      <c r="N386" s="1634">
        <f t="shared" si="222"/>
        <v>0</v>
      </c>
      <c r="O386" s="1634">
        <f t="shared" si="222"/>
        <v>0</v>
      </c>
      <c r="P386" s="1634">
        <f t="shared" si="222"/>
        <v>342047</v>
      </c>
      <c r="Q386" s="1634">
        <f t="shared" si="222"/>
        <v>23131912</v>
      </c>
      <c r="R386" s="1634">
        <f t="shared" si="222"/>
        <v>3543043</v>
      </c>
      <c r="S386" s="1634">
        <f t="shared" si="222"/>
        <v>5884101</v>
      </c>
      <c r="T386" s="1634">
        <f t="shared" si="222"/>
        <v>0</v>
      </c>
      <c r="U386" s="1634">
        <f t="shared" si="222"/>
        <v>0</v>
      </c>
      <c r="V386" s="1634">
        <f t="shared" si="222"/>
        <v>0</v>
      </c>
      <c r="W386" s="1634">
        <f t="shared" si="222"/>
        <v>0</v>
      </c>
      <c r="X386" s="1678">
        <f>SUM(P386:T386)</f>
        <v>32901103</v>
      </c>
      <c r="Y386" s="2714"/>
      <c r="Z386" s="866"/>
      <c r="AA386" s="866"/>
    </row>
    <row r="387" spans="1:27" s="867" customFormat="1" ht="12" customHeight="1">
      <c r="A387" s="2711"/>
      <c r="B387" s="358" t="s">
        <v>34</v>
      </c>
      <c r="C387" s="1670"/>
      <c r="D387" s="1671">
        <f>+D390+D388</f>
        <v>32958106</v>
      </c>
      <c r="E387" s="1671">
        <f t="shared" ref="E387:W387" si="223">+E390+E388</f>
        <v>0</v>
      </c>
      <c r="F387" s="1671">
        <f t="shared" si="223"/>
        <v>0</v>
      </c>
      <c r="G387" s="1671">
        <f t="shared" si="223"/>
        <v>0</v>
      </c>
      <c r="H387" s="1671">
        <f t="shared" si="223"/>
        <v>0</v>
      </c>
      <c r="I387" s="1671">
        <f t="shared" si="223"/>
        <v>0</v>
      </c>
      <c r="J387" s="1671">
        <f t="shared" si="223"/>
        <v>0</v>
      </c>
      <c r="K387" s="1671">
        <f t="shared" si="223"/>
        <v>22878</v>
      </c>
      <c r="L387" s="1671">
        <f t="shared" si="223"/>
        <v>34125</v>
      </c>
      <c r="M387" s="1671">
        <f t="shared" si="223"/>
        <v>57003</v>
      </c>
      <c r="N387" s="1671">
        <f t="shared" si="223"/>
        <v>0</v>
      </c>
      <c r="O387" s="1671">
        <f t="shared" si="223"/>
        <v>0</v>
      </c>
      <c r="P387" s="1671">
        <f t="shared" si="223"/>
        <v>0</v>
      </c>
      <c r="Q387" s="1671">
        <f t="shared" si="223"/>
        <v>13806204</v>
      </c>
      <c r="R387" s="1671">
        <f t="shared" si="223"/>
        <v>9554405</v>
      </c>
      <c r="S387" s="1671">
        <f t="shared" si="223"/>
        <v>6558936</v>
      </c>
      <c r="T387" s="1671">
        <f t="shared" si="223"/>
        <v>2981558</v>
      </c>
      <c r="U387" s="1671">
        <f t="shared" si="223"/>
        <v>0</v>
      </c>
      <c r="V387" s="1671">
        <f t="shared" si="223"/>
        <v>0</v>
      </c>
      <c r="W387" s="1671">
        <f t="shared" si="223"/>
        <v>0</v>
      </c>
      <c r="X387" s="2640" t="s">
        <v>35</v>
      </c>
      <c r="Y387" s="587"/>
      <c r="Z387" s="866"/>
    </row>
    <row r="388" spans="1:27" s="867" customFormat="1" ht="12" customHeight="1">
      <c r="A388" s="2711"/>
      <c r="B388" s="584" t="s">
        <v>36</v>
      </c>
      <c r="C388" s="585"/>
      <c r="D388" s="1699">
        <f>+D389</f>
        <v>57003</v>
      </c>
      <c r="E388" s="1699">
        <f t="shared" ref="E388:M388" si="224">+E389</f>
        <v>0</v>
      </c>
      <c r="F388" s="1699">
        <f t="shared" si="224"/>
        <v>0</v>
      </c>
      <c r="G388" s="1699">
        <f t="shared" si="224"/>
        <v>0</v>
      </c>
      <c r="H388" s="1699">
        <f t="shared" si="224"/>
        <v>0</v>
      </c>
      <c r="I388" s="1699">
        <f t="shared" si="224"/>
        <v>0</v>
      </c>
      <c r="J388" s="1699">
        <f t="shared" si="224"/>
        <v>0</v>
      </c>
      <c r="K388" s="1699">
        <f t="shared" si="224"/>
        <v>22878</v>
      </c>
      <c r="L388" s="1699">
        <f t="shared" si="224"/>
        <v>34125</v>
      </c>
      <c r="M388" s="1699">
        <f t="shared" si="224"/>
        <v>57003</v>
      </c>
      <c r="N388" s="1699"/>
      <c r="O388" s="1699"/>
      <c r="P388" s="1699"/>
      <c r="Q388" s="1699"/>
      <c r="R388" s="1699"/>
      <c r="S388" s="1699"/>
      <c r="T388" s="1699"/>
      <c r="U388" s="1699"/>
      <c r="V388" s="1699"/>
      <c r="W388" s="1699"/>
      <c r="X388" s="2638"/>
      <c r="Y388" s="587"/>
      <c r="Z388" s="866"/>
    </row>
    <row r="389" spans="1:27" s="867" customFormat="1" ht="12" customHeight="1">
      <c r="A389" s="2711"/>
      <c r="B389" s="408" t="s">
        <v>27</v>
      </c>
      <c r="C389" s="409"/>
      <c r="D389" s="1634">
        <f>+D420</f>
        <v>57003</v>
      </c>
      <c r="E389" s="1634">
        <f t="shared" ref="E389:W389" si="225">+E420</f>
        <v>0</v>
      </c>
      <c r="F389" s="1634">
        <f t="shared" si="225"/>
        <v>0</v>
      </c>
      <c r="G389" s="1634">
        <f t="shared" si="225"/>
        <v>0</v>
      </c>
      <c r="H389" s="1634">
        <f t="shared" si="225"/>
        <v>0</v>
      </c>
      <c r="I389" s="1634">
        <f t="shared" si="225"/>
        <v>0</v>
      </c>
      <c r="J389" s="1634">
        <f t="shared" si="225"/>
        <v>0</v>
      </c>
      <c r="K389" s="1634">
        <f t="shared" si="225"/>
        <v>22878</v>
      </c>
      <c r="L389" s="1634">
        <f t="shared" si="225"/>
        <v>34125</v>
      </c>
      <c r="M389" s="1634">
        <f t="shared" si="225"/>
        <v>57003</v>
      </c>
      <c r="N389" s="1634">
        <f t="shared" si="225"/>
        <v>0</v>
      </c>
      <c r="O389" s="1634">
        <f t="shared" si="225"/>
        <v>0</v>
      </c>
      <c r="P389" s="1634">
        <f t="shared" si="225"/>
        <v>0</v>
      </c>
      <c r="Q389" s="1634">
        <f t="shared" si="225"/>
        <v>0</v>
      </c>
      <c r="R389" s="1634">
        <f t="shared" si="225"/>
        <v>0</v>
      </c>
      <c r="S389" s="1634">
        <f t="shared" si="225"/>
        <v>0</v>
      </c>
      <c r="T389" s="1634">
        <f t="shared" si="225"/>
        <v>0</v>
      </c>
      <c r="U389" s="1634">
        <f t="shared" si="225"/>
        <v>0</v>
      </c>
      <c r="V389" s="1634">
        <f t="shared" si="225"/>
        <v>0</v>
      </c>
      <c r="W389" s="1634">
        <f t="shared" si="225"/>
        <v>0</v>
      </c>
      <c r="X389" s="2638"/>
      <c r="Y389" s="587"/>
      <c r="Z389" s="866"/>
    </row>
    <row r="390" spans="1:27" s="867" customFormat="1" ht="12.75" customHeight="1">
      <c r="A390" s="2711"/>
      <c r="B390" s="588" t="s">
        <v>30</v>
      </c>
      <c r="C390" s="589"/>
      <c r="D390" s="590">
        <f>+D391</f>
        <v>32901103</v>
      </c>
      <c r="E390" s="590">
        <f t="shared" ref="E390:T390" si="226">+E391</f>
        <v>0</v>
      </c>
      <c r="F390" s="590">
        <f t="shared" si="226"/>
        <v>0</v>
      </c>
      <c r="G390" s="590">
        <f t="shared" si="226"/>
        <v>0</v>
      </c>
      <c r="H390" s="590">
        <f t="shared" si="226"/>
        <v>0</v>
      </c>
      <c r="I390" s="590">
        <f t="shared" si="226"/>
        <v>0</v>
      </c>
      <c r="J390" s="590">
        <f>+J391</f>
        <v>0</v>
      </c>
      <c r="K390" s="590">
        <f t="shared" si="226"/>
        <v>0</v>
      </c>
      <c r="L390" s="590">
        <f t="shared" si="226"/>
        <v>0</v>
      </c>
      <c r="M390" s="590">
        <f t="shared" si="226"/>
        <v>0</v>
      </c>
      <c r="N390" s="590">
        <f t="shared" si="226"/>
        <v>0</v>
      </c>
      <c r="O390" s="590">
        <f t="shared" si="226"/>
        <v>0</v>
      </c>
      <c r="P390" s="590">
        <f t="shared" si="226"/>
        <v>0</v>
      </c>
      <c r="Q390" s="590">
        <f t="shared" si="226"/>
        <v>13806204</v>
      </c>
      <c r="R390" s="590">
        <f t="shared" si="226"/>
        <v>9554405</v>
      </c>
      <c r="S390" s="590">
        <f t="shared" si="226"/>
        <v>6558936</v>
      </c>
      <c r="T390" s="590">
        <f t="shared" si="226"/>
        <v>2981558</v>
      </c>
      <c r="U390" s="590">
        <f>+U391</f>
        <v>0</v>
      </c>
      <c r="V390" s="590">
        <f>+V391</f>
        <v>0</v>
      </c>
      <c r="W390" s="590">
        <f>+W391</f>
        <v>0</v>
      </c>
      <c r="X390" s="2638"/>
      <c r="Y390" s="2526"/>
      <c r="Z390" s="866"/>
    </row>
    <row r="391" spans="1:27" s="867" customFormat="1" ht="13.5" customHeight="1" thickBot="1">
      <c r="A391" s="2712"/>
      <c r="B391" s="591" t="s">
        <v>32</v>
      </c>
      <c r="C391" s="592"/>
      <c r="D391" s="593">
        <f>+D400+D410+D473+D422+D431+D440+D449+D458</f>
        <v>32901103</v>
      </c>
      <c r="E391" s="593">
        <f t="shared" ref="E391:W391" si="227">+E400+E410+E473+E422+E431+E440+E449+E458</f>
        <v>0</v>
      </c>
      <c r="F391" s="593">
        <f t="shared" si="227"/>
        <v>0</v>
      </c>
      <c r="G391" s="593">
        <f t="shared" si="227"/>
        <v>0</v>
      </c>
      <c r="H391" s="593">
        <f t="shared" si="227"/>
        <v>0</v>
      </c>
      <c r="I391" s="593">
        <f t="shared" si="227"/>
        <v>0</v>
      </c>
      <c r="J391" s="593">
        <f t="shared" si="227"/>
        <v>0</v>
      </c>
      <c r="K391" s="593">
        <f t="shared" si="227"/>
        <v>0</v>
      </c>
      <c r="L391" s="593">
        <f t="shared" si="227"/>
        <v>0</v>
      </c>
      <c r="M391" s="593">
        <f t="shared" si="227"/>
        <v>0</v>
      </c>
      <c r="N391" s="593">
        <f t="shared" si="227"/>
        <v>0</v>
      </c>
      <c r="O391" s="593">
        <f t="shared" si="227"/>
        <v>0</v>
      </c>
      <c r="P391" s="593">
        <f t="shared" si="227"/>
        <v>0</v>
      </c>
      <c r="Q391" s="593">
        <f t="shared" si="227"/>
        <v>13806204</v>
      </c>
      <c r="R391" s="593">
        <f t="shared" si="227"/>
        <v>9554405</v>
      </c>
      <c r="S391" s="593">
        <f t="shared" si="227"/>
        <v>6558936</v>
      </c>
      <c r="T391" s="593">
        <f t="shared" si="227"/>
        <v>2981558</v>
      </c>
      <c r="U391" s="593">
        <f t="shared" si="227"/>
        <v>0</v>
      </c>
      <c r="V391" s="593">
        <f t="shared" si="227"/>
        <v>0</v>
      </c>
      <c r="W391" s="593">
        <f t="shared" si="227"/>
        <v>0</v>
      </c>
      <c r="X391" s="2639"/>
      <c r="Y391" s="594"/>
      <c r="Z391" s="866">
        <f>D391-D386</f>
        <v>0</v>
      </c>
    </row>
    <row r="392" spans="1:27" hidden="1">
      <c r="A392" s="2597"/>
      <c r="B392" s="928"/>
      <c r="C392" s="418" t="s">
        <v>97</v>
      </c>
      <c r="D392" s="600"/>
      <c r="E392" s="420"/>
      <c r="F392" s="421"/>
      <c r="G392" s="421"/>
      <c r="H392" s="420"/>
      <c r="I392" s="420"/>
      <c r="J392" s="420"/>
      <c r="K392" s="420"/>
      <c r="L392" s="420"/>
      <c r="M392" s="420"/>
      <c r="N392" s="420"/>
      <c r="O392" s="420"/>
      <c r="P392" s="422"/>
      <c r="Q392" s="422"/>
      <c r="R392" s="422"/>
      <c r="S392" s="939"/>
      <c r="T392" s="421"/>
      <c r="U392" s="939"/>
      <c r="V392" s="939"/>
      <c r="W392" s="939"/>
      <c r="X392" s="940"/>
      <c r="Y392" s="2589" t="s">
        <v>119</v>
      </c>
    </row>
    <row r="393" spans="1:27" hidden="1">
      <c r="A393" s="2598"/>
      <c r="B393" s="358" t="s">
        <v>22</v>
      </c>
      <c r="C393" s="359"/>
      <c r="D393" s="595">
        <f>+D394+D396</f>
        <v>0</v>
      </c>
      <c r="E393" s="595">
        <f t="shared" ref="E393:P393" si="228">+E394+E396</f>
        <v>0</v>
      </c>
      <c r="F393" s="595">
        <f t="shared" si="228"/>
        <v>0</v>
      </c>
      <c r="G393" s="595">
        <f t="shared" si="228"/>
        <v>0</v>
      </c>
      <c r="H393" s="595">
        <f t="shared" si="228"/>
        <v>0</v>
      </c>
      <c r="I393" s="595">
        <f t="shared" si="228"/>
        <v>0</v>
      </c>
      <c r="J393" s="595">
        <f t="shared" si="228"/>
        <v>0</v>
      </c>
      <c r="K393" s="595">
        <f t="shared" si="228"/>
        <v>0</v>
      </c>
      <c r="L393" s="595">
        <f t="shared" si="228"/>
        <v>0</v>
      </c>
      <c r="M393" s="595">
        <f>+M394+M396</f>
        <v>0</v>
      </c>
      <c r="N393" s="595">
        <f t="shared" si="228"/>
        <v>0</v>
      </c>
      <c r="O393" s="595">
        <f t="shared" si="228"/>
        <v>0</v>
      </c>
      <c r="P393" s="595">
        <f t="shared" si="228"/>
        <v>0</v>
      </c>
      <c r="Q393" s="595"/>
      <c r="R393" s="595"/>
      <c r="S393" s="595"/>
      <c r="T393" s="595"/>
      <c r="U393" s="595"/>
      <c r="V393" s="595"/>
      <c r="W393" s="595"/>
      <c r="X393" s="464">
        <f>+X394+X396</f>
        <v>0</v>
      </c>
      <c r="Y393" s="2590"/>
    </row>
    <row r="394" spans="1:27" hidden="1">
      <c r="A394" s="2598"/>
      <c r="B394" s="510" t="s">
        <v>36</v>
      </c>
      <c r="C394" s="2602" t="s">
        <v>100</v>
      </c>
      <c r="D394" s="598">
        <f>+D395</f>
        <v>0</v>
      </c>
      <c r="E394" s="598">
        <f t="shared" ref="E394:P394" si="229">+E395</f>
        <v>0</v>
      </c>
      <c r="F394" s="598">
        <f t="shared" si="229"/>
        <v>0</v>
      </c>
      <c r="G394" s="598">
        <f t="shared" si="229"/>
        <v>0</v>
      </c>
      <c r="H394" s="598">
        <f t="shared" si="229"/>
        <v>0</v>
      </c>
      <c r="I394" s="598">
        <f t="shared" si="229"/>
        <v>0</v>
      </c>
      <c r="J394" s="598">
        <f t="shared" si="229"/>
        <v>0</v>
      </c>
      <c r="K394" s="598">
        <f t="shared" si="229"/>
        <v>0</v>
      </c>
      <c r="L394" s="598">
        <f t="shared" si="229"/>
        <v>0</v>
      </c>
      <c r="M394" s="598">
        <f t="shared" si="229"/>
        <v>0</v>
      </c>
      <c r="N394" s="598">
        <f t="shared" si="229"/>
        <v>0</v>
      </c>
      <c r="O394" s="598">
        <f t="shared" si="229"/>
        <v>0</v>
      </c>
      <c r="P394" s="598">
        <f t="shared" si="229"/>
        <v>0</v>
      </c>
      <c r="Q394" s="598"/>
      <c r="R394" s="598"/>
      <c r="S394" s="598"/>
      <c r="T394" s="598"/>
      <c r="U394" s="598"/>
      <c r="V394" s="598"/>
      <c r="W394" s="598"/>
      <c r="X394" s="486">
        <f>+X395</f>
        <v>0</v>
      </c>
      <c r="Y394" s="2590"/>
    </row>
    <row r="395" spans="1:27" hidden="1">
      <c r="A395" s="2598"/>
      <c r="B395" s="511" t="s">
        <v>24</v>
      </c>
      <c r="C395" s="2603"/>
      <c r="D395" s="433">
        <f>M395+O395+P395+Q395+R395+S395+T395+U395+V395+W395</f>
        <v>0</v>
      </c>
      <c r="E395" s="440">
        <f>+F395+G395+H395</f>
        <v>0</v>
      </c>
      <c r="F395" s="514">
        <v>0</v>
      </c>
      <c r="G395" s="514">
        <v>0</v>
      </c>
      <c r="H395" s="514">
        <v>0</v>
      </c>
      <c r="I395" s="514"/>
      <c r="J395" s="514"/>
      <c r="K395" s="514"/>
      <c r="L395" s="514">
        <f>47545-47545</f>
        <v>0</v>
      </c>
      <c r="M395" s="434">
        <f>+E395+I395+J395+K395+L395+N395</f>
        <v>0</v>
      </c>
      <c r="N395" s="514">
        <f>57803-57803</f>
        <v>0</v>
      </c>
      <c r="O395" s="514"/>
      <c r="P395" s="514">
        <v>0</v>
      </c>
      <c r="Q395" s="514"/>
      <c r="R395" s="514"/>
      <c r="S395" s="514"/>
      <c r="T395" s="514"/>
      <c r="U395" s="514"/>
      <c r="V395" s="514"/>
      <c r="W395" s="514"/>
      <c r="X395" s="393">
        <f>SUM(P395:T395)</f>
        <v>0</v>
      </c>
      <c r="Y395" s="2590"/>
    </row>
    <row r="396" spans="1:27" ht="12.75" hidden="1" customHeight="1">
      <c r="A396" s="2598"/>
      <c r="B396" s="502" t="s">
        <v>30</v>
      </c>
      <c r="C396" s="2603"/>
      <c r="D396" s="443">
        <f>+D397</f>
        <v>0</v>
      </c>
      <c r="E396" s="443">
        <f t="shared" ref="E396:P396" si="230">+E397</f>
        <v>0</v>
      </c>
      <c r="F396" s="443">
        <f t="shared" si="230"/>
        <v>0</v>
      </c>
      <c r="G396" s="443">
        <f t="shared" si="230"/>
        <v>0</v>
      </c>
      <c r="H396" s="443">
        <f t="shared" si="230"/>
        <v>0</v>
      </c>
      <c r="I396" s="443">
        <f t="shared" si="230"/>
        <v>0</v>
      </c>
      <c r="J396" s="443">
        <f t="shared" si="230"/>
        <v>0</v>
      </c>
      <c r="K396" s="443">
        <f t="shared" si="230"/>
        <v>0</v>
      </c>
      <c r="L396" s="443">
        <f t="shared" si="230"/>
        <v>0</v>
      </c>
      <c r="M396" s="443">
        <f t="shared" si="230"/>
        <v>0</v>
      </c>
      <c r="N396" s="443">
        <f t="shared" si="230"/>
        <v>0</v>
      </c>
      <c r="O396" s="443">
        <f t="shared" si="230"/>
        <v>0</v>
      </c>
      <c r="P396" s="443">
        <f t="shared" si="230"/>
        <v>0</v>
      </c>
      <c r="Q396" s="443"/>
      <c r="R396" s="443"/>
      <c r="S396" s="443"/>
      <c r="T396" s="443"/>
      <c r="U396" s="443"/>
      <c r="V396" s="443"/>
      <c r="W396" s="443"/>
      <c r="X396" s="486">
        <f>+X397</f>
        <v>0</v>
      </c>
      <c r="Y396" s="2590"/>
    </row>
    <row r="397" spans="1:27" hidden="1">
      <c r="A397" s="2598"/>
      <c r="B397" s="447" t="s">
        <v>314</v>
      </c>
      <c r="C397" s="2604"/>
      <c r="D397" s="433">
        <f>M397+O397+P397+Q397+R397+S397+T397+U397+V397+W397</f>
        <v>0</v>
      </c>
      <c r="E397" s="440">
        <f>+F397+G397+H397</f>
        <v>0</v>
      </c>
      <c r="F397" s="438">
        <v>0</v>
      </c>
      <c r="G397" s="438">
        <v>0</v>
      </c>
      <c r="H397" s="438">
        <v>0</v>
      </c>
      <c r="I397" s="514"/>
      <c r="J397" s="514"/>
      <c r="K397" s="514">
        <v>0</v>
      </c>
      <c r="L397" s="514">
        <v>0</v>
      </c>
      <c r="M397" s="434"/>
      <c r="N397" s="514">
        <v>0</v>
      </c>
      <c r="O397" s="514">
        <v>0</v>
      </c>
      <c r="P397" s="514"/>
      <c r="Q397" s="514"/>
      <c r="R397" s="514"/>
      <c r="S397" s="514"/>
      <c r="T397" s="514"/>
      <c r="U397" s="514"/>
      <c r="V397" s="514"/>
      <c r="W397" s="514"/>
      <c r="X397" s="393">
        <f>SUM(P397:T397)</f>
        <v>0</v>
      </c>
      <c r="Y397" s="2601"/>
      <c r="Z397" s="778"/>
    </row>
    <row r="398" spans="1:27" s="862" customFormat="1" ht="10.5" hidden="1" customHeight="1">
      <c r="A398" s="2599"/>
      <c r="B398" s="358" t="s">
        <v>34</v>
      </c>
      <c r="C398" s="359"/>
      <c r="D398" s="448">
        <f>+D399</f>
        <v>0</v>
      </c>
      <c r="E398" s="448">
        <f t="shared" ref="E398:P399" si="231">+E399</f>
        <v>0</v>
      </c>
      <c r="F398" s="448">
        <f t="shared" si="231"/>
        <v>0</v>
      </c>
      <c r="G398" s="448">
        <f t="shared" si="231"/>
        <v>0</v>
      </c>
      <c r="H398" s="448">
        <f t="shared" si="231"/>
        <v>0</v>
      </c>
      <c r="I398" s="448">
        <f t="shared" si="231"/>
        <v>0</v>
      </c>
      <c r="J398" s="448">
        <f t="shared" si="231"/>
        <v>0</v>
      </c>
      <c r="K398" s="448">
        <f t="shared" si="231"/>
        <v>0</v>
      </c>
      <c r="L398" s="448">
        <f t="shared" si="231"/>
        <v>0</v>
      </c>
      <c r="M398" s="448">
        <f t="shared" si="231"/>
        <v>0</v>
      </c>
      <c r="N398" s="448">
        <f t="shared" si="231"/>
        <v>0</v>
      </c>
      <c r="O398" s="448">
        <f t="shared" si="231"/>
        <v>0</v>
      </c>
      <c r="P398" s="448">
        <f t="shared" si="231"/>
        <v>0</v>
      </c>
      <c r="Q398" s="448"/>
      <c r="R398" s="448"/>
      <c r="S398" s="448"/>
      <c r="T398" s="448"/>
      <c r="U398" s="448"/>
      <c r="V398" s="448"/>
      <c r="W398" s="448"/>
      <c r="X398" s="2637" t="s">
        <v>35</v>
      </c>
      <c r="Y398" s="2605" t="s">
        <v>120</v>
      </c>
    </row>
    <row r="399" spans="1:27" s="864" customFormat="1" ht="12.75" hidden="1" customHeight="1">
      <c r="A399" s="2599"/>
      <c r="B399" s="502" t="s">
        <v>30</v>
      </c>
      <c r="C399" s="2602" t="s">
        <v>100</v>
      </c>
      <c r="D399" s="495">
        <f>+D400</f>
        <v>0</v>
      </c>
      <c r="E399" s="495">
        <f t="shared" si="231"/>
        <v>0</v>
      </c>
      <c r="F399" s="495">
        <f t="shared" si="231"/>
        <v>0</v>
      </c>
      <c r="G399" s="495">
        <f t="shared" si="231"/>
        <v>0</v>
      </c>
      <c r="H399" s="495">
        <f t="shared" si="231"/>
        <v>0</v>
      </c>
      <c r="I399" s="495">
        <f t="shared" si="231"/>
        <v>0</v>
      </c>
      <c r="J399" s="520">
        <f t="shared" si="231"/>
        <v>0</v>
      </c>
      <c r="K399" s="520">
        <f t="shared" si="231"/>
        <v>0</v>
      </c>
      <c r="L399" s="520">
        <f t="shared" si="231"/>
        <v>0</v>
      </c>
      <c r="M399" s="520">
        <f t="shared" si="231"/>
        <v>0</v>
      </c>
      <c r="N399" s="495">
        <f t="shared" si="231"/>
        <v>0</v>
      </c>
      <c r="O399" s="520">
        <f t="shared" si="231"/>
        <v>0</v>
      </c>
      <c r="P399" s="495">
        <f t="shared" si="231"/>
        <v>0</v>
      </c>
      <c r="Q399" s="495"/>
      <c r="R399" s="495"/>
      <c r="S399" s="495"/>
      <c r="T399" s="495"/>
      <c r="U399" s="495"/>
      <c r="V399" s="495"/>
      <c r="W399" s="495"/>
      <c r="X399" s="2638"/>
      <c r="Y399" s="2606"/>
    </row>
    <row r="400" spans="1:27" s="862" customFormat="1" ht="12" hidden="1" customHeight="1" thickBot="1">
      <c r="A400" s="2600"/>
      <c r="B400" s="556" t="s">
        <v>32</v>
      </c>
      <c r="C400" s="2608"/>
      <c r="D400" s="433">
        <f>M400+O400+P400+Q400+R400+S400+T400+U400+V400+W400</f>
        <v>0</v>
      </c>
      <c r="E400" s="476">
        <f>+F400+G400+H400</f>
        <v>0</v>
      </c>
      <c r="F400" s="538">
        <v>0</v>
      </c>
      <c r="G400" s="539">
        <v>0</v>
      </c>
      <c r="H400" s="540">
        <v>0</v>
      </c>
      <c r="I400" s="923">
        <v>0</v>
      </c>
      <c r="J400" s="539"/>
      <c r="K400" s="539"/>
      <c r="L400" s="539"/>
      <c r="M400" s="434">
        <f>+E400+I400+J400+K400+L400+N400</f>
        <v>0</v>
      </c>
      <c r="N400" s="538">
        <v>0</v>
      </c>
      <c r="O400" s="539">
        <v>0</v>
      </c>
      <c r="P400" s="539">
        <v>0</v>
      </c>
      <c r="Q400" s="539"/>
      <c r="R400" s="539"/>
      <c r="S400" s="539"/>
      <c r="T400" s="539"/>
      <c r="U400" s="539"/>
      <c r="V400" s="539"/>
      <c r="W400" s="539"/>
      <c r="X400" s="2639"/>
      <c r="Y400" s="2607"/>
    </row>
    <row r="401" spans="1:26" s="862" customFormat="1" ht="20.25" customHeight="1" thickBot="1">
      <c r="A401" s="941"/>
      <c r="B401" s="917" t="s">
        <v>315</v>
      </c>
      <c r="C401" s="746"/>
      <c r="D401" s="942"/>
      <c r="E401" s="747"/>
      <c r="F401" s="943"/>
      <c r="G401" s="943"/>
      <c r="H401" s="944"/>
      <c r="I401" s="945"/>
      <c r="J401" s="743"/>
      <c r="K401" s="743"/>
      <c r="L401" s="743"/>
      <c r="M401" s="744"/>
      <c r="N401" s="943"/>
      <c r="O401" s="743"/>
      <c r="P401" s="946"/>
      <c r="Q401" s="946"/>
      <c r="R401" s="946"/>
      <c r="S401" s="742"/>
      <c r="T401" s="943"/>
      <c r="U401" s="742"/>
      <c r="V401" s="742"/>
      <c r="W401" s="742"/>
      <c r="X401" s="947"/>
      <c r="Y401" s="948"/>
    </row>
    <row r="402" spans="1:26" ht="28.5" customHeight="1">
      <c r="A402" s="2597" t="s">
        <v>293</v>
      </c>
      <c r="B402" s="928" t="s">
        <v>502</v>
      </c>
      <c r="C402" s="457" t="s">
        <v>97</v>
      </c>
      <c r="D402" s="600"/>
      <c r="E402" s="420"/>
      <c r="F402" s="421"/>
      <c r="G402" s="421"/>
      <c r="H402" s="420"/>
      <c r="I402" s="420"/>
      <c r="J402" s="420"/>
      <c r="K402" s="420"/>
      <c r="L402" s="420"/>
      <c r="M402" s="420"/>
      <c r="N402" s="420"/>
      <c r="O402" s="420"/>
      <c r="P402" s="422"/>
      <c r="Q402" s="422"/>
      <c r="R402" s="422"/>
      <c r="S402" s="800"/>
      <c r="T402" s="421"/>
      <c r="U402" s="800"/>
      <c r="V402" s="800"/>
      <c r="W402" s="800"/>
      <c r="X402" s="461"/>
      <c r="Y402" s="2589" t="s">
        <v>103</v>
      </c>
      <c r="Z402" s="1118" t="s">
        <v>452</v>
      </c>
    </row>
    <row r="403" spans="1:26">
      <c r="A403" s="2598"/>
      <c r="B403" s="358" t="s">
        <v>22</v>
      </c>
      <c r="C403" s="359"/>
      <c r="D403" s="1401">
        <f>+D404+D406</f>
        <v>10500000</v>
      </c>
      <c r="E403" s="1401">
        <f t="shared" ref="E403:P403" si="232">+E404+E406</f>
        <v>0</v>
      </c>
      <c r="F403" s="1401">
        <f t="shared" si="232"/>
        <v>0</v>
      </c>
      <c r="G403" s="1401">
        <f t="shared" si="232"/>
        <v>0</v>
      </c>
      <c r="H403" s="1401">
        <f t="shared" si="232"/>
        <v>0</v>
      </c>
      <c r="I403" s="1401">
        <f t="shared" si="232"/>
        <v>0</v>
      </c>
      <c r="J403" s="1401">
        <f t="shared" si="232"/>
        <v>0</v>
      </c>
      <c r="K403" s="1401">
        <f t="shared" si="232"/>
        <v>0</v>
      </c>
      <c r="L403" s="1401">
        <f t="shared" si="232"/>
        <v>0</v>
      </c>
      <c r="M403" s="1401">
        <f t="shared" si="232"/>
        <v>0</v>
      </c>
      <c r="N403" s="1401">
        <f t="shared" si="232"/>
        <v>0</v>
      </c>
      <c r="O403" s="1401">
        <f t="shared" si="232"/>
        <v>0</v>
      </c>
      <c r="P403" s="1401">
        <f t="shared" si="232"/>
        <v>20256</v>
      </c>
      <c r="Q403" s="1401">
        <f>+Q404+Q406</f>
        <v>10479744</v>
      </c>
      <c r="R403" s="1401"/>
      <c r="S403" s="1401"/>
      <c r="T403" s="1401"/>
      <c r="U403" s="1401"/>
      <c r="V403" s="1401"/>
      <c r="W403" s="1401"/>
      <c r="X403" s="1341">
        <f>+X404+X406</f>
        <v>10500000</v>
      </c>
      <c r="Y403" s="2590"/>
    </row>
    <row r="404" spans="1:26">
      <c r="A404" s="2598"/>
      <c r="B404" s="510" t="s">
        <v>36</v>
      </c>
      <c r="C404" s="2594" t="s">
        <v>100</v>
      </c>
      <c r="D404" s="1402">
        <f>+D405</f>
        <v>3652942</v>
      </c>
      <c r="E404" s="1402">
        <f t="shared" ref="E404:Q404" si="233">+E405</f>
        <v>0</v>
      </c>
      <c r="F404" s="1402">
        <f t="shared" si="233"/>
        <v>0</v>
      </c>
      <c r="G404" s="1402">
        <f t="shared" si="233"/>
        <v>0</v>
      </c>
      <c r="H404" s="1402">
        <f t="shared" si="233"/>
        <v>0</v>
      </c>
      <c r="I404" s="1402">
        <f t="shared" si="233"/>
        <v>0</v>
      </c>
      <c r="J404" s="1402">
        <f t="shared" si="233"/>
        <v>0</v>
      </c>
      <c r="K404" s="1402">
        <f t="shared" si="233"/>
        <v>0</v>
      </c>
      <c r="L404" s="1402">
        <f t="shared" si="233"/>
        <v>0</v>
      </c>
      <c r="M404" s="1402">
        <f t="shared" si="233"/>
        <v>0</v>
      </c>
      <c r="N404" s="1402">
        <f t="shared" si="233"/>
        <v>0</v>
      </c>
      <c r="O404" s="1402">
        <f t="shared" si="233"/>
        <v>0</v>
      </c>
      <c r="P404" s="1402">
        <f t="shared" si="233"/>
        <v>20256</v>
      </c>
      <c r="Q404" s="1402">
        <f t="shared" si="233"/>
        <v>3632686</v>
      </c>
      <c r="R404" s="1402"/>
      <c r="S404" s="1402"/>
      <c r="T404" s="1402"/>
      <c r="U404" s="1402"/>
      <c r="V404" s="1402"/>
      <c r="W404" s="1402"/>
      <c r="X404" s="1380">
        <f>+X405</f>
        <v>3652942</v>
      </c>
      <c r="Y404" s="2590"/>
    </row>
    <row r="405" spans="1:26">
      <c r="A405" s="2598"/>
      <c r="B405" s="511" t="s">
        <v>24</v>
      </c>
      <c r="C405" s="2603"/>
      <c r="D405" s="1381">
        <f>M405+O405+P405+Q405+R405+S405+T405+U405+V405+W405</f>
        <v>3652942</v>
      </c>
      <c r="E405" s="1344">
        <f>+F405+G405+H405</f>
        <v>0</v>
      </c>
      <c r="F405" s="1384">
        <v>0</v>
      </c>
      <c r="G405" s="1384">
        <v>0</v>
      </c>
      <c r="H405" s="1384">
        <v>0</v>
      </c>
      <c r="I405" s="1384"/>
      <c r="J405" s="1384"/>
      <c r="K405" s="1384"/>
      <c r="L405" s="1384">
        <f>47545-47545</f>
        <v>0</v>
      </c>
      <c r="M405" s="1383">
        <f>+E405+I405+J405+K405+L405+N405</f>
        <v>0</v>
      </c>
      <c r="N405" s="1384">
        <f>57803-57803</f>
        <v>0</v>
      </c>
      <c r="O405" s="1384"/>
      <c r="P405" s="1384">
        <f>9000000-8590682-383940-5122</f>
        <v>20256</v>
      </c>
      <c r="Q405" s="1384">
        <f>1743624+383940+1505122</f>
        <v>3632686</v>
      </c>
      <c r="R405" s="1384"/>
      <c r="S405" s="1384"/>
      <c r="T405" s="1384"/>
      <c r="U405" s="1384"/>
      <c r="V405" s="1384"/>
      <c r="W405" s="1384"/>
      <c r="X405" s="1385">
        <f>SUM(P405:T405)</f>
        <v>3652942</v>
      </c>
      <c r="Y405" s="2590"/>
    </row>
    <row r="406" spans="1:26">
      <c r="A406" s="2598"/>
      <c r="B406" s="502" t="s">
        <v>30</v>
      </c>
      <c r="C406" s="2603"/>
      <c r="D406" s="1386">
        <f>+D407</f>
        <v>6847058</v>
      </c>
      <c r="E406" s="1386">
        <f t="shared" ref="E406:Q406" si="234">+E407</f>
        <v>0</v>
      </c>
      <c r="F406" s="1386">
        <f t="shared" si="234"/>
        <v>0</v>
      </c>
      <c r="G406" s="1386">
        <f t="shared" si="234"/>
        <v>0</v>
      </c>
      <c r="H406" s="1386">
        <f t="shared" si="234"/>
        <v>0</v>
      </c>
      <c r="I406" s="1386">
        <f t="shared" si="234"/>
        <v>0</v>
      </c>
      <c r="J406" s="1386">
        <f t="shared" si="234"/>
        <v>0</v>
      </c>
      <c r="K406" s="1386">
        <f t="shared" si="234"/>
        <v>0</v>
      </c>
      <c r="L406" s="1386">
        <f t="shared" si="234"/>
        <v>0</v>
      </c>
      <c r="M406" s="1386">
        <f t="shared" si="234"/>
        <v>0</v>
      </c>
      <c r="N406" s="1386">
        <f t="shared" si="234"/>
        <v>0</v>
      </c>
      <c r="O406" s="1386">
        <f t="shared" si="234"/>
        <v>0</v>
      </c>
      <c r="P406" s="1386">
        <f t="shared" si="234"/>
        <v>0</v>
      </c>
      <c r="Q406" s="1386">
        <f t="shared" si="234"/>
        <v>6847058</v>
      </c>
      <c r="R406" s="1386"/>
      <c r="S406" s="1386"/>
      <c r="T406" s="1386"/>
      <c r="U406" s="1386"/>
      <c r="V406" s="1386"/>
      <c r="W406" s="1386"/>
      <c r="X406" s="1380">
        <f>+X407</f>
        <v>6847058</v>
      </c>
      <c r="Y406" s="2590"/>
    </row>
    <row r="407" spans="1:26">
      <c r="A407" s="2598"/>
      <c r="B407" s="1403" t="s">
        <v>314</v>
      </c>
      <c r="C407" s="2604"/>
      <c r="D407" s="1381">
        <f>M407+O407+P407+Q407+R407+S407+T407+U407+V407+W407</f>
        <v>6847058</v>
      </c>
      <c r="E407" s="1344">
        <f>+F407+G407+H407</f>
        <v>0</v>
      </c>
      <c r="F407" s="1388">
        <v>0</v>
      </c>
      <c r="G407" s="1388">
        <v>0</v>
      </c>
      <c r="H407" s="1388">
        <v>0</v>
      </c>
      <c r="I407" s="1384"/>
      <c r="J407" s="1384"/>
      <c r="K407" s="1384">
        <v>0</v>
      </c>
      <c r="L407" s="1384">
        <v>0</v>
      </c>
      <c r="M407" s="1383">
        <f>+E407+I407+J407+K407+L407+N407</f>
        <v>0</v>
      </c>
      <c r="N407" s="1384">
        <v>0</v>
      </c>
      <c r="O407" s="1384">
        <v>0</v>
      </c>
      <c r="P407" s="1384">
        <f>1270682-1196060-74622</f>
        <v>0</v>
      </c>
      <c r="Q407" s="1384">
        <f>5576376+1196060+74622</f>
        <v>6847058</v>
      </c>
      <c r="R407" s="1384"/>
      <c r="S407" s="1384"/>
      <c r="T407" s="1384"/>
      <c r="U407" s="1384"/>
      <c r="V407" s="1384"/>
      <c r="W407" s="1384"/>
      <c r="X407" s="1385">
        <f>SUM(P407:T407)</f>
        <v>6847058</v>
      </c>
      <c r="Y407" s="2601"/>
      <c r="Z407" s="778"/>
    </row>
    <row r="408" spans="1:26" s="862" customFormat="1">
      <c r="A408" s="2599"/>
      <c r="B408" s="358" t="s">
        <v>34</v>
      </c>
      <c r="C408" s="359"/>
      <c r="D408" s="1391">
        <f>+D409</f>
        <v>6847058</v>
      </c>
      <c r="E408" s="1391">
        <f t="shared" ref="E408:R409" si="235">+E409</f>
        <v>0</v>
      </c>
      <c r="F408" s="1391">
        <f t="shared" si="235"/>
        <v>0</v>
      </c>
      <c r="G408" s="1391">
        <f t="shared" si="235"/>
        <v>0</v>
      </c>
      <c r="H408" s="1391">
        <f t="shared" si="235"/>
        <v>0</v>
      </c>
      <c r="I408" s="1391">
        <f t="shared" si="235"/>
        <v>0</v>
      </c>
      <c r="J408" s="1391">
        <f t="shared" si="235"/>
        <v>0</v>
      </c>
      <c r="K408" s="1391">
        <f t="shared" si="235"/>
        <v>0</v>
      </c>
      <c r="L408" s="1391">
        <f t="shared" si="235"/>
        <v>0</v>
      </c>
      <c r="M408" s="1391">
        <f t="shared" si="235"/>
        <v>0</v>
      </c>
      <c r="N408" s="1391">
        <f t="shared" si="235"/>
        <v>0</v>
      </c>
      <c r="O408" s="1391">
        <f t="shared" si="235"/>
        <v>0</v>
      </c>
      <c r="P408" s="1391">
        <f t="shared" si="235"/>
        <v>0</v>
      </c>
      <c r="Q408" s="1391">
        <f t="shared" si="235"/>
        <v>3985934</v>
      </c>
      <c r="R408" s="1391">
        <f t="shared" si="235"/>
        <v>2861124</v>
      </c>
      <c r="S408" s="1391"/>
      <c r="T408" s="1391"/>
      <c r="U408" s="1391"/>
      <c r="V408" s="1391"/>
      <c r="W408" s="1391"/>
      <c r="X408" s="2658" t="s">
        <v>35</v>
      </c>
      <c r="Y408" s="2612" t="s">
        <v>120</v>
      </c>
      <c r="Z408" s="861">
        <f>D408-'[2]Tab. 6A -Drogi'!$D$350</f>
        <v>-802942</v>
      </c>
    </row>
    <row r="409" spans="1:26" s="864" customFormat="1" ht="12.75" customHeight="1">
      <c r="A409" s="2599"/>
      <c r="B409" s="502" t="s">
        <v>30</v>
      </c>
      <c r="C409" s="2594" t="s">
        <v>100</v>
      </c>
      <c r="D409" s="1393">
        <f>+D410</f>
        <v>6847058</v>
      </c>
      <c r="E409" s="1393">
        <f t="shared" si="235"/>
        <v>0</v>
      </c>
      <c r="F409" s="1393">
        <f t="shared" si="235"/>
        <v>0</v>
      </c>
      <c r="G409" s="1393">
        <f t="shared" si="235"/>
        <v>0</v>
      </c>
      <c r="H409" s="1393">
        <f t="shared" si="235"/>
        <v>0</v>
      </c>
      <c r="I409" s="1393">
        <f t="shared" si="235"/>
        <v>0</v>
      </c>
      <c r="J409" s="1404">
        <f t="shared" si="235"/>
        <v>0</v>
      </c>
      <c r="K409" s="1404">
        <f t="shared" si="235"/>
        <v>0</v>
      </c>
      <c r="L409" s="1404">
        <f t="shared" si="235"/>
        <v>0</v>
      </c>
      <c r="M409" s="1404">
        <f t="shared" si="235"/>
        <v>0</v>
      </c>
      <c r="N409" s="1393">
        <f t="shared" si="235"/>
        <v>0</v>
      </c>
      <c r="O409" s="1404">
        <f t="shared" si="235"/>
        <v>0</v>
      </c>
      <c r="P409" s="1393">
        <f t="shared" si="235"/>
        <v>0</v>
      </c>
      <c r="Q409" s="1404">
        <f t="shared" si="235"/>
        <v>3985934</v>
      </c>
      <c r="R409" s="1404">
        <f t="shared" si="235"/>
        <v>2861124</v>
      </c>
      <c r="S409" s="1393"/>
      <c r="T409" s="1393"/>
      <c r="U409" s="1393"/>
      <c r="V409" s="1393"/>
      <c r="W409" s="1393"/>
      <c r="X409" s="2638"/>
      <c r="Y409" s="2606"/>
    </row>
    <row r="410" spans="1:26" s="862" customFormat="1" ht="12" customHeight="1" thickBot="1">
      <c r="A410" s="2600"/>
      <c r="B410" s="556" t="s">
        <v>32</v>
      </c>
      <c r="C410" s="2608"/>
      <c r="D410" s="1064">
        <f>M410+O410+P410+Q410+R410+S410+T410+U410+V410+W410</f>
        <v>6847058</v>
      </c>
      <c r="E410" s="476">
        <f>+F410+G410+H410</f>
        <v>0</v>
      </c>
      <c r="F410" s="538">
        <v>0</v>
      </c>
      <c r="G410" s="539">
        <v>0</v>
      </c>
      <c r="H410" s="540">
        <v>0</v>
      </c>
      <c r="I410" s="923">
        <v>0</v>
      </c>
      <c r="J410" s="539"/>
      <c r="K410" s="539">
        <v>0</v>
      </c>
      <c r="L410" s="539"/>
      <c r="M410" s="1064">
        <f>+E410+I410+J410+K410+L410+N410</f>
        <v>0</v>
      </c>
      <c r="N410" s="538">
        <v>0</v>
      </c>
      <c r="O410" s="539">
        <v>0</v>
      </c>
      <c r="P410" s="539">
        <f>2550000-2550000</f>
        <v>0</v>
      </c>
      <c r="Q410" s="539">
        <f>5100000-1114066</f>
        <v>3985934</v>
      </c>
      <c r="R410" s="539">
        <v>2861124</v>
      </c>
      <c r="S410" s="539"/>
      <c r="T410" s="539"/>
      <c r="U410" s="539"/>
      <c r="V410" s="539"/>
      <c r="W410" s="539"/>
      <c r="X410" s="2639"/>
      <c r="Y410" s="2607"/>
    </row>
    <row r="411" spans="1:26" ht="27.75" customHeight="1">
      <c r="A411" s="2597" t="s">
        <v>294</v>
      </c>
      <c r="B411" s="928" t="s">
        <v>428</v>
      </c>
      <c r="C411" s="457" t="s">
        <v>97</v>
      </c>
      <c r="D411" s="600"/>
      <c r="E411" s="420"/>
      <c r="F411" s="421"/>
      <c r="G411" s="421"/>
      <c r="H411" s="420"/>
      <c r="I411" s="420"/>
      <c r="J411" s="420"/>
      <c r="K411" s="420"/>
      <c r="L411" s="420"/>
      <c r="M411" s="420"/>
      <c r="N411" s="420"/>
      <c r="O411" s="420"/>
      <c r="P411" s="422"/>
      <c r="Q411" s="422"/>
      <c r="R411" s="422"/>
      <c r="S411" s="800"/>
      <c r="T411" s="421"/>
      <c r="U411" s="800"/>
      <c r="V411" s="800"/>
      <c r="W411" s="800"/>
      <c r="X411" s="461"/>
      <c r="Y411" s="2589" t="s">
        <v>103</v>
      </c>
      <c r="Z411" s="1118" t="s">
        <v>452</v>
      </c>
    </row>
    <row r="412" spans="1:26" ht="14.25" customHeight="1">
      <c r="A412" s="2598"/>
      <c r="B412" s="358" t="s">
        <v>22</v>
      </c>
      <c r="C412" s="359"/>
      <c r="D412" s="1401">
        <f>+D413+D416</f>
        <v>8417660</v>
      </c>
      <c r="E412" s="1401">
        <f t="shared" ref="E412:R412" si="236">+E413+E416</f>
        <v>0</v>
      </c>
      <c r="F412" s="1401">
        <f t="shared" si="236"/>
        <v>0</v>
      </c>
      <c r="G412" s="1401">
        <f t="shared" si="236"/>
        <v>0</v>
      </c>
      <c r="H412" s="1401">
        <f t="shared" si="236"/>
        <v>0</v>
      </c>
      <c r="I412" s="1401">
        <f t="shared" si="236"/>
        <v>228400</v>
      </c>
      <c r="J412" s="1401">
        <f t="shared" si="236"/>
        <v>3000</v>
      </c>
      <c r="K412" s="1401">
        <f t="shared" si="236"/>
        <v>22878</v>
      </c>
      <c r="L412" s="1401">
        <f t="shared" si="236"/>
        <v>137917</v>
      </c>
      <c r="M412" s="1401">
        <f>+M413+M416</f>
        <v>395660</v>
      </c>
      <c r="N412" s="1401">
        <f t="shared" si="236"/>
        <v>3465</v>
      </c>
      <c r="O412" s="1401">
        <f t="shared" si="236"/>
        <v>0</v>
      </c>
      <c r="P412" s="1401">
        <f t="shared" si="236"/>
        <v>0</v>
      </c>
      <c r="Q412" s="1401">
        <f t="shared" si="236"/>
        <v>8022000</v>
      </c>
      <c r="R412" s="1401">
        <f t="shared" si="236"/>
        <v>0</v>
      </c>
      <c r="S412" s="1401"/>
      <c r="T412" s="1401"/>
      <c r="U412" s="1401"/>
      <c r="V412" s="1401"/>
      <c r="W412" s="1401"/>
      <c r="X412" s="1341">
        <f>+X413+X416</f>
        <v>8022000</v>
      </c>
      <c r="Y412" s="2590"/>
    </row>
    <row r="413" spans="1:26">
      <c r="A413" s="2598"/>
      <c r="B413" s="510" t="s">
        <v>36</v>
      </c>
      <c r="C413" s="2594" t="s">
        <v>100</v>
      </c>
      <c r="D413" s="1402">
        <f>+D414+D415</f>
        <v>2306501</v>
      </c>
      <c r="E413" s="1402">
        <f t="shared" ref="E413:N413" si="237">+E414+E415</f>
        <v>0</v>
      </c>
      <c r="F413" s="1402">
        <f t="shared" si="237"/>
        <v>0</v>
      </c>
      <c r="G413" s="1402">
        <f t="shared" si="237"/>
        <v>0</v>
      </c>
      <c r="H413" s="1402">
        <f t="shared" si="237"/>
        <v>0</v>
      </c>
      <c r="I413" s="1402">
        <f t="shared" si="237"/>
        <v>228400</v>
      </c>
      <c r="J413" s="1402">
        <f t="shared" si="237"/>
        <v>3000</v>
      </c>
      <c r="K413" s="1402">
        <f t="shared" si="237"/>
        <v>22878</v>
      </c>
      <c r="L413" s="1402">
        <f t="shared" si="237"/>
        <v>137917</v>
      </c>
      <c r="M413" s="1402">
        <f>+M414+M415</f>
        <v>395660</v>
      </c>
      <c r="N413" s="598">
        <f t="shared" si="237"/>
        <v>3465</v>
      </c>
      <c r="O413" s="1402">
        <f>+O414+O415</f>
        <v>0</v>
      </c>
      <c r="P413" s="1402">
        <f>+P414+P415</f>
        <v>0</v>
      </c>
      <c r="Q413" s="1402">
        <f>+Q414+Q415</f>
        <v>1910841</v>
      </c>
      <c r="R413" s="1402">
        <f>+R414+R415</f>
        <v>0</v>
      </c>
      <c r="S413" s="1402"/>
      <c r="T413" s="1402"/>
      <c r="U413" s="1402"/>
      <c r="V413" s="1402"/>
      <c r="W413" s="1402"/>
      <c r="X413" s="1380">
        <f>+X414</f>
        <v>1910841</v>
      </c>
      <c r="Y413" s="2590"/>
    </row>
    <row r="414" spans="1:26">
      <c r="A414" s="2598"/>
      <c r="B414" s="511" t="s">
        <v>24</v>
      </c>
      <c r="C414" s="2603"/>
      <c r="D414" s="1381">
        <f>M414+O414+P414+Q414+R414+S414+T414+U414+V414+W414</f>
        <v>2249498</v>
      </c>
      <c r="E414" s="1344">
        <f>+F414+G414+H414</f>
        <v>0</v>
      </c>
      <c r="F414" s="1384">
        <v>0</v>
      </c>
      <c r="G414" s="1384"/>
      <c r="H414" s="1384">
        <v>0</v>
      </c>
      <c r="I414" s="599">
        <v>228400</v>
      </c>
      <c r="J414" s="478">
        <v>3000</v>
      </c>
      <c r="K414" s="513">
        <v>0</v>
      </c>
      <c r="L414" s="514">
        <v>103792</v>
      </c>
      <c r="M414" s="434">
        <f>+E414+I414+J414+K414+L414+N414</f>
        <v>338657</v>
      </c>
      <c r="N414" s="514">
        <f>5665-2200</f>
        <v>3465</v>
      </c>
      <c r="O414" s="1384"/>
      <c r="P414" s="1384">
        <f>320141-320141</f>
        <v>0</v>
      </c>
      <c r="Q414" s="1384">
        <f>1590700+320141</f>
        <v>1910841</v>
      </c>
      <c r="R414" s="1384"/>
      <c r="S414" s="1384"/>
      <c r="T414" s="1384"/>
      <c r="U414" s="1384"/>
      <c r="V414" s="1384"/>
      <c r="W414" s="1384"/>
      <c r="X414" s="1385">
        <f>SUM(P414:T414)</f>
        <v>1910841</v>
      </c>
      <c r="Y414" s="2590"/>
    </row>
    <row r="415" spans="1:26">
      <c r="A415" s="2598"/>
      <c r="B415" s="511" t="s">
        <v>27</v>
      </c>
      <c r="C415" s="2603"/>
      <c r="D415" s="433">
        <f>M415+O415+P415+Q415+R415+S415+T415+U415+V415+W415</f>
        <v>57003</v>
      </c>
      <c r="E415" s="740"/>
      <c r="F415" s="789"/>
      <c r="G415" s="789"/>
      <c r="H415" s="789"/>
      <c r="I415" s="799"/>
      <c r="J415" s="799"/>
      <c r="K415" s="799">
        <v>22878</v>
      </c>
      <c r="L415" s="789">
        <v>34125</v>
      </c>
      <c r="M415" s="434">
        <f>+E415+I415+J415+K415+L415+N415</f>
        <v>57003</v>
      </c>
      <c r="N415" s="789"/>
      <c r="O415" s="954">
        <v>0</v>
      </c>
      <c r="P415" s="954">
        <v>0</v>
      </c>
      <c r="Q415" s="954">
        <v>0</v>
      </c>
      <c r="R415" s="954"/>
      <c r="S415" s="954"/>
      <c r="T415" s="954"/>
      <c r="U415" s="954"/>
      <c r="V415" s="954"/>
      <c r="W415" s="954"/>
      <c r="X415" s="393">
        <f>SUM(P415:T415)</f>
        <v>0</v>
      </c>
      <c r="Y415" s="2590"/>
    </row>
    <row r="416" spans="1:26">
      <c r="A416" s="2598"/>
      <c r="B416" s="502" t="s">
        <v>30</v>
      </c>
      <c r="C416" s="2603"/>
      <c r="D416" s="1386">
        <f>+D417</f>
        <v>6111159</v>
      </c>
      <c r="E416" s="1386">
        <f t="shared" ref="E416:Q416" si="238">+E417</f>
        <v>0</v>
      </c>
      <c r="F416" s="1386">
        <f t="shared" si="238"/>
        <v>0</v>
      </c>
      <c r="G416" s="1386">
        <f t="shared" si="238"/>
        <v>0</v>
      </c>
      <c r="H416" s="1386">
        <f t="shared" si="238"/>
        <v>0</v>
      </c>
      <c r="I416" s="1386">
        <f t="shared" si="238"/>
        <v>0</v>
      </c>
      <c r="J416" s="1386">
        <f t="shared" si="238"/>
        <v>0</v>
      </c>
      <c r="K416" s="1386">
        <f t="shared" si="238"/>
        <v>0</v>
      </c>
      <c r="L416" s="1386">
        <f t="shared" si="238"/>
        <v>0</v>
      </c>
      <c r="M416" s="1386">
        <f t="shared" si="238"/>
        <v>0</v>
      </c>
      <c r="N416" s="1386">
        <f t="shared" si="238"/>
        <v>0</v>
      </c>
      <c r="O416" s="1386">
        <f t="shared" si="238"/>
        <v>0</v>
      </c>
      <c r="P416" s="1386">
        <f t="shared" si="238"/>
        <v>0</v>
      </c>
      <c r="Q416" s="1386">
        <f t="shared" si="238"/>
        <v>6111159</v>
      </c>
      <c r="R416" s="1386"/>
      <c r="S416" s="1386"/>
      <c r="T416" s="1386"/>
      <c r="U416" s="1386"/>
      <c r="V416" s="1386"/>
      <c r="W416" s="1386"/>
      <c r="X416" s="1380">
        <f>+X417</f>
        <v>6111159</v>
      </c>
      <c r="Y416" s="2590"/>
    </row>
    <row r="417" spans="1:26">
      <c r="A417" s="2598"/>
      <c r="B417" s="1403" t="s">
        <v>314</v>
      </c>
      <c r="C417" s="2604"/>
      <c r="D417" s="1381">
        <f>M417+O417+P417+Q417+R417+S417+T417+U417+V417+W417</f>
        <v>6111159</v>
      </c>
      <c r="E417" s="1344">
        <f>+F417+G417+H417</f>
        <v>0</v>
      </c>
      <c r="F417" s="1388">
        <v>0</v>
      </c>
      <c r="G417" s="1388">
        <v>0</v>
      </c>
      <c r="H417" s="1388">
        <v>0</v>
      </c>
      <c r="I417" s="1384"/>
      <c r="J417" s="1384"/>
      <c r="K417" s="1384">
        <v>0</v>
      </c>
      <c r="L417" s="1384">
        <v>0</v>
      </c>
      <c r="M417" s="1383">
        <f>+E417+I417+J417+K417+L417+N417</f>
        <v>0</v>
      </c>
      <c r="N417" s="1384">
        <v>0</v>
      </c>
      <c r="O417" s="1384">
        <v>0</v>
      </c>
      <c r="P417" s="1384">
        <f>1023859-1023859</f>
        <v>0</v>
      </c>
      <c r="Q417" s="1384">
        <f>5087300+1023859</f>
        <v>6111159</v>
      </c>
      <c r="R417" s="1384"/>
      <c r="S417" s="1384"/>
      <c r="T417" s="1384"/>
      <c r="U417" s="1384"/>
      <c r="V417" s="1384"/>
      <c r="W417" s="1384"/>
      <c r="X417" s="1385">
        <f>SUM(P417:T417)</f>
        <v>6111159</v>
      </c>
      <c r="Y417" s="2601"/>
      <c r="Z417" s="778"/>
    </row>
    <row r="418" spans="1:26" s="862" customFormat="1" ht="14.25" customHeight="1">
      <c r="A418" s="2599"/>
      <c r="B418" s="358" t="s">
        <v>34</v>
      </c>
      <c r="C418" s="359"/>
      <c r="D418" s="1391">
        <f>+D419+D421</f>
        <v>6168162</v>
      </c>
      <c r="E418" s="1391">
        <f t="shared" ref="E418:R418" si="239">+E419+E421</f>
        <v>0</v>
      </c>
      <c r="F418" s="1391">
        <f t="shared" si="239"/>
        <v>0</v>
      </c>
      <c r="G418" s="1391">
        <f t="shared" si="239"/>
        <v>0</v>
      </c>
      <c r="H418" s="1391">
        <f t="shared" si="239"/>
        <v>0</v>
      </c>
      <c r="I418" s="1391">
        <f t="shared" si="239"/>
        <v>0</v>
      </c>
      <c r="J418" s="1391">
        <f t="shared" si="239"/>
        <v>0</v>
      </c>
      <c r="K418" s="1391">
        <f t="shared" si="239"/>
        <v>22878</v>
      </c>
      <c r="L418" s="1391">
        <f t="shared" si="239"/>
        <v>34125</v>
      </c>
      <c r="M418" s="1391">
        <f t="shared" si="239"/>
        <v>57003</v>
      </c>
      <c r="N418" s="1391">
        <f t="shared" si="239"/>
        <v>0</v>
      </c>
      <c r="O418" s="1391">
        <f t="shared" si="239"/>
        <v>0</v>
      </c>
      <c r="P418" s="1391">
        <f t="shared" si="239"/>
        <v>0</v>
      </c>
      <c r="Q418" s="1391">
        <f t="shared" si="239"/>
        <v>3555530</v>
      </c>
      <c r="R418" s="1391">
        <f t="shared" si="239"/>
        <v>2555629</v>
      </c>
      <c r="S418" s="1391"/>
      <c r="T418" s="1391"/>
      <c r="U418" s="1391"/>
      <c r="V418" s="1391"/>
      <c r="W418" s="1391"/>
      <c r="X418" s="2658" t="s">
        <v>35</v>
      </c>
      <c r="Y418" s="2612" t="s">
        <v>120</v>
      </c>
    </row>
    <row r="419" spans="1:26">
      <c r="A419" s="2599"/>
      <c r="B419" s="502" t="s">
        <v>36</v>
      </c>
      <c r="C419" s="2609" t="s">
        <v>100</v>
      </c>
      <c r="D419" s="598">
        <f>+D420</f>
        <v>57003</v>
      </c>
      <c r="E419" s="598">
        <f t="shared" ref="E419:M419" si="240">+E420</f>
        <v>0</v>
      </c>
      <c r="F419" s="598">
        <f t="shared" si="240"/>
        <v>0</v>
      </c>
      <c r="G419" s="598">
        <f t="shared" si="240"/>
        <v>0</v>
      </c>
      <c r="H419" s="598">
        <f t="shared" si="240"/>
        <v>0</v>
      </c>
      <c r="I419" s="598">
        <f t="shared" si="240"/>
        <v>0</v>
      </c>
      <c r="J419" s="598">
        <f t="shared" si="240"/>
        <v>0</v>
      </c>
      <c r="K419" s="598">
        <f t="shared" si="240"/>
        <v>22878</v>
      </c>
      <c r="L419" s="598">
        <f t="shared" si="240"/>
        <v>34125</v>
      </c>
      <c r="M419" s="598">
        <f t="shared" si="240"/>
        <v>57003</v>
      </c>
      <c r="N419" s="598">
        <f>+N420</f>
        <v>0</v>
      </c>
      <c r="O419" s="951">
        <v>0</v>
      </c>
      <c r="P419" s="951">
        <v>0</v>
      </c>
      <c r="Q419" s="951">
        <v>0</v>
      </c>
      <c r="R419" s="951">
        <v>0</v>
      </c>
      <c r="S419" s="951"/>
      <c r="T419" s="951"/>
      <c r="U419" s="951"/>
      <c r="V419" s="951"/>
      <c r="W419" s="951"/>
      <c r="X419" s="2638"/>
      <c r="Y419" s="2606"/>
    </row>
    <row r="420" spans="1:26" ht="13.5" thickBot="1">
      <c r="A420" s="2599"/>
      <c r="B420" s="1403" t="s">
        <v>27</v>
      </c>
      <c r="C420" s="2610"/>
      <c r="D420" s="433">
        <f>M420+O420+P420+Q420+R420+S420+T420+U420+V420+W420</f>
        <v>57003</v>
      </c>
      <c r="E420" s="475"/>
      <c r="F420" s="801"/>
      <c r="G420" s="801"/>
      <c r="H420" s="801"/>
      <c r="I420" s="1629"/>
      <c r="J420" s="1630"/>
      <c r="K420" s="1630">
        <v>22878</v>
      </c>
      <c r="L420" s="1631">
        <v>34125</v>
      </c>
      <c r="M420" s="434">
        <f>+E420+I420+J420+K420+L420+N420</f>
        <v>57003</v>
      </c>
      <c r="N420" s="1631"/>
      <c r="O420" s="954">
        <v>0</v>
      </c>
      <c r="P420" s="954">
        <v>0</v>
      </c>
      <c r="Q420" s="954">
        <v>0</v>
      </c>
      <c r="R420" s="954">
        <v>0</v>
      </c>
      <c r="S420" s="954"/>
      <c r="T420" s="954"/>
      <c r="U420" s="954"/>
      <c r="V420" s="954"/>
      <c r="W420" s="954"/>
      <c r="X420" s="2638"/>
      <c r="Y420" s="2606"/>
    </row>
    <row r="421" spans="1:26" s="864" customFormat="1" ht="12.75" customHeight="1">
      <c r="A421" s="2599"/>
      <c r="B421" s="502" t="s">
        <v>30</v>
      </c>
      <c r="C421" s="2610"/>
      <c r="D421" s="1393">
        <f>+D422</f>
        <v>6111159</v>
      </c>
      <c r="E421" s="1393">
        <f t="shared" ref="E421:R421" si="241">+E422</f>
        <v>0</v>
      </c>
      <c r="F421" s="1393">
        <f t="shared" si="241"/>
        <v>0</v>
      </c>
      <c r="G421" s="1393">
        <f t="shared" si="241"/>
        <v>0</v>
      </c>
      <c r="H421" s="1393">
        <f t="shared" si="241"/>
        <v>0</v>
      </c>
      <c r="I421" s="1627">
        <f t="shared" si="241"/>
        <v>0</v>
      </c>
      <c r="J421" s="1628">
        <f t="shared" si="241"/>
        <v>0</v>
      </c>
      <c r="K421" s="1628">
        <f t="shared" si="241"/>
        <v>0</v>
      </c>
      <c r="L421" s="1628">
        <f t="shared" si="241"/>
        <v>0</v>
      </c>
      <c r="M421" s="1404">
        <f t="shared" si="241"/>
        <v>0</v>
      </c>
      <c r="N421" s="1627">
        <f t="shared" si="241"/>
        <v>0</v>
      </c>
      <c r="O421" s="1404">
        <f t="shared" si="241"/>
        <v>0</v>
      </c>
      <c r="P421" s="1393">
        <f t="shared" si="241"/>
        <v>0</v>
      </c>
      <c r="Q421" s="1404">
        <f t="shared" si="241"/>
        <v>3555530</v>
      </c>
      <c r="R421" s="1404">
        <f t="shared" si="241"/>
        <v>2555629</v>
      </c>
      <c r="S421" s="1393"/>
      <c r="T421" s="1393"/>
      <c r="U421" s="1393"/>
      <c r="V421" s="1393"/>
      <c r="W421" s="1393"/>
      <c r="X421" s="2638"/>
      <c r="Y421" s="2606"/>
    </row>
    <row r="422" spans="1:26" s="862" customFormat="1" ht="12" customHeight="1" thickBot="1">
      <c r="A422" s="2600"/>
      <c r="B422" s="556" t="s">
        <v>32</v>
      </c>
      <c r="C422" s="2611"/>
      <c r="D422" s="1064">
        <f>M422+O422+P422+Q422+R422+S422+T422+U422+V422+W422</f>
        <v>6111159</v>
      </c>
      <c r="E422" s="476">
        <f>+F422+G422+H422</f>
        <v>0</v>
      </c>
      <c r="F422" s="538">
        <v>0</v>
      </c>
      <c r="G422" s="539">
        <v>0</v>
      </c>
      <c r="H422" s="540">
        <v>0</v>
      </c>
      <c r="I422" s="923">
        <v>0</v>
      </c>
      <c r="J422" s="539"/>
      <c r="K422" s="539">
        <v>0</v>
      </c>
      <c r="L422" s="539"/>
      <c r="M422" s="1064">
        <f>+E422+I422+J422+K422+L422+N422</f>
        <v>0</v>
      </c>
      <c r="N422" s="538">
        <v>0</v>
      </c>
      <c r="O422" s="539">
        <v>0</v>
      </c>
      <c r="P422" s="539">
        <f>2550000-2550000</f>
        <v>0</v>
      </c>
      <c r="Q422" s="539">
        <v>3555530</v>
      </c>
      <c r="R422" s="539">
        <v>2555629</v>
      </c>
      <c r="S422" s="539"/>
      <c r="T422" s="539"/>
      <c r="U422" s="539"/>
      <c r="V422" s="539"/>
      <c r="W422" s="539"/>
      <c r="X422" s="2639"/>
      <c r="Y422" s="2607"/>
    </row>
    <row r="423" spans="1:26" ht="27.75" customHeight="1">
      <c r="A423" s="2597" t="s">
        <v>391</v>
      </c>
      <c r="B423" s="928" t="s">
        <v>429</v>
      </c>
      <c r="C423" s="457" t="s">
        <v>97</v>
      </c>
      <c r="D423" s="600"/>
      <c r="E423" s="420"/>
      <c r="F423" s="421"/>
      <c r="G423" s="421"/>
      <c r="H423" s="420"/>
      <c r="I423" s="420"/>
      <c r="J423" s="420"/>
      <c r="K423" s="420"/>
      <c r="L423" s="420"/>
      <c r="M423" s="420"/>
      <c r="N423" s="420"/>
      <c r="O423" s="420"/>
      <c r="P423" s="422"/>
      <c r="Q423" s="422"/>
      <c r="R423" s="422"/>
      <c r="S423" s="800"/>
      <c r="T423" s="421"/>
      <c r="U423" s="800"/>
      <c r="V423" s="800"/>
      <c r="W423" s="800"/>
      <c r="X423" s="461"/>
      <c r="Y423" s="2589" t="s">
        <v>103</v>
      </c>
      <c r="Z423" s="1118" t="s">
        <v>452</v>
      </c>
    </row>
    <row r="424" spans="1:26" ht="15" customHeight="1">
      <c r="A424" s="2598"/>
      <c r="B424" s="358" t="s">
        <v>22</v>
      </c>
      <c r="C424" s="359"/>
      <c r="D424" s="1401">
        <f>+D425+D427</f>
        <v>9042058</v>
      </c>
      <c r="E424" s="1401">
        <f t="shared" ref="E424:Q424" si="242">+E425+E427</f>
        <v>0</v>
      </c>
      <c r="F424" s="1401">
        <f t="shared" si="242"/>
        <v>0</v>
      </c>
      <c r="G424" s="1401">
        <f t="shared" si="242"/>
        <v>0</v>
      </c>
      <c r="H424" s="1401">
        <f t="shared" si="242"/>
        <v>0</v>
      </c>
      <c r="I424" s="1401">
        <f t="shared" si="242"/>
        <v>0</v>
      </c>
      <c r="J424" s="1401">
        <f t="shared" si="242"/>
        <v>0</v>
      </c>
      <c r="K424" s="1401">
        <f t="shared" si="242"/>
        <v>0</v>
      </c>
      <c r="L424" s="1401">
        <f t="shared" si="242"/>
        <v>0</v>
      </c>
      <c r="M424" s="2494">
        <f t="shared" si="242"/>
        <v>0</v>
      </c>
      <c r="N424" s="1401">
        <f t="shared" si="242"/>
        <v>0</v>
      </c>
      <c r="O424" s="2494">
        <f t="shared" si="242"/>
        <v>0</v>
      </c>
      <c r="P424" s="1401">
        <f t="shared" si="242"/>
        <v>50000</v>
      </c>
      <c r="Q424" s="1401">
        <f t="shared" si="242"/>
        <v>8992058</v>
      </c>
      <c r="R424" s="1401"/>
      <c r="S424" s="1401"/>
      <c r="T424" s="1401"/>
      <c r="U424" s="1401"/>
      <c r="V424" s="1401"/>
      <c r="W424" s="1401"/>
      <c r="X424" s="1341">
        <f>+X425+X427</f>
        <v>9042058</v>
      </c>
      <c r="Y424" s="2590"/>
    </row>
    <row r="425" spans="1:26">
      <c r="A425" s="2598"/>
      <c r="B425" s="510" t="s">
        <v>36</v>
      </c>
      <c r="C425" s="2594" t="s">
        <v>100</v>
      </c>
      <c r="D425" s="1402">
        <f>+D426</f>
        <v>2153818</v>
      </c>
      <c r="E425" s="1402">
        <f t="shared" ref="E425:Q425" si="243">+E426</f>
        <v>0</v>
      </c>
      <c r="F425" s="1402">
        <f t="shared" si="243"/>
        <v>0</v>
      </c>
      <c r="G425" s="1402">
        <f t="shared" si="243"/>
        <v>0</v>
      </c>
      <c r="H425" s="1402">
        <f t="shared" si="243"/>
        <v>0</v>
      </c>
      <c r="I425" s="1402">
        <f t="shared" si="243"/>
        <v>0</v>
      </c>
      <c r="J425" s="1402">
        <f t="shared" si="243"/>
        <v>0</v>
      </c>
      <c r="K425" s="1402">
        <f t="shared" si="243"/>
        <v>0</v>
      </c>
      <c r="L425" s="1402">
        <f t="shared" si="243"/>
        <v>0</v>
      </c>
      <c r="M425" s="2495">
        <f t="shared" si="243"/>
        <v>0</v>
      </c>
      <c r="N425" s="1402">
        <f t="shared" si="243"/>
        <v>0</v>
      </c>
      <c r="O425" s="2495">
        <f t="shared" si="243"/>
        <v>0</v>
      </c>
      <c r="P425" s="1402">
        <f t="shared" si="243"/>
        <v>43952</v>
      </c>
      <c r="Q425" s="1402">
        <f t="shared" si="243"/>
        <v>2109866</v>
      </c>
      <c r="R425" s="1402"/>
      <c r="S425" s="1402"/>
      <c r="T425" s="1402"/>
      <c r="U425" s="1402"/>
      <c r="V425" s="1402"/>
      <c r="W425" s="1402"/>
      <c r="X425" s="1380">
        <f>+X426</f>
        <v>2153818</v>
      </c>
      <c r="Y425" s="2590"/>
    </row>
    <row r="426" spans="1:26">
      <c r="A426" s="2598"/>
      <c r="B426" s="511" t="s">
        <v>24</v>
      </c>
      <c r="C426" s="2603"/>
      <c r="D426" s="1381">
        <f>M426+O426+P426+Q426+R426+S426+T426+U426+V426+W426</f>
        <v>2153818</v>
      </c>
      <c r="E426" s="1344">
        <f>+F426+G426+H426</f>
        <v>0</v>
      </c>
      <c r="F426" s="1384">
        <v>0</v>
      </c>
      <c r="G426" s="1384">
        <v>0</v>
      </c>
      <c r="H426" s="1384">
        <v>0</v>
      </c>
      <c r="I426" s="1384"/>
      <c r="J426" s="1384"/>
      <c r="K426" s="1384"/>
      <c r="L426" s="1384">
        <f>47545-47545</f>
        <v>0</v>
      </c>
      <c r="M426" s="1857">
        <f>+E426+I426+J426+K426+L426+N426</f>
        <v>0</v>
      </c>
      <c r="N426" s="1384">
        <f>57803-57803</f>
        <v>0</v>
      </c>
      <c r="O426" s="1858"/>
      <c r="P426" s="1384">
        <f>300132-256180</f>
        <v>43952</v>
      </c>
      <c r="Q426" s="1384">
        <f>1853686+256180</f>
        <v>2109866</v>
      </c>
      <c r="R426" s="1384"/>
      <c r="S426" s="1384"/>
      <c r="T426" s="1384"/>
      <c r="U426" s="1384"/>
      <c r="V426" s="1384"/>
      <c r="W426" s="1384"/>
      <c r="X426" s="1385">
        <f>SUM(P426:T426)</f>
        <v>2153818</v>
      </c>
      <c r="Y426" s="2590"/>
    </row>
    <row r="427" spans="1:26">
      <c r="A427" s="2598"/>
      <c r="B427" s="502" t="s">
        <v>30</v>
      </c>
      <c r="C427" s="2603"/>
      <c r="D427" s="1386">
        <f>+D428</f>
        <v>6888240</v>
      </c>
      <c r="E427" s="1386">
        <f t="shared" ref="E427:Q427" si="244">+E428</f>
        <v>0</v>
      </c>
      <c r="F427" s="1386">
        <f t="shared" si="244"/>
        <v>0</v>
      </c>
      <c r="G427" s="1386">
        <f t="shared" si="244"/>
        <v>0</v>
      </c>
      <c r="H427" s="1386">
        <f t="shared" si="244"/>
        <v>0</v>
      </c>
      <c r="I427" s="1386">
        <f t="shared" si="244"/>
        <v>0</v>
      </c>
      <c r="J427" s="1386">
        <f t="shared" si="244"/>
        <v>0</v>
      </c>
      <c r="K427" s="1386">
        <f t="shared" si="244"/>
        <v>0</v>
      </c>
      <c r="L427" s="1386">
        <f t="shared" si="244"/>
        <v>0</v>
      </c>
      <c r="M427" s="1839">
        <f t="shared" si="244"/>
        <v>0</v>
      </c>
      <c r="N427" s="1386">
        <f t="shared" si="244"/>
        <v>0</v>
      </c>
      <c r="O427" s="1839">
        <f t="shared" si="244"/>
        <v>0</v>
      </c>
      <c r="P427" s="1386">
        <f t="shared" si="244"/>
        <v>6048</v>
      </c>
      <c r="Q427" s="1386">
        <f t="shared" si="244"/>
        <v>6882192</v>
      </c>
      <c r="R427" s="1386"/>
      <c r="S427" s="1386"/>
      <c r="T427" s="1386"/>
      <c r="U427" s="1386"/>
      <c r="V427" s="1386"/>
      <c r="W427" s="1386"/>
      <c r="X427" s="1380">
        <f>+X428</f>
        <v>6888240</v>
      </c>
      <c r="Y427" s="2590"/>
    </row>
    <row r="428" spans="1:26">
      <c r="A428" s="2598"/>
      <c r="B428" s="1403" t="s">
        <v>314</v>
      </c>
      <c r="C428" s="2604"/>
      <c r="D428" s="1381">
        <f>M428+O428+P428+Q428+R428+S428+T428+U428+V428+W428</f>
        <v>6888240</v>
      </c>
      <c r="E428" s="1344">
        <f>+F428+G428+H428</f>
        <v>0</v>
      </c>
      <c r="F428" s="1388">
        <v>0</v>
      </c>
      <c r="G428" s="1388">
        <v>0</v>
      </c>
      <c r="H428" s="1388">
        <v>0</v>
      </c>
      <c r="I428" s="1384"/>
      <c r="J428" s="1384"/>
      <c r="K428" s="1384">
        <v>0</v>
      </c>
      <c r="L428" s="1384">
        <v>0</v>
      </c>
      <c r="M428" s="1857">
        <f>+E428+I428+J428+K428+L428+N428</f>
        <v>0</v>
      </c>
      <c r="N428" s="1384">
        <v>0</v>
      </c>
      <c r="O428" s="1858">
        <v>0</v>
      </c>
      <c r="P428" s="1384">
        <f>959868-953820</f>
        <v>6048</v>
      </c>
      <c r="Q428" s="1384">
        <f>5928372+953820</f>
        <v>6882192</v>
      </c>
      <c r="R428" s="1384"/>
      <c r="S428" s="1384"/>
      <c r="T428" s="1384"/>
      <c r="U428" s="1384"/>
      <c r="V428" s="1384"/>
      <c r="W428" s="1384"/>
      <c r="X428" s="1385">
        <f>SUM(P428:T428)</f>
        <v>6888240</v>
      </c>
      <c r="Y428" s="2601"/>
      <c r="Z428" s="778"/>
    </row>
    <row r="429" spans="1:26" s="862" customFormat="1" ht="15" customHeight="1">
      <c r="A429" s="2599"/>
      <c r="B429" s="358" t="s">
        <v>34</v>
      </c>
      <c r="C429" s="359"/>
      <c r="D429" s="1391">
        <f>+D430</f>
        <v>6888240</v>
      </c>
      <c r="E429" s="1391">
        <f t="shared" ref="E429:R430" si="245">+E430</f>
        <v>0</v>
      </c>
      <c r="F429" s="1391">
        <f t="shared" si="245"/>
        <v>0</v>
      </c>
      <c r="G429" s="1391">
        <f t="shared" si="245"/>
        <v>0</v>
      </c>
      <c r="H429" s="1391">
        <f t="shared" si="245"/>
        <v>0</v>
      </c>
      <c r="I429" s="1391">
        <f t="shared" si="245"/>
        <v>0</v>
      </c>
      <c r="J429" s="1391">
        <f t="shared" si="245"/>
        <v>0</v>
      </c>
      <c r="K429" s="1391">
        <f t="shared" si="245"/>
        <v>0</v>
      </c>
      <c r="L429" s="1391">
        <f t="shared" si="245"/>
        <v>0</v>
      </c>
      <c r="M429" s="1835">
        <f t="shared" si="245"/>
        <v>0</v>
      </c>
      <c r="N429" s="1391">
        <f t="shared" si="245"/>
        <v>0</v>
      </c>
      <c r="O429" s="1835">
        <f t="shared" si="245"/>
        <v>0</v>
      </c>
      <c r="P429" s="1391">
        <f t="shared" si="245"/>
        <v>0</v>
      </c>
      <c r="Q429" s="1391">
        <f t="shared" si="245"/>
        <v>3909880</v>
      </c>
      <c r="R429" s="1391">
        <f t="shared" si="245"/>
        <v>2978360</v>
      </c>
      <c r="S429" s="1391"/>
      <c r="T429" s="1391"/>
      <c r="U429" s="1391"/>
      <c r="V429" s="1391"/>
      <c r="W429" s="1391"/>
      <c r="X429" s="2658" t="s">
        <v>35</v>
      </c>
      <c r="Y429" s="2612" t="s">
        <v>120</v>
      </c>
    </row>
    <row r="430" spans="1:26" s="864" customFormat="1" ht="12.75" customHeight="1">
      <c r="A430" s="2599"/>
      <c r="B430" s="502" t="s">
        <v>30</v>
      </c>
      <c r="C430" s="2594" t="s">
        <v>100</v>
      </c>
      <c r="D430" s="1393">
        <f>+D431</f>
        <v>6888240</v>
      </c>
      <c r="E430" s="1393">
        <f t="shared" si="245"/>
        <v>0</v>
      </c>
      <c r="F430" s="1393">
        <f t="shared" si="245"/>
        <v>0</v>
      </c>
      <c r="G430" s="1393">
        <f t="shared" si="245"/>
        <v>0</v>
      </c>
      <c r="H430" s="1393">
        <f t="shared" si="245"/>
        <v>0</v>
      </c>
      <c r="I430" s="1393">
        <f t="shared" si="245"/>
        <v>0</v>
      </c>
      <c r="J430" s="1404">
        <f t="shared" si="245"/>
        <v>0</v>
      </c>
      <c r="K430" s="1404">
        <f t="shared" si="245"/>
        <v>0</v>
      </c>
      <c r="L430" s="1404">
        <f t="shared" si="245"/>
        <v>0</v>
      </c>
      <c r="M430" s="2496">
        <f t="shared" si="245"/>
        <v>0</v>
      </c>
      <c r="N430" s="1393">
        <f t="shared" si="245"/>
        <v>0</v>
      </c>
      <c r="O430" s="2496">
        <f t="shared" si="245"/>
        <v>0</v>
      </c>
      <c r="P430" s="1393">
        <f t="shared" si="245"/>
        <v>0</v>
      </c>
      <c r="Q430" s="1404">
        <f t="shared" si="245"/>
        <v>3909880</v>
      </c>
      <c r="R430" s="1404">
        <f t="shared" si="245"/>
        <v>2978360</v>
      </c>
      <c r="S430" s="1393"/>
      <c r="T430" s="1393"/>
      <c r="U430" s="1393"/>
      <c r="V430" s="1393"/>
      <c r="W430" s="1393"/>
      <c r="X430" s="2638"/>
      <c r="Y430" s="2606"/>
    </row>
    <row r="431" spans="1:26" s="862" customFormat="1" ht="13.5" thickBot="1">
      <c r="A431" s="2600"/>
      <c r="B431" s="556" t="s">
        <v>32</v>
      </c>
      <c r="C431" s="2608"/>
      <c r="D431" s="1064">
        <f>M431+O431+P431+Q431+R431+S431+T431+U431+V431+W431</f>
        <v>6888240</v>
      </c>
      <c r="E431" s="476">
        <f>+F431+G431+H431</f>
        <v>0</v>
      </c>
      <c r="F431" s="538">
        <v>0</v>
      </c>
      <c r="G431" s="539">
        <v>0</v>
      </c>
      <c r="H431" s="540">
        <v>0</v>
      </c>
      <c r="I431" s="923">
        <v>0</v>
      </c>
      <c r="J431" s="539"/>
      <c r="K431" s="539">
        <v>0</v>
      </c>
      <c r="L431" s="539"/>
      <c r="M431" s="1071">
        <f>+E431+I431+J431+K431+L431+N431</f>
        <v>0</v>
      </c>
      <c r="N431" s="538">
        <v>0</v>
      </c>
      <c r="O431" s="2497">
        <v>0</v>
      </c>
      <c r="P431" s="539">
        <f>2550000-2550000</f>
        <v>0</v>
      </c>
      <c r="Q431" s="539">
        <v>3909880</v>
      </c>
      <c r="R431" s="539">
        <v>2978360</v>
      </c>
      <c r="S431" s="539"/>
      <c r="T431" s="539"/>
      <c r="U431" s="539"/>
      <c r="V431" s="539"/>
      <c r="W431" s="539"/>
      <c r="X431" s="2639"/>
      <c r="Y431" s="2607"/>
    </row>
    <row r="432" spans="1:26" ht="31.5" customHeight="1">
      <c r="A432" s="2597" t="s">
        <v>422</v>
      </c>
      <c r="B432" s="928" t="s">
        <v>430</v>
      </c>
      <c r="C432" s="457" t="s">
        <v>97</v>
      </c>
      <c r="D432" s="600"/>
      <c r="E432" s="420"/>
      <c r="F432" s="421"/>
      <c r="G432" s="421"/>
      <c r="H432" s="420"/>
      <c r="I432" s="420"/>
      <c r="J432" s="420"/>
      <c r="K432" s="420"/>
      <c r="L432" s="420"/>
      <c r="M432" s="420"/>
      <c r="N432" s="420"/>
      <c r="O432" s="420"/>
      <c r="P432" s="422"/>
      <c r="Q432" s="422"/>
      <c r="R432" s="422"/>
      <c r="S432" s="800"/>
      <c r="T432" s="421"/>
      <c r="U432" s="800"/>
      <c r="V432" s="800"/>
      <c r="W432" s="800"/>
      <c r="X432" s="461"/>
      <c r="Y432" s="2589" t="s">
        <v>103</v>
      </c>
      <c r="Z432" s="1118" t="s">
        <v>452</v>
      </c>
    </row>
    <row r="433" spans="1:26" ht="14.25" customHeight="1">
      <c r="A433" s="2598"/>
      <c r="B433" s="358" t="s">
        <v>22</v>
      </c>
      <c r="C433" s="1670"/>
      <c r="D433" s="1625">
        <f>+D434+D436</f>
        <v>4410000</v>
      </c>
      <c r="E433" s="1625">
        <f t="shared" ref="E433:Q433" si="246">+E434+E436</f>
        <v>0</v>
      </c>
      <c r="F433" s="1625">
        <f t="shared" si="246"/>
        <v>0</v>
      </c>
      <c r="G433" s="1625">
        <f t="shared" si="246"/>
        <v>0</v>
      </c>
      <c r="H433" s="1625">
        <f t="shared" si="246"/>
        <v>0</v>
      </c>
      <c r="I433" s="1625">
        <f t="shared" si="246"/>
        <v>0</v>
      </c>
      <c r="J433" s="1625">
        <f t="shared" si="246"/>
        <v>0</v>
      </c>
      <c r="K433" s="1625">
        <f t="shared" si="246"/>
        <v>0</v>
      </c>
      <c r="L433" s="1625">
        <f t="shared" si="246"/>
        <v>0</v>
      </c>
      <c r="M433" s="1626">
        <f t="shared" si="246"/>
        <v>0</v>
      </c>
      <c r="N433" s="1625">
        <f t="shared" si="246"/>
        <v>0</v>
      </c>
      <c r="O433" s="1626">
        <f t="shared" si="246"/>
        <v>0</v>
      </c>
      <c r="P433" s="1625">
        <f t="shared" si="246"/>
        <v>380014</v>
      </c>
      <c r="Q433" s="1625">
        <f t="shared" si="246"/>
        <v>4029986</v>
      </c>
      <c r="R433" s="1625"/>
      <c r="S433" s="1625"/>
      <c r="T433" s="1625"/>
      <c r="U433" s="1625"/>
      <c r="V433" s="1625"/>
      <c r="W433" s="1625"/>
      <c r="X433" s="1672">
        <f>+X434+X436</f>
        <v>4410000</v>
      </c>
      <c r="Y433" s="2590"/>
    </row>
    <row r="434" spans="1:26">
      <c r="A434" s="2598"/>
      <c r="B434" s="510" t="s">
        <v>36</v>
      </c>
      <c r="C434" s="2594" t="s">
        <v>100</v>
      </c>
      <c r="D434" s="1703">
        <f>+D435</f>
        <v>1050462</v>
      </c>
      <c r="E434" s="1703">
        <f t="shared" ref="E434:Q434" si="247">+E435</f>
        <v>0</v>
      </c>
      <c r="F434" s="1703">
        <f t="shared" si="247"/>
        <v>0</v>
      </c>
      <c r="G434" s="1703">
        <f t="shared" si="247"/>
        <v>0</v>
      </c>
      <c r="H434" s="1703">
        <f t="shared" si="247"/>
        <v>0</v>
      </c>
      <c r="I434" s="1703">
        <f t="shared" si="247"/>
        <v>0</v>
      </c>
      <c r="J434" s="1703">
        <f t="shared" si="247"/>
        <v>0</v>
      </c>
      <c r="K434" s="1703">
        <f t="shared" si="247"/>
        <v>0</v>
      </c>
      <c r="L434" s="1703">
        <f t="shared" si="247"/>
        <v>0</v>
      </c>
      <c r="M434" s="1705">
        <f t="shared" si="247"/>
        <v>0</v>
      </c>
      <c r="N434" s="1703">
        <f t="shared" si="247"/>
        <v>0</v>
      </c>
      <c r="O434" s="1705">
        <f t="shared" si="247"/>
        <v>0</v>
      </c>
      <c r="P434" s="1703">
        <f t="shared" si="247"/>
        <v>85279</v>
      </c>
      <c r="Q434" s="1703">
        <f t="shared" si="247"/>
        <v>965183</v>
      </c>
      <c r="R434" s="1703"/>
      <c r="S434" s="1703"/>
      <c r="T434" s="1703"/>
      <c r="U434" s="1703"/>
      <c r="V434" s="1703"/>
      <c r="W434" s="1703"/>
      <c r="X434" s="1674">
        <f>+X435</f>
        <v>1050462</v>
      </c>
      <c r="Y434" s="2590"/>
    </row>
    <row r="435" spans="1:26" ht="14.25" customHeight="1">
      <c r="A435" s="2598"/>
      <c r="B435" s="511" t="s">
        <v>24</v>
      </c>
      <c r="C435" s="2603"/>
      <c r="D435" s="1381">
        <f>M435+O435+P435+Q435+R435+S435+T435+U435+V435+W435</f>
        <v>1050462</v>
      </c>
      <c r="E435" s="1618">
        <f>+F435+G435+H435</f>
        <v>0</v>
      </c>
      <c r="F435" s="1677">
        <v>0</v>
      </c>
      <c r="G435" s="1677">
        <v>0</v>
      </c>
      <c r="H435" s="1677">
        <v>0</v>
      </c>
      <c r="I435" s="1677"/>
      <c r="J435" s="1677"/>
      <c r="K435" s="1677"/>
      <c r="L435" s="1677">
        <f>47545-47545</f>
        <v>0</v>
      </c>
      <c r="M435" s="1762">
        <f>+E435+I435+J435+K435+L435+N435</f>
        <v>0</v>
      </c>
      <c r="N435" s="1677">
        <f>57803-57803</f>
        <v>0</v>
      </c>
      <c r="O435" s="2501"/>
      <c r="P435" s="1677">
        <f>420185-321489-13417</f>
        <v>85279</v>
      </c>
      <c r="Q435" s="1677">
        <f>630277+321489+13417</f>
        <v>965183</v>
      </c>
      <c r="R435" s="1677"/>
      <c r="S435" s="1677"/>
      <c r="T435" s="1677"/>
      <c r="U435" s="1677"/>
      <c r="V435" s="1677"/>
      <c r="W435" s="1677"/>
      <c r="X435" s="1678">
        <f>SUM(P435:T435)</f>
        <v>1050462</v>
      </c>
      <c r="Y435" s="2590"/>
    </row>
    <row r="436" spans="1:26" ht="14.25" customHeight="1">
      <c r="A436" s="2598"/>
      <c r="B436" s="502" t="s">
        <v>30</v>
      </c>
      <c r="C436" s="2603"/>
      <c r="D436" s="1679">
        <f>+D437</f>
        <v>3359538</v>
      </c>
      <c r="E436" s="1679">
        <f t="shared" ref="E436:Q436" si="248">+E437</f>
        <v>0</v>
      </c>
      <c r="F436" s="1679">
        <f t="shared" si="248"/>
        <v>0</v>
      </c>
      <c r="G436" s="1679">
        <f t="shared" si="248"/>
        <v>0</v>
      </c>
      <c r="H436" s="1679">
        <f t="shared" si="248"/>
        <v>0</v>
      </c>
      <c r="I436" s="1679">
        <f t="shared" si="248"/>
        <v>0</v>
      </c>
      <c r="J436" s="1679">
        <f t="shared" si="248"/>
        <v>0</v>
      </c>
      <c r="K436" s="1679">
        <f t="shared" si="248"/>
        <v>0</v>
      </c>
      <c r="L436" s="1679">
        <f t="shared" si="248"/>
        <v>0</v>
      </c>
      <c r="M436" s="2498">
        <f t="shared" si="248"/>
        <v>0</v>
      </c>
      <c r="N436" s="1679">
        <f t="shared" si="248"/>
        <v>0</v>
      </c>
      <c r="O436" s="2498">
        <f t="shared" si="248"/>
        <v>0</v>
      </c>
      <c r="P436" s="1679">
        <f t="shared" si="248"/>
        <v>294735</v>
      </c>
      <c r="Q436" s="1679">
        <f t="shared" si="248"/>
        <v>3064803</v>
      </c>
      <c r="R436" s="1679"/>
      <c r="S436" s="1679"/>
      <c r="T436" s="1679"/>
      <c r="U436" s="1679"/>
      <c r="V436" s="1679"/>
      <c r="W436" s="1679"/>
      <c r="X436" s="1674">
        <f>+X437</f>
        <v>3359538</v>
      </c>
      <c r="Y436" s="2590"/>
    </row>
    <row r="437" spans="1:26" ht="14.25" customHeight="1">
      <c r="A437" s="2598"/>
      <c r="B437" s="1403" t="s">
        <v>314</v>
      </c>
      <c r="C437" s="2604"/>
      <c r="D437" s="1381">
        <f>M437+O437+P437+Q437+R437+S437+T437+U437+V437+W437</f>
        <v>3359538</v>
      </c>
      <c r="E437" s="1618">
        <f>+F437+G437+H437</f>
        <v>0</v>
      </c>
      <c r="F437" s="1620">
        <v>0</v>
      </c>
      <c r="G437" s="1620">
        <v>0</v>
      </c>
      <c r="H437" s="1620">
        <v>0</v>
      </c>
      <c r="I437" s="1677"/>
      <c r="J437" s="1677"/>
      <c r="K437" s="1677">
        <v>0</v>
      </c>
      <c r="L437" s="1677">
        <v>0</v>
      </c>
      <c r="M437" s="1762">
        <f>+E437+I437+J437+K437+L437+N437</f>
        <v>0</v>
      </c>
      <c r="N437" s="1677">
        <v>0</v>
      </c>
      <c r="O437" s="2501">
        <v>0</v>
      </c>
      <c r="P437" s="1677">
        <f>1343815-1001511-47569</f>
        <v>294735</v>
      </c>
      <c r="Q437" s="1677">
        <f>2015723+1001511+47569</f>
        <v>3064803</v>
      </c>
      <c r="R437" s="1677"/>
      <c r="S437" s="1677"/>
      <c r="T437" s="1677"/>
      <c r="U437" s="1677"/>
      <c r="V437" s="1677"/>
      <c r="W437" s="1677"/>
      <c r="X437" s="1678">
        <f>SUM(P437:T437)</f>
        <v>3359538</v>
      </c>
      <c r="Y437" s="2601"/>
      <c r="Z437" s="778"/>
    </row>
    <row r="438" spans="1:26" s="862" customFormat="1">
      <c r="A438" s="2599"/>
      <c r="B438" s="358" t="s">
        <v>34</v>
      </c>
      <c r="C438" s="1670"/>
      <c r="D438" s="1685">
        <f>+D439</f>
        <v>3359538</v>
      </c>
      <c r="E438" s="1685">
        <f t="shared" ref="E438:R439" si="249">+E439</f>
        <v>0</v>
      </c>
      <c r="F438" s="1685">
        <f t="shared" si="249"/>
        <v>0</v>
      </c>
      <c r="G438" s="1685">
        <f t="shared" si="249"/>
        <v>0</v>
      </c>
      <c r="H438" s="1685">
        <f t="shared" si="249"/>
        <v>0</v>
      </c>
      <c r="I438" s="1685">
        <f t="shared" si="249"/>
        <v>0</v>
      </c>
      <c r="J438" s="1685">
        <f t="shared" si="249"/>
        <v>0</v>
      </c>
      <c r="K438" s="1685">
        <f t="shared" si="249"/>
        <v>0</v>
      </c>
      <c r="L438" s="1685">
        <f t="shared" si="249"/>
        <v>0</v>
      </c>
      <c r="M438" s="2499">
        <f t="shared" si="249"/>
        <v>0</v>
      </c>
      <c r="N438" s="1685">
        <f t="shared" si="249"/>
        <v>0</v>
      </c>
      <c r="O438" s="2499">
        <f t="shared" si="249"/>
        <v>0</v>
      </c>
      <c r="P438" s="1685">
        <f t="shared" si="249"/>
        <v>0</v>
      </c>
      <c r="Q438" s="1685">
        <f t="shared" si="249"/>
        <v>2334228</v>
      </c>
      <c r="R438" s="1685">
        <f t="shared" si="249"/>
        <v>1025310</v>
      </c>
      <c r="S438" s="1685"/>
      <c r="T438" s="1685"/>
      <c r="U438" s="1685"/>
      <c r="V438" s="1685"/>
      <c r="W438" s="1685"/>
      <c r="X438" s="2640" t="s">
        <v>35</v>
      </c>
      <c r="Y438" s="2612" t="s">
        <v>120</v>
      </c>
    </row>
    <row r="439" spans="1:26" s="864" customFormat="1" ht="12.75" customHeight="1">
      <c r="A439" s="2599"/>
      <c r="B439" s="502" t="s">
        <v>30</v>
      </c>
      <c r="C439" s="2594" t="s">
        <v>100</v>
      </c>
      <c r="D439" s="1682">
        <f>+D440</f>
        <v>3359538</v>
      </c>
      <c r="E439" s="1682">
        <f t="shared" si="249"/>
        <v>0</v>
      </c>
      <c r="F439" s="1682">
        <f t="shared" si="249"/>
        <v>0</v>
      </c>
      <c r="G439" s="1682">
        <f t="shared" si="249"/>
        <v>0</v>
      </c>
      <c r="H439" s="1682">
        <f t="shared" si="249"/>
        <v>0</v>
      </c>
      <c r="I439" s="1682">
        <f t="shared" si="249"/>
        <v>0</v>
      </c>
      <c r="J439" s="1686">
        <f t="shared" si="249"/>
        <v>0</v>
      </c>
      <c r="K439" s="1686">
        <f t="shared" si="249"/>
        <v>0</v>
      </c>
      <c r="L439" s="1686">
        <f t="shared" si="249"/>
        <v>0</v>
      </c>
      <c r="M439" s="2500">
        <f t="shared" si="249"/>
        <v>0</v>
      </c>
      <c r="N439" s="1682">
        <f t="shared" si="249"/>
        <v>0</v>
      </c>
      <c r="O439" s="2500">
        <f t="shared" si="249"/>
        <v>0</v>
      </c>
      <c r="P439" s="1682">
        <f t="shared" si="249"/>
        <v>0</v>
      </c>
      <c r="Q439" s="1686">
        <f t="shared" si="249"/>
        <v>2334228</v>
      </c>
      <c r="R439" s="1686">
        <f t="shared" si="249"/>
        <v>1025310</v>
      </c>
      <c r="S439" s="1682"/>
      <c r="T439" s="1682"/>
      <c r="U439" s="1682"/>
      <c r="V439" s="1682"/>
      <c r="W439" s="1682"/>
      <c r="X439" s="2638"/>
      <c r="Y439" s="2606"/>
    </row>
    <row r="440" spans="1:26" s="862" customFormat="1" ht="12" customHeight="1" thickBot="1">
      <c r="A440" s="2600"/>
      <c r="B440" s="556" t="s">
        <v>32</v>
      </c>
      <c r="C440" s="2608"/>
      <c r="D440" s="1064">
        <f>M440+O440+P440+Q440+R440+S440+T440+U440+V440+W440</f>
        <v>3359538</v>
      </c>
      <c r="E440" s="476">
        <f>+F440+G440+H440</f>
        <v>0</v>
      </c>
      <c r="F440" s="538">
        <v>0</v>
      </c>
      <c r="G440" s="539">
        <v>0</v>
      </c>
      <c r="H440" s="540">
        <v>0</v>
      </c>
      <c r="I440" s="923">
        <v>0</v>
      </c>
      <c r="J440" s="539"/>
      <c r="K440" s="539">
        <v>0</v>
      </c>
      <c r="L440" s="539"/>
      <c r="M440" s="1071">
        <f>+E440+I440+J440+K440+L440+N440</f>
        <v>0</v>
      </c>
      <c r="N440" s="538">
        <v>0</v>
      </c>
      <c r="O440" s="2497">
        <v>0</v>
      </c>
      <c r="P440" s="539">
        <f>2550000-2550000</f>
        <v>0</v>
      </c>
      <c r="Q440" s="539">
        <v>2334228</v>
      </c>
      <c r="R440" s="539">
        <v>1025310</v>
      </c>
      <c r="S440" s="539"/>
      <c r="T440" s="539"/>
      <c r="U440" s="539"/>
      <c r="V440" s="539"/>
      <c r="W440" s="539"/>
      <c r="X440" s="2639"/>
      <c r="Y440" s="2607"/>
    </row>
    <row r="441" spans="1:26" ht="30" customHeight="1">
      <c r="A441" s="2597" t="s">
        <v>423</v>
      </c>
      <c r="B441" s="928" t="s">
        <v>431</v>
      </c>
      <c r="C441" s="457" t="s">
        <v>97</v>
      </c>
      <c r="D441" s="600"/>
      <c r="E441" s="420"/>
      <c r="F441" s="421"/>
      <c r="G441" s="421"/>
      <c r="H441" s="420"/>
      <c r="I441" s="420"/>
      <c r="J441" s="420"/>
      <c r="K441" s="420"/>
      <c r="L441" s="420"/>
      <c r="M441" s="420"/>
      <c r="N441" s="420"/>
      <c r="O441" s="420"/>
      <c r="P441" s="422"/>
      <c r="Q441" s="422"/>
      <c r="R441" s="422"/>
      <c r="S441" s="800"/>
      <c r="T441" s="421"/>
      <c r="U441" s="800"/>
      <c r="V441" s="800"/>
      <c r="W441" s="541"/>
      <c r="X441" s="461"/>
      <c r="Y441" s="2589" t="s">
        <v>103</v>
      </c>
      <c r="Z441" s="1118" t="s">
        <v>452</v>
      </c>
    </row>
    <row r="442" spans="1:26" ht="15" customHeight="1">
      <c r="A442" s="2598"/>
      <c r="B442" s="358" t="s">
        <v>22</v>
      </c>
      <c r="C442" s="359"/>
      <c r="D442" s="1401">
        <f>+D443+D445</f>
        <v>7056000</v>
      </c>
      <c r="E442" s="1401">
        <f t="shared" ref="E442:Q442" si="250">+E443+E445</f>
        <v>0</v>
      </c>
      <c r="F442" s="1401">
        <f t="shared" si="250"/>
        <v>0</v>
      </c>
      <c r="G442" s="1401">
        <f t="shared" si="250"/>
        <v>0</v>
      </c>
      <c r="H442" s="1401">
        <f t="shared" si="250"/>
        <v>0</v>
      </c>
      <c r="I442" s="1401">
        <f t="shared" si="250"/>
        <v>0</v>
      </c>
      <c r="J442" s="1401">
        <f t="shared" si="250"/>
        <v>0</v>
      </c>
      <c r="K442" s="1401">
        <f t="shared" si="250"/>
        <v>0</v>
      </c>
      <c r="L442" s="1401">
        <f t="shared" si="250"/>
        <v>0</v>
      </c>
      <c r="M442" s="2494">
        <f t="shared" si="250"/>
        <v>0</v>
      </c>
      <c r="N442" s="1401">
        <f t="shared" si="250"/>
        <v>0</v>
      </c>
      <c r="O442" s="2494">
        <f t="shared" si="250"/>
        <v>0</v>
      </c>
      <c r="P442" s="2494">
        <f t="shared" si="250"/>
        <v>0</v>
      </c>
      <c r="Q442" s="2494">
        <f t="shared" si="250"/>
        <v>0</v>
      </c>
      <c r="R442" s="1401">
        <f>+R443+R445</f>
        <v>2610720</v>
      </c>
      <c r="S442" s="1401">
        <f>+S443+S445</f>
        <v>4445280</v>
      </c>
      <c r="T442" s="1401"/>
      <c r="U442" s="1401"/>
      <c r="V442" s="1401"/>
      <c r="W442" s="2507"/>
      <c r="X442" s="2504">
        <f>+X443+X445</f>
        <v>7056000</v>
      </c>
      <c r="Y442" s="2590"/>
    </row>
    <row r="443" spans="1:26" ht="13.5" customHeight="1">
      <c r="A443" s="2598"/>
      <c r="B443" s="510" t="s">
        <v>36</v>
      </c>
      <c r="C443" s="2594" t="s">
        <v>100</v>
      </c>
      <c r="D443" s="1402">
        <f>+D444</f>
        <v>1680740</v>
      </c>
      <c r="E443" s="1402">
        <f t="shared" ref="E443:S443" si="251">+E444</f>
        <v>0</v>
      </c>
      <c r="F443" s="1402">
        <f t="shared" si="251"/>
        <v>0</v>
      </c>
      <c r="G443" s="1402">
        <f t="shared" si="251"/>
        <v>0</v>
      </c>
      <c r="H443" s="1402">
        <f t="shared" si="251"/>
        <v>0</v>
      </c>
      <c r="I443" s="1402">
        <f t="shared" si="251"/>
        <v>0</v>
      </c>
      <c r="J443" s="1402">
        <f t="shared" si="251"/>
        <v>0</v>
      </c>
      <c r="K443" s="1402">
        <f t="shared" si="251"/>
        <v>0</v>
      </c>
      <c r="L443" s="1402">
        <f t="shared" si="251"/>
        <v>0</v>
      </c>
      <c r="M443" s="2495">
        <f t="shared" si="251"/>
        <v>0</v>
      </c>
      <c r="N443" s="1402">
        <f t="shared" si="251"/>
        <v>0</v>
      </c>
      <c r="O443" s="2495">
        <f t="shared" si="251"/>
        <v>0</v>
      </c>
      <c r="P443" s="2495">
        <f t="shared" si="251"/>
        <v>0</v>
      </c>
      <c r="Q443" s="2495">
        <f t="shared" si="251"/>
        <v>0</v>
      </c>
      <c r="R443" s="1402">
        <f t="shared" si="251"/>
        <v>621874</v>
      </c>
      <c r="S443" s="1402">
        <f t="shared" si="251"/>
        <v>1058866</v>
      </c>
      <c r="T443" s="1402"/>
      <c r="U443" s="1402"/>
      <c r="V443" s="1402"/>
      <c r="W443" s="2508"/>
      <c r="X443" s="2505">
        <f>+X444</f>
        <v>1680740</v>
      </c>
      <c r="Y443" s="2590"/>
    </row>
    <row r="444" spans="1:26" ht="13.5" customHeight="1">
      <c r="A444" s="2598"/>
      <c r="B444" s="511" t="s">
        <v>24</v>
      </c>
      <c r="C444" s="2603"/>
      <c r="D444" s="1381">
        <f>M444+O444+P444+Q444+R444+S444+T444+U444+V444+W444</f>
        <v>1680740</v>
      </c>
      <c r="E444" s="1344">
        <f>+F444+G444+H444</f>
        <v>0</v>
      </c>
      <c r="F444" s="1384">
        <v>0</v>
      </c>
      <c r="G444" s="1384">
        <v>0</v>
      </c>
      <c r="H444" s="1384">
        <v>0</v>
      </c>
      <c r="I444" s="1384"/>
      <c r="J444" s="1384"/>
      <c r="K444" s="1384"/>
      <c r="L444" s="1384">
        <f>47545-47545</f>
        <v>0</v>
      </c>
      <c r="M444" s="1857">
        <f>+E444+I444+J444+K444+L444+N444</f>
        <v>0</v>
      </c>
      <c r="N444" s="1384">
        <f>57803-57803</f>
        <v>0</v>
      </c>
      <c r="O444" s="1858"/>
      <c r="P444" s="1858">
        <v>0</v>
      </c>
      <c r="Q444" s="1858">
        <v>0</v>
      </c>
      <c r="R444" s="1384">
        <v>621874</v>
      </c>
      <c r="S444" s="1384">
        <v>1058866</v>
      </c>
      <c r="T444" s="1384"/>
      <c r="U444" s="1384"/>
      <c r="V444" s="1384"/>
      <c r="W444" s="2509"/>
      <c r="X444" s="2506">
        <f>SUM(P444:T444)</f>
        <v>1680740</v>
      </c>
      <c r="Y444" s="2590"/>
    </row>
    <row r="445" spans="1:26" ht="13.5" customHeight="1">
      <c r="A445" s="2598"/>
      <c r="B445" s="502" t="s">
        <v>30</v>
      </c>
      <c r="C445" s="2603"/>
      <c r="D445" s="1386">
        <f>+D446</f>
        <v>5375260</v>
      </c>
      <c r="E445" s="1386">
        <f t="shared" ref="E445:S445" si="252">+E446</f>
        <v>0</v>
      </c>
      <c r="F445" s="1386">
        <f t="shared" si="252"/>
        <v>0</v>
      </c>
      <c r="G445" s="1386">
        <f t="shared" si="252"/>
        <v>0</v>
      </c>
      <c r="H445" s="1386">
        <f t="shared" si="252"/>
        <v>0</v>
      </c>
      <c r="I445" s="1386">
        <f t="shared" si="252"/>
        <v>0</v>
      </c>
      <c r="J445" s="1386">
        <f t="shared" si="252"/>
        <v>0</v>
      </c>
      <c r="K445" s="1386">
        <f t="shared" si="252"/>
        <v>0</v>
      </c>
      <c r="L445" s="1386">
        <f t="shared" si="252"/>
        <v>0</v>
      </c>
      <c r="M445" s="1839">
        <f t="shared" si="252"/>
        <v>0</v>
      </c>
      <c r="N445" s="1386">
        <f t="shared" si="252"/>
        <v>0</v>
      </c>
      <c r="O445" s="1839">
        <f t="shared" si="252"/>
        <v>0</v>
      </c>
      <c r="P445" s="1839">
        <f t="shared" si="252"/>
        <v>0</v>
      </c>
      <c r="Q445" s="1839">
        <f t="shared" si="252"/>
        <v>0</v>
      </c>
      <c r="R445" s="1386">
        <f t="shared" si="252"/>
        <v>1988846</v>
      </c>
      <c r="S445" s="1386">
        <f t="shared" si="252"/>
        <v>3386414</v>
      </c>
      <c r="T445" s="1386"/>
      <c r="U445" s="1386"/>
      <c r="V445" s="1386"/>
      <c r="W445" s="2510"/>
      <c r="X445" s="2505">
        <f>+X446</f>
        <v>5375260</v>
      </c>
      <c r="Y445" s="2590"/>
    </row>
    <row r="446" spans="1:26" ht="13.5" customHeight="1">
      <c r="A446" s="2598"/>
      <c r="B446" s="1403" t="s">
        <v>314</v>
      </c>
      <c r="C446" s="2604"/>
      <c r="D446" s="1381">
        <f>M446+O446+P446+Q446+R446+S446+T446+U446+V446+W446</f>
        <v>5375260</v>
      </c>
      <c r="E446" s="1344">
        <f>+F446+G446+H446</f>
        <v>0</v>
      </c>
      <c r="F446" s="1388">
        <v>0</v>
      </c>
      <c r="G446" s="1388">
        <v>0</v>
      </c>
      <c r="H446" s="1388">
        <v>0</v>
      </c>
      <c r="I446" s="1384"/>
      <c r="J446" s="1384"/>
      <c r="K446" s="1384">
        <v>0</v>
      </c>
      <c r="L446" s="1384">
        <v>0</v>
      </c>
      <c r="M446" s="1857">
        <f>+E446+I446+J446+K446+L446+N446</f>
        <v>0</v>
      </c>
      <c r="N446" s="1384">
        <v>0</v>
      </c>
      <c r="O446" s="1858">
        <v>0</v>
      </c>
      <c r="P446" s="1858">
        <v>0</v>
      </c>
      <c r="Q446" s="1858">
        <v>0</v>
      </c>
      <c r="R446" s="1384">
        <v>1988846</v>
      </c>
      <c r="S446" s="1384">
        <v>3386414</v>
      </c>
      <c r="T446" s="1384"/>
      <c r="U446" s="1384"/>
      <c r="V446" s="1384"/>
      <c r="W446" s="2509"/>
      <c r="X446" s="2506">
        <f>SUM(P446:T446)</f>
        <v>5375260</v>
      </c>
      <c r="Y446" s="2601"/>
      <c r="Z446" s="778"/>
    </row>
    <row r="447" spans="1:26" s="862" customFormat="1" ht="14.25" customHeight="1">
      <c r="A447" s="2599"/>
      <c r="B447" s="358" t="s">
        <v>34</v>
      </c>
      <c r="C447" s="359"/>
      <c r="D447" s="1391">
        <f>+D448</f>
        <v>5375260</v>
      </c>
      <c r="E447" s="1391">
        <f t="shared" ref="E447:T448" si="253">+E448</f>
        <v>0</v>
      </c>
      <c r="F447" s="1391">
        <f t="shared" si="253"/>
        <v>0</v>
      </c>
      <c r="G447" s="1391">
        <f t="shared" si="253"/>
        <v>0</v>
      </c>
      <c r="H447" s="1391">
        <f t="shared" si="253"/>
        <v>0</v>
      </c>
      <c r="I447" s="1391">
        <f t="shared" si="253"/>
        <v>0</v>
      </c>
      <c r="J447" s="1391">
        <f t="shared" si="253"/>
        <v>0</v>
      </c>
      <c r="K447" s="1391">
        <f t="shared" si="253"/>
        <v>0</v>
      </c>
      <c r="L447" s="1391">
        <f t="shared" si="253"/>
        <v>0</v>
      </c>
      <c r="M447" s="1835">
        <f t="shared" si="253"/>
        <v>0</v>
      </c>
      <c r="N447" s="1391">
        <f t="shared" si="253"/>
        <v>0</v>
      </c>
      <c r="O447" s="1835">
        <f t="shared" si="253"/>
        <v>0</v>
      </c>
      <c r="P447" s="1835">
        <f t="shared" si="253"/>
        <v>0</v>
      </c>
      <c r="Q447" s="1835">
        <f t="shared" si="253"/>
        <v>0</v>
      </c>
      <c r="R447" s="1391">
        <f t="shared" si="253"/>
        <v>0</v>
      </c>
      <c r="S447" s="1391">
        <f t="shared" si="253"/>
        <v>3657763</v>
      </c>
      <c r="T447" s="1391">
        <f t="shared" si="253"/>
        <v>1717497</v>
      </c>
      <c r="U447" s="1391"/>
      <c r="V447" s="1391"/>
      <c r="W447" s="2511"/>
      <c r="X447" s="2634" t="s">
        <v>35</v>
      </c>
      <c r="Y447" s="2612" t="s">
        <v>120</v>
      </c>
    </row>
    <row r="448" spans="1:26" s="864" customFormat="1">
      <c r="A448" s="2599"/>
      <c r="B448" s="502" t="s">
        <v>30</v>
      </c>
      <c r="C448" s="2594" t="s">
        <v>100</v>
      </c>
      <c r="D448" s="1393">
        <f>+D449</f>
        <v>5375260</v>
      </c>
      <c r="E448" s="1393">
        <f t="shared" si="253"/>
        <v>0</v>
      </c>
      <c r="F448" s="1393">
        <f t="shared" si="253"/>
        <v>0</v>
      </c>
      <c r="G448" s="1393">
        <f t="shared" si="253"/>
        <v>0</v>
      </c>
      <c r="H448" s="1393">
        <f t="shared" si="253"/>
        <v>0</v>
      </c>
      <c r="I448" s="1393">
        <f t="shared" si="253"/>
        <v>0</v>
      </c>
      <c r="J448" s="1404">
        <f t="shared" si="253"/>
        <v>0</v>
      </c>
      <c r="K448" s="1404">
        <f t="shared" si="253"/>
        <v>0</v>
      </c>
      <c r="L448" s="1404">
        <f t="shared" si="253"/>
        <v>0</v>
      </c>
      <c r="M448" s="2496">
        <f t="shared" si="253"/>
        <v>0</v>
      </c>
      <c r="N448" s="1393">
        <f t="shared" si="253"/>
        <v>0</v>
      </c>
      <c r="O448" s="2496">
        <f t="shared" si="253"/>
        <v>0</v>
      </c>
      <c r="P448" s="2503">
        <f t="shared" si="253"/>
        <v>0</v>
      </c>
      <c r="Q448" s="2496">
        <f t="shared" si="253"/>
        <v>0</v>
      </c>
      <c r="R448" s="1404">
        <f t="shared" si="253"/>
        <v>0</v>
      </c>
      <c r="S448" s="1404">
        <f t="shared" si="253"/>
        <v>3657763</v>
      </c>
      <c r="T448" s="1404">
        <f t="shared" si="253"/>
        <v>1717497</v>
      </c>
      <c r="U448" s="1393"/>
      <c r="V448" s="1393"/>
      <c r="W448" s="2512"/>
      <c r="X448" s="2635"/>
      <c r="Y448" s="2606"/>
    </row>
    <row r="449" spans="1:26" s="862" customFormat="1" ht="12" customHeight="1" thickBot="1">
      <c r="A449" s="2600"/>
      <c r="B449" s="556" t="s">
        <v>32</v>
      </c>
      <c r="C449" s="2608"/>
      <c r="D449" s="1064">
        <f>M449+O449+P449+Q449+R449+S449+T449+U449+V449+W449</f>
        <v>5375260</v>
      </c>
      <c r="E449" s="476">
        <f>+F449+G449+H449</f>
        <v>0</v>
      </c>
      <c r="F449" s="538">
        <v>0</v>
      </c>
      <c r="G449" s="539">
        <v>0</v>
      </c>
      <c r="H449" s="540">
        <v>0</v>
      </c>
      <c r="I449" s="923">
        <v>0</v>
      </c>
      <c r="J449" s="539"/>
      <c r="K449" s="539">
        <v>0</v>
      </c>
      <c r="L449" s="539"/>
      <c r="M449" s="1071">
        <f>+E449+I449+J449+K449+L449+N449</f>
        <v>0</v>
      </c>
      <c r="N449" s="538">
        <v>0</v>
      </c>
      <c r="O449" s="2497">
        <v>0</v>
      </c>
      <c r="P449" s="2497">
        <f>2550000-2550000</f>
        <v>0</v>
      </c>
      <c r="Q449" s="2497">
        <v>0</v>
      </c>
      <c r="R449" s="539">
        <v>0</v>
      </c>
      <c r="S449" s="539">
        <v>3657763</v>
      </c>
      <c r="T449" s="539">
        <v>1717497</v>
      </c>
      <c r="U449" s="539"/>
      <c r="V449" s="539"/>
      <c r="W449" s="2513"/>
      <c r="X449" s="2636"/>
      <c r="Y449" s="2607"/>
    </row>
    <row r="450" spans="1:26" ht="28.5" customHeight="1">
      <c r="A450" s="2597" t="s">
        <v>424</v>
      </c>
      <c r="B450" s="928" t="s">
        <v>432</v>
      </c>
      <c r="C450" s="457" t="s">
        <v>97</v>
      </c>
      <c r="D450" s="600"/>
      <c r="E450" s="420"/>
      <c r="F450" s="421"/>
      <c r="G450" s="421"/>
      <c r="H450" s="420"/>
      <c r="I450" s="420"/>
      <c r="J450" s="420"/>
      <c r="K450" s="420"/>
      <c r="L450" s="420"/>
      <c r="M450" s="2502"/>
      <c r="N450" s="420"/>
      <c r="O450" s="2502"/>
      <c r="P450" s="1873"/>
      <c r="Q450" s="1873"/>
      <c r="R450" s="422"/>
      <c r="S450" s="800"/>
      <c r="T450" s="421"/>
      <c r="U450" s="800"/>
      <c r="V450" s="800"/>
      <c r="W450" s="541"/>
      <c r="X450" s="461"/>
      <c r="Y450" s="2589" t="s">
        <v>103</v>
      </c>
      <c r="Z450" s="1118" t="s">
        <v>452</v>
      </c>
    </row>
    <row r="451" spans="1:26" ht="15.75" customHeight="1">
      <c r="A451" s="2598"/>
      <c r="B451" s="358" t="s">
        <v>22</v>
      </c>
      <c r="C451" s="359"/>
      <c r="D451" s="1401">
        <f>+D452+D454</f>
        <v>5166000</v>
      </c>
      <c r="E451" s="1401">
        <f t="shared" ref="E451:S451" si="254">+E452+E454</f>
        <v>0</v>
      </c>
      <c r="F451" s="1401">
        <f t="shared" si="254"/>
        <v>0</v>
      </c>
      <c r="G451" s="1401">
        <f t="shared" si="254"/>
        <v>0</v>
      </c>
      <c r="H451" s="1401">
        <f t="shared" si="254"/>
        <v>0</v>
      </c>
      <c r="I451" s="1401">
        <f t="shared" si="254"/>
        <v>0</v>
      </c>
      <c r="J451" s="1401">
        <f t="shared" si="254"/>
        <v>0</v>
      </c>
      <c r="K451" s="1401">
        <f t="shared" si="254"/>
        <v>0</v>
      </c>
      <c r="L451" s="1401">
        <f t="shared" si="254"/>
        <v>0</v>
      </c>
      <c r="M451" s="2494">
        <f t="shared" si="254"/>
        <v>0</v>
      </c>
      <c r="N451" s="1401">
        <f t="shared" si="254"/>
        <v>0</v>
      </c>
      <c r="O451" s="2494">
        <f t="shared" si="254"/>
        <v>0</v>
      </c>
      <c r="P451" s="2494">
        <f t="shared" si="254"/>
        <v>0</v>
      </c>
      <c r="Q451" s="2494">
        <f t="shared" si="254"/>
        <v>0</v>
      </c>
      <c r="R451" s="1401">
        <f t="shared" si="254"/>
        <v>1911420</v>
      </c>
      <c r="S451" s="1401">
        <f t="shared" si="254"/>
        <v>3254580</v>
      </c>
      <c r="T451" s="1401"/>
      <c r="U451" s="1401"/>
      <c r="V451" s="1401"/>
      <c r="W451" s="2507"/>
      <c r="X451" s="2504">
        <f>+X452+X454</f>
        <v>5166000</v>
      </c>
      <c r="Y451" s="2590"/>
    </row>
    <row r="452" spans="1:26">
      <c r="A452" s="2598"/>
      <c r="B452" s="510" t="s">
        <v>36</v>
      </c>
      <c r="C452" s="2594" t="s">
        <v>100</v>
      </c>
      <c r="D452" s="1402">
        <f>+D453</f>
        <v>1230541</v>
      </c>
      <c r="E452" s="1402">
        <f t="shared" ref="E452:S452" si="255">+E453</f>
        <v>0</v>
      </c>
      <c r="F452" s="1402">
        <f t="shared" si="255"/>
        <v>0</v>
      </c>
      <c r="G452" s="1402">
        <f t="shared" si="255"/>
        <v>0</v>
      </c>
      <c r="H452" s="1402">
        <f t="shared" si="255"/>
        <v>0</v>
      </c>
      <c r="I452" s="1402">
        <f t="shared" si="255"/>
        <v>0</v>
      </c>
      <c r="J452" s="1402">
        <f t="shared" si="255"/>
        <v>0</v>
      </c>
      <c r="K452" s="1402">
        <f t="shared" si="255"/>
        <v>0</v>
      </c>
      <c r="L452" s="1402">
        <f t="shared" si="255"/>
        <v>0</v>
      </c>
      <c r="M452" s="2495">
        <f t="shared" si="255"/>
        <v>0</v>
      </c>
      <c r="N452" s="1402">
        <f t="shared" si="255"/>
        <v>0</v>
      </c>
      <c r="O452" s="2495">
        <f t="shared" si="255"/>
        <v>0</v>
      </c>
      <c r="P452" s="2495">
        <f t="shared" si="255"/>
        <v>0</v>
      </c>
      <c r="Q452" s="2495">
        <f t="shared" si="255"/>
        <v>0</v>
      </c>
      <c r="R452" s="1402">
        <f t="shared" si="255"/>
        <v>455300</v>
      </c>
      <c r="S452" s="1402">
        <f t="shared" si="255"/>
        <v>775241</v>
      </c>
      <c r="T452" s="1402"/>
      <c r="U452" s="1402"/>
      <c r="V452" s="1402"/>
      <c r="W452" s="1402"/>
      <c r="X452" s="1380">
        <f>+X453</f>
        <v>1230541</v>
      </c>
      <c r="Y452" s="2590"/>
    </row>
    <row r="453" spans="1:26">
      <c r="A453" s="2598"/>
      <c r="B453" s="511" t="s">
        <v>24</v>
      </c>
      <c r="C453" s="2603"/>
      <c r="D453" s="1381">
        <f>M453+O453+P453+Q453+R453+S453+T453+U453+V453+W453</f>
        <v>1230541</v>
      </c>
      <c r="E453" s="1344">
        <f>+F453+G453+H453</f>
        <v>0</v>
      </c>
      <c r="F453" s="1384">
        <v>0</v>
      </c>
      <c r="G453" s="1384">
        <v>0</v>
      </c>
      <c r="H453" s="1384">
        <v>0</v>
      </c>
      <c r="I453" s="1384"/>
      <c r="J453" s="1384"/>
      <c r="K453" s="1384"/>
      <c r="L453" s="1384">
        <f>47545-47545</f>
        <v>0</v>
      </c>
      <c r="M453" s="1857">
        <f>+E453+I453+J453+K453+L453+N453</f>
        <v>0</v>
      </c>
      <c r="N453" s="1384">
        <f>57803-57803</f>
        <v>0</v>
      </c>
      <c r="O453" s="1858"/>
      <c r="P453" s="1858">
        <v>0</v>
      </c>
      <c r="Q453" s="1858">
        <v>0</v>
      </c>
      <c r="R453" s="1384">
        <v>455300</v>
      </c>
      <c r="S453" s="1384">
        <v>775241</v>
      </c>
      <c r="T453" s="1384"/>
      <c r="U453" s="1384"/>
      <c r="V453" s="1384"/>
      <c r="W453" s="1384"/>
      <c r="X453" s="1385">
        <f>SUM(P453:T453)</f>
        <v>1230541</v>
      </c>
      <c r="Y453" s="2590"/>
    </row>
    <row r="454" spans="1:26">
      <c r="A454" s="2598"/>
      <c r="B454" s="502" t="s">
        <v>30</v>
      </c>
      <c r="C454" s="2603"/>
      <c r="D454" s="1386">
        <f>+D455</f>
        <v>3935459</v>
      </c>
      <c r="E454" s="1386">
        <f t="shared" ref="E454:S454" si="256">+E455</f>
        <v>0</v>
      </c>
      <c r="F454" s="1386">
        <f t="shared" si="256"/>
        <v>0</v>
      </c>
      <c r="G454" s="1386">
        <f t="shared" si="256"/>
        <v>0</v>
      </c>
      <c r="H454" s="1386">
        <f t="shared" si="256"/>
        <v>0</v>
      </c>
      <c r="I454" s="1386">
        <f t="shared" si="256"/>
        <v>0</v>
      </c>
      <c r="J454" s="1386">
        <f t="shared" si="256"/>
        <v>0</v>
      </c>
      <c r="K454" s="1386">
        <f t="shared" si="256"/>
        <v>0</v>
      </c>
      <c r="L454" s="1386">
        <f t="shared" si="256"/>
        <v>0</v>
      </c>
      <c r="M454" s="1839">
        <f t="shared" si="256"/>
        <v>0</v>
      </c>
      <c r="N454" s="1386">
        <f t="shared" si="256"/>
        <v>0</v>
      </c>
      <c r="O454" s="1839">
        <f t="shared" si="256"/>
        <v>0</v>
      </c>
      <c r="P454" s="1839">
        <f t="shared" si="256"/>
        <v>0</v>
      </c>
      <c r="Q454" s="1839">
        <f t="shared" si="256"/>
        <v>0</v>
      </c>
      <c r="R454" s="1386">
        <f t="shared" si="256"/>
        <v>1456120</v>
      </c>
      <c r="S454" s="1386">
        <f t="shared" si="256"/>
        <v>2479339</v>
      </c>
      <c r="T454" s="1386"/>
      <c r="U454" s="1386"/>
      <c r="V454" s="1386"/>
      <c r="W454" s="1386"/>
      <c r="X454" s="1380">
        <f>+X455</f>
        <v>3935459</v>
      </c>
      <c r="Y454" s="2590"/>
    </row>
    <row r="455" spans="1:26">
      <c r="A455" s="2598"/>
      <c r="B455" s="1403" t="s">
        <v>314</v>
      </c>
      <c r="C455" s="2604"/>
      <c r="D455" s="1381">
        <f>M455+O455+P455+Q455+R455+S455+T455+U455+V455+W455</f>
        <v>3935459</v>
      </c>
      <c r="E455" s="1344">
        <f>+F455+G455+H455</f>
        <v>0</v>
      </c>
      <c r="F455" s="1388">
        <v>0</v>
      </c>
      <c r="G455" s="1388">
        <v>0</v>
      </c>
      <c r="H455" s="1388">
        <v>0</v>
      </c>
      <c r="I455" s="1384"/>
      <c r="J455" s="1384"/>
      <c r="K455" s="1384">
        <v>0</v>
      </c>
      <c r="L455" s="1384">
        <v>0</v>
      </c>
      <c r="M455" s="1857">
        <f>+E455+I455+J455+K455+L455+N455</f>
        <v>0</v>
      </c>
      <c r="N455" s="1384">
        <v>0</v>
      </c>
      <c r="O455" s="1858">
        <v>0</v>
      </c>
      <c r="P455" s="1858">
        <v>0</v>
      </c>
      <c r="Q455" s="1858">
        <v>0</v>
      </c>
      <c r="R455" s="1384">
        <v>1456120</v>
      </c>
      <c r="S455" s="1384">
        <v>2479339</v>
      </c>
      <c r="T455" s="1384"/>
      <c r="U455" s="1384"/>
      <c r="V455" s="1384"/>
      <c r="W455" s="1384"/>
      <c r="X455" s="1385">
        <f>SUM(P455:T455)</f>
        <v>3935459</v>
      </c>
      <c r="Y455" s="2601"/>
      <c r="Z455" s="778"/>
    </row>
    <row r="456" spans="1:26" s="862" customFormat="1" ht="15.75" customHeight="1">
      <c r="A456" s="2599"/>
      <c r="B456" s="358" t="s">
        <v>34</v>
      </c>
      <c r="C456" s="359"/>
      <c r="D456" s="1391">
        <f>+D457</f>
        <v>3935459</v>
      </c>
      <c r="E456" s="1391">
        <f t="shared" ref="E456:T457" si="257">+E457</f>
        <v>0</v>
      </c>
      <c r="F456" s="1391">
        <f t="shared" si="257"/>
        <v>0</v>
      </c>
      <c r="G456" s="1391">
        <f t="shared" si="257"/>
        <v>0</v>
      </c>
      <c r="H456" s="1391">
        <f t="shared" si="257"/>
        <v>0</v>
      </c>
      <c r="I456" s="1391">
        <f t="shared" si="257"/>
        <v>0</v>
      </c>
      <c r="J456" s="1391">
        <f t="shared" si="257"/>
        <v>0</v>
      </c>
      <c r="K456" s="1391">
        <f t="shared" si="257"/>
        <v>0</v>
      </c>
      <c r="L456" s="1391">
        <f t="shared" si="257"/>
        <v>0</v>
      </c>
      <c r="M456" s="1835">
        <f t="shared" si="257"/>
        <v>0</v>
      </c>
      <c r="N456" s="1391">
        <f t="shared" si="257"/>
        <v>0</v>
      </c>
      <c r="O456" s="1835">
        <f t="shared" si="257"/>
        <v>0</v>
      </c>
      <c r="P456" s="1835">
        <f t="shared" si="257"/>
        <v>0</v>
      </c>
      <c r="Q456" s="1835">
        <f t="shared" si="257"/>
        <v>0</v>
      </c>
      <c r="R456" s="1391">
        <f t="shared" si="257"/>
        <v>0</v>
      </c>
      <c r="S456" s="1391">
        <f t="shared" si="257"/>
        <v>2671398</v>
      </c>
      <c r="T456" s="1391">
        <f t="shared" si="257"/>
        <v>1264061</v>
      </c>
      <c r="U456" s="1391"/>
      <c r="V456" s="1391"/>
      <c r="W456" s="1391"/>
      <c r="X456" s="2658" t="s">
        <v>35</v>
      </c>
      <c r="Y456" s="2612" t="s">
        <v>120</v>
      </c>
    </row>
    <row r="457" spans="1:26" s="864" customFormat="1" ht="12.75" customHeight="1">
      <c r="A457" s="2599"/>
      <c r="B457" s="502" t="s">
        <v>30</v>
      </c>
      <c r="C457" s="2594" t="s">
        <v>100</v>
      </c>
      <c r="D457" s="1393">
        <f>+D458</f>
        <v>3935459</v>
      </c>
      <c r="E457" s="1393">
        <f t="shared" si="257"/>
        <v>0</v>
      </c>
      <c r="F457" s="1393">
        <f t="shared" si="257"/>
        <v>0</v>
      </c>
      <c r="G457" s="1393">
        <f t="shared" si="257"/>
        <v>0</v>
      </c>
      <c r="H457" s="1393">
        <f t="shared" si="257"/>
        <v>0</v>
      </c>
      <c r="I457" s="1393">
        <f t="shared" si="257"/>
        <v>0</v>
      </c>
      <c r="J457" s="1404">
        <f t="shared" si="257"/>
        <v>0</v>
      </c>
      <c r="K457" s="1404">
        <f t="shared" si="257"/>
        <v>0</v>
      </c>
      <c r="L457" s="1404">
        <f t="shared" si="257"/>
        <v>0</v>
      </c>
      <c r="M457" s="2496">
        <f t="shared" si="257"/>
        <v>0</v>
      </c>
      <c r="N457" s="1393">
        <f t="shared" si="257"/>
        <v>0</v>
      </c>
      <c r="O457" s="2496">
        <f t="shared" si="257"/>
        <v>0</v>
      </c>
      <c r="P457" s="2503">
        <f t="shared" si="257"/>
        <v>0</v>
      </c>
      <c r="Q457" s="2496">
        <f t="shared" si="257"/>
        <v>0</v>
      </c>
      <c r="R457" s="1404">
        <f t="shared" si="257"/>
        <v>0</v>
      </c>
      <c r="S457" s="1404">
        <f t="shared" si="257"/>
        <v>2671398</v>
      </c>
      <c r="T457" s="1404">
        <f t="shared" si="257"/>
        <v>1264061</v>
      </c>
      <c r="U457" s="1393"/>
      <c r="V457" s="1393"/>
      <c r="W457" s="1393"/>
      <c r="X457" s="2638"/>
      <c r="Y457" s="2606"/>
    </row>
    <row r="458" spans="1:26" s="862" customFormat="1" ht="12" customHeight="1" thickBot="1">
      <c r="A458" s="2600"/>
      <c r="B458" s="556" t="s">
        <v>32</v>
      </c>
      <c r="C458" s="2608"/>
      <c r="D458" s="1064">
        <f>M458+O458+P458+Q458+R458+S458+T458+U458+V458+W458</f>
        <v>3935459</v>
      </c>
      <c r="E458" s="476">
        <f>+F458+G458+H458</f>
        <v>0</v>
      </c>
      <c r="F458" s="538">
        <v>0</v>
      </c>
      <c r="G458" s="539">
        <v>0</v>
      </c>
      <c r="H458" s="540">
        <v>0</v>
      </c>
      <c r="I458" s="923">
        <v>0</v>
      </c>
      <c r="J458" s="539"/>
      <c r="K458" s="539">
        <v>0</v>
      </c>
      <c r="L458" s="539"/>
      <c r="M458" s="1071">
        <f>+E458+I458+J458+K458+L458+N458</f>
        <v>0</v>
      </c>
      <c r="N458" s="538">
        <v>0</v>
      </c>
      <c r="O458" s="2497">
        <v>0</v>
      </c>
      <c r="P458" s="2497">
        <f>2550000-2550000</f>
        <v>0</v>
      </c>
      <c r="Q458" s="2497">
        <v>0</v>
      </c>
      <c r="R458" s="539">
        <v>0</v>
      </c>
      <c r="S458" s="539">
        <v>2671398</v>
      </c>
      <c r="T458" s="539">
        <v>1264061</v>
      </c>
      <c r="U458" s="539"/>
      <c r="V458" s="539"/>
      <c r="W458" s="539"/>
      <c r="X458" s="2639"/>
      <c r="Y458" s="2607"/>
    </row>
    <row r="459" spans="1:26" s="862" customFormat="1" ht="30.75" customHeight="1">
      <c r="A459" s="2620" t="s">
        <v>426</v>
      </c>
      <c r="B459" s="928" t="s">
        <v>392</v>
      </c>
      <c r="C459" s="457" t="s">
        <v>128</v>
      </c>
      <c r="D459" s="600"/>
      <c r="E459" s="420"/>
      <c r="F459" s="421"/>
      <c r="G459" s="421"/>
      <c r="H459" s="420"/>
      <c r="I459" s="420"/>
      <c r="J459" s="420"/>
      <c r="K459" s="420"/>
      <c r="L459" s="420"/>
      <c r="M459" s="420"/>
      <c r="N459" s="420"/>
      <c r="O459" s="420"/>
      <c r="P459" s="422"/>
      <c r="Q459" s="422"/>
      <c r="R459" s="422"/>
      <c r="S459" s="420"/>
      <c r="T459" s="421"/>
      <c r="U459" s="800"/>
      <c r="V459" s="800"/>
      <c r="W459" s="800"/>
      <c r="X459" s="461"/>
      <c r="Y459" s="2589" t="s">
        <v>456</v>
      </c>
    </row>
    <row r="460" spans="1:26" s="862" customFormat="1" ht="15.75" customHeight="1">
      <c r="A460" s="2621"/>
      <c r="B460" s="358" t="s">
        <v>22</v>
      </c>
      <c r="C460" s="1670"/>
      <c r="D460" s="1625">
        <f>+D461+D466</f>
        <v>452222</v>
      </c>
      <c r="E460" s="1625"/>
      <c r="F460" s="1625"/>
      <c r="G460" s="1625"/>
      <c r="H460" s="1625"/>
      <c r="I460" s="1625"/>
      <c r="J460" s="1625"/>
      <c r="K460" s="1625"/>
      <c r="L460" s="1625"/>
      <c r="M460" s="1625"/>
      <c r="N460" s="1625"/>
      <c r="O460" s="1625"/>
      <c r="P460" s="1625">
        <f>+P461+P466</f>
        <v>48546</v>
      </c>
      <c r="Q460" s="1625">
        <f>+Q461+Q466</f>
        <v>266706</v>
      </c>
      <c r="R460" s="1625">
        <f>+R461+R466</f>
        <v>115385</v>
      </c>
      <c r="S460" s="1625">
        <f>+S461+S466</f>
        <v>21585</v>
      </c>
      <c r="T460" s="1625"/>
      <c r="U460" s="1625"/>
      <c r="V460" s="1625"/>
      <c r="W460" s="1625"/>
      <c r="X460" s="1672">
        <f>+X461+X466</f>
        <v>452222</v>
      </c>
      <c r="Y460" s="2590"/>
    </row>
    <row r="461" spans="1:26" s="862" customFormat="1" ht="12.75" customHeight="1">
      <c r="A461" s="2621"/>
      <c r="B461" s="510" t="s">
        <v>36</v>
      </c>
      <c r="C461" s="2594" t="s">
        <v>130</v>
      </c>
      <c r="D461" s="1703">
        <f>+D462</f>
        <v>67833</v>
      </c>
      <c r="E461" s="1703"/>
      <c r="F461" s="1703"/>
      <c r="G461" s="1703"/>
      <c r="H461" s="1703"/>
      <c r="I461" s="1703"/>
      <c r="J461" s="1703"/>
      <c r="K461" s="1703"/>
      <c r="L461" s="1703"/>
      <c r="M461" s="1703"/>
      <c r="N461" s="1703"/>
      <c r="O461" s="1703"/>
      <c r="P461" s="1703">
        <f>+P462</f>
        <v>7282</v>
      </c>
      <c r="Q461" s="1703">
        <f>+Q462</f>
        <v>40006</v>
      </c>
      <c r="R461" s="1703">
        <f>+R462</f>
        <v>17308</v>
      </c>
      <c r="S461" s="1703">
        <f>+S462</f>
        <v>3237</v>
      </c>
      <c r="T461" s="1703"/>
      <c r="U461" s="1703"/>
      <c r="V461" s="1703"/>
      <c r="W461" s="1703"/>
      <c r="X461" s="1674">
        <f>SUM(M461:W461)</f>
        <v>67833</v>
      </c>
      <c r="Y461" s="2590"/>
    </row>
    <row r="462" spans="1:26" s="862" customFormat="1" ht="12.75" customHeight="1">
      <c r="A462" s="2621"/>
      <c r="B462" s="511" t="s">
        <v>24</v>
      </c>
      <c r="C462" s="2603"/>
      <c r="D462" s="1381">
        <f>+M462+O462+P462+Q462+R462+S462+T462+U462+V462+W462</f>
        <v>67833</v>
      </c>
      <c r="E462" s="1618"/>
      <c r="F462" s="1677"/>
      <c r="G462" s="1677"/>
      <c r="H462" s="1677"/>
      <c r="I462" s="1677"/>
      <c r="J462" s="1677"/>
      <c r="K462" s="1677"/>
      <c r="L462" s="1677"/>
      <c r="M462" s="1676"/>
      <c r="N462" s="1677"/>
      <c r="O462" s="1677"/>
      <c r="P462" s="1677">
        <f>+P464+P465</f>
        <v>7282</v>
      </c>
      <c r="Q462" s="1677">
        <f>+Q464+Q465</f>
        <v>40006</v>
      </c>
      <c r="R462" s="1677">
        <f>+R464+R465</f>
        <v>17308</v>
      </c>
      <c r="S462" s="1677">
        <f>+S464+S465</f>
        <v>3237</v>
      </c>
      <c r="T462" s="1677"/>
      <c r="U462" s="1677"/>
      <c r="V462" s="1677"/>
      <c r="W462" s="1677"/>
      <c r="X462" s="1678">
        <f>SUM(P462:W462)</f>
        <v>67833</v>
      </c>
      <c r="Y462" s="2590"/>
    </row>
    <row r="463" spans="1:26" s="862" customFormat="1" ht="12.75" hidden="1" customHeight="1">
      <c r="A463" s="2621"/>
      <c r="B463" s="511" t="s">
        <v>186</v>
      </c>
      <c r="C463" s="2603"/>
      <c r="D463" s="1381"/>
      <c r="E463" s="1675"/>
      <c r="F463" s="1677"/>
      <c r="G463" s="1677"/>
      <c r="H463" s="1677"/>
      <c r="I463" s="1677"/>
      <c r="J463" s="1677"/>
      <c r="K463" s="1677"/>
      <c r="L463" s="1677"/>
      <c r="M463" s="1676"/>
      <c r="N463" s="1677"/>
      <c r="O463" s="1677"/>
      <c r="P463" s="1677"/>
      <c r="Q463" s="1677"/>
      <c r="R463" s="1677"/>
      <c r="S463" s="1677"/>
      <c r="T463" s="1677"/>
      <c r="U463" s="1677"/>
      <c r="V463" s="1677"/>
      <c r="W463" s="1677"/>
      <c r="X463" s="1678"/>
      <c r="Y463" s="2590"/>
    </row>
    <row r="464" spans="1:26" s="862" customFormat="1" ht="12.75" hidden="1" customHeight="1">
      <c r="A464" s="2621"/>
      <c r="B464" s="511" t="s">
        <v>129</v>
      </c>
      <c r="C464" s="2603"/>
      <c r="D464" s="1381">
        <f>+M464+O464+P464+Q464+R464+S464+T464+U464+V464+W464</f>
        <v>54945</v>
      </c>
      <c r="E464" s="1675"/>
      <c r="F464" s="1677"/>
      <c r="G464" s="1677"/>
      <c r="H464" s="1677"/>
      <c r="I464" s="1677"/>
      <c r="J464" s="1677"/>
      <c r="K464" s="1677"/>
      <c r="L464" s="1677"/>
      <c r="M464" s="1676"/>
      <c r="N464" s="1677"/>
      <c r="O464" s="1677"/>
      <c r="P464" s="1677">
        <f>3963</f>
        <v>3963</v>
      </c>
      <c r="Q464" s="1677">
        <f>35747</f>
        <v>35747</v>
      </c>
      <c r="R464" s="1677">
        <f>12993</f>
        <v>12993</v>
      </c>
      <c r="S464" s="1677">
        <f>2242</f>
        <v>2242</v>
      </c>
      <c r="T464" s="1677"/>
      <c r="U464" s="1677"/>
      <c r="V464" s="1677"/>
      <c r="W464" s="1677"/>
      <c r="X464" s="1678">
        <f>SUM(P464:W464)</f>
        <v>54945</v>
      </c>
      <c r="Y464" s="2590"/>
    </row>
    <row r="465" spans="1:27" s="862" customFormat="1" ht="12.75" hidden="1" customHeight="1">
      <c r="A465" s="2621"/>
      <c r="B465" s="511" t="s">
        <v>405</v>
      </c>
      <c r="C465" s="2603"/>
      <c r="D465" s="1381">
        <f>+M465+O465+P465+Q465+R465+S465+T465+U465+V465+W465</f>
        <v>12888</v>
      </c>
      <c r="E465" s="1675"/>
      <c r="F465" s="1677"/>
      <c r="G465" s="1677"/>
      <c r="H465" s="1677"/>
      <c r="I465" s="1677"/>
      <c r="J465" s="1677"/>
      <c r="K465" s="1677"/>
      <c r="L465" s="1677"/>
      <c r="M465" s="1676"/>
      <c r="N465" s="1677"/>
      <c r="O465" s="1677"/>
      <c r="P465" s="1677">
        <v>3319</v>
      </c>
      <c r="Q465" s="1677">
        <v>4259</v>
      </c>
      <c r="R465" s="1677">
        <v>4315</v>
      </c>
      <c r="S465" s="1677">
        <v>995</v>
      </c>
      <c r="T465" s="1677"/>
      <c r="U465" s="1677"/>
      <c r="V465" s="1677"/>
      <c r="W465" s="1677"/>
      <c r="X465" s="1678">
        <f>SUM(P465:W465)</f>
        <v>12888</v>
      </c>
      <c r="Y465" s="2590"/>
    </row>
    <row r="466" spans="1:27" s="862" customFormat="1" ht="12.75" customHeight="1">
      <c r="A466" s="2621"/>
      <c r="B466" s="502" t="s">
        <v>30</v>
      </c>
      <c r="C466" s="2603"/>
      <c r="D466" s="1679">
        <f>+D467</f>
        <v>384389</v>
      </c>
      <c r="E466" s="1679"/>
      <c r="F466" s="1679"/>
      <c r="G466" s="1679"/>
      <c r="H466" s="1679"/>
      <c r="I466" s="1679"/>
      <c r="J466" s="1679"/>
      <c r="K466" s="1679"/>
      <c r="L466" s="1679"/>
      <c r="M466" s="1679"/>
      <c r="N466" s="1679"/>
      <c r="O466" s="1679"/>
      <c r="P466" s="1679">
        <f>+P467</f>
        <v>41264</v>
      </c>
      <c r="Q466" s="1679">
        <f>+Q467</f>
        <v>226700</v>
      </c>
      <c r="R466" s="1679">
        <f>+R467</f>
        <v>98077</v>
      </c>
      <c r="S466" s="1679">
        <f>+S467</f>
        <v>18348</v>
      </c>
      <c r="T466" s="1679"/>
      <c r="U466" s="1679"/>
      <c r="V466" s="1679"/>
      <c r="W466" s="1679"/>
      <c r="X466" s="1674">
        <f>+X467</f>
        <v>384389</v>
      </c>
      <c r="Y466" s="2590"/>
    </row>
    <row r="467" spans="1:27" s="862" customFormat="1" ht="12.75" customHeight="1">
      <c r="A467" s="2621"/>
      <c r="B467" s="1403" t="s">
        <v>314</v>
      </c>
      <c r="C467" s="2604"/>
      <c r="D467" s="1381">
        <f>+M467+O467+P467+Q467+R467+S467+T467+U467+V467+W467</f>
        <v>384389</v>
      </c>
      <c r="E467" s="1618"/>
      <c r="F467" s="1620"/>
      <c r="G467" s="1620"/>
      <c r="H467" s="1620"/>
      <c r="I467" s="1677"/>
      <c r="J467" s="1677"/>
      <c r="K467" s="1677"/>
      <c r="L467" s="1677"/>
      <c r="M467" s="1676"/>
      <c r="N467" s="1677"/>
      <c r="O467" s="1677"/>
      <c r="P467" s="1677">
        <f>+P469+P470</f>
        <v>41264</v>
      </c>
      <c r="Q467" s="1677">
        <f>+Q469+Q470</f>
        <v>226700</v>
      </c>
      <c r="R467" s="1677">
        <f>+R469+R470</f>
        <v>98077</v>
      </c>
      <c r="S467" s="1677">
        <f>+S469+S470</f>
        <v>18348</v>
      </c>
      <c r="T467" s="1677"/>
      <c r="U467" s="1677"/>
      <c r="V467" s="1677"/>
      <c r="W467" s="1677"/>
      <c r="X467" s="1678">
        <f>SUM(P467:W467)</f>
        <v>384389</v>
      </c>
      <c r="Y467" s="2590"/>
    </row>
    <row r="468" spans="1:27" s="862" customFormat="1" ht="12.75" hidden="1" customHeight="1">
      <c r="A468" s="2621"/>
      <c r="B468" s="511" t="s">
        <v>186</v>
      </c>
      <c r="C468" s="2529"/>
      <c r="D468" s="1381"/>
      <c r="E468" s="1675"/>
      <c r="F468" s="1389"/>
      <c r="G468" s="1389"/>
      <c r="H468" s="1389"/>
      <c r="I468" s="1677"/>
      <c r="J468" s="1677"/>
      <c r="K468" s="1677"/>
      <c r="L468" s="1677"/>
      <c r="M468" s="1676"/>
      <c r="N468" s="1677"/>
      <c r="O468" s="1677"/>
      <c r="P468" s="1677"/>
      <c r="Q468" s="1677"/>
      <c r="R468" s="1677"/>
      <c r="S468" s="1677"/>
      <c r="T468" s="1677"/>
      <c r="U468" s="1677"/>
      <c r="V468" s="1677"/>
      <c r="W468" s="1677"/>
      <c r="X468" s="1491"/>
      <c r="Y468" s="2590"/>
    </row>
    <row r="469" spans="1:27" s="862" customFormat="1" ht="12.75" hidden="1" customHeight="1">
      <c r="A469" s="2621"/>
      <c r="B469" s="511" t="s">
        <v>129</v>
      </c>
      <c r="C469" s="2529"/>
      <c r="D469" s="1381">
        <f>+M469+O469+P469+Q469+R469+S469+T469+U469+V469+W469</f>
        <v>311347</v>
      </c>
      <c r="E469" s="1675"/>
      <c r="F469" s="1389"/>
      <c r="G469" s="1389"/>
      <c r="H469" s="1389"/>
      <c r="I469" s="1677"/>
      <c r="J469" s="1677"/>
      <c r="K469" s="1677"/>
      <c r="L469" s="1677"/>
      <c r="M469" s="1676"/>
      <c r="N469" s="1677"/>
      <c r="O469" s="1677"/>
      <c r="P469" s="1677">
        <v>22455</v>
      </c>
      <c r="Q469" s="1677">
        <v>202561</v>
      </c>
      <c r="R469" s="1677">
        <v>73627</v>
      </c>
      <c r="S469" s="1677">
        <v>12704</v>
      </c>
      <c r="T469" s="1677"/>
      <c r="U469" s="1677"/>
      <c r="V469" s="1677"/>
      <c r="W469" s="1677"/>
      <c r="X469" s="1678">
        <f>SUM(P469:W469)</f>
        <v>311347</v>
      </c>
      <c r="Y469" s="2590"/>
    </row>
    <row r="470" spans="1:27" s="862" customFormat="1" ht="12.75" hidden="1" customHeight="1">
      <c r="A470" s="2621"/>
      <c r="B470" s="511" t="s">
        <v>405</v>
      </c>
      <c r="C470" s="2529"/>
      <c r="D470" s="1381">
        <f>+M470+O470+P470+Q470+R470+S470+T470+U470+V470+W470</f>
        <v>73042</v>
      </c>
      <c r="E470" s="1675"/>
      <c r="F470" s="1389"/>
      <c r="G470" s="1389"/>
      <c r="H470" s="1389"/>
      <c r="I470" s="1677"/>
      <c r="J470" s="1677"/>
      <c r="K470" s="1677"/>
      <c r="L470" s="1677"/>
      <c r="M470" s="1676"/>
      <c r="N470" s="1677"/>
      <c r="O470" s="1677"/>
      <c r="P470" s="1677">
        <v>18809</v>
      </c>
      <c r="Q470" s="1677">
        <v>24139</v>
      </c>
      <c r="R470" s="1677">
        <v>24450</v>
      </c>
      <c r="S470" s="1677">
        <v>5644</v>
      </c>
      <c r="T470" s="1677"/>
      <c r="U470" s="1677"/>
      <c r="V470" s="1677"/>
      <c r="W470" s="1677"/>
      <c r="X470" s="1678">
        <f>SUM(P470:W470)</f>
        <v>73042</v>
      </c>
      <c r="Y470" s="2590"/>
    </row>
    <row r="471" spans="1:27" s="862" customFormat="1" ht="15.75" customHeight="1">
      <c r="A471" s="2621"/>
      <c r="B471" s="358" t="s">
        <v>34</v>
      </c>
      <c r="C471" s="1670"/>
      <c r="D471" s="1685">
        <f>SUM(M471:W471)</f>
        <v>384389</v>
      </c>
      <c r="E471" s="1685"/>
      <c r="F471" s="1685"/>
      <c r="G471" s="1685"/>
      <c r="H471" s="1685"/>
      <c r="I471" s="1685"/>
      <c r="J471" s="1685"/>
      <c r="K471" s="1685"/>
      <c r="L471" s="1685"/>
      <c r="M471" s="1685"/>
      <c r="N471" s="1685"/>
      <c r="O471" s="1685"/>
      <c r="P471" s="1685">
        <v>0</v>
      </c>
      <c r="Q471" s="1685">
        <f t="shared" ref="Q471:S472" si="258">+Q472</f>
        <v>20632</v>
      </c>
      <c r="R471" s="1685">
        <f t="shared" si="258"/>
        <v>133982</v>
      </c>
      <c r="S471" s="1685">
        <f t="shared" si="258"/>
        <v>229775</v>
      </c>
      <c r="T471" s="1685"/>
      <c r="U471" s="1685"/>
      <c r="V471" s="1685"/>
      <c r="W471" s="1685"/>
      <c r="X471" s="2640" t="s">
        <v>35</v>
      </c>
      <c r="Y471" s="2590"/>
    </row>
    <row r="472" spans="1:27" s="862" customFormat="1" ht="12.75" customHeight="1">
      <c r="A472" s="2621"/>
      <c r="B472" s="502" t="s">
        <v>30</v>
      </c>
      <c r="C472" s="2594" t="s">
        <v>130</v>
      </c>
      <c r="D472" s="1682">
        <f>+D473</f>
        <v>384389</v>
      </c>
      <c r="E472" s="1682"/>
      <c r="F472" s="1682"/>
      <c r="G472" s="1682"/>
      <c r="H472" s="1682"/>
      <c r="I472" s="1682"/>
      <c r="J472" s="1686"/>
      <c r="K472" s="1686"/>
      <c r="L472" s="1686"/>
      <c r="M472" s="1686"/>
      <c r="N472" s="1682"/>
      <c r="O472" s="1686"/>
      <c r="P472" s="1682">
        <v>0</v>
      </c>
      <c r="Q472" s="1682">
        <f t="shared" si="258"/>
        <v>20632</v>
      </c>
      <c r="R472" s="1682">
        <f t="shared" si="258"/>
        <v>133982</v>
      </c>
      <c r="S472" s="1682">
        <f t="shared" si="258"/>
        <v>229775</v>
      </c>
      <c r="T472" s="1682"/>
      <c r="U472" s="1682"/>
      <c r="V472" s="1682"/>
      <c r="W472" s="1682"/>
      <c r="X472" s="2638"/>
      <c r="Y472" s="2590"/>
    </row>
    <row r="473" spans="1:27" s="862" customFormat="1" ht="12.75" customHeight="1" thickBot="1">
      <c r="A473" s="2622"/>
      <c r="B473" s="556" t="s">
        <v>32</v>
      </c>
      <c r="C473" s="2608"/>
      <c r="D473" s="1064">
        <f>SUM(M473:W473)</f>
        <v>384389</v>
      </c>
      <c r="E473" s="476"/>
      <c r="F473" s="538"/>
      <c r="G473" s="539"/>
      <c r="H473" s="540"/>
      <c r="I473" s="923"/>
      <c r="J473" s="539"/>
      <c r="K473" s="539"/>
      <c r="L473" s="539"/>
      <c r="M473" s="1064"/>
      <c r="N473" s="538"/>
      <c r="O473" s="539"/>
      <c r="P473" s="539">
        <v>0</v>
      </c>
      <c r="Q473" s="539">
        <v>20632</v>
      </c>
      <c r="R473" s="539">
        <v>133982</v>
      </c>
      <c r="S473" s="539">
        <v>229775</v>
      </c>
      <c r="T473" s="539"/>
      <c r="U473" s="539"/>
      <c r="V473" s="539"/>
      <c r="W473" s="539"/>
      <c r="X473" s="2639"/>
      <c r="Y473" s="2591"/>
      <c r="Z473" s="861">
        <f>D473-D467</f>
        <v>0</v>
      </c>
    </row>
    <row r="474" spans="1:27" ht="26.25" hidden="1" customHeight="1">
      <c r="A474" s="2613" t="s">
        <v>373</v>
      </c>
      <c r="B474" s="601" t="s">
        <v>121</v>
      </c>
      <c r="C474" s="602"/>
      <c r="D474" s="603"/>
      <c r="E474" s="604"/>
      <c r="F474" s="604"/>
      <c r="G474" s="604"/>
      <c r="H474" s="604"/>
      <c r="I474" s="604"/>
      <c r="J474" s="604"/>
      <c r="K474" s="604"/>
      <c r="L474" s="604"/>
      <c r="M474" s="605"/>
      <c r="N474" s="605"/>
      <c r="O474" s="605"/>
      <c r="P474" s="605"/>
      <c r="Q474" s="605"/>
      <c r="R474" s="605"/>
      <c r="S474" s="605"/>
      <c r="T474" s="605"/>
      <c r="U474" s="605"/>
      <c r="V474" s="605"/>
      <c r="W474" s="605"/>
      <c r="X474" s="606"/>
      <c r="Y474" s="2616"/>
    </row>
    <row r="475" spans="1:27" ht="12" hidden="1" customHeight="1">
      <c r="A475" s="2614"/>
      <c r="B475" s="358" t="s">
        <v>22</v>
      </c>
      <c r="C475" s="359"/>
      <c r="D475" s="607">
        <f>+D476+D480</f>
        <v>0</v>
      </c>
      <c r="E475" s="607">
        <f>+E476+E480</f>
        <v>0</v>
      </c>
      <c r="F475" s="607">
        <f t="shared" ref="F475:R475" si="259">+F476+F480</f>
        <v>0</v>
      </c>
      <c r="G475" s="607">
        <f t="shared" si="259"/>
        <v>0</v>
      </c>
      <c r="H475" s="607">
        <f t="shared" si="259"/>
        <v>0</v>
      </c>
      <c r="I475" s="607">
        <f t="shared" si="259"/>
        <v>0</v>
      </c>
      <c r="J475" s="607">
        <f t="shared" si="259"/>
        <v>0</v>
      </c>
      <c r="K475" s="607">
        <f t="shared" si="259"/>
        <v>0</v>
      </c>
      <c r="L475" s="607">
        <f t="shared" si="259"/>
        <v>0</v>
      </c>
      <c r="M475" s="607">
        <f>+M476+M480</f>
        <v>0</v>
      </c>
      <c r="N475" s="607">
        <f t="shared" si="259"/>
        <v>0</v>
      </c>
      <c r="O475" s="607">
        <f>+O476+O480</f>
        <v>0</v>
      </c>
      <c r="P475" s="607">
        <f t="shared" si="259"/>
        <v>0</v>
      </c>
      <c r="Q475" s="607">
        <f t="shared" si="259"/>
        <v>0</v>
      </c>
      <c r="R475" s="607">
        <f t="shared" si="259"/>
        <v>0</v>
      </c>
      <c r="S475" s="607">
        <f t="shared" ref="S475:X475" si="260">+S476+S480</f>
        <v>0</v>
      </c>
      <c r="T475" s="607">
        <f t="shared" si="260"/>
        <v>0</v>
      </c>
      <c r="U475" s="607">
        <f t="shared" si="260"/>
        <v>0</v>
      </c>
      <c r="V475" s="607">
        <f t="shared" si="260"/>
        <v>0</v>
      </c>
      <c r="W475" s="607">
        <f t="shared" si="260"/>
        <v>0</v>
      </c>
      <c r="X475" s="385">
        <f t="shared" si="260"/>
        <v>0</v>
      </c>
      <c r="Y475" s="2617"/>
      <c r="Z475" s="861">
        <f>+O475+P475</f>
        <v>0</v>
      </c>
      <c r="AA475" s="778"/>
    </row>
    <row r="476" spans="1:27" s="738" customFormat="1" ht="12" hidden="1" customHeight="1">
      <c r="A476" s="2614"/>
      <c r="B476" s="608" t="s">
        <v>23</v>
      </c>
      <c r="C476" s="609"/>
      <c r="D476" s="586">
        <f>+D477+D478+D479</f>
        <v>0</v>
      </c>
      <c r="E476" s="586">
        <f t="shared" ref="E476:R476" si="261">+E477+E478+E479</f>
        <v>0</v>
      </c>
      <c r="F476" s="586">
        <f t="shared" si="261"/>
        <v>0</v>
      </c>
      <c r="G476" s="586">
        <f t="shared" si="261"/>
        <v>0</v>
      </c>
      <c r="H476" s="586">
        <f t="shared" si="261"/>
        <v>0</v>
      </c>
      <c r="I476" s="586">
        <f t="shared" si="261"/>
        <v>0</v>
      </c>
      <c r="J476" s="586">
        <f t="shared" si="261"/>
        <v>0</v>
      </c>
      <c r="K476" s="586">
        <f t="shared" si="261"/>
        <v>0</v>
      </c>
      <c r="L476" s="586">
        <f t="shared" si="261"/>
        <v>0</v>
      </c>
      <c r="M476" s="586">
        <f>+M477+M478+M479</f>
        <v>0</v>
      </c>
      <c r="N476" s="586">
        <f t="shared" si="261"/>
        <v>0</v>
      </c>
      <c r="O476" s="586">
        <f t="shared" si="261"/>
        <v>0</v>
      </c>
      <c r="P476" s="586">
        <f t="shared" si="261"/>
        <v>0</v>
      </c>
      <c r="Q476" s="586">
        <f t="shared" si="261"/>
        <v>0</v>
      </c>
      <c r="R476" s="586">
        <f t="shared" si="261"/>
        <v>0</v>
      </c>
      <c r="S476" s="586">
        <f t="shared" ref="S476:X476" si="262">+S477+S478+S479</f>
        <v>0</v>
      </c>
      <c r="T476" s="586">
        <f t="shared" si="262"/>
        <v>0</v>
      </c>
      <c r="U476" s="586">
        <f t="shared" si="262"/>
        <v>0</v>
      </c>
      <c r="V476" s="586">
        <f t="shared" si="262"/>
        <v>0</v>
      </c>
      <c r="W476" s="586">
        <f t="shared" si="262"/>
        <v>0</v>
      </c>
      <c r="X476" s="389">
        <f t="shared" si="262"/>
        <v>0</v>
      </c>
      <c r="Y476" s="2617"/>
      <c r="AA476" s="778"/>
    </row>
    <row r="477" spans="1:27" ht="12" hidden="1" customHeight="1">
      <c r="A477" s="2614"/>
      <c r="B477" s="610" t="s">
        <v>24</v>
      </c>
      <c r="C477" s="611"/>
      <c r="D477" s="392">
        <f>+D493+D511</f>
        <v>0</v>
      </c>
      <c r="E477" s="392">
        <f>+E493+E511</f>
        <v>0</v>
      </c>
      <c r="F477" s="392">
        <f t="shared" ref="F477:R477" si="263">+F493+F511</f>
        <v>0</v>
      </c>
      <c r="G477" s="392">
        <f t="shared" si="263"/>
        <v>0</v>
      </c>
      <c r="H477" s="392">
        <f t="shared" si="263"/>
        <v>0</v>
      </c>
      <c r="I477" s="392">
        <f t="shared" si="263"/>
        <v>0</v>
      </c>
      <c r="J477" s="392">
        <f t="shared" si="263"/>
        <v>0</v>
      </c>
      <c r="K477" s="392">
        <f t="shared" si="263"/>
        <v>0</v>
      </c>
      <c r="L477" s="392">
        <f t="shared" si="263"/>
        <v>0</v>
      </c>
      <c r="M477" s="392">
        <f>+M493+M511</f>
        <v>0</v>
      </c>
      <c r="N477" s="392">
        <f t="shared" si="263"/>
        <v>0</v>
      </c>
      <c r="O477" s="392">
        <f t="shared" si="263"/>
        <v>0</v>
      </c>
      <c r="P477" s="392">
        <f t="shared" si="263"/>
        <v>0</v>
      </c>
      <c r="Q477" s="392">
        <f t="shared" si="263"/>
        <v>0</v>
      </c>
      <c r="R477" s="392">
        <f t="shared" si="263"/>
        <v>0</v>
      </c>
      <c r="S477" s="392">
        <f>+S493+S511</f>
        <v>0</v>
      </c>
      <c r="T477" s="392">
        <f>+T493+T511</f>
        <v>0</v>
      </c>
      <c r="U477" s="392">
        <f>+U493+U511</f>
        <v>0</v>
      </c>
      <c r="V477" s="392">
        <f>+V493+V511</f>
        <v>0</v>
      </c>
      <c r="W477" s="392">
        <f>+W493+W511</f>
        <v>0</v>
      </c>
      <c r="X477" s="393">
        <f>SUM(P477:T477)</f>
        <v>0</v>
      </c>
      <c r="Y477" s="2617"/>
      <c r="Z477" s="778"/>
      <c r="AA477" s="778"/>
    </row>
    <row r="478" spans="1:27" ht="12" hidden="1" customHeight="1">
      <c r="A478" s="2614"/>
      <c r="B478" s="390" t="s">
        <v>94</v>
      </c>
      <c r="C478" s="391"/>
      <c r="D478" s="392">
        <f>+D494</f>
        <v>0</v>
      </c>
      <c r="E478" s="392">
        <f>+E494</f>
        <v>0</v>
      </c>
      <c r="F478" s="392">
        <f t="shared" ref="F478:R479" si="264">+F494</f>
        <v>0</v>
      </c>
      <c r="G478" s="392">
        <f t="shared" si="264"/>
        <v>0</v>
      </c>
      <c r="H478" s="392">
        <f t="shared" si="264"/>
        <v>0</v>
      </c>
      <c r="I478" s="392">
        <f t="shared" si="264"/>
        <v>0</v>
      </c>
      <c r="J478" s="392">
        <f t="shared" si="264"/>
        <v>0</v>
      </c>
      <c r="K478" s="392">
        <f t="shared" si="264"/>
        <v>0</v>
      </c>
      <c r="L478" s="392">
        <f t="shared" si="264"/>
        <v>0</v>
      </c>
      <c r="M478" s="392">
        <f>+M494</f>
        <v>0</v>
      </c>
      <c r="N478" s="392">
        <f t="shared" si="264"/>
        <v>0</v>
      </c>
      <c r="O478" s="392">
        <f t="shared" si="264"/>
        <v>0</v>
      </c>
      <c r="P478" s="392">
        <f t="shared" si="264"/>
        <v>0</v>
      </c>
      <c r="Q478" s="392">
        <f t="shared" si="264"/>
        <v>0</v>
      </c>
      <c r="R478" s="392">
        <f t="shared" si="264"/>
        <v>0</v>
      </c>
      <c r="S478" s="392">
        <f t="shared" ref="S478:W479" si="265">+S494</f>
        <v>0</v>
      </c>
      <c r="T478" s="392">
        <f t="shared" si="265"/>
        <v>0</v>
      </c>
      <c r="U478" s="392">
        <f t="shared" si="265"/>
        <v>0</v>
      </c>
      <c r="V478" s="392">
        <f t="shared" si="265"/>
        <v>0</v>
      </c>
      <c r="W478" s="392">
        <f t="shared" si="265"/>
        <v>0</v>
      </c>
      <c r="X478" s="393">
        <f>SUM(P478:T478)</f>
        <v>0</v>
      </c>
      <c r="Y478" s="2617"/>
      <c r="AA478" s="778"/>
    </row>
    <row r="479" spans="1:27" ht="12" hidden="1" customHeight="1">
      <c r="A479" s="2614"/>
      <c r="B479" s="612" t="s">
        <v>68</v>
      </c>
      <c r="C479" s="613"/>
      <c r="D479" s="392">
        <f>+D495</f>
        <v>0</v>
      </c>
      <c r="E479" s="392">
        <f>+E495</f>
        <v>0</v>
      </c>
      <c r="F479" s="392">
        <f t="shared" si="264"/>
        <v>0</v>
      </c>
      <c r="G479" s="392">
        <f t="shared" si="264"/>
        <v>0</v>
      </c>
      <c r="H479" s="392">
        <f t="shared" si="264"/>
        <v>0</v>
      </c>
      <c r="I479" s="392">
        <f t="shared" si="264"/>
        <v>0</v>
      </c>
      <c r="J479" s="392">
        <f t="shared" si="264"/>
        <v>0</v>
      </c>
      <c r="K479" s="392">
        <f t="shared" si="264"/>
        <v>0</v>
      </c>
      <c r="L479" s="392">
        <f t="shared" si="264"/>
        <v>0</v>
      </c>
      <c r="M479" s="392">
        <f>+M495</f>
        <v>0</v>
      </c>
      <c r="N479" s="392">
        <f t="shared" si="264"/>
        <v>0</v>
      </c>
      <c r="O479" s="392">
        <f t="shared" si="264"/>
        <v>0</v>
      </c>
      <c r="P479" s="392">
        <f t="shared" si="264"/>
        <v>0</v>
      </c>
      <c r="Q479" s="392">
        <f t="shared" si="264"/>
        <v>0</v>
      </c>
      <c r="R479" s="392">
        <f t="shared" si="264"/>
        <v>0</v>
      </c>
      <c r="S479" s="392">
        <f t="shared" si="265"/>
        <v>0</v>
      </c>
      <c r="T479" s="392">
        <f t="shared" si="265"/>
        <v>0</v>
      </c>
      <c r="U479" s="392">
        <f t="shared" si="265"/>
        <v>0</v>
      </c>
      <c r="V479" s="392">
        <f t="shared" si="265"/>
        <v>0</v>
      </c>
      <c r="W479" s="392">
        <f t="shared" si="265"/>
        <v>0</v>
      </c>
      <c r="X479" s="393">
        <f>SUM(P479:T479)</f>
        <v>0</v>
      </c>
      <c r="Y479" s="2617"/>
      <c r="Z479" s="778"/>
      <c r="AA479" s="778"/>
    </row>
    <row r="480" spans="1:27" s="869" customFormat="1" ht="12" hidden="1" customHeight="1">
      <c r="A480" s="2614"/>
      <c r="B480" s="397" t="s">
        <v>30</v>
      </c>
      <c r="C480" s="614"/>
      <c r="D480" s="388">
        <f>+D481+D482</f>
        <v>0</v>
      </c>
      <c r="E480" s="388">
        <f t="shared" ref="E480:R480" si="266">+E481+E482</f>
        <v>0</v>
      </c>
      <c r="F480" s="388">
        <f t="shared" si="266"/>
        <v>0</v>
      </c>
      <c r="G480" s="388">
        <f t="shared" si="266"/>
        <v>0</v>
      </c>
      <c r="H480" s="388">
        <f t="shared" si="266"/>
        <v>0</v>
      </c>
      <c r="I480" s="388">
        <f t="shared" si="266"/>
        <v>0</v>
      </c>
      <c r="J480" s="388">
        <f t="shared" si="266"/>
        <v>0</v>
      </c>
      <c r="K480" s="388">
        <f t="shared" si="266"/>
        <v>0</v>
      </c>
      <c r="L480" s="388">
        <f t="shared" si="266"/>
        <v>0</v>
      </c>
      <c r="M480" s="388">
        <f>+M481+M482</f>
        <v>0</v>
      </c>
      <c r="N480" s="388">
        <f t="shared" si="266"/>
        <v>0</v>
      </c>
      <c r="O480" s="388">
        <f t="shared" si="266"/>
        <v>0</v>
      </c>
      <c r="P480" s="388">
        <f t="shared" si="266"/>
        <v>0</v>
      </c>
      <c r="Q480" s="388">
        <f t="shared" si="266"/>
        <v>0</v>
      </c>
      <c r="R480" s="388">
        <f t="shared" si="266"/>
        <v>0</v>
      </c>
      <c r="S480" s="388">
        <f t="shared" ref="S480:X480" si="267">+S481+S482</f>
        <v>0</v>
      </c>
      <c r="T480" s="388">
        <f t="shared" si="267"/>
        <v>0</v>
      </c>
      <c r="U480" s="388">
        <f t="shared" si="267"/>
        <v>0</v>
      </c>
      <c r="V480" s="388">
        <f t="shared" si="267"/>
        <v>0</v>
      </c>
      <c r="W480" s="388">
        <f t="shared" si="267"/>
        <v>0</v>
      </c>
      <c r="X480" s="615">
        <f t="shared" si="267"/>
        <v>0</v>
      </c>
      <c r="Y480" s="2617"/>
      <c r="Z480" s="860"/>
      <c r="AA480" s="860"/>
    </row>
    <row r="481" spans="1:27" ht="12" hidden="1" customHeight="1">
      <c r="A481" s="2614"/>
      <c r="B481" s="401" t="s">
        <v>33</v>
      </c>
      <c r="C481" s="613"/>
      <c r="D481" s="392">
        <f>+D497+D513</f>
        <v>0</v>
      </c>
      <c r="E481" s="392">
        <f>+E497+E513</f>
        <v>0</v>
      </c>
      <c r="F481" s="392">
        <f t="shared" ref="F481:R481" si="268">+F497+F513</f>
        <v>0</v>
      </c>
      <c r="G481" s="392">
        <f t="shared" si="268"/>
        <v>0</v>
      </c>
      <c r="H481" s="392">
        <f t="shared" si="268"/>
        <v>0</v>
      </c>
      <c r="I481" s="392">
        <f t="shared" si="268"/>
        <v>0</v>
      </c>
      <c r="J481" s="392">
        <f t="shared" si="268"/>
        <v>0</v>
      </c>
      <c r="K481" s="392">
        <f t="shared" si="268"/>
        <v>0</v>
      </c>
      <c r="L481" s="392">
        <f t="shared" si="268"/>
        <v>0</v>
      </c>
      <c r="M481" s="392">
        <f>+M497+M513</f>
        <v>0</v>
      </c>
      <c r="N481" s="392">
        <f t="shared" si="268"/>
        <v>0</v>
      </c>
      <c r="O481" s="392">
        <f t="shared" si="268"/>
        <v>0</v>
      </c>
      <c r="P481" s="392">
        <f t="shared" si="268"/>
        <v>0</v>
      </c>
      <c r="Q481" s="392">
        <f t="shared" si="268"/>
        <v>0</v>
      </c>
      <c r="R481" s="392">
        <f t="shared" si="268"/>
        <v>0</v>
      </c>
      <c r="S481" s="392">
        <f>+S497+S513</f>
        <v>0</v>
      </c>
      <c r="T481" s="392">
        <f>+T497+T513</f>
        <v>0</v>
      </c>
      <c r="U481" s="392">
        <f>+U497+U513</f>
        <v>0</v>
      </c>
      <c r="V481" s="392">
        <f>+V497+V513</f>
        <v>0</v>
      </c>
      <c r="W481" s="392">
        <f>+W497+W513</f>
        <v>0</v>
      </c>
      <c r="X481" s="393">
        <f>SUM(P481:T481)</f>
        <v>0</v>
      </c>
      <c r="Y481" s="2617"/>
      <c r="Z481" s="778"/>
      <c r="AA481" s="778"/>
    </row>
    <row r="482" spans="1:27" ht="12" hidden="1" customHeight="1">
      <c r="A482" s="2614"/>
      <c r="B482" s="401" t="s">
        <v>95</v>
      </c>
      <c r="C482" s="613"/>
      <c r="D482" s="392">
        <f>+D498</f>
        <v>0</v>
      </c>
      <c r="E482" s="392">
        <f>+E498</f>
        <v>0</v>
      </c>
      <c r="F482" s="392">
        <f t="shared" ref="F482:R482" si="269">+F498</f>
        <v>0</v>
      </c>
      <c r="G482" s="392">
        <f t="shared" si="269"/>
        <v>0</v>
      </c>
      <c r="H482" s="392">
        <f t="shared" si="269"/>
        <v>0</v>
      </c>
      <c r="I482" s="392">
        <f t="shared" si="269"/>
        <v>0</v>
      </c>
      <c r="J482" s="392">
        <f t="shared" si="269"/>
        <v>0</v>
      </c>
      <c r="K482" s="392">
        <f t="shared" si="269"/>
        <v>0</v>
      </c>
      <c r="L482" s="392">
        <f t="shared" si="269"/>
        <v>0</v>
      </c>
      <c r="M482" s="392">
        <f>+M498</f>
        <v>0</v>
      </c>
      <c r="N482" s="392">
        <f t="shared" si="269"/>
        <v>0</v>
      </c>
      <c r="O482" s="392">
        <f t="shared" si="269"/>
        <v>0</v>
      </c>
      <c r="P482" s="392">
        <f t="shared" si="269"/>
        <v>0</v>
      </c>
      <c r="Q482" s="392">
        <f t="shared" si="269"/>
        <v>0</v>
      </c>
      <c r="R482" s="392">
        <f t="shared" si="269"/>
        <v>0</v>
      </c>
      <c r="S482" s="392">
        <f>+S498</f>
        <v>0</v>
      </c>
      <c r="T482" s="392">
        <f>+T498</f>
        <v>0</v>
      </c>
      <c r="U482" s="392">
        <f>+U498</f>
        <v>0</v>
      </c>
      <c r="V482" s="392">
        <f>+V498</f>
        <v>0</v>
      </c>
      <c r="W482" s="392">
        <f>+W498</f>
        <v>0</v>
      </c>
      <c r="X482" s="393">
        <f>SUM(P482:T482)</f>
        <v>0</v>
      </c>
      <c r="Y482" s="2617"/>
      <c r="Z482" s="778"/>
      <c r="AA482" s="778"/>
    </row>
    <row r="483" spans="1:27" ht="12" hidden="1" customHeight="1">
      <c r="A483" s="2614"/>
      <c r="B483" s="358" t="s">
        <v>34</v>
      </c>
      <c r="C483" s="359"/>
      <c r="D483" s="448">
        <f>+D484+D487</f>
        <v>0</v>
      </c>
      <c r="E483" s="448">
        <f t="shared" ref="E483:R483" si="270">+E484+E487</f>
        <v>0</v>
      </c>
      <c r="F483" s="448">
        <f t="shared" si="270"/>
        <v>0</v>
      </c>
      <c r="G483" s="448">
        <f t="shared" si="270"/>
        <v>0</v>
      </c>
      <c r="H483" s="448">
        <f t="shared" si="270"/>
        <v>0</v>
      </c>
      <c r="I483" s="448">
        <f t="shared" si="270"/>
        <v>0</v>
      </c>
      <c r="J483" s="448">
        <f t="shared" si="270"/>
        <v>0</v>
      </c>
      <c r="K483" s="448">
        <f t="shared" si="270"/>
        <v>0</v>
      </c>
      <c r="L483" s="448">
        <f t="shared" si="270"/>
        <v>0</v>
      </c>
      <c r="M483" s="448">
        <f>+M484+M487</f>
        <v>0</v>
      </c>
      <c r="N483" s="448">
        <f t="shared" si="270"/>
        <v>0</v>
      </c>
      <c r="O483" s="448">
        <f t="shared" si="270"/>
        <v>0</v>
      </c>
      <c r="P483" s="448">
        <f t="shared" si="270"/>
        <v>0</v>
      </c>
      <c r="Q483" s="448">
        <f t="shared" si="270"/>
        <v>0</v>
      </c>
      <c r="R483" s="448">
        <f t="shared" si="270"/>
        <v>0</v>
      </c>
      <c r="S483" s="448">
        <f>+S484+S487</f>
        <v>0</v>
      </c>
      <c r="T483" s="448">
        <f>+T484+T487</f>
        <v>0</v>
      </c>
      <c r="U483" s="448">
        <f>+U484+U487</f>
        <v>0</v>
      </c>
      <c r="V483" s="448">
        <f>+V484+V487</f>
        <v>0</v>
      </c>
      <c r="W483" s="448">
        <f>+W484+W487</f>
        <v>0</v>
      </c>
      <c r="X483" s="2637" t="s">
        <v>35</v>
      </c>
      <c r="Y483" s="2617"/>
    </row>
    <row r="484" spans="1:27" ht="12" hidden="1" customHeight="1">
      <c r="A484" s="2614"/>
      <c r="B484" s="616" t="s">
        <v>36</v>
      </c>
      <c r="C484" s="617"/>
      <c r="D484" s="586">
        <f>+D485+D486</f>
        <v>0</v>
      </c>
      <c r="E484" s="586">
        <f t="shared" ref="E484:R484" si="271">+E485+E486</f>
        <v>0</v>
      </c>
      <c r="F484" s="586">
        <f t="shared" si="271"/>
        <v>0</v>
      </c>
      <c r="G484" s="586">
        <f t="shared" si="271"/>
        <v>0</v>
      </c>
      <c r="H484" s="586">
        <f t="shared" si="271"/>
        <v>0</v>
      </c>
      <c r="I484" s="586">
        <f t="shared" si="271"/>
        <v>0</v>
      </c>
      <c r="J484" s="586">
        <f t="shared" si="271"/>
        <v>0</v>
      </c>
      <c r="K484" s="586">
        <f t="shared" si="271"/>
        <v>0</v>
      </c>
      <c r="L484" s="586">
        <f t="shared" si="271"/>
        <v>0</v>
      </c>
      <c r="M484" s="586">
        <f>+M485+M486</f>
        <v>0</v>
      </c>
      <c r="N484" s="586">
        <f t="shared" si="271"/>
        <v>0</v>
      </c>
      <c r="O484" s="586">
        <f t="shared" si="271"/>
        <v>0</v>
      </c>
      <c r="P484" s="586">
        <f t="shared" si="271"/>
        <v>0</v>
      </c>
      <c r="Q484" s="586">
        <f t="shared" si="271"/>
        <v>0</v>
      </c>
      <c r="R484" s="586">
        <f t="shared" si="271"/>
        <v>0</v>
      </c>
      <c r="S484" s="586">
        <f>+S485+S486</f>
        <v>0</v>
      </c>
      <c r="T484" s="586">
        <f>+T485+T486</f>
        <v>0</v>
      </c>
      <c r="U484" s="586">
        <f>+U485+U486</f>
        <v>0</v>
      </c>
      <c r="V484" s="586">
        <f>+V485+V486</f>
        <v>0</v>
      </c>
      <c r="W484" s="586">
        <f>+W485+W486</f>
        <v>0</v>
      </c>
      <c r="X484" s="2638"/>
      <c r="Y484" s="2617"/>
      <c r="Z484" s="778"/>
    </row>
    <row r="485" spans="1:27" ht="12" hidden="1" customHeight="1">
      <c r="A485" s="2614"/>
      <c r="B485" s="618" t="s">
        <v>94</v>
      </c>
      <c r="C485" s="613"/>
      <c r="D485" s="392">
        <f>+D501</f>
        <v>0</v>
      </c>
      <c r="E485" s="392">
        <f>+E501</f>
        <v>0</v>
      </c>
      <c r="F485" s="392">
        <f t="shared" ref="F485:P485" si="272">+F501</f>
        <v>0</v>
      </c>
      <c r="G485" s="392">
        <f t="shared" si="272"/>
        <v>0</v>
      </c>
      <c r="H485" s="392">
        <f t="shared" si="272"/>
        <v>0</v>
      </c>
      <c r="I485" s="392">
        <f t="shared" si="272"/>
        <v>0</v>
      </c>
      <c r="J485" s="392">
        <f t="shared" si="272"/>
        <v>0</v>
      </c>
      <c r="K485" s="392">
        <f t="shared" si="272"/>
        <v>0</v>
      </c>
      <c r="L485" s="392">
        <f t="shared" si="272"/>
        <v>0</v>
      </c>
      <c r="M485" s="392">
        <f>+M501</f>
        <v>0</v>
      </c>
      <c r="N485" s="392">
        <f t="shared" si="272"/>
        <v>0</v>
      </c>
      <c r="O485" s="392">
        <f t="shared" si="272"/>
        <v>0</v>
      </c>
      <c r="P485" s="392">
        <f t="shared" si="272"/>
        <v>0</v>
      </c>
      <c r="Q485" s="392">
        <f t="shared" ref="Q485:W485" si="273">+Q501</f>
        <v>0</v>
      </c>
      <c r="R485" s="392">
        <f t="shared" si="273"/>
        <v>0</v>
      </c>
      <c r="S485" s="392">
        <f t="shared" si="273"/>
        <v>0</v>
      </c>
      <c r="T485" s="392">
        <f t="shared" si="273"/>
        <v>0</v>
      </c>
      <c r="U485" s="392">
        <f t="shared" si="273"/>
        <v>0</v>
      </c>
      <c r="V485" s="392">
        <f t="shared" si="273"/>
        <v>0</v>
      </c>
      <c r="W485" s="392">
        <f t="shared" si="273"/>
        <v>0</v>
      </c>
      <c r="X485" s="2638"/>
      <c r="Y485" s="2617"/>
    </row>
    <row r="486" spans="1:27" ht="12" hidden="1" customHeight="1">
      <c r="A486" s="2614"/>
      <c r="B486" s="619" t="s">
        <v>68</v>
      </c>
      <c r="C486" s="620"/>
      <c r="D486" s="392">
        <f>+D503</f>
        <v>0</v>
      </c>
      <c r="E486" s="392">
        <f>+E503</f>
        <v>0</v>
      </c>
      <c r="F486" s="392">
        <f t="shared" ref="F486:P486" si="274">+F503</f>
        <v>0</v>
      </c>
      <c r="G486" s="392">
        <f t="shared" si="274"/>
        <v>0</v>
      </c>
      <c r="H486" s="392">
        <f t="shared" si="274"/>
        <v>0</v>
      </c>
      <c r="I486" s="392">
        <f t="shared" si="274"/>
        <v>0</v>
      </c>
      <c r="J486" s="392">
        <f t="shared" si="274"/>
        <v>0</v>
      </c>
      <c r="K486" s="392">
        <f t="shared" si="274"/>
        <v>0</v>
      </c>
      <c r="L486" s="392">
        <f t="shared" si="274"/>
        <v>0</v>
      </c>
      <c r="M486" s="392">
        <f>+M503</f>
        <v>0</v>
      </c>
      <c r="N486" s="392">
        <f t="shared" si="274"/>
        <v>0</v>
      </c>
      <c r="O486" s="392">
        <f t="shared" si="274"/>
        <v>0</v>
      </c>
      <c r="P486" s="392">
        <f t="shared" si="274"/>
        <v>0</v>
      </c>
      <c r="Q486" s="392">
        <f t="shared" ref="Q486:W486" si="275">+Q503</f>
        <v>0</v>
      </c>
      <c r="R486" s="392">
        <f t="shared" si="275"/>
        <v>0</v>
      </c>
      <c r="S486" s="392">
        <f t="shared" si="275"/>
        <v>0</v>
      </c>
      <c r="T486" s="392">
        <f t="shared" si="275"/>
        <v>0</v>
      </c>
      <c r="U486" s="392">
        <f t="shared" si="275"/>
        <v>0</v>
      </c>
      <c r="V486" s="392">
        <f t="shared" si="275"/>
        <v>0</v>
      </c>
      <c r="W486" s="392">
        <f t="shared" si="275"/>
        <v>0</v>
      </c>
      <c r="X486" s="2638"/>
      <c r="Y486" s="2617"/>
    </row>
    <row r="487" spans="1:27" s="869" customFormat="1" ht="12" hidden="1" customHeight="1">
      <c r="A487" s="2614"/>
      <c r="B487" s="621" t="s">
        <v>30</v>
      </c>
      <c r="C487" s="614"/>
      <c r="D487" s="622">
        <f>+D488+D489</f>
        <v>0</v>
      </c>
      <c r="E487" s="622">
        <f t="shared" ref="E487:R487" si="276">+E488+E489</f>
        <v>0</v>
      </c>
      <c r="F487" s="622">
        <f t="shared" si="276"/>
        <v>0</v>
      </c>
      <c r="G487" s="622">
        <f t="shared" si="276"/>
        <v>0</v>
      </c>
      <c r="H487" s="622">
        <f t="shared" si="276"/>
        <v>0</v>
      </c>
      <c r="I487" s="622">
        <f t="shared" si="276"/>
        <v>0</v>
      </c>
      <c r="J487" s="622">
        <f t="shared" si="276"/>
        <v>0</v>
      </c>
      <c r="K487" s="622">
        <f t="shared" si="276"/>
        <v>0</v>
      </c>
      <c r="L487" s="622">
        <f t="shared" si="276"/>
        <v>0</v>
      </c>
      <c r="M487" s="622">
        <f>+M488+M489</f>
        <v>0</v>
      </c>
      <c r="N487" s="622">
        <f t="shared" si="276"/>
        <v>0</v>
      </c>
      <c r="O487" s="622">
        <f t="shared" si="276"/>
        <v>0</v>
      </c>
      <c r="P487" s="622">
        <f t="shared" si="276"/>
        <v>0</v>
      </c>
      <c r="Q487" s="622">
        <f t="shared" si="276"/>
        <v>0</v>
      </c>
      <c r="R487" s="622">
        <f t="shared" si="276"/>
        <v>0</v>
      </c>
      <c r="S487" s="622">
        <f>+S488+S489</f>
        <v>0</v>
      </c>
      <c r="T487" s="622">
        <f>+T488+T489</f>
        <v>0</v>
      </c>
      <c r="U487" s="622">
        <f>+U488+U489</f>
        <v>0</v>
      </c>
      <c r="V487" s="622">
        <f>+V488+V489</f>
        <v>0</v>
      </c>
      <c r="W487" s="622">
        <f>+W488+W489</f>
        <v>0</v>
      </c>
      <c r="X487" s="2638"/>
      <c r="Y487" s="2617"/>
    </row>
    <row r="488" spans="1:27" ht="12" hidden="1" customHeight="1" thickBot="1">
      <c r="A488" s="2614"/>
      <c r="B488" s="623" t="s">
        <v>33</v>
      </c>
      <c r="C488" s="613"/>
      <c r="D488" s="392">
        <f>+D506+D516</f>
        <v>0</v>
      </c>
      <c r="E488" s="392">
        <f>+E506+E516</f>
        <v>0</v>
      </c>
      <c r="F488" s="392">
        <f t="shared" ref="F488:R488" si="277">+F506+F516</f>
        <v>0</v>
      </c>
      <c r="G488" s="392">
        <f t="shared" si="277"/>
        <v>0</v>
      </c>
      <c r="H488" s="392">
        <f t="shared" si="277"/>
        <v>0</v>
      </c>
      <c r="I488" s="392">
        <f t="shared" si="277"/>
        <v>0</v>
      </c>
      <c r="J488" s="392">
        <f t="shared" si="277"/>
        <v>0</v>
      </c>
      <c r="K488" s="392">
        <f t="shared" si="277"/>
        <v>0</v>
      </c>
      <c r="L488" s="392">
        <f t="shared" si="277"/>
        <v>0</v>
      </c>
      <c r="M488" s="392">
        <f>+M506+M516</f>
        <v>0</v>
      </c>
      <c r="N488" s="392">
        <f t="shared" si="277"/>
        <v>0</v>
      </c>
      <c r="O488" s="392">
        <f t="shared" si="277"/>
        <v>0</v>
      </c>
      <c r="P488" s="392">
        <f t="shared" si="277"/>
        <v>0</v>
      </c>
      <c r="Q488" s="392">
        <f t="shared" si="277"/>
        <v>0</v>
      </c>
      <c r="R488" s="392">
        <f t="shared" si="277"/>
        <v>0</v>
      </c>
      <c r="S488" s="392">
        <f>+S506+S516</f>
        <v>0</v>
      </c>
      <c r="T488" s="392">
        <f>+T506+T516</f>
        <v>0</v>
      </c>
      <c r="U488" s="392">
        <f>+U506+U516</f>
        <v>0</v>
      </c>
      <c r="V488" s="392">
        <f>+V506+V516</f>
        <v>0</v>
      </c>
      <c r="W488" s="392">
        <f>+W506+W516</f>
        <v>0</v>
      </c>
      <c r="X488" s="2638"/>
      <c r="Y488" s="2617"/>
    </row>
    <row r="489" spans="1:27" ht="12" hidden="1" customHeight="1" thickBot="1">
      <c r="A489" s="2615"/>
      <c r="B489" s="920" t="s">
        <v>95</v>
      </c>
      <c r="C489" s="592"/>
      <c r="D489" s="593">
        <f>+D507</f>
        <v>0</v>
      </c>
      <c r="E489" s="593">
        <f>+E507</f>
        <v>0</v>
      </c>
      <c r="F489" s="593">
        <f t="shared" ref="F489:R489" si="278">+F507</f>
        <v>0</v>
      </c>
      <c r="G489" s="593">
        <f t="shared" si="278"/>
        <v>0</v>
      </c>
      <c r="H489" s="593">
        <f t="shared" si="278"/>
        <v>0</v>
      </c>
      <c r="I489" s="593">
        <f t="shared" si="278"/>
        <v>0</v>
      </c>
      <c r="J489" s="593">
        <f t="shared" si="278"/>
        <v>0</v>
      </c>
      <c r="K489" s="593">
        <f t="shared" si="278"/>
        <v>0</v>
      </c>
      <c r="L489" s="593">
        <f t="shared" si="278"/>
        <v>0</v>
      </c>
      <c r="M489" s="593">
        <f>+M507</f>
        <v>0</v>
      </c>
      <c r="N489" s="593">
        <f t="shared" si="278"/>
        <v>0</v>
      </c>
      <c r="O489" s="593">
        <f t="shared" si="278"/>
        <v>0</v>
      </c>
      <c r="P489" s="593">
        <f t="shared" si="278"/>
        <v>0</v>
      </c>
      <c r="Q489" s="593">
        <f t="shared" si="278"/>
        <v>0</v>
      </c>
      <c r="R489" s="593">
        <f t="shared" si="278"/>
        <v>0</v>
      </c>
      <c r="S489" s="833">
        <f>+S507</f>
        <v>0</v>
      </c>
      <c r="T489" s="834">
        <f>+T507</f>
        <v>0</v>
      </c>
      <c r="U489" s="834">
        <f>+U507</f>
        <v>0</v>
      </c>
      <c r="V489" s="834">
        <f>+V507</f>
        <v>0</v>
      </c>
      <c r="W489" s="834">
        <f>+W507</f>
        <v>0</v>
      </c>
      <c r="X489" s="2639"/>
      <c r="Y489" s="921"/>
    </row>
    <row r="490" spans="1:27" hidden="1">
      <c r="A490" s="2597"/>
      <c r="B490" s="3066"/>
      <c r="C490" s="457" t="s">
        <v>97</v>
      </c>
      <c r="D490" s="559"/>
      <c r="E490" s="560"/>
      <c r="F490" s="560"/>
      <c r="G490" s="560"/>
      <c r="H490" s="560"/>
      <c r="I490" s="560"/>
      <c r="J490" s="560"/>
      <c r="K490" s="560"/>
      <c r="L490" s="560"/>
      <c r="M490" s="561"/>
      <c r="N490" s="561"/>
      <c r="O490" s="560"/>
      <c r="P490" s="560"/>
      <c r="Q490" s="560"/>
      <c r="R490" s="3067"/>
      <c r="S490" s="3067"/>
      <c r="T490" s="3067"/>
      <c r="U490" s="3067"/>
      <c r="V490" s="3067"/>
      <c r="W490" s="3067"/>
      <c r="X490" s="423"/>
      <c r="Y490" s="2589" t="s">
        <v>123</v>
      </c>
    </row>
    <row r="491" spans="1:27" ht="15" hidden="1" customHeight="1">
      <c r="A491" s="2598"/>
      <c r="B491" s="358" t="s">
        <v>22</v>
      </c>
      <c r="C491" s="359"/>
      <c r="D491" s="562">
        <f>+D492+D496</f>
        <v>0</v>
      </c>
      <c r="E491" s="562">
        <f t="shared" ref="E491:P491" si="279">+E492+E496</f>
        <v>0</v>
      </c>
      <c r="F491" s="562">
        <f t="shared" si="279"/>
        <v>0</v>
      </c>
      <c r="G491" s="562">
        <f t="shared" si="279"/>
        <v>0</v>
      </c>
      <c r="H491" s="562">
        <f t="shared" si="279"/>
        <v>0</v>
      </c>
      <c r="I491" s="562">
        <f t="shared" si="279"/>
        <v>0</v>
      </c>
      <c r="J491" s="562">
        <f t="shared" si="279"/>
        <v>0</v>
      </c>
      <c r="K491" s="562">
        <f t="shared" si="279"/>
        <v>0</v>
      </c>
      <c r="L491" s="562">
        <f t="shared" si="279"/>
        <v>0</v>
      </c>
      <c r="M491" s="562">
        <f>+M492+M496</f>
        <v>0</v>
      </c>
      <c r="N491" s="562">
        <f t="shared" si="279"/>
        <v>0</v>
      </c>
      <c r="O491" s="562">
        <f t="shared" si="279"/>
        <v>0</v>
      </c>
      <c r="P491" s="562">
        <f t="shared" si="279"/>
        <v>0</v>
      </c>
      <c r="Q491" s="562">
        <f>+Q492+Q496</f>
        <v>0</v>
      </c>
      <c r="R491" s="562">
        <f>+R492+R496</f>
        <v>0</v>
      </c>
      <c r="S491" s="562">
        <f>+S492+S496</f>
        <v>0</v>
      </c>
      <c r="T491" s="562">
        <f>+T492+T496</f>
        <v>0</v>
      </c>
      <c r="U491" s="562"/>
      <c r="V491" s="562"/>
      <c r="W491" s="562"/>
      <c r="X491" s="385">
        <f>+X492+X496</f>
        <v>0</v>
      </c>
      <c r="Y491" s="2590"/>
      <c r="Z491" s="861">
        <f>+O491+P491</f>
        <v>0</v>
      </c>
    </row>
    <row r="492" spans="1:27" hidden="1">
      <c r="A492" s="2598"/>
      <c r="B492" s="510" t="s">
        <v>36</v>
      </c>
      <c r="C492" s="2602" t="s">
        <v>116</v>
      </c>
      <c r="D492" s="563">
        <f>+D493+D494+D495</f>
        <v>0</v>
      </c>
      <c r="E492" s="563">
        <f>+E493+E494+E495</f>
        <v>0</v>
      </c>
      <c r="F492" s="563">
        <f t="shared" ref="F492:P492" si="280">+F493+F494+F495</f>
        <v>0</v>
      </c>
      <c r="G492" s="563">
        <f t="shared" si="280"/>
        <v>0</v>
      </c>
      <c r="H492" s="563">
        <f t="shared" si="280"/>
        <v>0</v>
      </c>
      <c r="I492" s="563">
        <f t="shared" si="280"/>
        <v>0</v>
      </c>
      <c r="J492" s="563">
        <f t="shared" si="280"/>
        <v>0</v>
      </c>
      <c r="K492" s="563">
        <f t="shared" si="280"/>
        <v>0</v>
      </c>
      <c r="L492" s="564">
        <f t="shared" si="280"/>
        <v>0</v>
      </c>
      <c r="M492" s="564">
        <f>+M493+M494+M495</f>
        <v>0</v>
      </c>
      <c r="N492" s="564">
        <f t="shared" si="280"/>
        <v>0</v>
      </c>
      <c r="O492" s="564">
        <f t="shared" si="280"/>
        <v>0</v>
      </c>
      <c r="P492" s="563">
        <f t="shared" si="280"/>
        <v>0</v>
      </c>
      <c r="Q492" s="563">
        <f>+Q493+Q494+Q495</f>
        <v>0</v>
      </c>
      <c r="R492" s="563">
        <f>+R493+R494+R495</f>
        <v>0</v>
      </c>
      <c r="S492" s="563">
        <f>+S493+S494+S495</f>
        <v>0</v>
      </c>
      <c r="T492" s="563">
        <f>+T493+T494+T495</f>
        <v>0</v>
      </c>
      <c r="U492" s="566"/>
      <c r="V492" s="566"/>
      <c r="W492" s="566"/>
      <c r="X492" s="486">
        <f>+X493+X494+X495</f>
        <v>0</v>
      </c>
      <c r="Y492" s="2590"/>
    </row>
    <row r="493" spans="1:27" ht="11.25" hidden="1" customHeight="1">
      <c r="A493" s="2598"/>
      <c r="B493" s="487" t="s">
        <v>24</v>
      </c>
      <c r="C493" s="2595"/>
      <c r="D493" s="433">
        <f>M493+O493+P493+Q493+R493+S493+T493+U493+V493+W493</f>
        <v>0</v>
      </c>
      <c r="E493" s="3068">
        <v>0</v>
      </c>
      <c r="F493" s="3069"/>
      <c r="G493" s="3068"/>
      <c r="H493" s="3068"/>
      <c r="I493" s="3068">
        <v>0</v>
      </c>
      <c r="J493" s="3068">
        <v>0</v>
      </c>
      <c r="K493" s="3068">
        <v>0</v>
      </c>
      <c r="L493" s="3070"/>
      <c r="M493" s="434">
        <f>+E493+I493+J493+K493+L493+N493</f>
        <v>0</v>
      </c>
      <c r="N493" s="3070">
        <f>9467714-8240000+5220000-6447714</f>
        <v>0</v>
      </c>
      <c r="O493" s="3070">
        <f>6456250+880000-5220000+12500-2128750</f>
        <v>0</v>
      </c>
      <c r="P493" s="3068">
        <v>0</v>
      </c>
      <c r="Q493" s="3068">
        <v>0</v>
      </c>
      <c r="R493" s="3068">
        <v>0</v>
      </c>
      <c r="S493" s="3068">
        <v>0</v>
      </c>
      <c r="T493" s="3068">
        <v>0</v>
      </c>
      <c r="U493" s="3069"/>
      <c r="V493" s="3069"/>
      <c r="W493" s="3069"/>
      <c r="X493" s="393">
        <f>SUM(P493:T493)</f>
        <v>0</v>
      </c>
      <c r="Y493" s="2590"/>
      <c r="Z493" s="778"/>
    </row>
    <row r="494" spans="1:27" hidden="1">
      <c r="A494" s="2598"/>
      <c r="B494" s="624" t="s">
        <v>94</v>
      </c>
      <c r="C494" s="2595"/>
      <c r="D494" s="433">
        <f>M494+O494+P494+Q494+R494+S494+T494+U494+V494+W494</f>
        <v>0</v>
      </c>
      <c r="E494" s="625">
        <v>0</v>
      </c>
      <c r="F494" s="3068"/>
      <c r="G494" s="3068"/>
      <c r="H494" s="3068"/>
      <c r="I494" s="3068">
        <v>0</v>
      </c>
      <c r="J494" s="572">
        <v>0</v>
      </c>
      <c r="K494" s="625">
        <v>0</v>
      </c>
      <c r="L494" s="572">
        <v>0</v>
      </c>
      <c r="M494" s="434">
        <f>+E494+I494+J494+K494+L494+N494</f>
        <v>0</v>
      </c>
      <c r="N494" s="572"/>
      <c r="O494" s="572"/>
      <c r="P494" s="625">
        <v>0</v>
      </c>
      <c r="Q494" s="625">
        <v>0</v>
      </c>
      <c r="R494" s="625">
        <v>0</v>
      </c>
      <c r="S494" s="625">
        <v>0</v>
      </c>
      <c r="T494" s="625">
        <v>0</v>
      </c>
      <c r="U494" s="573"/>
      <c r="V494" s="573"/>
      <c r="W494" s="573"/>
      <c r="X494" s="393">
        <f>SUM(P494:T494)</f>
        <v>0</v>
      </c>
      <c r="Y494" s="2590"/>
    </row>
    <row r="495" spans="1:27" ht="12" hidden="1" customHeight="1">
      <c r="A495" s="2598"/>
      <c r="B495" s="626" t="s">
        <v>124</v>
      </c>
      <c r="C495" s="2603"/>
      <c r="D495" s="433">
        <f>M495+O495+P495+Q495+R495+S495+T495+U495+V495+W495</f>
        <v>0</v>
      </c>
      <c r="E495" s="440">
        <v>0</v>
      </c>
      <c r="F495" s="573"/>
      <c r="G495" s="625"/>
      <c r="H495" s="627"/>
      <c r="I495" s="627">
        <v>0</v>
      </c>
      <c r="J495" s="3070">
        <v>0</v>
      </c>
      <c r="K495" s="3070">
        <v>0</v>
      </c>
      <c r="L495" s="3070"/>
      <c r="M495" s="434">
        <f>+E495+I495+J495+K495+L495+N495</f>
        <v>0</v>
      </c>
      <c r="N495" s="3070"/>
      <c r="O495" s="3070"/>
      <c r="P495" s="3068">
        <v>0</v>
      </c>
      <c r="Q495" s="3068">
        <v>0</v>
      </c>
      <c r="R495" s="3068">
        <v>0</v>
      </c>
      <c r="S495" s="3068">
        <v>0</v>
      </c>
      <c r="T495" s="3068">
        <v>0</v>
      </c>
      <c r="U495" s="3069"/>
      <c r="V495" s="3069"/>
      <c r="W495" s="3069"/>
      <c r="X495" s="393">
        <f>SUM(P495:T495)</f>
        <v>0</v>
      </c>
      <c r="Y495" s="2590"/>
    </row>
    <row r="496" spans="1:27" s="869" customFormat="1" hidden="1">
      <c r="A496" s="2598"/>
      <c r="B496" s="502" t="s">
        <v>30</v>
      </c>
      <c r="C496" s="3071"/>
      <c r="D496" s="443">
        <f>+D497+D498</f>
        <v>0</v>
      </c>
      <c r="E496" s="3072">
        <f>+E497</f>
        <v>0</v>
      </c>
      <c r="F496" s="3072">
        <f t="shared" ref="F496:K496" si="281">+F497</f>
        <v>0</v>
      </c>
      <c r="G496" s="3072">
        <f t="shared" si="281"/>
        <v>0</v>
      </c>
      <c r="H496" s="3072">
        <f t="shared" si="281"/>
        <v>0</v>
      </c>
      <c r="I496" s="3072">
        <f t="shared" si="281"/>
        <v>0</v>
      </c>
      <c r="J496" s="3072">
        <f t="shared" si="281"/>
        <v>0</v>
      </c>
      <c r="K496" s="3072">
        <f t="shared" si="281"/>
        <v>0</v>
      </c>
      <c r="L496" s="3072">
        <f t="shared" ref="L496:X496" si="282">+L497+L498</f>
        <v>0</v>
      </c>
      <c r="M496" s="3072">
        <f t="shared" si="282"/>
        <v>0</v>
      </c>
      <c r="N496" s="3072">
        <f t="shared" si="282"/>
        <v>0</v>
      </c>
      <c r="O496" s="3072">
        <f t="shared" si="282"/>
        <v>0</v>
      </c>
      <c r="P496" s="3072">
        <f t="shared" si="282"/>
        <v>0</v>
      </c>
      <c r="Q496" s="3072">
        <f t="shared" si="282"/>
        <v>0</v>
      </c>
      <c r="R496" s="3072">
        <f t="shared" si="282"/>
        <v>0</v>
      </c>
      <c r="S496" s="3072">
        <f t="shared" si="282"/>
        <v>0</v>
      </c>
      <c r="T496" s="3072">
        <f t="shared" si="282"/>
        <v>0</v>
      </c>
      <c r="U496" s="3072"/>
      <c r="V496" s="3072"/>
      <c r="W496" s="3072"/>
      <c r="X496" s="486">
        <f t="shared" si="282"/>
        <v>0</v>
      </c>
      <c r="Y496" s="2590"/>
    </row>
    <row r="497" spans="1:29" hidden="1">
      <c r="A497" s="2598"/>
      <c r="B497" s="544" t="s">
        <v>33</v>
      </c>
      <c r="C497" s="2525"/>
      <c r="D497" s="433">
        <f>M497+O497+P497+Q497+R497+S497+T497+U497+V497+W497</f>
        <v>0</v>
      </c>
      <c r="E497" s="441">
        <v>0</v>
      </c>
      <c r="F497" s="573"/>
      <c r="G497" s="573"/>
      <c r="H497" s="3073"/>
      <c r="I497" s="3069">
        <v>0</v>
      </c>
      <c r="J497" s="3074">
        <v>0</v>
      </c>
      <c r="K497" s="3074">
        <v>0</v>
      </c>
      <c r="L497" s="3074"/>
      <c r="M497" s="434">
        <f>+E497+I497+J497+K497+L497+N497</f>
        <v>0</v>
      </c>
      <c r="N497" s="3074"/>
      <c r="O497" s="3074"/>
      <c r="P497" s="3069">
        <v>0</v>
      </c>
      <c r="Q497" s="3069">
        <v>0</v>
      </c>
      <c r="R497" s="3069">
        <v>0</v>
      </c>
      <c r="S497" s="3069">
        <v>0</v>
      </c>
      <c r="T497" s="3069">
        <v>0</v>
      </c>
      <c r="U497" s="3069"/>
      <c r="V497" s="3069"/>
      <c r="W497" s="3069"/>
      <c r="X497" s="393">
        <f>SUM(P497:T497)</f>
        <v>0</v>
      </c>
      <c r="Y497" s="2590"/>
    </row>
    <row r="498" spans="1:29" ht="12" hidden="1" customHeight="1">
      <c r="A498" s="2598"/>
      <c r="B498" s="544" t="s">
        <v>95</v>
      </c>
      <c r="C498" s="2525"/>
      <c r="D498" s="433">
        <f>M498+O498+P498+Q498+R498+S498+T498+U498+V498+W498</f>
        <v>0</v>
      </c>
      <c r="E498" s="441">
        <v>0</v>
      </c>
      <c r="F498" s="573"/>
      <c r="G498" s="573"/>
      <c r="H498" s="3073"/>
      <c r="I498" s="3069">
        <v>0</v>
      </c>
      <c r="J498" s="3074">
        <v>0</v>
      </c>
      <c r="K498" s="3074">
        <v>0</v>
      </c>
      <c r="L498" s="3074">
        <f>1023120-1023120</f>
        <v>0</v>
      </c>
      <c r="M498" s="434">
        <f>+E498+I498+J498+K498+L498+N498</f>
        <v>0</v>
      </c>
      <c r="N498" s="3074">
        <v>0</v>
      </c>
      <c r="O498" s="3074">
        <v>0</v>
      </c>
      <c r="P498" s="3069">
        <v>0</v>
      </c>
      <c r="Q498" s="3069">
        <v>0</v>
      </c>
      <c r="R498" s="3069">
        <v>0</v>
      </c>
      <c r="S498" s="3069">
        <v>0</v>
      </c>
      <c r="T498" s="3069">
        <v>0</v>
      </c>
      <c r="U498" s="3069"/>
      <c r="V498" s="3069"/>
      <c r="W498" s="3069"/>
      <c r="X498" s="393">
        <f>SUM(P498:T498)</f>
        <v>0</v>
      </c>
      <c r="Y498" s="2590"/>
    </row>
    <row r="499" spans="1:29" s="782" customFormat="1" ht="14.25" hidden="1" customHeight="1">
      <c r="A499" s="2598"/>
      <c r="B499" s="358" t="s">
        <v>34</v>
      </c>
      <c r="C499" s="359"/>
      <c r="D499" s="721">
        <f>+D500+D504</f>
        <v>0</v>
      </c>
      <c r="E499" s="721">
        <f t="shared" ref="E499:P499" si="283">+E500+E504</f>
        <v>0</v>
      </c>
      <c r="F499" s="721">
        <f t="shared" si="283"/>
        <v>0</v>
      </c>
      <c r="G499" s="721">
        <f t="shared" si="283"/>
        <v>0</v>
      </c>
      <c r="H499" s="721">
        <f t="shared" si="283"/>
        <v>0</v>
      </c>
      <c r="I499" s="721">
        <f t="shared" si="283"/>
        <v>0</v>
      </c>
      <c r="J499" s="721">
        <f t="shared" si="283"/>
        <v>0</v>
      </c>
      <c r="K499" s="721">
        <f t="shared" si="283"/>
        <v>0</v>
      </c>
      <c r="L499" s="721">
        <f>+L500+L504</f>
        <v>0</v>
      </c>
      <c r="M499" s="721">
        <f>+M500+M504</f>
        <v>0</v>
      </c>
      <c r="N499" s="721">
        <f t="shared" si="283"/>
        <v>0</v>
      </c>
      <c r="O499" s="721">
        <f t="shared" si="283"/>
        <v>0</v>
      </c>
      <c r="P499" s="721">
        <f t="shared" si="283"/>
        <v>0</v>
      </c>
      <c r="Q499" s="721">
        <f>+Q500+Q504</f>
        <v>0</v>
      </c>
      <c r="R499" s="721">
        <f>+R500+R504</f>
        <v>0</v>
      </c>
      <c r="S499" s="721">
        <f>+S500+S504</f>
        <v>0</v>
      </c>
      <c r="T499" s="721">
        <f>+T500+T504</f>
        <v>0</v>
      </c>
      <c r="U499" s="721"/>
      <c r="V499" s="721"/>
      <c r="W499" s="721"/>
      <c r="X499" s="2637" t="s">
        <v>35</v>
      </c>
      <c r="Y499" s="2590"/>
      <c r="Z499" s="1710"/>
    </row>
    <row r="500" spans="1:29" s="3075" customFormat="1" ht="12.75" hidden="1" customHeight="1">
      <c r="A500" s="2598"/>
      <c r="B500" s="510" t="s">
        <v>36</v>
      </c>
      <c r="C500" s="2602" t="s">
        <v>116</v>
      </c>
      <c r="D500" s="495">
        <f>+D501+D502+D503</f>
        <v>0</v>
      </c>
      <c r="E500" s="495">
        <f>+E501+E503</f>
        <v>0</v>
      </c>
      <c r="F500" s="495">
        <f t="shared" ref="F500:P500" si="284">+F501+F503</f>
        <v>0</v>
      </c>
      <c r="G500" s="495">
        <f t="shared" si="284"/>
        <v>0</v>
      </c>
      <c r="H500" s="495">
        <f t="shared" si="284"/>
        <v>0</v>
      </c>
      <c r="I500" s="520">
        <f t="shared" si="284"/>
        <v>0</v>
      </c>
      <c r="J500" s="495">
        <f t="shared" si="284"/>
        <v>0</v>
      </c>
      <c r="K500" s="495">
        <f t="shared" si="284"/>
        <v>0</v>
      </c>
      <c r="L500" s="495">
        <f>SUM(L501:L503)</f>
        <v>0</v>
      </c>
      <c r="M500" s="495">
        <f>SUM(M501:M503)</f>
        <v>0</v>
      </c>
      <c r="N500" s="520">
        <f t="shared" si="284"/>
        <v>0</v>
      </c>
      <c r="O500" s="495">
        <f t="shared" si="284"/>
        <v>0</v>
      </c>
      <c r="P500" s="495">
        <f t="shared" si="284"/>
        <v>0</v>
      </c>
      <c r="Q500" s="495">
        <f>+Q501+Q503</f>
        <v>0</v>
      </c>
      <c r="R500" s="495">
        <f>+R501+R503</f>
        <v>0</v>
      </c>
      <c r="S500" s="495">
        <f>+S501+S503</f>
        <v>0</v>
      </c>
      <c r="T500" s="495">
        <f>+T501+T503</f>
        <v>0</v>
      </c>
      <c r="U500" s="495"/>
      <c r="V500" s="495"/>
      <c r="W500" s="495"/>
      <c r="X500" s="2638"/>
      <c r="Y500" s="2590"/>
    </row>
    <row r="501" spans="1:29" s="864" customFormat="1" hidden="1">
      <c r="A501" s="2598"/>
      <c r="B501" s="624" t="s">
        <v>125</v>
      </c>
      <c r="C501" s="2595"/>
      <c r="D501" s="433">
        <f>M501+O501+P501+Q501+R501+S501+T501+U501+V501+W501</f>
        <v>0</v>
      </c>
      <c r="E501" s="3076">
        <v>0</v>
      </c>
      <c r="F501" s="3076"/>
      <c r="G501" s="3076"/>
      <c r="H501" s="3076"/>
      <c r="I501" s="3077">
        <v>0</v>
      </c>
      <c r="J501" s="3078">
        <v>0</v>
      </c>
      <c r="K501" s="3079">
        <v>0</v>
      </c>
      <c r="L501" s="3076">
        <v>0</v>
      </c>
      <c r="M501" s="434">
        <f>+E501+I501+J501+K501+L501+N501</f>
        <v>0</v>
      </c>
      <c r="N501" s="3080"/>
      <c r="O501" s="3076"/>
      <c r="P501" s="3076">
        <v>0</v>
      </c>
      <c r="Q501" s="3076">
        <v>0</v>
      </c>
      <c r="R501" s="3076">
        <v>0</v>
      </c>
      <c r="S501" s="3076">
        <v>0</v>
      </c>
      <c r="T501" s="3076">
        <v>0</v>
      </c>
      <c r="U501" s="3076"/>
      <c r="V501" s="3076"/>
      <c r="W501" s="3076"/>
      <c r="X501" s="2638"/>
      <c r="Y501" s="2590"/>
      <c r="Z501" s="1373">
        <f>D501-'[2]Tab. 6A -Drogi'!$D$395</f>
        <v>-14575000</v>
      </c>
    </row>
    <row r="502" spans="1:29" s="864" customFormat="1" ht="10.5" hidden="1" customHeight="1">
      <c r="A502" s="2598"/>
      <c r="B502" s="3081" t="s">
        <v>126</v>
      </c>
      <c r="C502" s="2595"/>
      <c r="D502" s="433">
        <f>SUM(M502:T502)</f>
        <v>0</v>
      </c>
      <c r="E502" s="3076"/>
      <c r="F502" s="3076"/>
      <c r="G502" s="3076"/>
      <c r="H502" s="3076"/>
      <c r="I502" s="3082"/>
      <c r="J502" s="3083"/>
      <c r="K502" s="3084"/>
      <c r="L502" s="3076">
        <v>0</v>
      </c>
      <c r="M502" s="434">
        <f>+E502+I502+J502+K502+L502</f>
        <v>0</v>
      </c>
      <c r="N502" s="3080"/>
      <c r="O502" s="3076"/>
      <c r="P502" s="3076"/>
      <c r="Q502" s="3076"/>
      <c r="R502" s="3076"/>
      <c r="S502" s="3076"/>
      <c r="T502" s="3076"/>
      <c r="U502" s="3076"/>
      <c r="V502" s="3076"/>
      <c r="W502" s="3076"/>
      <c r="X502" s="2638"/>
      <c r="Y502" s="2590"/>
    </row>
    <row r="503" spans="1:29" s="864" customFormat="1" hidden="1">
      <c r="A503" s="2598"/>
      <c r="B503" s="626" t="s">
        <v>124</v>
      </c>
      <c r="C503" s="2595"/>
      <c r="D503" s="1060">
        <f>M503+O503+P503+Q503+R503+S503+T503+U503+V503+W503</f>
        <v>0</v>
      </c>
      <c r="E503" s="3085">
        <v>0</v>
      </c>
      <c r="F503" s="3079"/>
      <c r="G503" s="3085"/>
      <c r="H503" s="3085"/>
      <c r="I503" s="571">
        <f>8238536-8238536</f>
        <v>0</v>
      </c>
      <c r="J503" s="627"/>
      <c r="K503" s="627"/>
      <c r="L503" s="3068"/>
      <c r="M503" s="434">
        <f>+E503+I503+J503+K503+L503+N503</f>
        <v>0</v>
      </c>
      <c r="N503" s="3070">
        <f>6250000-6250000</f>
        <v>0</v>
      </c>
      <c r="O503" s="3068">
        <f>6250000-6250000</f>
        <v>0</v>
      </c>
      <c r="P503" s="3068">
        <v>0</v>
      </c>
      <c r="Q503" s="3068">
        <v>0</v>
      </c>
      <c r="R503" s="3068">
        <v>0</v>
      </c>
      <c r="S503" s="3068">
        <v>0</v>
      </c>
      <c r="T503" s="3068">
        <v>0</v>
      </c>
      <c r="U503" s="3068"/>
      <c r="V503" s="3068"/>
      <c r="W503" s="3068"/>
      <c r="X503" s="2638"/>
      <c r="Y503" s="2590"/>
      <c r="Z503" s="1373"/>
    </row>
    <row r="504" spans="1:29" s="3075" customFormat="1" hidden="1">
      <c r="A504" s="2598"/>
      <c r="B504" s="3086" t="s">
        <v>30</v>
      </c>
      <c r="C504" s="2595"/>
      <c r="D504" s="449">
        <f>+D505+D506+D507</f>
        <v>0</v>
      </c>
      <c r="E504" s="503">
        <f>+E506</f>
        <v>0</v>
      </c>
      <c r="F504" s="503">
        <f t="shared" ref="F504:K504" si="285">+F506</f>
        <v>0</v>
      </c>
      <c r="G504" s="503">
        <f t="shared" si="285"/>
        <v>0</v>
      </c>
      <c r="H504" s="503">
        <f t="shared" si="285"/>
        <v>0</v>
      </c>
      <c r="I504" s="503">
        <f t="shared" si="285"/>
        <v>0</v>
      </c>
      <c r="J504" s="503">
        <f t="shared" si="285"/>
        <v>0</v>
      </c>
      <c r="K504" s="503">
        <f t="shared" si="285"/>
        <v>0</v>
      </c>
      <c r="L504" s="503">
        <f>+L505+L506+L507</f>
        <v>0</v>
      </c>
      <c r="M504" s="503">
        <f>+M505+M506+M507</f>
        <v>0</v>
      </c>
      <c r="N504" s="503">
        <f>+N505+N506+N507</f>
        <v>0</v>
      </c>
      <c r="O504" s="503">
        <f>+O505+O506+O507</f>
        <v>0</v>
      </c>
      <c r="P504" s="503">
        <f>+P505+P506+P507</f>
        <v>0</v>
      </c>
      <c r="Q504" s="503">
        <f>+Q506</f>
        <v>0</v>
      </c>
      <c r="R504" s="503">
        <f>+R506</f>
        <v>0</v>
      </c>
      <c r="S504" s="503">
        <f>+S506</f>
        <v>0</v>
      </c>
      <c r="T504" s="503">
        <f>+T506</f>
        <v>0</v>
      </c>
      <c r="U504" s="503"/>
      <c r="V504" s="503"/>
      <c r="W504" s="503"/>
      <c r="X504" s="2638"/>
      <c r="Y504" s="2590"/>
    </row>
    <row r="505" spans="1:29" s="3075" customFormat="1" ht="10.5" hidden="1" customHeight="1">
      <c r="A505" s="2598"/>
      <c r="B505" s="3081" t="s">
        <v>126</v>
      </c>
      <c r="C505" s="2595"/>
      <c r="D505" s="451">
        <f>+E505+I505+J505+K505+L505+N505+O505+P505</f>
        <v>0</v>
      </c>
      <c r="E505" s="503"/>
      <c r="F505" s="495"/>
      <c r="G505" s="503"/>
      <c r="H505" s="503"/>
      <c r="I505" s="503"/>
      <c r="J505" s="503"/>
      <c r="K505" s="503"/>
      <c r="L505" s="3085">
        <v>0</v>
      </c>
      <c r="M505" s="3087"/>
      <c r="N505" s="3088"/>
      <c r="O505" s="3089"/>
      <c r="P505" s="3089"/>
      <c r="Q505" s="3089"/>
      <c r="R505" s="3089"/>
      <c r="S505" s="3089"/>
      <c r="T505" s="3089"/>
      <c r="U505" s="3089"/>
      <c r="V505" s="3089"/>
      <c r="W505" s="3089"/>
      <c r="X505" s="2638"/>
      <c r="Y505" s="2590"/>
    </row>
    <row r="506" spans="1:29" s="864" customFormat="1" ht="13.5" hidden="1" thickBot="1">
      <c r="A506" s="2598"/>
      <c r="B506" s="487" t="s">
        <v>33</v>
      </c>
      <c r="C506" s="2595"/>
      <c r="D506" s="433">
        <f>M506+O506+P506+Q506+R506+S506+T506+U506+V506+W506</f>
        <v>0</v>
      </c>
      <c r="E506" s="3085">
        <v>0</v>
      </c>
      <c r="F506" s="3079"/>
      <c r="G506" s="3085"/>
      <c r="H506" s="3085"/>
      <c r="I506" s="3068">
        <v>0</v>
      </c>
      <c r="J506" s="3068">
        <v>0</v>
      </c>
      <c r="K506" s="3068">
        <v>0</v>
      </c>
      <c r="L506" s="3068"/>
      <c r="M506" s="434">
        <f>+E506+I506+J506+K506+L506+N506</f>
        <v>0</v>
      </c>
      <c r="N506" s="3090"/>
      <c r="O506" s="3091"/>
      <c r="P506" s="3091"/>
      <c r="Q506" s="3091">
        <v>0</v>
      </c>
      <c r="R506" s="3091">
        <v>0</v>
      </c>
      <c r="S506" s="3091">
        <v>0</v>
      </c>
      <c r="T506" s="3091">
        <v>0</v>
      </c>
      <c r="U506" s="3091"/>
      <c r="V506" s="3091"/>
      <c r="W506" s="3091"/>
      <c r="X506" s="2638"/>
      <c r="Y506" s="2590"/>
      <c r="Z506" s="1373"/>
    </row>
    <row r="507" spans="1:29" s="864" customFormat="1" ht="11.25" hidden="1" customHeight="1" thickBot="1">
      <c r="A507" s="2654"/>
      <c r="B507" s="496" t="s">
        <v>95</v>
      </c>
      <c r="C507" s="2596"/>
      <c r="D507" s="433">
        <f>M507+O507+P507+Q507+R507+S507+T507+U507+V507+W507</f>
        <v>0</v>
      </c>
      <c r="E507" s="3092">
        <v>0</v>
      </c>
      <c r="F507" s="3093"/>
      <c r="G507" s="3092"/>
      <c r="H507" s="3092"/>
      <c r="I507" s="575">
        <v>0</v>
      </c>
      <c r="J507" s="575">
        <v>0</v>
      </c>
      <c r="K507" s="575">
        <v>0</v>
      </c>
      <c r="L507" s="575">
        <f>1023120-1023120</f>
        <v>0</v>
      </c>
      <c r="M507" s="454">
        <f>L507+E507+I507+J507+K507</f>
        <v>0</v>
      </c>
      <c r="N507" s="3094">
        <v>0</v>
      </c>
      <c r="O507" s="3095">
        <v>0</v>
      </c>
      <c r="P507" s="3095">
        <v>0</v>
      </c>
      <c r="Q507" s="3095">
        <v>0</v>
      </c>
      <c r="R507" s="3095">
        <v>0</v>
      </c>
      <c r="S507" s="3096">
        <v>0</v>
      </c>
      <c r="T507" s="681">
        <v>0</v>
      </c>
      <c r="U507" s="681"/>
      <c r="V507" s="681"/>
      <c r="W507" s="681"/>
      <c r="X507" s="2639"/>
      <c r="Y507" s="2524"/>
    </row>
    <row r="508" spans="1:29" hidden="1">
      <c r="A508" s="2597"/>
      <c r="B508" s="928"/>
      <c r="C508" s="457" t="s">
        <v>128</v>
      </c>
      <c r="D508" s="555"/>
      <c r="E508" s="530"/>
      <c r="F508" s="531"/>
      <c r="G508" s="530"/>
      <c r="H508" s="530"/>
      <c r="I508" s="530"/>
      <c r="J508" s="530"/>
      <c r="K508" s="530"/>
      <c r="L508" s="530"/>
      <c r="M508" s="530"/>
      <c r="N508" s="530"/>
      <c r="O508" s="530"/>
      <c r="P508" s="532"/>
      <c r="Q508" s="532"/>
      <c r="R508" s="532"/>
      <c r="S508" s="532"/>
      <c r="T508" s="532"/>
      <c r="U508" s="532"/>
      <c r="V508" s="532"/>
      <c r="W508" s="532"/>
      <c r="X508" s="423"/>
      <c r="Y508" s="2698" t="s">
        <v>120</v>
      </c>
      <c r="AC508" s="865"/>
    </row>
    <row r="509" spans="1:29" ht="14.25" hidden="1" customHeight="1">
      <c r="A509" s="2598"/>
      <c r="B509" s="358" t="s">
        <v>22</v>
      </c>
      <c r="C509" s="359"/>
      <c r="D509" s="462">
        <f t="shared" ref="D509:P509" si="286">+D510+D512</f>
        <v>0</v>
      </c>
      <c r="E509" s="462">
        <f t="shared" si="286"/>
        <v>0</v>
      </c>
      <c r="F509" s="462">
        <f t="shared" si="286"/>
        <v>0</v>
      </c>
      <c r="G509" s="462">
        <f t="shared" si="286"/>
        <v>0</v>
      </c>
      <c r="H509" s="462">
        <f t="shared" si="286"/>
        <v>0</v>
      </c>
      <c r="I509" s="462">
        <f t="shared" si="286"/>
        <v>0</v>
      </c>
      <c r="J509" s="462">
        <f t="shared" si="286"/>
        <v>0</v>
      </c>
      <c r="K509" s="462">
        <f t="shared" si="286"/>
        <v>0</v>
      </c>
      <c r="L509" s="462">
        <f t="shared" si="286"/>
        <v>0</v>
      </c>
      <c r="M509" s="462">
        <f>+M510+M512</f>
        <v>0</v>
      </c>
      <c r="N509" s="462">
        <f t="shared" si="286"/>
        <v>0</v>
      </c>
      <c r="O509" s="462">
        <f t="shared" si="286"/>
        <v>0</v>
      </c>
      <c r="P509" s="462">
        <f t="shared" si="286"/>
        <v>0</v>
      </c>
      <c r="Q509" s="462"/>
      <c r="R509" s="462"/>
      <c r="S509" s="463"/>
      <c r="T509" s="462"/>
      <c r="U509" s="462"/>
      <c r="V509" s="462"/>
      <c r="W509" s="462"/>
      <c r="X509" s="464">
        <f>+X510+X512</f>
        <v>0</v>
      </c>
      <c r="Y509" s="2641"/>
      <c r="Z509" s="861">
        <f>+O509+P509+Q509+R509</f>
        <v>0</v>
      </c>
      <c r="AA509" s="778"/>
      <c r="AB509" s="778"/>
      <c r="AC509" s="778"/>
    </row>
    <row r="510" spans="1:29" ht="14.25" hidden="1" customHeight="1">
      <c r="A510" s="2598"/>
      <c r="B510" s="510" t="s">
        <v>36</v>
      </c>
      <c r="C510" s="2602" t="s">
        <v>116</v>
      </c>
      <c r="D510" s="465">
        <f>+D511</f>
        <v>0</v>
      </c>
      <c r="E510" s="465">
        <f t="shared" ref="E510:P510" si="287">+E511</f>
        <v>0</v>
      </c>
      <c r="F510" s="465">
        <f t="shared" si="287"/>
        <v>0</v>
      </c>
      <c r="G510" s="465">
        <f t="shared" si="287"/>
        <v>0</v>
      </c>
      <c r="H510" s="465">
        <f t="shared" si="287"/>
        <v>0</v>
      </c>
      <c r="I510" s="465">
        <f t="shared" si="287"/>
        <v>0</v>
      </c>
      <c r="J510" s="465">
        <f t="shared" si="287"/>
        <v>0</v>
      </c>
      <c r="K510" s="465">
        <f t="shared" si="287"/>
        <v>0</v>
      </c>
      <c r="L510" s="465">
        <f t="shared" si="287"/>
        <v>0</v>
      </c>
      <c r="M510" s="465">
        <f t="shared" si="287"/>
        <v>0</v>
      </c>
      <c r="N510" s="465">
        <f t="shared" si="287"/>
        <v>0</v>
      </c>
      <c r="O510" s="465">
        <f t="shared" si="287"/>
        <v>0</v>
      </c>
      <c r="P510" s="465">
        <f t="shared" si="287"/>
        <v>0</v>
      </c>
      <c r="Q510" s="465"/>
      <c r="R510" s="465"/>
      <c r="S510" s="535"/>
      <c r="T510" s="465"/>
      <c r="U510" s="465"/>
      <c r="V510" s="465"/>
      <c r="W510" s="465"/>
      <c r="X510" s="486">
        <f>+X511</f>
        <v>0</v>
      </c>
      <c r="Y510" s="2641"/>
      <c r="Z510" s="778"/>
    </row>
    <row r="511" spans="1:29" hidden="1">
      <c r="A511" s="2598"/>
      <c r="B511" s="511" t="s">
        <v>24</v>
      </c>
      <c r="C511" s="2643"/>
      <c r="D511" s="433">
        <f>M511+O511+P511+Q511+R511+S511+T511+U511+V511+W511</f>
        <v>0</v>
      </c>
      <c r="E511" s="478">
        <f>+F511+G511+H511</f>
        <v>0</v>
      </c>
      <c r="F511" s="514">
        <v>0</v>
      </c>
      <c r="G511" s="478">
        <v>0</v>
      </c>
      <c r="H511" s="478">
        <v>0</v>
      </c>
      <c r="I511" s="478">
        <f>140382-140382</f>
        <v>0</v>
      </c>
      <c r="J511" s="516"/>
      <c r="K511" s="478"/>
      <c r="L511" s="478"/>
      <c r="M511" s="434">
        <f>+E511+I511+J511+K511+L511+N511</f>
        <v>0</v>
      </c>
      <c r="N511" s="514"/>
      <c r="O511" s="514"/>
      <c r="P511" s="441">
        <v>0</v>
      </c>
      <c r="Q511" s="441"/>
      <c r="R511" s="441"/>
      <c r="S511" s="440"/>
      <c r="T511" s="441"/>
      <c r="U511" s="441"/>
      <c r="V511" s="441"/>
      <c r="W511" s="441"/>
      <c r="X511" s="393">
        <f>SUM(P511:T511)</f>
        <v>0</v>
      </c>
      <c r="Y511" s="2641"/>
    </row>
    <row r="512" spans="1:29" ht="14.25" hidden="1" customHeight="1">
      <c r="A512" s="2598"/>
      <c r="B512" s="502" t="s">
        <v>30</v>
      </c>
      <c r="C512" s="2643"/>
      <c r="D512" s="443">
        <f>+D513</f>
        <v>0</v>
      </c>
      <c r="E512" s="443">
        <f t="shared" ref="E512:P512" si="288">+E513</f>
        <v>0</v>
      </c>
      <c r="F512" s="443">
        <f t="shared" si="288"/>
        <v>0</v>
      </c>
      <c r="G512" s="443">
        <f t="shared" si="288"/>
        <v>0</v>
      </c>
      <c r="H512" s="443">
        <f t="shared" si="288"/>
        <v>0</v>
      </c>
      <c r="I512" s="443">
        <f t="shared" si="288"/>
        <v>0</v>
      </c>
      <c r="J512" s="443">
        <f t="shared" si="288"/>
        <v>0</v>
      </c>
      <c r="K512" s="443">
        <f t="shared" si="288"/>
        <v>0</v>
      </c>
      <c r="L512" s="443">
        <f t="shared" si="288"/>
        <v>0</v>
      </c>
      <c r="M512" s="443">
        <f t="shared" si="288"/>
        <v>0</v>
      </c>
      <c r="N512" s="443">
        <f t="shared" si="288"/>
        <v>0</v>
      </c>
      <c r="O512" s="443">
        <f t="shared" si="288"/>
        <v>0</v>
      </c>
      <c r="P512" s="443">
        <f t="shared" si="288"/>
        <v>0</v>
      </c>
      <c r="Q512" s="443"/>
      <c r="R512" s="443"/>
      <c r="S512" s="444"/>
      <c r="T512" s="443"/>
      <c r="U512" s="443"/>
      <c r="V512" s="443"/>
      <c r="W512" s="443"/>
      <c r="X512" s="486">
        <f>+X513</f>
        <v>0</v>
      </c>
      <c r="Y512" s="2641"/>
    </row>
    <row r="513" spans="1:29" hidden="1">
      <c r="A513" s="2598"/>
      <c r="B513" s="447" t="s">
        <v>33</v>
      </c>
      <c r="C513" s="2643"/>
      <c r="D513" s="433">
        <f>M513+O513+P513+Q513+R513+S513+T513+U513+V513+W513</f>
        <v>0</v>
      </c>
      <c r="E513" s="440">
        <f>+F513+G513+H513</f>
        <v>0</v>
      </c>
      <c r="F513" s="441">
        <v>0</v>
      </c>
      <c r="G513" s="441">
        <v>0</v>
      </c>
      <c r="H513" s="440">
        <v>0</v>
      </c>
      <c r="I513" s="440">
        <f>163508-163508</f>
        <v>0</v>
      </c>
      <c r="J513" s="440"/>
      <c r="K513" s="440"/>
      <c r="L513" s="440">
        <v>0</v>
      </c>
      <c r="M513" s="434">
        <f>+E513+I513+J513+K513+L513+N513</f>
        <v>0</v>
      </c>
      <c r="N513" s="440"/>
      <c r="O513" s="440"/>
      <c r="P513" s="441">
        <v>0</v>
      </c>
      <c r="Q513" s="441"/>
      <c r="R513" s="441"/>
      <c r="S513" s="440"/>
      <c r="T513" s="441"/>
      <c r="U513" s="441"/>
      <c r="V513" s="441"/>
      <c r="W513" s="441"/>
      <c r="X513" s="393">
        <f>SUM(P513:T513)</f>
        <v>0</v>
      </c>
      <c r="Y513" s="2641"/>
    </row>
    <row r="514" spans="1:29" s="862" customFormat="1" ht="14.25" hidden="1" customHeight="1">
      <c r="A514" s="2599"/>
      <c r="B514" s="358" t="s">
        <v>34</v>
      </c>
      <c r="C514" s="359"/>
      <c r="D514" s="448">
        <f>+D515</f>
        <v>0</v>
      </c>
      <c r="E514" s="448">
        <f t="shared" ref="E514:P515" si="289">+E515</f>
        <v>0</v>
      </c>
      <c r="F514" s="448">
        <f t="shared" si="289"/>
        <v>0</v>
      </c>
      <c r="G514" s="448">
        <f t="shared" si="289"/>
        <v>0</v>
      </c>
      <c r="H514" s="448">
        <f t="shared" si="289"/>
        <v>0</v>
      </c>
      <c r="I514" s="448">
        <f t="shared" si="289"/>
        <v>0</v>
      </c>
      <c r="J514" s="448">
        <f t="shared" si="289"/>
        <v>0</v>
      </c>
      <c r="K514" s="448">
        <f t="shared" si="289"/>
        <v>0</v>
      </c>
      <c r="L514" s="448">
        <f t="shared" si="289"/>
        <v>0</v>
      </c>
      <c r="M514" s="448">
        <f t="shared" si="289"/>
        <v>0</v>
      </c>
      <c r="N514" s="448">
        <f t="shared" si="289"/>
        <v>0</v>
      </c>
      <c r="O514" s="448">
        <f t="shared" si="289"/>
        <v>0</v>
      </c>
      <c r="P514" s="448">
        <f t="shared" si="289"/>
        <v>0</v>
      </c>
      <c r="Q514" s="448"/>
      <c r="R514" s="448"/>
      <c r="S514" s="427"/>
      <c r="T514" s="448"/>
      <c r="U514" s="448"/>
      <c r="V514" s="448"/>
      <c r="W514" s="448"/>
      <c r="X514" s="2659" t="s">
        <v>35</v>
      </c>
      <c r="Y514" s="2699"/>
      <c r="Z514" s="861"/>
    </row>
    <row r="515" spans="1:29" s="864" customFormat="1" ht="14.25" hidden="1" customHeight="1">
      <c r="A515" s="2599"/>
      <c r="B515" s="502" t="s">
        <v>30</v>
      </c>
      <c r="C515" s="2602" t="s">
        <v>116</v>
      </c>
      <c r="D515" s="495">
        <f>+D516</f>
        <v>0</v>
      </c>
      <c r="E515" s="495">
        <f t="shared" si="289"/>
        <v>0</v>
      </c>
      <c r="F515" s="495">
        <f t="shared" si="289"/>
        <v>0</v>
      </c>
      <c r="G515" s="495">
        <f t="shared" si="289"/>
        <v>0</v>
      </c>
      <c r="H515" s="495">
        <f t="shared" si="289"/>
        <v>0</v>
      </c>
      <c r="I515" s="495">
        <f t="shared" si="289"/>
        <v>0</v>
      </c>
      <c r="J515" s="495">
        <f t="shared" si="289"/>
        <v>0</v>
      </c>
      <c r="K515" s="495">
        <f t="shared" si="289"/>
        <v>0</v>
      </c>
      <c r="L515" s="495">
        <f t="shared" si="289"/>
        <v>0</v>
      </c>
      <c r="M515" s="495">
        <f t="shared" si="289"/>
        <v>0</v>
      </c>
      <c r="N515" s="520">
        <f t="shared" si="289"/>
        <v>0</v>
      </c>
      <c r="O515" s="520">
        <f t="shared" si="289"/>
        <v>0</v>
      </c>
      <c r="P515" s="495">
        <f t="shared" si="289"/>
        <v>0</v>
      </c>
      <c r="Q515" s="495"/>
      <c r="R515" s="495"/>
      <c r="S515" s="503"/>
      <c r="T515" s="495"/>
      <c r="U515" s="495"/>
      <c r="V515" s="495"/>
      <c r="W515" s="495"/>
      <c r="X515" s="2646"/>
      <c r="Y515" s="2699"/>
    </row>
    <row r="516" spans="1:29" s="864" customFormat="1" ht="14.25" hidden="1" customHeight="1" thickBot="1">
      <c r="A516" s="2600"/>
      <c r="B516" s="556" t="s">
        <v>33</v>
      </c>
      <c r="C516" s="2608"/>
      <c r="D516" s="1064">
        <f>M516+O516+P516+Q516+R516+S516+T516+U516+V516+W516</f>
        <v>0</v>
      </c>
      <c r="E516" s="548">
        <f>+F516+G516+H516</f>
        <v>0</v>
      </c>
      <c r="F516" s="549">
        <v>0</v>
      </c>
      <c r="G516" s="548">
        <v>0</v>
      </c>
      <c r="H516" s="548">
        <v>0</v>
      </c>
      <c r="I516" s="548">
        <v>0</v>
      </c>
      <c r="J516" s="548">
        <v>0</v>
      </c>
      <c r="K516" s="548"/>
      <c r="L516" s="548">
        <v>0</v>
      </c>
      <c r="M516" s="1064">
        <f>+E516+I516+J516+K516+L516+N516</f>
        <v>0</v>
      </c>
      <c r="N516" s="550"/>
      <c r="O516" s="550"/>
      <c r="P516" s="551"/>
      <c r="Q516" s="551"/>
      <c r="R516" s="551"/>
      <c r="S516" s="551"/>
      <c r="T516" s="551"/>
      <c r="U516" s="551"/>
      <c r="V516" s="551"/>
      <c r="W516" s="551"/>
      <c r="X516" s="2647"/>
      <c r="Y516" s="2700"/>
    </row>
    <row r="517" spans="1:29" ht="27.75" hidden="1" customHeight="1">
      <c r="A517" s="2736" t="s">
        <v>374</v>
      </c>
      <c r="B517" s="750" t="s">
        <v>308</v>
      </c>
      <c r="C517" s="628"/>
      <c r="D517" s="604"/>
      <c r="E517" s="604"/>
      <c r="F517" s="604"/>
      <c r="G517" s="604"/>
      <c r="H517" s="604"/>
      <c r="I517" s="604"/>
      <c r="J517" s="604"/>
      <c r="K517" s="604"/>
      <c r="L517" s="605"/>
      <c r="M517" s="605"/>
      <c r="N517" s="605"/>
      <c r="O517" s="605"/>
      <c r="P517" s="605"/>
      <c r="Q517" s="605"/>
      <c r="R517" s="605"/>
      <c r="S517" s="605"/>
      <c r="T517" s="605"/>
      <c r="U517" s="605"/>
      <c r="V517" s="605"/>
      <c r="W517" s="605"/>
      <c r="X517" s="1055"/>
      <c r="Y517" s="2739"/>
    </row>
    <row r="518" spans="1:29" ht="14.25" hidden="1" customHeight="1">
      <c r="A518" s="2737"/>
      <c r="B518" s="358" t="s">
        <v>22</v>
      </c>
      <c r="C518" s="630"/>
      <c r="D518" s="607">
        <f>+D519+D521</f>
        <v>0</v>
      </c>
      <c r="E518" s="607"/>
      <c r="F518" s="607"/>
      <c r="G518" s="607"/>
      <c r="H518" s="607"/>
      <c r="I518" s="607"/>
      <c r="J518" s="607"/>
      <c r="K518" s="607"/>
      <c r="L518" s="607"/>
      <c r="M518" s="607">
        <f t="shared" ref="M518:X518" si="290">+M519+M521</f>
        <v>0</v>
      </c>
      <c r="N518" s="607">
        <f t="shared" si="290"/>
        <v>0</v>
      </c>
      <c r="O518" s="607">
        <f t="shared" si="290"/>
        <v>0</v>
      </c>
      <c r="P518" s="607">
        <f t="shared" si="290"/>
        <v>0</v>
      </c>
      <c r="Q518" s="607">
        <f t="shared" si="290"/>
        <v>0</v>
      </c>
      <c r="R518" s="607">
        <f t="shared" si="290"/>
        <v>0</v>
      </c>
      <c r="S518" s="607">
        <f t="shared" si="290"/>
        <v>0</v>
      </c>
      <c r="T518" s="607">
        <f t="shared" si="290"/>
        <v>0</v>
      </c>
      <c r="U518" s="607">
        <f t="shared" si="290"/>
        <v>0</v>
      </c>
      <c r="V518" s="607">
        <f t="shared" si="290"/>
        <v>0</v>
      </c>
      <c r="W518" s="607">
        <f t="shared" si="290"/>
        <v>0</v>
      </c>
      <c r="X518" s="464">
        <f t="shared" si="290"/>
        <v>0</v>
      </c>
      <c r="Y518" s="2740"/>
      <c r="Z518" s="861">
        <f>+O518+P518+Q518+R518</f>
        <v>0</v>
      </c>
    </row>
    <row r="519" spans="1:29" ht="13.5" hidden="1" customHeight="1">
      <c r="A519" s="2737"/>
      <c r="B519" s="751" t="s">
        <v>36</v>
      </c>
      <c r="C519" s="631"/>
      <c r="D519" s="586">
        <f>+D520</f>
        <v>0</v>
      </c>
      <c r="E519" s="586"/>
      <c r="F519" s="586"/>
      <c r="G519" s="586"/>
      <c r="H519" s="586"/>
      <c r="I519" s="586"/>
      <c r="J519" s="586"/>
      <c r="K519" s="586"/>
      <c r="L519" s="586"/>
      <c r="M519" s="586">
        <f t="shared" ref="M519:X519" si="291">+M520</f>
        <v>0</v>
      </c>
      <c r="N519" s="586">
        <f t="shared" si="291"/>
        <v>0</v>
      </c>
      <c r="O519" s="586">
        <f t="shared" si="291"/>
        <v>0</v>
      </c>
      <c r="P519" s="586">
        <f t="shared" si="291"/>
        <v>0</v>
      </c>
      <c r="Q519" s="586">
        <f t="shared" si="291"/>
        <v>0</v>
      </c>
      <c r="R519" s="586">
        <f t="shared" si="291"/>
        <v>0</v>
      </c>
      <c r="S519" s="586">
        <f t="shared" si="291"/>
        <v>0</v>
      </c>
      <c r="T519" s="586">
        <f t="shared" si="291"/>
        <v>0</v>
      </c>
      <c r="U519" s="586">
        <f t="shared" si="291"/>
        <v>0</v>
      </c>
      <c r="V519" s="586">
        <f t="shared" si="291"/>
        <v>0</v>
      </c>
      <c r="W519" s="586">
        <f t="shared" si="291"/>
        <v>0</v>
      </c>
      <c r="X519" s="466">
        <f t="shared" si="291"/>
        <v>0</v>
      </c>
      <c r="Y519" s="2740"/>
    </row>
    <row r="520" spans="1:29" s="782" customFormat="1" hidden="1">
      <c r="A520" s="2737"/>
      <c r="B520" s="885" t="s">
        <v>24</v>
      </c>
      <c r="C520" s="632"/>
      <c r="D520" s="392">
        <f>+D529</f>
        <v>0</v>
      </c>
      <c r="E520" s="392"/>
      <c r="F520" s="392"/>
      <c r="G520" s="392"/>
      <c r="H520" s="392"/>
      <c r="I520" s="392"/>
      <c r="J520" s="392"/>
      <c r="K520" s="392"/>
      <c r="L520" s="392"/>
      <c r="M520" s="392">
        <f>+M529</f>
        <v>0</v>
      </c>
      <c r="N520" s="392">
        <f t="shared" ref="N520:T520" si="292">+N529</f>
        <v>0</v>
      </c>
      <c r="O520" s="392">
        <f t="shared" si="292"/>
        <v>0</v>
      </c>
      <c r="P520" s="392">
        <f t="shared" si="292"/>
        <v>0</v>
      </c>
      <c r="Q520" s="392">
        <f t="shared" si="292"/>
        <v>0</v>
      </c>
      <c r="R520" s="392">
        <f t="shared" si="292"/>
        <v>0</v>
      </c>
      <c r="S520" s="392">
        <f t="shared" si="292"/>
        <v>0</v>
      </c>
      <c r="T520" s="392">
        <f t="shared" si="292"/>
        <v>0</v>
      </c>
      <c r="U520" s="392">
        <f>+U529</f>
        <v>0</v>
      </c>
      <c r="V520" s="392">
        <f>+V529</f>
        <v>0</v>
      </c>
      <c r="W520" s="392">
        <f>+W529</f>
        <v>0</v>
      </c>
      <c r="X520" s="393">
        <f>SUM(P520:T520)</f>
        <v>0</v>
      </c>
      <c r="Y520" s="2740"/>
    </row>
    <row r="521" spans="1:29" ht="14.25" hidden="1" customHeight="1">
      <c r="A521" s="2737"/>
      <c r="B521" s="752" t="s">
        <v>30</v>
      </c>
      <c r="C521" s="633"/>
      <c r="D521" s="388">
        <f>+D522</f>
        <v>0</v>
      </c>
      <c r="E521" s="388"/>
      <c r="F521" s="388"/>
      <c r="G521" s="388"/>
      <c r="H521" s="388"/>
      <c r="I521" s="388"/>
      <c r="J521" s="388"/>
      <c r="K521" s="388"/>
      <c r="L521" s="388"/>
      <c r="M521" s="388">
        <f t="shared" ref="M521:X521" si="293">+M522</f>
        <v>0</v>
      </c>
      <c r="N521" s="388">
        <f t="shared" si="293"/>
        <v>0</v>
      </c>
      <c r="O521" s="388">
        <f t="shared" si="293"/>
        <v>0</v>
      </c>
      <c r="P521" s="388">
        <f t="shared" si="293"/>
        <v>0</v>
      </c>
      <c r="Q521" s="388">
        <f t="shared" si="293"/>
        <v>0</v>
      </c>
      <c r="R521" s="388">
        <f t="shared" si="293"/>
        <v>0</v>
      </c>
      <c r="S521" s="388">
        <f t="shared" si="293"/>
        <v>0</v>
      </c>
      <c r="T521" s="388">
        <f t="shared" si="293"/>
        <v>0</v>
      </c>
      <c r="U521" s="388">
        <f t="shared" si="293"/>
        <v>0</v>
      </c>
      <c r="V521" s="388">
        <f t="shared" si="293"/>
        <v>0</v>
      </c>
      <c r="W521" s="388">
        <f t="shared" si="293"/>
        <v>0</v>
      </c>
      <c r="X521" s="466">
        <f t="shared" si="293"/>
        <v>0</v>
      </c>
      <c r="Y521" s="2740"/>
    </row>
    <row r="522" spans="1:29" s="782" customFormat="1" ht="11.25" hidden="1" customHeight="1">
      <c r="A522" s="2737"/>
      <c r="B522" s="886" t="s">
        <v>32</v>
      </c>
      <c r="C522" s="632"/>
      <c r="D522" s="392">
        <f>+D531</f>
        <v>0</v>
      </c>
      <c r="E522" s="392"/>
      <c r="F522" s="392"/>
      <c r="G522" s="392"/>
      <c r="H522" s="392"/>
      <c r="I522" s="392"/>
      <c r="J522" s="392"/>
      <c r="K522" s="392"/>
      <c r="L522" s="392"/>
      <c r="M522" s="392">
        <f t="shared" ref="M522:T522" si="294">+M531</f>
        <v>0</v>
      </c>
      <c r="N522" s="392">
        <f t="shared" si="294"/>
        <v>0</v>
      </c>
      <c r="O522" s="392">
        <f t="shared" si="294"/>
        <v>0</v>
      </c>
      <c r="P522" s="392">
        <f t="shared" si="294"/>
        <v>0</v>
      </c>
      <c r="Q522" s="392">
        <f t="shared" si="294"/>
        <v>0</v>
      </c>
      <c r="R522" s="392">
        <f t="shared" si="294"/>
        <v>0</v>
      </c>
      <c r="S522" s="392">
        <f t="shared" si="294"/>
        <v>0</v>
      </c>
      <c r="T522" s="392">
        <f t="shared" si="294"/>
        <v>0</v>
      </c>
      <c r="U522" s="392">
        <f>+U531</f>
        <v>0</v>
      </c>
      <c r="V522" s="392">
        <f>+V531</f>
        <v>0</v>
      </c>
      <c r="W522" s="392">
        <f>+W531</f>
        <v>0</v>
      </c>
      <c r="X522" s="393">
        <f>SUM(P522:T522)</f>
        <v>0</v>
      </c>
      <c r="Y522" s="2740"/>
    </row>
    <row r="523" spans="1:29" ht="13.5" hidden="1" customHeight="1">
      <c r="A523" s="2737"/>
      <c r="B523" s="358" t="s">
        <v>34</v>
      </c>
      <c r="C523" s="630"/>
      <c r="D523" s="607">
        <f>+D524</f>
        <v>0</v>
      </c>
      <c r="E523" s="607"/>
      <c r="F523" s="607"/>
      <c r="G523" s="607"/>
      <c r="H523" s="607"/>
      <c r="I523" s="607"/>
      <c r="J523" s="607"/>
      <c r="K523" s="607"/>
      <c r="L523" s="607"/>
      <c r="M523" s="607">
        <f>+M524</f>
        <v>0</v>
      </c>
      <c r="N523" s="607">
        <f>+N524</f>
        <v>0</v>
      </c>
      <c r="O523" s="607">
        <f t="shared" ref="O523:W524" si="295">+O524</f>
        <v>0</v>
      </c>
      <c r="P523" s="607">
        <f t="shared" si="295"/>
        <v>0</v>
      </c>
      <c r="Q523" s="607">
        <f t="shared" si="295"/>
        <v>0</v>
      </c>
      <c r="R523" s="607">
        <f t="shared" si="295"/>
        <v>0</v>
      </c>
      <c r="S523" s="607">
        <f t="shared" si="295"/>
        <v>0</v>
      </c>
      <c r="T523" s="607">
        <f t="shared" si="295"/>
        <v>0</v>
      </c>
      <c r="U523" s="607">
        <f t="shared" si="295"/>
        <v>0</v>
      </c>
      <c r="V523" s="607">
        <f t="shared" si="295"/>
        <v>0</v>
      </c>
      <c r="W523" s="607">
        <f t="shared" si="295"/>
        <v>0</v>
      </c>
      <c r="X523" s="2659" t="s">
        <v>35</v>
      </c>
      <c r="Y523" s="2740"/>
    </row>
    <row r="524" spans="1:29" ht="12" hidden="1" customHeight="1">
      <c r="A524" s="2737"/>
      <c r="B524" s="753" t="s">
        <v>30</v>
      </c>
      <c r="C524" s="631"/>
      <c r="D524" s="586">
        <f>+D525</f>
        <v>0</v>
      </c>
      <c r="E524" s="586"/>
      <c r="F524" s="586"/>
      <c r="G524" s="586"/>
      <c r="H524" s="586"/>
      <c r="I524" s="586"/>
      <c r="J524" s="586"/>
      <c r="K524" s="586"/>
      <c r="L524" s="586"/>
      <c r="M524" s="586">
        <f>+M525</f>
        <v>0</v>
      </c>
      <c r="N524" s="586">
        <f>+N525</f>
        <v>0</v>
      </c>
      <c r="O524" s="586">
        <f t="shared" si="295"/>
        <v>0</v>
      </c>
      <c r="P524" s="586">
        <f t="shared" si="295"/>
        <v>0</v>
      </c>
      <c r="Q524" s="586">
        <f t="shared" si="295"/>
        <v>0</v>
      </c>
      <c r="R524" s="586">
        <f t="shared" si="295"/>
        <v>0</v>
      </c>
      <c r="S524" s="586">
        <f t="shared" si="295"/>
        <v>0</v>
      </c>
      <c r="T524" s="586">
        <f t="shared" si="295"/>
        <v>0</v>
      </c>
      <c r="U524" s="586">
        <f t="shared" si="295"/>
        <v>0</v>
      </c>
      <c r="V524" s="586">
        <f t="shared" si="295"/>
        <v>0</v>
      </c>
      <c r="W524" s="586">
        <f t="shared" si="295"/>
        <v>0</v>
      </c>
      <c r="X524" s="2646"/>
      <c r="Y524" s="2740"/>
    </row>
    <row r="525" spans="1:29" ht="13.5" hidden="1" customHeight="1" thickBot="1">
      <c r="A525" s="2738"/>
      <c r="B525" s="618" t="s">
        <v>32</v>
      </c>
      <c r="C525" s="632"/>
      <c r="D525" s="392">
        <f>+D534</f>
        <v>0</v>
      </c>
      <c r="E525" s="392"/>
      <c r="F525" s="392"/>
      <c r="G525" s="392"/>
      <c r="H525" s="392"/>
      <c r="I525" s="392"/>
      <c r="J525" s="392"/>
      <c r="K525" s="392"/>
      <c r="L525" s="392"/>
      <c r="M525" s="392">
        <f t="shared" ref="M525:T525" si="296">+M534</f>
        <v>0</v>
      </c>
      <c r="N525" s="392">
        <f t="shared" si="296"/>
        <v>0</v>
      </c>
      <c r="O525" s="392">
        <f t="shared" si="296"/>
        <v>0</v>
      </c>
      <c r="P525" s="392">
        <f t="shared" si="296"/>
        <v>0</v>
      </c>
      <c r="Q525" s="392">
        <f t="shared" si="296"/>
        <v>0</v>
      </c>
      <c r="R525" s="392">
        <f t="shared" si="296"/>
        <v>0</v>
      </c>
      <c r="S525" s="833">
        <f t="shared" si="296"/>
        <v>0</v>
      </c>
      <c r="T525" s="834">
        <f t="shared" si="296"/>
        <v>0</v>
      </c>
      <c r="U525" s="834">
        <f>+U534</f>
        <v>0</v>
      </c>
      <c r="V525" s="834">
        <f>+V534</f>
        <v>0</v>
      </c>
      <c r="W525" s="834">
        <f>+W534</f>
        <v>0</v>
      </c>
      <c r="X525" s="2647"/>
      <c r="Y525" s="2741"/>
    </row>
    <row r="526" spans="1:29" hidden="1">
      <c r="A526" s="2597" t="s">
        <v>391</v>
      </c>
      <c r="B526" s="928"/>
      <c r="C526" s="457" t="s">
        <v>128</v>
      </c>
      <c r="D526" s="555"/>
      <c r="E526" s="530"/>
      <c r="F526" s="531"/>
      <c r="G526" s="530"/>
      <c r="H526" s="530"/>
      <c r="I526" s="530"/>
      <c r="J526" s="530"/>
      <c r="K526" s="530"/>
      <c r="L526" s="530"/>
      <c r="M526" s="530"/>
      <c r="N526" s="530"/>
      <c r="O526" s="530"/>
      <c r="P526" s="532"/>
      <c r="Q526" s="532"/>
      <c r="R526" s="532"/>
      <c r="S526" s="812"/>
      <c r="T526" s="812"/>
      <c r="U526" s="812"/>
      <c r="V526" s="812"/>
      <c r="W526" s="812"/>
      <c r="X526" s="533"/>
      <c r="Y526" s="2698" t="s">
        <v>129</v>
      </c>
      <c r="AC526" s="865"/>
    </row>
    <row r="527" spans="1:29" ht="14.25" hidden="1" customHeight="1">
      <c r="A527" s="2598"/>
      <c r="B527" s="358" t="s">
        <v>22</v>
      </c>
      <c r="C527" s="359"/>
      <c r="D527" s="462">
        <f>+D528+D530</f>
        <v>0</v>
      </c>
      <c r="E527" s="462"/>
      <c r="F527" s="462"/>
      <c r="G527" s="462"/>
      <c r="H527" s="462"/>
      <c r="I527" s="462"/>
      <c r="J527" s="462"/>
      <c r="K527" s="462"/>
      <c r="L527" s="462"/>
      <c r="M527" s="462">
        <f t="shared" ref="M527:X527" si="297">+M528+M530</f>
        <v>0</v>
      </c>
      <c r="N527" s="462">
        <f t="shared" si="297"/>
        <v>0</v>
      </c>
      <c r="O527" s="462">
        <f t="shared" si="297"/>
        <v>0</v>
      </c>
      <c r="P527" s="929">
        <f t="shared" si="297"/>
        <v>0</v>
      </c>
      <c r="Q527" s="929">
        <f t="shared" si="297"/>
        <v>0</v>
      </c>
      <c r="R527" s="929">
        <f t="shared" si="297"/>
        <v>0</v>
      </c>
      <c r="S527" s="929">
        <f t="shared" si="297"/>
        <v>0</v>
      </c>
      <c r="T527" s="929">
        <f t="shared" si="297"/>
        <v>0</v>
      </c>
      <c r="U527" s="929">
        <f t="shared" si="297"/>
        <v>0</v>
      </c>
      <c r="V527" s="929">
        <f t="shared" si="297"/>
        <v>0</v>
      </c>
      <c r="W527" s="929">
        <f t="shared" si="297"/>
        <v>0</v>
      </c>
      <c r="X527" s="464">
        <f t="shared" si="297"/>
        <v>0</v>
      </c>
      <c r="Y527" s="2641"/>
      <c r="Z527" s="861">
        <f>+O527+P527+Q527+R527</f>
        <v>0</v>
      </c>
      <c r="AA527" s="778"/>
      <c r="AB527" s="778"/>
      <c r="AC527" s="778"/>
    </row>
    <row r="528" spans="1:29" ht="14.25" hidden="1" customHeight="1">
      <c r="A528" s="2598"/>
      <c r="B528" s="510" t="s">
        <v>36</v>
      </c>
      <c r="C528" s="2602" t="s">
        <v>130</v>
      </c>
      <c r="D528" s="465">
        <f>+D529</f>
        <v>0</v>
      </c>
      <c r="E528" s="465"/>
      <c r="F528" s="465"/>
      <c r="G528" s="465"/>
      <c r="H528" s="465"/>
      <c r="I528" s="465"/>
      <c r="J528" s="465"/>
      <c r="K528" s="465"/>
      <c r="L528" s="465"/>
      <c r="M528" s="465">
        <f t="shared" ref="M528:X528" si="298">+M529</f>
        <v>0</v>
      </c>
      <c r="N528" s="465">
        <f t="shared" si="298"/>
        <v>0</v>
      </c>
      <c r="O528" s="465">
        <f t="shared" si="298"/>
        <v>0</v>
      </c>
      <c r="P528" s="930">
        <f t="shared" si="298"/>
        <v>0</v>
      </c>
      <c r="Q528" s="930">
        <f t="shared" si="298"/>
        <v>0</v>
      </c>
      <c r="R528" s="930">
        <f t="shared" si="298"/>
        <v>0</v>
      </c>
      <c r="S528" s="930">
        <f t="shared" si="298"/>
        <v>0</v>
      </c>
      <c r="T528" s="930">
        <f t="shared" si="298"/>
        <v>0</v>
      </c>
      <c r="U528" s="930">
        <f t="shared" si="298"/>
        <v>0</v>
      </c>
      <c r="V528" s="930">
        <f t="shared" si="298"/>
        <v>0</v>
      </c>
      <c r="W528" s="930">
        <f t="shared" si="298"/>
        <v>0</v>
      </c>
      <c r="X528" s="486">
        <f t="shared" si="298"/>
        <v>0</v>
      </c>
      <c r="Y528" s="2641"/>
      <c r="Z528" s="778"/>
    </row>
    <row r="529" spans="1:26" ht="14.25" hidden="1" customHeight="1">
      <c r="A529" s="2598"/>
      <c r="B529" s="511" t="s">
        <v>24</v>
      </c>
      <c r="C529" s="2643"/>
      <c r="D529" s="433">
        <f>M529+O529+P529+Q529+R529+S529+T529+U529+V529+W529</f>
        <v>0</v>
      </c>
      <c r="E529" s="440"/>
      <c r="F529" s="441"/>
      <c r="G529" s="440"/>
      <c r="H529" s="440"/>
      <c r="I529" s="440"/>
      <c r="J529" s="516"/>
      <c r="K529" s="478"/>
      <c r="L529" s="440"/>
      <c r="M529" s="434">
        <f>+E529+I529+J529+K529+L529+N529</f>
        <v>0</v>
      </c>
      <c r="N529" s="441">
        <f>4240-4240</f>
        <v>0</v>
      </c>
      <c r="O529" s="441">
        <v>0</v>
      </c>
      <c r="P529" s="1470">
        <v>0</v>
      </c>
      <c r="Q529" s="1470">
        <v>0</v>
      </c>
      <c r="R529" s="1470">
        <v>0</v>
      </c>
      <c r="S529" s="1470">
        <v>0</v>
      </c>
      <c r="T529" s="1470">
        <v>0</v>
      </c>
      <c r="U529" s="1470">
        <v>0</v>
      </c>
      <c r="V529" s="1470">
        <v>0</v>
      </c>
      <c r="W529" s="1470">
        <v>0</v>
      </c>
      <c r="X529" s="393">
        <f>SUM(P529:T529)</f>
        <v>0</v>
      </c>
      <c r="Y529" s="2641"/>
    </row>
    <row r="530" spans="1:26" ht="14.25" hidden="1" customHeight="1">
      <c r="A530" s="2598"/>
      <c r="B530" s="502" t="s">
        <v>30</v>
      </c>
      <c r="C530" s="2643"/>
      <c r="D530" s="443">
        <f t="shared" ref="D530:X530" si="299">+D531</f>
        <v>0</v>
      </c>
      <c r="E530" s="443"/>
      <c r="F530" s="443"/>
      <c r="G530" s="443"/>
      <c r="H530" s="443"/>
      <c r="I530" s="443"/>
      <c r="J530" s="443"/>
      <c r="K530" s="443"/>
      <c r="L530" s="443"/>
      <c r="M530" s="443">
        <f t="shared" si="299"/>
        <v>0</v>
      </c>
      <c r="N530" s="443">
        <f t="shared" si="299"/>
        <v>0</v>
      </c>
      <c r="O530" s="443">
        <f t="shared" si="299"/>
        <v>0</v>
      </c>
      <c r="P530" s="892">
        <f t="shared" si="299"/>
        <v>0</v>
      </c>
      <c r="Q530" s="892">
        <f t="shared" si="299"/>
        <v>0</v>
      </c>
      <c r="R530" s="892">
        <f t="shared" si="299"/>
        <v>0</v>
      </c>
      <c r="S530" s="892">
        <f t="shared" si="299"/>
        <v>0</v>
      </c>
      <c r="T530" s="892">
        <f t="shared" si="299"/>
        <v>0</v>
      </c>
      <c r="U530" s="892">
        <f t="shared" si="299"/>
        <v>0</v>
      </c>
      <c r="V530" s="892">
        <f t="shared" si="299"/>
        <v>0</v>
      </c>
      <c r="W530" s="892">
        <f t="shared" si="299"/>
        <v>0</v>
      </c>
      <c r="X530" s="486">
        <f t="shared" si="299"/>
        <v>0</v>
      </c>
      <c r="Y530" s="2641"/>
    </row>
    <row r="531" spans="1:26" ht="14.25" hidden="1" customHeight="1">
      <c r="A531" s="2598"/>
      <c r="B531" s="447" t="s">
        <v>32</v>
      </c>
      <c r="C531" s="2643"/>
      <c r="D531" s="433">
        <f>M531+O531+P531+Q531+R531+S531+T531+U531+V531+W531</f>
        <v>0</v>
      </c>
      <c r="E531" s="440"/>
      <c r="F531" s="441"/>
      <c r="G531" s="441"/>
      <c r="H531" s="440"/>
      <c r="I531" s="440"/>
      <c r="J531" s="440"/>
      <c r="K531" s="440"/>
      <c r="L531" s="440"/>
      <c r="M531" s="434">
        <v>0</v>
      </c>
      <c r="N531" s="440"/>
      <c r="O531" s="440">
        <v>0</v>
      </c>
      <c r="P531" s="1470">
        <v>0</v>
      </c>
      <c r="Q531" s="1470">
        <v>0</v>
      </c>
      <c r="R531" s="1470">
        <v>0</v>
      </c>
      <c r="S531" s="1470">
        <v>0</v>
      </c>
      <c r="T531" s="1470">
        <v>0</v>
      </c>
      <c r="U531" s="1470">
        <v>0</v>
      </c>
      <c r="V531" s="1470">
        <v>0</v>
      </c>
      <c r="W531" s="1470">
        <v>0</v>
      </c>
      <c r="X531" s="393">
        <f>SUM(P531:T531)</f>
        <v>0</v>
      </c>
      <c r="Y531" s="2641"/>
    </row>
    <row r="532" spans="1:26" s="862" customFormat="1" ht="14.25" hidden="1" customHeight="1">
      <c r="A532" s="2599"/>
      <c r="B532" s="358" t="s">
        <v>34</v>
      </c>
      <c r="C532" s="359"/>
      <c r="D532" s="448">
        <f>+D533</f>
        <v>0</v>
      </c>
      <c r="E532" s="448"/>
      <c r="F532" s="448"/>
      <c r="G532" s="448"/>
      <c r="H532" s="448"/>
      <c r="I532" s="448"/>
      <c r="J532" s="448"/>
      <c r="K532" s="448"/>
      <c r="L532" s="448"/>
      <c r="M532" s="448">
        <f t="shared" ref="M532:W533" si="300">+M533</f>
        <v>0</v>
      </c>
      <c r="N532" s="448">
        <f t="shared" si="300"/>
        <v>0</v>
      </c>
      <c r="O532" s="448">
        <f t="shared" si="300"/>
        <v>0</v>
      </c>
      <c r="P532" s="894">
        <f t="shared" si="300"/>
        <v>0</v>
      </c>
      <c r="Q532" s="894">
        <f t="shared" si="300"/>
        <v>0</v>
      </c>
      <c r="R532" s="894">
        <f t="shared" si="300"/>
        <v>0</v>
      </c>
      <c r="S532" s="894">
        <f t="shared" si="300"/>
        <v>0</v>
      </c>
      <c r="T532" s="894">
        <f t="shared" si="300"/>
        <v>0</v>
      </c>
      <c r="U532" s="894">
        <f t="shared" si="300"/>
        <v>0</v>
      </c>
      <c r="V532" s="894">
        <f t="shared" si="300"/>
        <v>0</v>
      </c>
      <c r="W532" s="894">
        <f t="shared" si="300"/>
        <v>0</v>
      </c>
      <c r="X532" s="2659" t="s">
        <v>35</v>
      </c>
      <c r="Y532" s="2699"/>
    </row>
    <row r="533" spans="1:26" s="864" customFormat="1" ht="14.25" hidden="1" customHeight="1">
      <c r="A533" s="2599"/>
      <c r="B533" s="502" t="s">
        <v>30</v>
      </c>
      <c r="C533" s="2602" t="s">
        <v>131</v>
      </c>
      <c r="D533" s="495">
        <f>+D534</f>
        <v>0</v>
      </c>
      <c r="E533" s="495"/>
      <c r="F533" s="495"/>
      <c r="G533" s="495"/>
      <c r="H533" s="495"/>
      <c r="I533" s="495"/>
      <c r="J533" s="495"/>
      <c r="K533" s="495"/>
      <c r="L533" s="495"/>
      <c r="M533" s="520">
        <f t="shared" si="300"/>
        <v>0</v>
      </c>
      <c r="N533" s="520">
        <f t="shared" si="300"/>
        <v>0</v>
      </c>
      <c r="O533" s="520">
        <f t="shared" si="300"/>
        <v>0</v>
      </c>
      <c r="P533" s="932">
        <f t="shared" si="300"/>
        <v>0</v>
      </c>
      <c r="Q533" s="932">
        <f t="shared" si="300"/>
        <v>0</v>
      </c>
      <c r="R533" s="932">
        <f t="shared" si="300"/>
        <v>0</v>
      </c>
      <c r="S533" s="932">
        <f t="shared" si="300"/>
        <v>0</v>
      </c>
      <c r="T533" s="932">
        <f t="shared" si="300"/>
        <v>0</v>
      </c>
      <c r="U533" s="932">
        <f t="shared" si="300"/>
        <v>0</v>
      </c>
      <c r="V533" s="932">
        <f t="shared" si="300"/>
        <v>0</v>
      </c>
      <c r="W533" s="932">
        <f t="shared" si="300"/>
        <v>0</v>
      </c>
      <c r="X533" s="2646"/>
      <c r="Y533" s="2699"/>
    </row>
    <row r="534" spans="1:26" s="864" customFormat="1" ht="14.25" hidden="1" customHeight="1" thickBot="1">
      <c r="A534" s="2600"/>
      <c r="B534" s="556" t="s">
        <v>32</v>
      </c>
      <c r="C534" s="2608"/>
      <c r="D534" s="1065">
        <f>M534+O534+P534+Q534+R534+S534+T534+U534+V534+W534</f>
        <v>0</v>
      </c>
      <c r="E534" s="548"/>
      <c r="F534" s="549"/>
      <c r="G534" s="548"/>
      <c r="H534" s="548"/>
      <c r="I534" s="548"/>
      <c r="J534" s="548"/>
      <c r="K534" s="548"/>
      <c r="L534" s="548"/>
      <c r="M534" s="1065">
        <v>0</v>
      </c>
      <c r="N534" s="550"/>
      <c r="O534" s="550">
        <v>0</v>
      </c>
      <c r="P534" s="1492">
        <v>0</v>
      </c>
      <c r="Q534" s="1492">
        <v>0</v>
      </c>
      <c r="R534" s="1492">
        <v>0</v>
      </c>
      <c r="S534" s="1492">
        <v>0</v>
      </c>
      <c r="T534" s="1492">
        <v>0</v>
      </c>
      <c r="U534" s="1492">
        <v>0</v>
      </c>
      <c r="V534" s="1492">
        <v>0</v>
      </c>
      <c r="W534" s="1492">
        <v>0</v>
      </c>
      <c r="X534" s="2647"/>
      <c r="Y534" s="2700"/>
      <c r="Z534" s="1373">
        <f>D534-D531</f>
        <v>0</v>
      </c>
    </row>
    <row r="535" spans="1:26" s="782" customFormat="1" ht="27" customHeight="1" thickBot="1">
      <c r="A535" s="634" t="s">
        <v>132</v>
      </c>
      <c r="B535" s="635"/>
      <c r="C535" s="636"/>
      <c r="D535" s="637"/>
      <c r="E535" s="636"/>
      <c r="F535" s="636"/>
      <c r="G535" s="636"/>
      <c r="H535" s="636"/>
      <c r="I535" s="636"/>
      <c r="J535" s="636"/>
      <c r="K535" s="636"/>
      <c r="L535" s="636"/>
      <c r="M535" s="636"/>
      <c r="N535" s="636"/>
      <c r="O535" s="637"/>
      <c r="P535" s="636"/>
      <c r="Q535" s="636"/>
      <c r="R535" s="636"/>
      <c r="S535" s="636"/>
      <c r="T535" s="636"/>
      <c r="U535" s="636"/>
      <c r="V535" s="636"/>
      <c r="W535" s="636"/>
      <c r="X535" s="636"/>
      <c r="Y535" s="638"/>
    </row>
    <row r="536" spans="1:26" s="1638" customFormat="1" ht="15.75" customHeight="1">
      <c r="A536" s="2624"/>
      <c r="B536" s="763" t="s">
        <v>92</v>
      </c>
      <c r="C536" s="755"/>
      <c r="D536" s="764">
        <f>+D537+D538</f>
        <v>1067655636</v>
      </c>
      <c r="E536" s="764">
        <f t="shared" ref="E536:Q536" si="301">+E537+E538</f>
        <v>7519680</v>
      </c>
      <c r="F536" s="764">
        <f t="shared" si="301"/>
        <v>0</v>
      </c>
      <c r="G536" s="764">
        <f t="shared" si="301"/>
        <v>5300000</v>
      </c>
      <c r="H536" s="764">
        <f t="shared" si="301"/>
        <v>2219680</v>
      </c>
      <c r="I536" s="764">
        <f t="shared" si="301"/>
        <v>3741741</v>
      </c>
      <c r="J536" s="764">
        <f t="shared" si="301"/>
        <v>18215873</v>
      </c>
      <c r="K536" s="764">
        <f t="shared" si="301"/>
        <v>16466796</v>
      </c>
      <c r="L536" s="764">
        <f t="shared" si="301"/>
        <v>102614468</v>
      </c>
      <c r="M536" s="764">
        <f>+M537+M538</f>
        <v>242398013</v>
      </c>
      <c r="N536" s="764">
        <f t="shared" si="301"/>
        <v>93839455</v>
      </c>
      <c r="O536" s="764">
        <f t="shared" si="301"/>
        <v>97242053</v>
      </c>
      <c r="P536" s="764">
        <f t="shared" si="301"/>
        <v>110291167</v>
      </c>
      <c r="Q536" s="764">
        <f t="shared" si="301"/>
        <v>161341004</v>
      </c>
      <c r="R536" s="764">
        <f t="shared" ref="R536:X536" si="302">+R537+R538</f>
        <v>167312801</v>
      </c>
      <c r="S536" s="764">
        <f t="shared" si="302"/>
        <v>146170500</v>
      </c>
      <c r="T536" s="764">
        <f t="shared" si="302"/>
        <v>142900098</v>
      </c>
      <c r="U536" s="764">
        <f t="shared" si="302"/>
        <v>0</v>
      </c>
      <c r="V536" s="764">
        <f t="shared" si="302"/>
        <v>0</v>
      </c>
      <c r="W536" s="764">
        <f t="shared" si="302"/>
        <v>0</v>
      </c>
      <c r="X536" s="330">
        <f t="shared" si="302"/>
        <v>504226040</v>
      </c>
      <c r="Y536" s="1636"/>
      <c r="Z536" s="1637"/>
    </row>
    <row r="537" spans="1:26" s="1638" customFormat="1" ht="11.25" customHeight="1">
      <c r="A537" s="2625"/>
      <c r="B537" s="757" t="s">
        <v>93</v>
      </c>
      <c r="C537" s="1639"/>
      <c r="D537" s="759">
        <f>D552+D607+D611+D624+D632+D644+D648+D656</f>
        <v>882396395</v>
      </c>
      <c r="E537" s="759">
        <f t="shared" ref="E537:W537" si="303">E552+E607+E611+E624+E632+E644+E648+E656</f>
        <v>0</v>
      </c>
      <c r="F537" s="759">
        <f t="shared" si="303"/>
        <v>0</v>
      </c>
      <c r="G537" s="759">
        <f t="shared" si="303"/>
        <v>0</v>
      </c>
      <c r="H537" s="759">
        <f t="shared" si="303"/>
        <v>0</v>
      </c>
      <c r="I537" s="759">
        <f t="shared" si="303"/>
        <v>0</v>
      </c>
      <c r="J537" s="759">
        <f t="shared" si="303"/>
        <v>15514140</v>
      </c>
      <c r="K537" s="759">
        <f t="shared" si="303"/>
        <v>12290445</v>
      </c>
      <c r="L537" s="759">
        <f t="shared" si="303"/>
        <v>97847564</v>
      </c>
      <c r="M537" s="759">
        <f t="shared" si="303"/>
        <v>214060952</v>
      </c>
      <c r="N537" s="759">
        <f t="shared" si="303"/>
        <v>88408803</v>
      </c>
      <c r="O537" s="759">
        <f t="shared" si="303"/>
        <v>91632551</v>
      </c>
      <c r="P537" s="759">
        <f t="shared" si="303"/>
        <v>95397174</v>
      </c>
      <c r="Q537" s="759">
        <f t="shared" si="303"/>
        <v>129864019</v>
      </c>
      <c r="R537" s="759">
        <f t="shared" si="303"/>
        <v>132491601</v>
      </c>
      <c r="S537" s="759">
        <f t="shared" si="303"/>
        <v>110900000</v>
      </c>
      <c r="T537" s="759">
        <f t="shared" si="303"/>
        <v>108050098</v>
      </c>
      <c r="U537" s="759">
        <f t="shared" si="303"/>
        <v>0</v>
      </c>
      <c r="V537" s="759">
        <f t="shared" si="303"/>
        <v>0</v>
      </c>
      <c r="W537" s="759">
        <f t="shared" si="303"/>
        <v>0</v>
      </c>
      <c r="X537" s="332">
        <f>+X607+X611+X620+X624+X632+X648+X552</f>
        <v>472408362</v>
      </c>
      <c r="Y537" s="1636"/>
    </row>
    <row r="538" spans="1:26" s="1638" customFormat="1" ht="13.5" customHeight="1">
      <c r="A538" s="2625"/>
      <c r="B538" s="768" t="s">
        <v>21</v>
      </c>
      <c r="C538" s="1640"/>
      <c r="D538" s="1641">
        <f>D560+D568+D572+D588+D600+D640+D652+D660</f>
        <v>185259241</v>
      </c>
      <c r="E538" s="1641">
        <f t="shared" ref="E538:W538" si="304">E560+E568+E572+E588+E600+E640+E652+E660</f>
        <v>7519680</v>
      </c>
      <c r="F538" s="1641">
        <f t="shared" si="304"/>
        <v>0</v>
      </c>
      <c r="G538" s="1641">
        <f t="shared" si="304"/>
        <v>5300000</v>
      </c>
      <c r="H538" s="1641">
        <f t="shared" si="304"/>
        <v>2219680</v>
      </c>
      <c r="I538" s="1641">
        <f t="shared" si="304"/>
        <v>3741741</v>
      </c>
      <c r="J538" s="1641">
        <f t="shared" si="304"/>
        <v>2701733</v>
      </c>
      <c r="K538" s="1641">
        <f t="shared" si="304"/>
        <v>4176351</v>
      </c>
      <c r="L538" s="1641">
        <f t="shared" si="304"/>
        <v>4766904</v>
      </c>
      <c r="M538" s="1641">
        <f t="shared" si="304"/>
        <v>28337061</v>
      </c>
      <c r="N538" s="1641">
        <f t="shared" si="304"/>
        <v>5430652</v>
      </c>
      <c r="O538" s="1641">
        <f t="shared" si="304"/>
        <v>5609502</v>
      </c>
      <c r="P538" s="1641">
        <f t="shared" si="304"/>
        <v>14893993</v>
      </c>
      <c r="Q538" s="1641">
        <f t="shared" si="304"/>
        <v>31476985</v>
      </c>
      <c r="R538" s="1641">
        <f t="shared" si="304"/>
        <v>34821200</v>
      </c>
      <c r="S538" s="1641">
        <f t="shared" si="304"/>
        <v>35270500</v>
      </c>
      <c r="T538" s="1641">
        <f t="shared" si="304"/>
        <v>34850000</v>
      </c>
      <c r="U538" s="1641">
        <f t="shared" si="304"/>
        <v>0</v>
      </c>
      <c r="V538" s="1641">
        <f t="shared" si="304"/>
        <v>0</v>
      </c>
      <c r="W538" s="1641">
        <f t="shared" si="304"/>
        <v>0</v>
      </c>
      <c r="X538" s="332">
        <f>+X556+X560+X568+X572+X576+X580+X588+X592+X640+X600</f>
        <v>31817678</v>
      </c>
      <c r="Y538" s="1636"/>
      <c r="Z538" s="1642"/>
    </row>
    <row r="539" spans="1:26" s="1638" customFormat="1" ht="14.25" customHeight="1">
      <c r="A539" s="2625"/>
      <c r="B539" s="383" t="s">
        <v>22</v>
      </c>
      <c r="C539" s="359"/>
      <c r="D539" s="384">
        <f>+D540</f>
        <v>1067655636</v>
      </c>
      <c r="E539" s="384">
        <f t="shared" ref="E539:W540" si="305">+E540</f>
        <v>7519680</v>
      </c>
      <c r="F539" s="384">
        <f t="shared" si="305"/>
        <v>0</v>
      </c>
      <c r="G539" s="384">
        <f t="shared" si="305"/>
        <v>5300000</v>
      </c>
      <c r="H539" s="384">
        <f t="shared" si="305"/>
        <v>2219680</v>
      </c>
      <c r="I539" s="384">
        <f t="shared" si="305"/>
        <v>3741741</v>
      </c>
      <c r="J539" s="384">
        <f t="shared" si="305"/>
        <v>18215873</v>
      </c>
      <c r="K539" s="384">
        <f t="shared" si="305"/>
        <v>16466796</v>
      </c>
      <c r="L539" s="384">
        <f t="shared" si="305"/>
        <v>102614468</v>
      </c>
      <c r="M539" s="384">
        <f t="shared" si="305"/>
        <v>242398013</v>
      </c>
      <c r="N539" s="384">
        <f t="shared" si="305"/>
        <v>93839455</v>
      </c>
      <c r="O539" s="384">
        <f t="shared" si="305"/>
        <v>97242053</v>
      </c>
      <c r="P539" s="384">
        <f t="shared" si="305"/>
        <v>110291167</v>
      </c>
      <c r="Q539" s="384">
        <f t="shared" si="305"/>
        <v>161341004</v>
      </c>
      <c r="R539" s="384">
        <f t="shared" si="305"/>
        <v>167312801</v>
      </c>
      <c r="S539" s="384">
        <f t="shared" si="305"/>
        <v>146170500</v>
      </c>
      <c r="T539" s="384">
        <f t="shared" si="305"/>
        <v>142900098</v>
      </c>
      <c r="U539" s="384">
        <f t="shared" si="305"/>
        <v>0</v>
      </c>
      <c r="V539" s="384">
        <f t="shared" si="305"/>
        <v>0</v>
      </c>
      <c r="W539" s="384">
        <f t="shared" si="305"/>
        <v>0</v>
      </c>
      <c r="X539" s="385">
        <f>+X540</f>
        <v>728015570</v>
      </c>
      <c r="Y539" s="1643"/>
      <c r="Z539" s="1642"/>
    </row>
    <row r="540" spans="1:26" s="1646" customFormat="1" ht="12">
      <c r="A540" s="2625"/>
      <c r="B540" s="779" t="s">
        <v>36</v>
      </c>
      <c r="C540" s="780"/>
      <c r="D540" s="1644">
        <f>SUM(D541:D544)</f>
        <v>1067655636</v>
      </c>
      <c r="E540" s="1644">
        <f t="shared" ref="E540:Q540" si="306">SUM(E541:E544)</f>
        <v>7519680</v>
      </c>
      <c r="F540" s="1644">
        <f t="shared" si="306"/>
        <v>0</v>
      </c>
      <c r="G540" s="1644">
        <f t="shared" si="306"/>
        <v>5300000</v>
      </c>
      <c r="H540" s="1644">
        <f t="shared" si="306"/>
        <v>2219680</v>
      </c>
      <c r="I540" s="1644">
        <f t="shared" si="306"/>
        <v>3741741</v>
      </c>
      <c r="J540" s="1644">
        <f t="shared" si="306"/>
        <v>18215873</v>
      </c>
      <c r="K540" s="1644">
        <f t="shared" si="306"/>
        <v>16466796</v>
      </c>
      <c r="L540" s="1644">
        <f t="shared" si="306"/>
        <v>102614468</v>
      </c>
      <c r="M540" s="1644">
        <f>SUM(M541:M544)</f>
        <v>242398013</v>
      </c>
      <c r="N540" s="1644">
        <f t="shared" si="306"/>
        <v>93839455</v>
      </c>
      <c r="O540" s="1644">
        <f t="shared" si="306"/>
        <v>97242053</v>
      </c>
      <c r="P540" s="1644">
        <f t="shared" si="306"/>
        <v>110291167</v>
      </c>
      <c r="Q540" s="1644">
        <f t="shared" si="306"/>
        <v>161341004</v>
      </c>
      <c r="R540" s="1644">
        <f>SUM(R541:R544)</f>
        <v>167312801</v>
      </c>
      <c r="S540" s="1644">
        <f>+S541</f>
        <v>146170500</v>
      </c>
      <c r="T540" s="1644">
        <f>+T541</f>
        <v>142900098</v>
      </c>
      <c r="U540" s="1644">
        <f t="shared" si="305"/>
        <v>0</v>
      </c>
      <c r="V540" s="1644">
        <f t="shared" si="305"/>
        <v>0</v>
      </c>
      <c r="W540" s="1644">
        <f t="shared" si="305"/>
        <v>0</v>
      </c>
      <c r="X540" s="486">
        <f>SUM(X541:X543)</f>
        <v>728015570</v>
      </c>
      <c r="Y540" s="2531"/>
      <c r="Z540" s="1645"/>
    </row>
    <row r="541" spans="1:26" s="1638" customFormat="1" ht="12">
      <c r="A541" s="2625"/>
      <c r="B541" s="346" t="s">
        <v>24</v>
      </c>
      <c r="C541" s="347"/>
      <c r="D541" s="1647">
        <f>+D554+D558+D562+D570+D574+D578+D582+D590+D594+D609+D613+D622+D626+D634+D642+D650+D602+D646+D654+D658+D662</f>
        <v>1045813130</v>
      </c>
      <c r="E541" s="1647">
        <f t="shared" ref="E541:N541" si="307">+E554+E558+E562+E570+E574+E578+E582+E590+E594+E609+E613+E622+E626+E634+E642+E650+E602+E646+E654</f>
        <v>7239894</v>
      </c>
      <c r="F541" s="1647">
        <f t="shared" si="307"/>
        <v>0</v>
      </c>
      <c r="G541" s="1647">
        <f t="shared" si="307"/>
        <v>5300000</v>
      </c>
      <c r="H541" s="1647">
        <f t="shared" si="307"/>
        <v>1939894</v>
      </c>
      <c r="I541" s="1647">
        <f t="shared" si="307"/>
        <v>1247247</v>
      </c>
      <c r="J541" s="1647">
        <f t="shared" si="307"/>
        <v>18215873</v>
      </c>
      <c r="K541" s="1647">
        <f t="shared" si="307"/>
        <v>16396849</v>
      </c>
      <c r="L541" s="1647">
        <f t="shared" si="307"/>
        <v>102408841</v>
      </c>
      <c r="M541" s="1647">
        <f>+M554+M558+M562+M570+M574+M578+M582+M590+M594+M609+M613+M622+M626+M634+M642+M650+M602+M646+M654+M658+M662</f>
        <v>238138535</v>
      </c>
      <c r="N541" s="1647">
        <f t="shared" si="307"/>
        <v>92629831</v>
      </c>
      <c r="O541" s="1647">
        <f t="shared" ref="O541:W541" si="308">+O554+O558+O562+O570+O574+O578+O582+O590+O594+O609+O613+O622+O626+O634+O642+O650+O602+O646+O654+O658+O662</f>
        <v>88576511</v>
      </c>
      <c r="P541" s="1647">
        <f t="shared" si="308"/>
        <v>101373681</v>
      </c>
      <c r="Q541" s="1647">
        <f t="shared" si="308"/>
        <v>161341004</v>
      </c>
      <c r="R541" s="1647">
        <f t="shared" si="308"/>
        <v>167312801</v>
      </c>
      <c r="S541" s="1647">
        <f t="shared" si="308"/>
        <v>146170500</v>
      </c>
      <c r="T541" s="1647">
        <f t="shared" si="308"/>
        <v>142900098</v>
      </c>
      <c r="U541" s="1647">
        <f t="shared" si="308"/>
        <v>0</v>
      </c>
      <c r="V541" s="1647">
        <f t="shared" si="308"/>
        <v>0</v>
      </c>
      <c r="W541" s="1647">
        <f t="shared" si="308"/>
        <v>0</v>
      </c>
      <c r="X541" s="393">
        <f>SUM(P541:T541)</f>
        <v>719098084</v>
      </c>
      <c r="Y541" s="2626"/>
      <c r="Z541" s="1642"/>
    </row>
    <row r="542" spans="1:26" s="1638" customFormat="1" ht="12">
      <c r="A542" s="2625"/>
      <c r="B542" s="346" t="s">
        <v>125</v>
      </c>
      <c r="C542" s="347"/>
      <c r="D542" s="1647">
        <f>D627+D635</f>
        <v>14303301</v>
      </c>
      <c r="E542" s="1647">
        <f t="shared" ref="E542:X542" si="309">E627+E635</f>
        <v>0</v>
      </c>
      <c r="F542" s="1647">
        <f t="shared" si="309"/>
        <v>0</v>
      </c>
      <c r="G542" s="1647">
        <f t="shared" si="309"/>
        <v>0</v>
      </c>
      <c r="H542" s="1647">
        <f t="shared" si="309"/>
        <v>0</v>
      </c>
      <c r="I542" s="1647">
        <f t="shared" si="309"/>
        <v>0</v>
      </c>
      <c r="J542" s="1647">
        <f t="shared" si="309"/>
        <v>0</v>
      </c>
      <c r="K542" s="1647">
        <f t="shared" si="309"/>
        <v>0</v>
      </c>
      <c r="L542" s="1647">
        <f t="shared" si="309"/>
        <v>0</v>
      </c>
      <c r="M542" s="1647">
        <f t="shared" si="309"/>
        <v>0</v>
      </c>
      <c r="N542" s="1647">
        <f t="shared" si="309"/>
        <v>0</v>
      </c>
      <c r="O542" s="1647">
        <f t="shared" si="309"/>
        <v>7014229</v>
      </c>
      <c r="P542" s="1647">
        <f t="shared" si="309"/>
        <v>7289072</v>
      </c>
      <c r="Q542" s="1647">
        <f t="shared" si="309"/>
        <v>0</v>
      </c>
      <c r="R542" s="1647">
        <f t="shared" si="309"/>
        <v>0</v>
      </c>
      <c r="S542" s="1647">
        <f t="shared" si="309"/>
        <v>0</v>
      </c>
      <c r="T542" s="1647">
        <f t="shared" si="309"/>
        <v>0</v>
      </c>
      <c r="U542" s="1647">
        <f t="shared" si="309"/>
        <v>0</v>
      </c>
      <c r="V542" s="1647">
        <f t="shared" si="309"/>
        <v>0</v>
      </c>
      <c r="W542" s="1647">
        <f t="shared" si="309"/>
        <v>0</v>
      </c>
      <c r="X542" s="393">
        <f t="shared" si="309"/>
        <v>7289072</v>
      </c>
      <c r="Y542" s="2626"/>
      <c r="Z542" s="1642"/>
    </row>
    <row r="543" spans="1:26" s="1638" customFormat="1" ht="12">
      <c r="A543" s="2625"/>
      <c r="B543" s="346" t="s">
        <v>27</v>
      </c>
      <c r="C543" s="347"/>
      <c r="D543" s="1647">
        <f t="shared" ref="D543:W543" si="310">+D563+D583+D595+D614</f>
        <v>7539205</v>
      </c>
      <c r="E543" s="1647">
        <f t="shared" si="310"/>
        <v>279786</v>
      </c>
      <c r="F543" s="1647">
        <f t="shared" si="310"/>
        <v>0</v>
      </c>
      <c r="G543" s="1647">
        <f t="shared" si="310"/>
        <v>0</v>
      </c>
      <c r="H543" s="1647">
        <f t="shared" si="310"/>
        <v>279786</v>
      </c>
      <c r="I543" s="1647">
        <f t="shared" si="310"/>
        <v>2494494</v>
      </c>
      <c r="J543" s="1647">
        <f t="shared" si="310"/>
        <v>0</v>
      </c>
      <c r="K543" s="1647">
        <f t="shared" si="310"/>
        <v>69947</v>
      </c>
      <c r="L543" s="1647">
        <f t="shared" si="310"/>
        <v>205627</v>
      </c>
      <c r="M543" s="1647">
        <f t="shared" si="310"/>
        <v>4259478</v>
      </c>
      <c r="N543" s="1647">
        <f t="shared" si="310"/>
        <v>1209624</v>
      </c>
      <c r="O543" s="1647">
        <f t="shared" si="310"/>
        <v>1651313</v>
      </c>
      <c r="P543" s="1647">
        <f t="shared" si="310"/>
        <v>1628414</v>
      </c>
      <c r="Q543" s="1647">
        <f t="shared" si="310"/>
        <v>0</v>
      </c>
      <c r="R543" s="1647">
        <f t="shared" si="310"/>
        <v>0</v>
      </c>
      <c r="S543" s="1647">
        <f t="shared" si="310"/>
        <v>0</v>
      </c>
      <c r="T543" s="1647">
        <f t="shared" si="310"/>
        <v>0</v>
      </c>
      <c r="U543" s="1647">
        <f t="shared" si="310"/>
        <v>0</v>
      </c>
      <c r="V543" s="1647">
        <f t="shared" si="310"/>
        <v>0</v>
      </c>
      <c r="W543" s="1647">
        <f t="shared" si="310"/>
        <v>0</v>
      </c>
      <c r="X543" s="393">
        <f>SUM(P543:T543)</f>
        <v>1628414</v>
      </c>
      <c r="Y543" s="2626"/>
      <c r="Z543" s="1642"/>
    </row>
    <row r="544" spans="1:26" s="1638" customFormat="1" ht="13.5" hidden="1" customHeight="1">
      <c r="A544" s="2625"/>
      <c r="B544" s="346" t="s">
        <v>124</v>
      </c>
      <c r="C544" s="347"/>
      <c r="D544" s="1647"/>
      <c r="E544" s="1647">
        <v>0</v>
      </c>
      <c r="F544" s="1647">
        <v>0</v>
      </c>
      <c r="G544" s="1647">
        <v>0</v>
      </c>
      <c r="H544" s="1647">
        <v>0</v>
      </c>
      <c r="I544" s="1647">
        <v>0</v>
      </c>
      <c r="J544" s="1647">
        <v>0</v>
      </c>
      <c r="K544" s="1647">
        <v>0</v>
      </c>
      <c r="L544" s="1647">
        <v>0</v>
      </c>
      <c r="M544" s="1647">
        <v>0</v>
      </c>
      <c r="N544" s="1647">
        <v>0</v>
      </c>
      <c r="O544" s="1647">
        <v>0</v>
      </c>
      <c r="P544" s="1647">
        <v>0</v>
      </c>
      <c r="Q544" s="1647">
        <v>0</v>
      </c>
      <c r="R544" s="1647"/>
      <c r="S544" s="1647"/>
      <c r="T544" s="1647"/>
      <c r="U544" s="1648"/>
      <c r="V544" s="1648"/>
      <c r="W544" s="1648"/>
      <c r="X544" s="470"/>
      <c r="Y544" s="2626"/>
      <c r="Z544" s="1642"/>
    </row>
    <row r="545" spans="1:27" s="1638" customFormat="1" ht="13.5" customHeight="1">
      <c r="A545" s="2625"/>
      <c r="B545" s="501" t="s">
        <v>34</v>
      </c>
      <c r="C545" s="359"/>
      <c r="D545" s="384">
        <f>+D546</f>
        <v>94589409</v>
      </c>
      <c r="E545" s="384">
        <f t="shared" ref="E545:W545" si="311">+E546</f>
        <v>279786</v>
      </c>
      <c r="F545" s="384">
        <f t="shared" si="311"/>
        <v>0</v>
      </c>
      <c r="G545" s="384">
        <f t="shared" si="311"/>
        <v>0</v>
      </c>
      <c r="H545" s="384">
        <f t="shared" si="311"/>
        <v>279786</v>
      </c>
      <c r="I545" s="384">
        <f t="shared" si="311"/>
        <v>2494494</v>
      </c>
      <c r="J545" s="384">
        <f t="shared" si="311"/>
        <v>0</v>
      </c>
      <c r="K545" s="384">
        <f t="shared" si="311"/>
        <v>69947</v>
      </c>
      <c r="L545" s="384">
        <f t="shared" si="311"/>
        <v>205627</v>
      </c>
      <c r="M545" s="384">
        <f>+M546</f>
        <v>4259478</v>
      </c>
      <c r="N545" s="384">
        <f t="shared" si="311"/>
        <v>1209624</v>
      </c>
      <c r="O545" s="384">
        <f t="shared" si="311"/>
        <v>19259075</v>
      </c>
      <c r="P545" s="384">
        <f t="shared" si="311"/>
        <v>23070856</v>
      </c>
      <c r="Q545" s="384">
        <f t="shared" si="311"/>
        <v>12000000</v>
      </c>
      <c r="R545" s="384">
        <f t="shared" si="311"/>
        <v>12000000</v>
      </c>
      <c r="S545" s="384">
        <f t="shared" si="311"/>
        <v>12000000</v>
      </c>
      <c r="T545" s="384">
        <f t="shared" si="311"/>
        <v>12000000</v>
      </c>
      <c r="U545" s="384">
        <f t="shared" si="311"/>
        <v>0</v>
      </c>
      <c r="V545" s="384">
        <f t="shared" si="311"/>
        <v>0</v>
      </c>
      <c r="W545" s="384">
        <f t="shared" si="311"/>
        <v>0</v>
      </c>
      <c r="X545" s="2659" t="s">
        <v>35</v>
      </c>
      <c r="Y545" s="2626"/>
    </row>
    <row r="546" spans="1:27" s="1638" customFormat="1" ht="12" customHeight="1">
      <c r="A546" s="2625"/>
      <c r="B546" s="779" t="s">
        <v>36</v>
      </c>
      <c r="C546" s="369"/>
      <c r="D546" s="781">
        <f>+D547+D549+D548</f>
        <v>94589409</v>
      </c>
      <c r="E546" s="781">
        <f t="shared" ref="E546:R546" si="312">+E547+E549+E548</f>
        <v>279786</v>
      </c>
      <c r="F546" s="781">
        <f t="shared" si="312"/>
        <v>0</v>
      </c>
      <c r="G546" s="781">
        <f t="shared" si="312"/>
        <v>0</v>
      </c>
      <c r="H546" s="781">
        <f t="shared" si="312"/>
        <v>279786</v>
      </c>
      <c r="I546" s="781">
        <f t="shared" si="312"/>
        <v>2494494</v>
      </c>
      <c r="J546" s="781">
        <f t="shared" si="312"/>
        <v>0</v>
      </c>
      <c r="K546" s="781">
        <f t="shared" si="312"/>
        <v>69947</v>
      </c>
      <c r="L546" s="781">
        <f t="shared" si="312"/>
        <v>205627</v>
      </c>
      <c r="M546" s="781">
        <f t="shared" si="312"/>
        <v>4259478</v>
      </c>
      <c r="N546" s="781">
        <f t="shared" si="312"/>
        <v>1209624</v>
      </c>
      <c r="O546" s="781">
        <f t="shared" si="312"/>
        <v>19259075</v>
      </c>
      <c r="P546" s="781">
        <f t="shared" si="312"/>
        <v>23070856</v>
      </c>
      <c r="Q546" s="781">
        <f t="shared" si="312"/>
        <v>12000000</v>
      </c>
      <c r="R546" s="781">
        <f t="shared" si="312"/>
        <v>12000000</v>
      </c>
      <c r="S546" s="781">
        <f>+S547+S549+S548</f>
        <v>12000000</v>
      </c>
      <c r="T546" s="781">
        <f>+T547+T549+T548</f>
        <v>12000000</v>
      </c>
      <c r="U546" s="781">
        <f>+U547+U549+U548</f>
        <v>0</v>
      </c>
      <c r="V546" s="781">
        <f>+V547+V549+V548</f>
        <v>0</v>
      </c>
      <c r="W546" s="781">
        <f>+W547+W549+W548</f>
        <v>0</v>
      </c>
      <c r="X546" s="2646"/>
      <c r="Y546" s="2626"/>
    </row>
    <row r="547" spans="1:27" s="1638" customFormat="1" ht="12" customHeight="1">
      <c r="A547" s="2625"/>
      <c r="B547" s="346" t="s">
        <v>282</v>
      </c>
      <c r="C547" s="1649"/>
      <c r="D547" s="645">
        <f>+D617+D605</f>
        <v>72746903</v>
      </c>
      <c r="E547" s="645">
        <v>0</v>
      </c>
      <c r="F547" s="645">
        <v>0</v>
      </c>
      <c r="G547" s="645">
        <v>0</v>
      </c>
      <c r="H547" s="645">
        <v>0</v>
      </c>
      <c r="I547" s="645">
        <v>0</v>
      </c>
      <c r="J547" s="645">
        <v>0</v>
      </c>
      <c r="K547" s="645">
        <v>0</v>
      </c>
      <c r="L547" s="645">
        <v>0</v>
      </c>
      <c r="M547" s="645">
        <v>0</v>
      </c>
      <c r="N547" s="645">
        <v>0</v>
      </c>
      <c r="O547" s="645">
        <f>+O617</f>
        <v>10593533</v>
      </c>
      <c r="P547" s="645">
        <f t="shared" ref="P547:W547" si="313">+P617+P605</f>
        <v>14153370</v>
      </c>
      <c r="Q547" s="645">
        <f t="shared" si="313"/>
        <v>12000000</v>
      </c>
      <c r="R547" s="645">
        <f t="shared" si="313"/>
        <v>12000000</v>
      </c>
      <c r="S547" s="645">
        <f t="shared" si="313"/>
        <v>12000000</v>
      </c>
      <c r="T547" s="645">
        <f t="shared" si="313"/>
        <v>12000000</v>
      </c>
      <c r="U547" s="645">
        <f t="shared" si="313"/>
        <v>0</v>
      </c>
      <c r="V547" s="645">
        <f t="shared" si="313"/>
        <v>0</v>
      </c>
      <c r="W547" s="645">
        <f t="shared" si="313"/>
        <v>0</v>
      </c>
      <c r="X547" s="2646"/>
      <c r="Y547" s="2626"/>
      <c r="AA547" s="1642">
        <f>D547-'[2]Tab. 6A -Drogi'!$D$441</f>
        <v>30653370</v>
      </c>
    </row>
    <row r="548" spans="1:27" s="1638" customFormat="1" ht="12" customHeight="1">
      <c r="A548" s="2530"/>
      <c r="B548" s="346" t="s">
        <v>125</v>
      </c>
      <c r="C548" s="1649"/>
      <c r="D548" s="645">
        <f>+M548+N548+O548+P548+Q548+R548+S548+T548</f>
        <v>14303301</v>
      </c>
      <c r="E548" s="645"/>
      <c r="F548" s="645"/>
      <c r="G548" s="645"/>
      <c r="H548" s="645"/>
      <c r="I548" s="645"/>
      <c r="J548" s="645"/>
      <c r="K548" s="645"/>
      <c r="L548" s="645"/>
      <c r="M548" s="645">
        <v>0</v>
      </c>
      <c r="N548" s="645">
        <v>0</v>
      </c>
      <c r="O548" s="645">
        <f>+O630+O638</f>
        <v>7014229</v>
      </c>
      <c r="P548" s="645">
        <f t="shared" ref="P548:W548" si="314">+P630+P638</f>
        <v>7289072</v>
      </c>
      <c r="Q548" s="645">
        <f t="shared" si="314"/>
        <v>0</v>
      </c>
      <c r="R548" s="645">
        <f t="shared" si="314"/>
        <v>0</v>
      </c>
      <c r="S548" s="645">
        <f t="shared" si="314"/>
        <v>0</v>
      </c>
      <c r="T548" s="645">
        <f t="shared" si="314"/>
        <v>0</v>
      </c>
      <c r="U548" s="645">
        <f t="shared" si="314"/>
        <v>0</v>
      </c>
      <c r="V548" s="645">
        <f t="shared" si="314"/>
        <v>0</v>
      </c>
      <c r="W548" s="645">
        <f t="shared" si="314"/>
        <v>0</v>
      </c>
      <c r="X548" s="2646"/>
      <c r="Y548" s="2626"/>
      <c r="Z548" s="1642">
        <f>D548-D542</f>
        <v>0</v>
      </c>
      <c r="AA548" s="1642">
        <f>D548-'[2]Tab. 6A -Drogi'!$D$442</f>
        <v>6192190</v>
      </c>
    </row>
    <row r="549" spans="1:27" s="1638" customFormat="1" ht="12" customHeight="1" thickBot="1">
      <c r="A549" s="2530"/>
      <c r="B549" s="346" t="s">
        <v>27</v>
      </c>
      <c r="C549" s="1649"/>
      <c r="D549" s="645">
        <f>+D566+D586+D598+D618</f>
        <v>7539205</v>
      </c>
      <c r="E549" s="645">
        <f t="shared" ref="E549:W549" si="315">+E566+E586+E598+E618</f>
        <v>279786</v>
      </c>
      <c r="F549" s="645">
        <f t="shared" si="315"/>
        <v>0</v>
      </c>
      <c r="G549" s="645">
        <f t="shared" si="315"/>
        <v>0</v>
      </c>
      <c r="H549" s="645">
        <f t="shared" si="315"/>
        <v>279786</v>
      </c>
      <c r="I549" s="645">
        <f t="shared" si="315"/>
        <v>2494494</v>
      </c>
      <c r="J549" s="645">
        <f t="shared" si="315"/>
        <v>0</v>
      </c>
      <c r="K549" s="645">
        <f t="shared" si="315"/>
        <v>69947</v>
      </c>
      <c r="L549" s="645">
        <f t="shared" si="315"/>
        <v>205627</v>
      </c>
      <c r="M549" s="645">
        <f t="shared" si="315"/>
        <v>4259478</v>
      </c>
      <c r="N549" s="645">
        <f t="shared" si="315"/>
        <v>1209624</v>
      </c>
      <c r="O549" s="645">
        <f t="shared" si="315"/>
        <v>1651313</v>
      </c>
      <c r="P549" s="645">
        <f t="shared" si="315"/>
        <v>1628414</v>
      </c>
      <c r="Q549" s="645">
        <f t="shared" si="315"/>
        <v>0</v>
      </c>
      <c r="R549" s="645">
        <f t="shared" si="315"/>
        <v>0</v>
      </c>
      <c r="S549" s="645">
        <f t="shared" si="315"/>
        <v>0</v>
      </c>
      <c r="T549" s="645">
        <f t="shared" si="315"/>
        <v>0</v>
      </c>
      <c r="U549" s="645">
        <f t="shared" si="315"/>
        <v>0</v>
      </c>
      <c r="V549" s="645">
        <f t="shared" si="315"/>
        <v>0</v>
      </c>
      <c r="W549" s="645">
        <f t="shared" si="315"/>
        <v>0</v>
      </c>
      <c r="X549" s="2646"/>
      <c r="Y549" s="2626"/>
      <c r="AA549" s="1642">
        <f>D549-'[2]Tab. 6A -Drogi'!$D$443+6329077</f>
        <v>172997</v>
      </c>
    </row>
    <row r="550" spans="1:27" s="1638" customFormat="1" ht="12" hidden="1" customHeight="1" thickBot="1">
      <c r="A550" s="2530"/>
      <c r="B550" s="346" t="s">
        <v>124</v>
      </c>
      <c r="C550" s="1649"/>
      <c r="D550" s="645">
        <v>0</v>
      </c>
      <c r="E550" s="645">
        <v>0</v>
      </c>
      <c r="F550" s="645">
        <v>0</v>
      </c>
      <c r="G550" s="645">
        <v>0</v>
      </c>
      <c r="H550" s="645">
        <v>0</v>
      </c>
      <c r="I550" s="645">
        <v>0</v>
      </c>
      <c r="J550" s="645">
        <v>0</v>
      </c>
      <c r="K550" s="645">
        <v>0</v>
      </c>
      <c r="L550" s="645">
        <v>0</v>
      </c>
      <c r="M550" s="645"/>
      <c r="N550" s="645">
        <v>0</v>
      </c>
      <c r="O550" s="645">
        <v>0</v>
      </c>
      <c r="P550" s="645">
        <v>0</v>
      </c>
      <c r="Q550" s="645">
        <v>0</v>
      </c>
      <c r="R550" s="645">
        <v>0</v>
      </c>
      <c r="S550" s="1650"/>
      <c r="T550" s="1650"/>
      <c r="U550" s="1650"/>
      <c r="V550" s="1650"/>
      <c r="W550" s="1650"/>
      <c r="X550" s="2647"/>
      <c r="Y550" s="2627"/>
    </row>
    <row r="551" spans="1:27" s="1638" customFormat="1" ht="26.25" customHeight="1">
      <c r="A551" s="2628" t="s">
        <v>79</v>
      </c>
      <c r="B551" s="477" t="s">
        <v>133</v>
      </c>
      <c r="C551" s="457" t="s">
        <v>128</v>
      </c>
      <c r="D551" s="559"/>
      <c r="E551" s="560"/>
      <c r="F551" s="560"/>
      <c r="G551" s="560"/>
      <c r="H551" s="560"/>
      <c r="I551" s="560"/>
      <c r="J551" s="560"/>
      <c r="K551" s="560"/>
      <c r="L551" s="560"/>
      <c r="M551" s="561"/>
      <c r="N551" s="561"/>
      <c r="O551" s="560"/>
      <c r="P551" s="560"/>
      <c r="Q551" s="560"/>
      <c r="R551" s="560"/>
      <c r="S551" s="807"/>
      <c r="T551" s="807"/>
      <c r="U551" s="807"/>
      <c r="V551" s="807"/>
      <c r="W551" s="807"/>
      <c r="X551" s="423"/>
      <c r="Y551" s="2631" t="s">
        <v>120</v>
      </c>
    </row>
    <row r="552" spans="1:27" s="1638" customFormat="1" ht="14.25" customHeight="1">
      <c r="A552" s="2629"/>
      <c r="B552" s="489" t="s">
        <v>22</v>
      </c>
      <c r="C552" s="359"/>
      <c r="D552" s="562">
        <f>+D553</f>
        <v>44184218</v>
      </c>
      <c r="E552" s="562">
        <f>+E553</f>
        <v>0</v>
      </c>
      <c r="F552" s="562">
        <f t="shared" ref="F552:R552" si="316">+F553</f>
        <v>0</v>
      </c>
      <c r="G552" s="562">
        <f t="shared" si="316"/>
        <v>0</v>
      </c>
      <c r="H552" s="562">
        <f t="shared" si="316"/>
        <v>0</v>
      </c>
      <c r="I552" s="562">
        <f t="shared" si="316"/>
        <v>0</v>
      </c>
      <c r="J552" s="562">
        <f t="shared" si="316"/>
        <v>0</v>
      </c>
      <c r="K552" s="562">
        <f>SUM(K554:K554)</f>
        <v>0</v>
      </c>
      <c r="L552" s="562">
        <f t="shared" si="316"/>
        <v>0</v>
      </c>
      <c r="M552" s="2225">
        <f t="shared" si="316"/>
        <v>0</v>
      </c>
      <c r="N552" s="562">
        <f t="shared" si="316"/>
        <v>0</v>
      </c>
      <c r="O552" s="562">
        <f t="shared" si="316"/>
        <v>2184218</v>
      </c>
      <c r="P552" s="2225">
        <f t="shared" si="316"/>
        <v>0</v>
      </c>
      <c r="Q552" s="562">
        <f t="shared" si="316"/>
        <v>21000000</v>
      </c>
      <c r="R552" s="562">
        <f t="shared" si="316"/>
        <v>21000000</v>
      </c>
      <c r="S552" s="950">
        <v>0</v>
      </c>
      <c r="T552" s="950">
        <v>0</v>
      </c>
      <c r="U552" s="950">
        <v>0</v>
      </c>
      <c r="V552" s="950">
        <v>0</v>
      </c>
      <c r="W552" s="950">
        <v>0</v>
      </c>
      <c r="X552" s="385">
        <f>+X553</f>
        <v>42000000</v>
      </c>
      <c r="Y552" s="2632"/>
      <c r="Z552" s="1637">
        <f>+O552+P552+Q552+R552</f>
        <v>44184218</v>
      </c>
    </row>
    <row r="553" spans="1:27" s="1638" customFormat="1" ht="14.25" customHeight="1">
      <c r="A553" s="2629"/>
      <c r="B553" s="512" t="s">
        <v>36</v>
      </c>
      <c r="C553" s="2602" t="s">
        <v>116</v>
      </c>
      <c r="D553" s="564">
        <f>D554</f>
        <v>44184218</v>
      </c>
      <c r="E553" s="563">
        <f t="shared" ref="E553:J553" si="317">E554</f>
        <v>0</v>
      </c>
      <c r="F553" s="563">
        <f t="shared" si="317"/>
        <v>0</v>
      </c>
      <c r="G553" s="563">
        <f t="shared" si="317"/>
        <v>0</v>
      </c>
      <c r="H553" s="563">
        <f t="shared" si="317"/>
        <v>0</v>
      </c>
      <c r="I553" s="563">
        <f t="shared" si="317"/>
        <v>0</v>
      </c>
      <c r="J553" s="563">
        <f t="shared" si="317"/>
        <v>0</v>
      </c>
      <c r="K553" s="565">
        <f>SUM(K554:K554)</f>
        <v>0</v>
      </c>
      <c r="L553" s="563">
        <f>SUM(L554:L554)</f>
        <v>0</v>
      </c>
      <c r="M553" s="938">
        <f>SUM(M554:M554)</f>
        <v>0</v>
      </c>
      <c r="N553" s="563">
        <v>0</v>
      </c>
      <c r="O553" s="564">
        <f>O554</f>
        <v>2184218</v>
      </c>
      <c r="P553" s="938">
        <f>P554</f>
        <v>0</v>
      </c>
      <c r="Q553" s="563">
        <f>Q554</f>
        <v>21000000</v>
      </c>
      <c r="R553" s="563">
        <f>R554</f>
        <v>21000000</v>
      </c>
      <c r="S553" s="951">
        <v>0</v>
      </c>
      <c r="T553" s="951">
        <v>0</v>
      </c>
      <c r="U553" s="951">
        <v>0</v>
      </c>
      <c r="V553" s="951">
        <v>0</v>
      </c>
      <c r="W553" s="951">
        <v>0</v>
      </c>
      <c r="X553" s="567">
        <f>+X554</f>
        <v>42000000</v>
      </c>
      <c r="Y553" s="2632"/>
    </row>
    <row r="554" spans="1:27" s="1638" customFormat="1" ht="14.25" customHeight="1" thickBot="1">
      <c r="A554" s="2630"/>
      <c r="B554" s="496" t="s">
        <v>24</v>
      </c>
      <c r="C554" s="2596"/>
      <c r="D554" s="1467">
        <f>M554+O554+P554+Q554+R554+S554+T554+U554+V554+W554</f>
        <v>44184218</v>
      </c>
      <c r="E554" s="2226"/>
      <c r="F554" s="2227"/>
      <c r="G554" s="2226"/>
      <c r="H554" s="2226"/>
      <c r="I554" s="2226"/>
      <c r="J554" s="949">
        <v>0</v>
      </c>
      <c r="K554" s="949"/>
      <c r="L554" s="681"/>
      <c r="M554" s="1070">
        <f>+E554+I554+J554+K554+L554+N554</f>
        <v>0</v>
      </c>
      <c r="N554" s="2226"/>
      <c r="O554" s="949">
        <f>7380000-4740000-455500-282</f>
        <v>2184218</v>
      </c>
      <c r="P554" s="957">
        <f>17527500-7027500-1759000-8741000</f>
        <v>0</v>
      </c>
      <c r="Q554" s="681">
        <f>23370000-5870000+3500000</f>
        <v>21000000</v>
      </c>
      <c r="R554" s="681">
        <f>29212500-15212500+7000000</f>
        <v>21000000</v>
      </c>
      <c r="S554" s="954">
        <v>0</v>
      </c>
      <c r="T554" s="954">
        <v>0</v>
      </c>
      <c r="U554" s="954">
        <v>0</v>
      </c>
      <c r="V554" s="954">
        <v>0</v>
      </c>
      <c r="W554" s="954">
        <v>0</v>
      </c>
      <c r="X554" s="393">
        <f>SUM(P554:T554)</f>
        <v>42000000</v>
      </c>
      <c r="Y554" s="2633"/>
      <c r="Z554" s="1642"/>
    </row>
    <row r="555" spans="1:27" s="1638" customFormat="1" ht="14.25" hidden="1" customHeight="1">
      <c r="A555" s="2629"/>
      <c r="B555" s="1651"/>
      <c r="C555" s="1652"/>
      <c r="D555" s="506"/>
      <c r="E555" s="507"/>
      <c r="F555" s="506"/>
      <c r="G555" s="507"/>
      <c r="H555" s="507"/>
      <c r="I555" s="508"/>
      <c r="J555" s="508"/>
      <c r="K555" s="508"/>
      <c r="L555" s="508"/>
      <c r="M555" s="856"/>
      <c r="N555" s="856"/>
      <c r="O555" s="856"/>
      <c r="P555" s="2514"/>
      <c r="Q555" s="856"/>
      <c r="R555" s="856"/>
      <c r="S555" s="856"/>
      <c r="T555" s="856"/>
      <c r="U555" s="856"/>
      <c r="V555" s="856"/>
      <c r="W555" s="856"/>
      <c r="X555" s="857"/>
      <c r="Y555" s="2642"/>
    </row>
    <row r="556" spans="1:27" s="1638" customFormat="1" ht="13.5" hidden="1" customHeight="1">
      <c r="A556" s="2629"/>
      <c r="B556" s="383"/>
      <c r="C556" s="522"/>
      <c r="D556" s="749"/>
      <c r="E556" s="749"/>
      <c r="F556" s="749"/>
      <c r="G556" s="749"/>
      <c r="H556" s="749"/>
      <c r="I556" s="749"/>
      <c r="J556" s="749"/>
      <c r="K556" s="749"/>
      <c r="L556" s="749"/>
      <c r="M556" s="749"/>
      <c r="N556" s="749"/>
      <c r="O556" s="749"/>
      <c r="P556" s="2515"/>
      <c r="Q556" s="749"/>
      <c r="R556" s="749"/>
      <c r="S556" s="814"/>
      <c r="T556" s="814"/>
      <c r="U556" s="814"/>
      <c r="V556" s="814"/>
      <c r="W556" s="814"/>
      <c r="X556" s="804"/>
      <c r="Y556" s="2724"/>
    </row>
    <row r="557" spans="1:27" s="1638" customFormat="1" ht="13.5" hidden="1" customHeight="1">
      <c r="A557" s="2629"/>
      <c r="B557" s="429"/>
      <c r="C557" s="2602"/>
      <c r="D557" s="485"/>
      <c r="E557" s="485"/>
      <c r="F557" s="485"/>
      <c r="G557" s="485"/>
      <c r="H557" s="485"/>
      <c r="I557" s="485"/>
      <c r="J557" s="485"/>
      <c r="K557" s="485"/>
      <c r="L557" s="485"/>
      <c r="M557" s="485"/>
      <c r="N557" s="485"/>
      <c r="O557" s="485"/>
      <c r="P557" s="1853"/>
      <c r="Q557" s="485"/>
      <c r="R557" s="485"/>
      <c r="S557" s="809"/>
      <c r="T557" s="809"/>
      <c r="U557" s="809"/>
      <c r="V557" s="809"/>
      <c r="W557" s="809"/>
      <c r="X557" s="805"/>
      <c r="Y557" s="2724"/>
    </row>
    <row r="558" spans="1:27" s="1638" customFormat="1" ht="13.5" hidden="1" customHeight="1" thickBot="1">
      <c r="A558" s="2630"/>
      <c r="B558" s="558"/>
      <c r="C558" s="2608"/>
      <c r="D558" s="517"/>
      <c r="E558" s="475"/>
      <c r="F558" s="476"/>
      <c r="G558" s="475"/>
      <c r="H558" s="475"/>
      <c r="I558" s="475"/>
      <c r="J558" s="481"/>
      <c r="K558" s="481"/>
      <c r="L558" s="475"/>
      <c r="M558" s="476"/>
      <c r="N558" s="476"/>
      <c r="O558" s="476"/>
      <c r="P558" s="2516"/>
      <c r="Q558" s="446"/>
      <c r="R558" s="446"/>
      <c r="S558" s="815"/>
      <c r="T558" s="815"/>
      <c r="U558" s="815"/>
      <c r="V558" s="815"/>
      <c r="W558" s="815"/>
      <c r="X558" s="806"/>
      <c r="Y558" s="2725"/>
      <c r="Z558" s="1642"/>
    </row>
    <row r="559" spans="1:27" s="1638" customFormat="1" ht="35.25" customHeight="1">
      <c r="A559" s="2726" t="s">
        <v>80</v>
      </c>
      <c r="B559" s="417" t="s">
        <v>509</v>
      </c>
      <c r="C559" s="418" t="s">
        <v>97</v>
      </c>
      <c r="D559" s="555"/>
      <c r="E559" s="531"/>
      <c r="F559" s="531"/>
      <c r="G559" s="530"/>
      <c r="H559" s="530"/>
      <c r="I559" s="530"/>
      <c r="J559" s="530"/>
      <c r="K559" s="530"/>
      <c r="L559" s="530"/>
      <c r="M559" s="532"/>
      <c r="N559" s="532"/>
      <c r="O559" s="532"/>
      <c r="P559" s="2517"/>
      <c r="Q559" s="532"/>
      <c r="R559" s="532"/>
      <c r="S559" s="532"/>
      <c r="T559" s="532"/>
      <c r="U559" s="532"/>
      <c r="V559" s="532"/>
      <c r="W559" s="532"/>
      <c r="X559" s="423"/>
      <c r="Y559" s="2698" t="s">
        <v>120</v>
      </c>
    </row>
    <row r="560" spans="1:27" s="1638" customFormat="1" ht="15" customHeight="1">
      <c r="A560" s="2727"/>
      <c r="B560" s="489" t="s">
        <v>22</v>
      </c>
      <c r="C560" s="359"/>
      <c r="D560" s="463">
        <f>+D561</f>
        <v>4615466</v>
      </c>
      <c r="E560" s="463">
        <f t="shared" ref="E560:X560" si="318">+E561</f>
        <v>419680</v>
      </c>
      <c r="F560" s="463">
        <f t="shared" si="318"/>
        <v>0</v>
      </c>
      <c r="G560" s="463">
        <f t="shared" si="318"/>
        <v>0</v>
      </c>
      <c r="H560" s="463">
        <f t="shared" si="318"/>
        <v>419680</v>
      </c>
      <c r="I560" s="463">
        <f t="shared" si="318"/>
        <v>3741741</v>
      </c>
      <c r="J560" s="463">
        <f t="shared" si="318"/>
        <v>0</v>
      </c>
      <c r="K560" s="463">
        <f t="shared" si="318"/>
        <v>105780</v>
      </c>
      <c r="L560" s="462">
        <f t="shared" si="318"/>
        <v>0</v>
      </c>
      <c r="M560" s="462">
        <f t="shared" si="318"/>
        <v>4267201</v>
      </c>
      <c r="N560" s="462">
        <f t="shared" si="318"/>
        <v>0</v>
      </c>
      <c r="O560" s="462">
        <f t="shared" si="318"/>
        <v>215053</v>
      </c>
      <c r="P560" s="929">
        <f t="shared" si="318"/>
        <v>0</v>
      </c>
      <c r="Q560" s="462">
        <f t="shared" si="318"/>
        <v>133212</v>
      </c>
      <c r="R560" s="950">
        <v>0</v>
      </c>
      <c r="S560" s="950">
        <v>0</v>
      </c>
      <c r="T560" s="950">
        <v>0</v>
      </c>
      <c r="U560" s="950">
        <v>0</v>
      </c>
      <c r="V560" s="950">
        <v>0</v>
      </c>
      <c r="W560" s="950">
        <v>0</v>
      </c>
      <c r="X560" s="464">
        <f t="shared" si="318"/>
        <v>133212</v>
      </c>
      <c r="Y560" s="2730"/>
      <c r="Z560" s="1637">
        <f>+O560+P560+Q560+R560</f>
        <v>348265</v>
      </c>
    </row>
    <row r="561" spans="1:141" s="1638" customFormat="1" ht="13.5" customHeight="1">
      <c r="A561" s="2727"/>
      <c r="B561" s="512" t="s">
        <v>36</v>
      </c>
      <c r="C561" s="2732" t="s">
        <v>130</v>
      </c>
      <c r="D561" s="1089">
        <f>+D562+D563</f>
        <v>4615466</v>
      </c>
      <c r="E561" s="1089">
        <f>+E562+E563</f>
        <v>419680</v>
      </c>
      <c r="F561" s="1089">
        <f t="shared" ref="F561:P561" si="319">+F562+F563</f>
        <v>0</v>
      </c>
      <c r="G561" s="1089">
        <f t="shared" si="319"/>
        <v>0</v>
      </c>
      <c r="H561" s="1089">
        <f t="shared" si="319"/>
        <v>419680</v>
      </c>
      <c r="I561" s="1089">
        <f t="shared" si="319"/>
        <v>3741741</v>
      </c>
      <c r="J561" s="1089">
        <f t="shared" si="319"/>
        <v>0</v>
      </c>
      <c r="K561" s="1089">
        <f t="shared" si="319"/>
        <v>105780</v>
      </c>
      <c r="L561" s="1090">
        <f t="shared" si="319"/>
        <v>0</v>
      </c>
      <c r="M561" s="1090">
        <f>+M562+M563</f>
        <v>4267201</v>
      </c>
      <c r="N561" s="1090">
        <f t="shared" si="319"/>
        <v>0</v>
      </c>
      <c r="O561" s="1090">
        <f t="shared" si="319"/>
        <v>215053</v>
      </c>
      <c r="P561" s="1105">
        <f t="shared" si="319"/>
        <v>0</v>
      </c>
      <c r="Q561" s="1090">
        <f>+Q562+Q563</f>
        <v>133212</v>
      </c>
      <c r="R561" s="1091">
        <v>0</v>
      </c>
      <c r="S561" s="1091">
        <v>0</v>
      </c>
      <c r="T561" s="1091">
        <v>0</v>
      </c>
      <c r="U561" s="1091">
        <v>0</v>
      </c>
      <c r="V561" s="1091">
        <v>0</v>
      </c>
      <c r="W561" s="1091">
        <v>0</v>
      </c>
      <c r="X561" s="1092">
        <f>+X562+X563</f>
        <v>133212</v>
      </c>
      <c r="Y561" s="2730"/>
    </row>
    <row r="562" spans="1:141" s="1638" customFormat="1" ht="13.5" customHeight="1">
      <c r="A562" s="2727"/>
      <c r="B562" s="2228" t="s">
        <v>24</v>
      </c>
      <c r="C562" s="2643"/>
      <c r="D562" s="1093">
        <f>M562+O562+P562+Q562+R562+S562+T562+U562+V562+W562</f>
        <v>1771239</v>
      </c>
      <c r="E562" s="1094">
        <f>+F562+G562+H562</f>
        <v>139894</v>
      </c>
      <c r="F562" s="1094">
        <v>0</v>
      </c>
      <c r="G562" s="1094">
        <v>0</v>
      </c>
      <c r="H562" s="1094">
        <v>139894</v>
      </c>
      <c r="I562" s="1094">
        <v>1247247</v>
      </c>
      <c r="J562" s="1094">
        <v>0</v>
      </c>
      <c r="K562" s="1094">
        <v>35833</v>
      </c>
      <c r="L562" s="1095">
        <v>0</v>
      </c>
      <c r="M562" s="1096">
        <f>+E562+I562+J562+K562+L562+N562</f>
        <v>1422974</v>
      </c>
      <c r="N562" s="1094">
        <f>50000-50000</f>
        <v>0</v>
      </c>
      <c r="O562" s="1094">
        <f>300000+50000-133212-1735</f>
        <v>215053</v>
      </c>
      <c r="P562" s="2518">
        <f>133212-133212</f>
        <v>0</v>
      </c>
      <c r="Q562" s="1094">
        <v>133212</v>
      </c>
      <c r="R562" s="1097">
        <v>0</v>
      </c>
      <c r="S562" s="1097">
        <v>0</v>
      </c>
      <c r="T562" s="1097">
        <v>0</v>
      </c>
      <c r="U562" s="1097">
        <v>0</v>
      </c>
      <c r="V562" s="1097">
        <v>0</v>
      </c>
      <c r="W562" s="1097">
        <v>0</v>
      </c>
      <c r="X562" s="1098">
        <f>SUM(P562:T562)</f>
        <v>133212</v>
      </c>
      <c r="Y562" s="2730"/>
    </row>
    <row r="563" spans="1:141" s="1638" customFormat="1" ht="13.5" customHeight="1">
      <c r="A563" s="2727"/>
      <c r="B563" s="487" t="s">
        <v>134</v>
      </c>
      <c r="C563" s="2644"/>
      <c r="D563" s="1093">
        <f>M563+O563+P563+Q563+R563+S563+T563+U563+V563+W563</f>
        <v>2844227</v>
      </c>
      <c r="E563" s="1094">
        <f>+F563+G563+H563</f>
        <v>279786</v>
      </c>
      <c r="F563" s="1094">
        <v>0</v>
      </c>
      <c r="G563" s="1094">
        <v>0</v>
      </c>
      <c r="H563" s="1094">
        <v>279786</v>
      </c>
      <c r="I563" s="1094">
        <v>2494494</v>
      </c>
      <c r="J563" s="1094">
        <v>0</v>
      </c>
      <c r="K563" s="1094">
        <v>69947</v>
      </c>
      <c r="L563" s="1099">
        <v>0</v>
      </c>
      <c r="M563" s="1096">
        <f>+E563+I563+J563+K563+L563+N563</f>
        <v>2844227</v>
      </c>
      <c r="N563" s="1099">
        <v>0</v>
      </c>
      <c r="O563" s="1100">
        <v>0</v>
      </c>
      <c r="P563" s="1101">
        <v>0</v>
      </c>
      <c r="Q563" s="1097">
        <v>0</v>
      </c>
      <c r="R563" s="1097">
        <v>0</v>
      </c>
      <c r="S563" s="1097">
        <v>0</v>
      </c>
      <c r="T563" s="1097">
        <v>0</v>
      </c>
      <c r="U563" s="1097">
        <v>0</v>
      </c>
      <c r="V563" s="1097">
        <v>0</v>
      </c>
      <c r="W563" s="1097">
        <v>0</v>
      </c>
      <c r="X563" s="1098">
        <f>SUM(P563:T563)</f>
        <v>0</v>
      </c>
      <c r="Y563" s="2730"/>
    </row>
    <row r="564" spans="1:141" s="1653" customFormat="1" ht="12.75" customHeight="1">
      <c r="A564" s="2728"/>
      <c r="B564" s="358" t="s">
        <v>34</v>
      </c>
      <c r="C564" s="359"/>
      <c r="D564" s="463">
        <f>+D565</f>
        <v>2844227</v>
      </c>
      <c r="E564" s="463">
        <f t="shared" ref="E564:P565" si="320">+E565</f>
        <v>279786</v>
      </c>
      <c r="F564" s="463">
        <f t="shared" si="320"/>
        <v>0</v>
      </c>
      <c r="G564" s="463">
        <f t="shared" si="320"/>
        <v>0</v>
      </c>
      <c r="H564" s="463">
        <f t="shared" si="320"/>
        <v>279786</v>
      </c>
      <c r="I564" s="463">
        <f t="shared" si="320"/>
        <v>2494494</v>
      </c>
      <c r="J564" s="463">
        <f t="shared" si="320"/>
        <v>0</v>
      </c>
      <c r="K564" s="463">
        <f t="shared" si="320"/>
        <v>69947</v>
      </c>
      <c r="L564" s="463">
        <f t="shared" si="320"/>
        <v>0</v>
      </c>
      <c r="M564" s="463">
        <f t="shared" si="320"/>
        <v>2844227</v>
      </c>
      <c r="N564" s="1102">
        <f t="shared" si="320"/>
        <v>0</v>
      </c>
      <c r="O564" s="1103">
        <f t="shared" si="320"/>
        <v>0</v>
      </c>
      <c r="P564" s="1103">
        <f t="shared" si="320"/>
        <v>0</v>
      </c>
      <c r="Q564" s="950">
        <v>0</v>
      </c>
      <c r="R564" s="950">
        <v>0</v>
      </c>
      <c r="S564" s="950">
        <v>0</v>
      </c>
      <c r="T564" s="950">
        <v>0</v>
      </c>
      <c r="U564" s="950">
        <v>0</v>
      </c>
      <c r="V564" s="950">
        <v>0</v>
      </c>
      <c r="W564" s="950">
        <v>0</v>
      </c>
      <c r="X564" s="2733" t="s">
        <v>35</v>
      </c>
      <c r="Y564" s="2730"/>
    </row>
    <row r="565" spans="1:141" s="1638" customFormat="1" ht="13.5" customHeight="1">
      <c r="A565" s="2728"/>
      <c r="B565" s="674" t="s">
        <v>36</v>
      </c>
      <c r="C565" s="2732" t="s">
        <v>130</v>
      </c>
      <c r="D565" s="1090">
        <f>+D566</f>
        <v>2844227</v>
      </c>
      <c r="E565" s="1094">
        <f t="shared" si="320"/>
        <v>279786</v>
      </c>
      <c r="F565" s="1094">
        <f t="shared" si="320"/>
        <v>0</v>
      </c>
      <c r="G565" s="1094">
        <f t="shared" si="320"/>
        <v>0</v>
      </c>
      <c r="H565" s="1094">
        <f t="shared" si="320"/>
        <v>279786</v>
      </c>
      <c r="I565" s="1094">
        <f t="shared" si="320"/>
        <v>2494494</v>
      </c>
      <c r="J565" s="1094">
        <f t="shared" si="320"/>
        <v>0</v>
      </c>
      <c r="K565" s="1090">
        <f t="shared" si="320"/>
        <v>69947</v>
      </c>
      <c r="L565" s="1090">
        <f t="shared" si="320"/>
        <v>0</v>
      </c>
      <c r="M565" s="1090">
        <f t="shared" si="320"/>
        <v>2844227</v>
      </c>
      <c r="N565" s="1090">
        <f t="shared" si="320"/>
        <v>0</v>
      </c>
      <c r="O565" s="1104">
        <f t="shared" si="320"/>
        <v>0</v>
      </c>
      <c r="P565" s="1105">
        <f t="shared" si="320"/>
        <v>0</v>
      </c>
      <c r="Q565" s="1091">
        <v>0</v>
      </c>
      <c r="R565" s="1091">
        <v>0</v>
      </c>
      <c r="S565" s="1091">
        <v>0</v>
      </c>
      <c r="T565" s="1091">
        <v>0</v>
      </c>
      <c r="U565" s="1091">
        <v>0</v>
      </c>
      <c r="V565" s="1091">
        <v>0</v>
      </c>
      <c r="W565" s="1091">
        <v>0</v>
      </c>
      <c r="X565" s="2734"/>
      <c r="Y565" s="2730"/>
    </row>
    <row r="566" spans="1:141" s="1638" customFormat="1" ht="13.5" customHeight="1" thickBot="1">
      <c r="A566" s="2729"/>
      <c r="B566" s="1474" t="s">
        <v>134</v>
      </c>
      <c r="C566" s="2608"/>
      <c r="D566" s="1064">
        <f>M566+O566+P566+Q566+R566+S566+T566+U566+V566+W566</f>
        <v>2844227</v>
      </c>
      <c r="E566" s="481">
        <f>+F566+G566+H566</f>
        <v>279786</v>
      </c>
      <c r="F566" s="481">
        <v>0</v>
      </c>
      <c r="G566" s="481">
        <v>0</v>
      </c>
      <c r="H566" s="481">
        <v>279786</v>
      </c>
      <c r="I566" s="481">
        <v>2494494</v>
      </c>
      <c r="J566" s="481">
        <v>0</v>
      </c>
      <c r="K566" s="481">
        <v>69947</v>
      </c>
      <c r="L566" s="475">
        <v>0</v>
      </c>
      <c r="M566" s="1064">
        <f>+E566+I566+J566+K566+L566+N566</f>
        <v>2844227</v>
      </c>
      <c r="N566" s="475">
        <v>0</v>
      </c>
      <c r="O566" s="937">
        <v>0</v>
      </c>
      <c r="P566" s="937">
        <v>0</v>
      </c>
      <c r="Q566" s="1082">
        <v>0</v>
      </c>
      <c r="R566" s="1082">
        <v>0</v>
      </c>
      <c r="S566" s="1082">
        <v>0</v>
      </c>
      <c r="T566" s="1082">
        <v>0</v>
      </c>
      <c r="U566" s="1082">
        <v>0</v>
      </c>
      <c r="V566" s="1082">
        <v>0</v>
      </c>
      <c r="W566" s="1082">
        <v>0</v>
      </c>
      <c r="X566" s="2735"/>
      <c r="Y566" s="2731"/>
    </row>
    <row r="567" spans="1:141" s="1654" customFormat="1" ht="14.25" customHeight="1">
      <c r="A567" s="2586" t="s">
        <v>81</v>
      </c>
      <c r="B567" s="477" t="s">
        <v>517</v>
      </c>
      <c r="C567" s="457" t="s">
        <v>97</v>
      </c>
      <c r="D567" s="1493"/>
      <c r="E567" s="460"/>
      <c r="F567" s="460"/>
      <c r="G567" s="460"/>
      <c r="H567" s="460"/>
      <c r="I567" s="460"/>
      <c r="J567" s="460"/>
      <c r="K567" s="460"/>
      <c r="L567" s="460"/>
      <c r="M567" s="1494"/>
      <c r="N567" s="1494"/>
      <c r="O567" s="1494"/>
      <c r="P567" s="1494"/>
      <c r="Q567" s="1494"/>
      <c r="R567" s="1494"/>
      <c r="S567" s="1494"/>
      <c r="T567" s="1494"/>
      <c r="U567" s="1494"/>
      <c r="V567" s="1494"/>
      <c r="W567" s="1494"/>
      <c r="X567" s="423"/>
      <c r="Y567" s="2589" t="s">
        <v>103</v>
      </c>
      <c r="Z567" s="1350"/>
      <c r="AA567" s="1350"/>
      <c r="AB567" s="1350"/>
      <c r="AC567" s="1350"/>
      <c r="AD567" s="1350"/>
      <c r="AE567" s="1350"/>
      <c r="AF567" s="1350"/>
      <c r="AG567" s="1350"/>
      <c r="AH567" s="1350"/>
      <c r="AI567" s="1350"/>
      <c r="AJ567" s="1350"/>
      <c r="AK567" s="1350"/>
      <c r="AL567" s="1350"/>
      <c r="AM567" s="1350"/>
      <c r="AN567" s="1350"/>
      <c r="AO567" s="1350"/>
      <c r="AP567" s="1350"/>
      <c r="AQ567" s="1350"/>
      <c r="AR567" s="1350"/>
      <c r="AS567" s="1350"/>
      <c r="AT567" s="1350"/>
      <c r="AU567" s="1350"/>
      <c r="AV567" s="1350"/>
      <c r="AW567" s="1350"/>
      <c r="AX567" s="1350"/>
      <c r="AY567" s="1350"/>
      <c r="AZ567" s="1350"/>
      <c r="BA567" s="1350"/>
      <c r="BB567" s="1350"/>
      <c r="BC567" s="1350"/>
      <c r="BD567" s="1350"/>
      <c r="BE567" s="1350"/>
      <c r="BF567" s="1350"/>
      <c r="BG567" s="1350"/>
      <c r="BH567" s="1350"/>
      <c r="BI567" s="1350"/>
      <c r="BJ567" s="1350"/>
      <c r="BK567" s="1350"/>
      <c r="BL567" s="1350"/>
      <c r="BM567" s="1350"/>
      <c r="BN567" s="1350"/>
      <c r="BO567" s="1350"/>
      <c r="BP567" s="1350"/>
      <c r="BQ567" s="1350"/>
      <c r="BR567" s="1350"/>
      <c r="BS567" s="1350"/>
      <c r="BT567" s="1350"/>
      <c r="BU567" s="1350"/>
      <c r="BV567" s="1350"/>
      <c r="BW567" s="1350"/>
      <c r="BX567" s="1350"/>
      <c r="BY567" s="1350"/>
      <c r="BZ567" s="1350"/>
      <c r="CA567" s="1350"/>
      <c r="CB567" s="1350"/>
      <c r="CC567" s="1350"/>
      <c r="CD567" s="1350"/>
      <c r="CE567" s="1350"/>
      <c r="CF567" s="1350"/>
      <c r="CG567" s="1350"/>
      <c r="CH567" s="1350"/>
      <c r="CI567" s="1350"/>
      <c r="CJ567" s="1350"/>
      <c r="CK567" s="1350"/>
      <c r="CL567" s="1350"/>
      <c r="CM567" s="1350"/>
      <c r="CN567" s="1350"/>
      <c r="CO567" s="1350"/>
      <c r="CP567" s="1350"/>
      <c r="CQ567" s="1350"/>
      <c r="CR567" s="1350"/>
      <c r="CS567" s="1350"/>
      <c r="CT567" s="1350"/>
      <c r="CU567" s="1350"/>
      <c r="CV567" s="1350"/>
      <c r="CW567" s="1350"/>
      <c r="CX567" s="1350"/>
      <c r="CY567" s="1350"/>
      <c r="CZ567" s="1350"/>
      <c r="DA567" s="1350"/>
      <c r="DB567" s="1350"/>
      <c r="DC567" s="1350"/>
      <c r="DD567" s="1350"/>
      <c r="DE567" s="1350"/>
      <c r="DF567" s="1350"/>
      <c r="DG567" s="1350"/>
      <c r="DH567" s="1350"/>
      <c r="DI567" s="1350"/>
      <c r="DJ567" s="1350"/>
      <c r="DK567" s="1350"/>
      <c r="DL567" s="1350"/>
      <c r="DM567" s="1350"/>
      <c r="DN567" s="1350"/>
      <c r="DO567" s="1350"/>
      <c r="DP567" s="1350"/>
      <c r="DQ567" s="1350"/>
      <c r="DR567" s="1350"/>
      <c r="DS567" s="1350"/>
      <c r="DT567" s="1350"/>
      <c r="DU567" s="1350"/>
      <c r="DV567" s="1350"/>
      <c r="DW567" s="1350"/>
      <c r="DX567" s="1350"/>
      <c r="DY567" s="1350"/>
      <c r="DZ567" s="1350"/>
      <c r="EA567" s="1350"/>
      <c r="EB567" s="1350"/>
      <c r="EC567" s="1350"/>
      <c r="ED567" s="1350"/>
      <c r="EE567" s="1350"/>
      <c r="EF567" s="1350"/>
      <c r="EG567" s="1350"/>
      <c r="EH567" s="1350"/>
      <c r="EI567" s="1350"/>
      <c r="EJ567" s="1350"/>
      <c r="EK567" s="1350"/>
    </row>
    <row r="568" spans="1:141" s="1350" customFormat="1" ht="12.75" customHeight="1">
      <c r="A568" s="2587"/>
      <c r="B568" s="489" t="s">
        <v>22</v>
      </c>
      <c r="C568" s="359"/>
      <c r="D568" s="607">
        <f>+D569</f>
        <v>9018560</v>
      </c>
      <c r="E568" s="595"/>
      <c r="F568" s="595"/>
      <c r="G568" s="595"/>
      <c r="H568" s="595"/>
      <c r="I568" s="595"/>
      <c r="J568" s="595">
        <f>+J569</f>
        <v>901733</v>
      </c>
      <c r="K568" s="595">
        <f t="shared" ref="K568:T569" si="321">+K569</f>
        <v>415162</v>
      </c>
      <c r="L568" s="595">
        <f t="shared" si="321"/>
        <v>438710</v>
      </c>
      <c r="M568" s="595">
        <f t="shared" si="321"/>
        <v>2038782</v>
      </c>
      <c r="N568" s="595">
        <f t="shared" si="321"/>
        <v>283177</v>
      </c>
      <c r="O568" s="595">
        <f t="shared" si="321"/>
        <v>179607</v>
      </c>
      <c r="P568" s="595">
        <f t="shared" si="321"/>
        <v>1153120</v>
      </c>
      <c r="Q568" s="595">
        <f t="shared" si="321"/>
        <v>935351</v>
      </c>
      <c r="R568" s="595">
        <f t="shared" si="321"/>
        <v>621200</v>
      </c>
      <c r="S568" s="595">
        <f t="shared" si="321"/>
        <v>2020500</v>
      </c>
      <c r="T568" s="595">
        <f t="shared" si="321"/>
        <v>2070000</v>
      </c>
      <c r="U568" s="950">
        <v>0</v>
      </c>
      <c r="V568" s="950">
        <v>0</v>
      </c>
      <c r="W568" s="950">
        <v>0</v>
      </c>
      <c r="X568" s="464">
        <f>+X569</f>
        <v>6800171</v>
      </c>
      <c r="Y568" s="2590"/>
      <c r="Z568" s="1637">
        <f>+O568+P568+Q568+R568</f>
        <v>2889278</v>
      </c>
    </row>
    <row r="569" spans="1:141" s="1350" customFormat="1" ht="14.25" customHeight="1">
      <c r="A569" s="2587"/>
      <c r="B569" s="773" t="s">
        <v>36</v>
      </c>
      <c r="C569" s="2602" t="s">
        <v>100</v>
      </c>
      <c r="D569" s="569">
        <f>+D570</f>
        <v>9018560</v>
      </c>
      <c r="E569" s="598"/>
      <c r="F569" s="598"/>
      <c r="G569" s="598"/>
      <c r="H569" s="598"/>
      <c r="I569" s="598"/>
      <c r="J569" s="598">
        <f>+J570</f>
        <v>901733</v>
      </c>
      <c r="K569" s="598">
        <f t="shared" si="321"/>
        <v>415162</v>
      </c>
      <c r="L569" s="598">
        <f t="shared" si="321"/>
        <v>438710</v>
      </c>
      <c r="M569" s="598">
        <f t="shared" si="321"/>
        <v>2038782</v>
      </c>
      <c r="N569" s="598">
        <f t="shared" si="321"/>
        <v>283177</v>
      </c>
      <c r="O569" s="598">
        <f t="shared" si="321"/>
        <v>179607</v>
      </c>
      <c r="P569" s="598">
        <f t="shared" si="321"/>
        <v>1153120</v>
      </c>
      <c r="Q569" s="598">
        <f t="shared" si="321"/>
        <v>935351</v>
      </c>
      <c r="R569" s="598">
        <f t="shared" si="321"/>
        <v>621200</v>
      </c>
      <c r="S569" s="598">
        <f t="shared" si="321"/>
        <v>2020500</v>
      </c>
      <c r="T569" s="598">
        <f t="shared" si="321"/>
        <v>2070000</v>
      </c>
      <c r="U569" s="951">
        <v>0</v>
      </c>
      <c r="V569" s="951">
        <v>0</v>
      </c>
      <c r="W569" s="951">
        <v>0</v>
      </c>
      <c r="X569" s="486">
        <f>+X570</f>
        <v>6800171</v>
      </c>
      <c r="Y569" s="2590"/>
    </row>
    <row r="570" spans="1:141" s="1350" customFormat="1" ht="13.5" customHeight="1" thickBot="1">
      <c r="A570" s="2588"/>
      <c r="B570" s="558" t="s">
        <v>24</v>
      </c>
      <c r="C570" s="2608"/>
      <c r="D570" s="433">
        <f>M570+O570+P570+Q570+R570+S570+T570+U570+V570+W570</f>
        <v>9018560</v>
      </c>
      <c r="E570" s="475"/>
      <c r="F570" s="475"/>
      <c r="G570" s="475"/>
      <c r="H570" s="475"/>
      <c r="I570" s="475"/>
      <c r="J570" s="748">
        <v>901733</v>
      </c>
      <c r="K570" s="481">
        <v>415162</v>
      </c>
      <c r="L570" s="475">
        <v>438710</v>
      </c>
      <c r="M570" s="434">
        <f>+E570+I570+J570+K570+L570+N570</f>
        <v>2038782</v>
      </c>
      <c r="N570" s="475">
        <f>559146-55736-156764-63469</f>
        <v>283177</v>
      </c>
      <c r="O570" s="475">
        <f>1368555-500000-428903-11000-249045</f>
        <v>179607</v>
      </c>
      <c r="P570" s="475">
        <f>3469876-2050000+555736+68465+63469-260054-47960-646412</f>
        <v>1153120</v>
      </c>
      <c r="Q570" s="475">
        <f>1925000+100000-1300000+50351+160000</f>
        <v>935351</v>
      </c>
      <c r="R570" s="475">
        <f>1971200-850000-500000</f>
        <v>621200</v>
      </c>
      <c r="S570" s="475">
        <v>2020500</v>
      </c>
      <c r="T570" s="475">
        <v>2070000</v>
      </c>
      <c r="U570" s="954">
        <v>0</v>
      </c>
      <c r="V570" s="954">
        <v>0</v>
      </c>
      <c r="W570" s="954">
        <v>0</v>
      </c>
      <c r="X570" s="393">
        <f>SUM(P570:T570)</f>
        <v>6800171</v>
      </c>
      <c r="Y570" s="2591"/>
      <c r="Z570" s="1349"/>
    </row>
    <row r="571" spans="1:141" s="1638" customFormat="1" ht="23.25" customHeight="1">
      <c r="A571" s="2717" t="s">
        <v>82</v>
      </c>
      <c r="B571" s="1655" t="s">
        <v>280</v>
      </c>
      <c r="C571" s="457" t="s">
        <v>97</v>
      </c>
      <c r="D571" s="559"/>
      <c r="E571" s="560"/>
      <c r="F571" s="1495"/>
      <c r="G571" s="560"/>
      <c r="H571" s="560"/>
      <c r="I571" s="560"/>
      <c r="J571" s="560"/>
      <c r="K571" s="560"/>
      <c r="L571" s="560"/>
      <c r="M571" s="807"/>
      <c r="N571" s="807"/>
      <c r="O571" s="807"/>
      <c r="P571" s="807"/>
      <c r="Q571" s="807"/>
      <c r="R571" s="807"/>
      <c r="S571" s="807"/>
      <c r="T571" s="807"/>
      <c r="U571" s="807"/>
      <c r="V571" s="807"/>
      <c r="W571" s="807"/>
      <c r="X571" s="423"/>
      <c r="Y571" s="2720" t="s">
        <v>296</v>
      </c>
    </row>
    <row r="572" spans="1:141" s="1638" customFormat="1" ht="12">
      <c r="A572" s="2718"/>
      <c r="B572" s="489" t="s">
        <v>22</v>
      </c>
      <c r="C572" s="359"/>
      <c r="D572" s="607">
        <f>+D573</f>
        <v>45603289</v>
      </c>
      <c r="E572" s="562">
        <f>+E573</f>
        <v>7100000</v>
      </c>
      <c r="F572" s="562">
        <f t="shared" ref="F572:X573" si="322">+F573</f>
        <v>0</v>
      </c>
      <c r="G572" s="562">
        <f t="shared" si="322"/>
        <v>5300000</v>
      </c>
      <c r="H572" s="562">
        <f t="shared" si="322"/>
        <v>1800000</v>
      </c>
      <c r="I572" s="562">
        <f t="shared" si="322"/>
        <v>0</v>
      </c>
      <c r="J572" s="562">
        <f t="shared" si="322"/>
        <v>1800000</v>
      </c>
      <c r="K572" s="562">
        <f t="shared" si="322"/>
        <v>3301289</v>
      </c>
      <c r="L572" s="562">
        <f t="shared" si="322"/>
        <v>4200000</v>
      </c>
      <c r="M572" s="562">
        <f t="shared" si="322"/>
        <v>21401289</v>
      </c>
      <c r="N572" s="562">
        <f t="shared" si="322"/>
        <v>5000000</v>
      </c>
      <c r="O572" s="562">
        <f t="shared" si="322"/>
        <v>5000000</v>
      </c>
      <c r="P572" s="562">
        <f t="shared" si="322"/>
        <v>5002000</v>
      </c>
      <c r="Q572" s="562">
        <f t="shared" si="322"/>
        <v>5000000</v>
      </c>
      <c r="R572" s="562">
        <f t="shared" si="322"/>
        <v>5000000</v>
      </c>
      <c r="S572" s="562">
        <f t="shared" si="322"/>
        <v>2700000</v>
      </c>
      <c r="T572" s="562">
        <f t="shared" si="322"/>
        <v>1500000</v>
      </c>
      <c r="U572" s="562"/>
      <c r="V572" s="562"/>
      <c r="W572" s="562"/>
      <c r="X572" s="385">
        <f t="shared" si="322"/>
        <v>19202000</v>
      </c>
      <c r="Y572" s="2721"/>
      <c r="Z572" s="1637">
        <f>+O572+P572+Q572+R572+4200000</f>
        <v>24202000</v>
      </c>
    </row>
    <row r="573" spans="1:141" s="1638" customFormat="1" ht="12">
      <c r="A573" s="2718"/>
      <c r="B573" s="512" t="s">
        <v>36</v>
      </c>
      <c r="C573" s="2602" t="s">
        <v>130</v>
      </c>
      <c r="D573" s="569">
        <f>+D574</f>
        <v>45603289</v>
      </c>
      <c r="E573" s="563">
        <f>+E574</f>
        <v>7100000</v>
      </c>
      <c r="F573" s="563">
        <f t="shared" si="322"/>
        <v>0</v>
      </c>
      <c r="G573" s="563">
        <f t="shared" si="322"/>
        <v>5300000</v>
      </c>
      <c r="H573" s="563">
        <f t="shared" si="322"/>
        <v>1800000</v>
      </c>
      <c r="I573" s="563">
        <f t="shared" si="322"/>
        <v>0</v>
      </c>
      <c r="J573" s="563">
        <f t="shared" si="322"/>
        <v>1800000</v>
      </c>
      <c r="K573" s="564">
        <f t="shared" si="322"/>
        <v>3301289</v>
      </c>
      <c r="L573" s="564">
        <f t="shared" si="322"/>
        <v>4200000</v>
      </c>
      <c r="M573" s="564">
        <f t="shared" si="322"/>
        <v>21401289</v>
      </c>
      <c r="N573" s="564">
        <f t="shared" si="322"/>
        <v>5000000</v>
      </c>
      <c r="O573" s="564">
        <f t="shared" si="322"/>
        <v>5000000</v>
      </c>
      <c r="P573" s="564">
        <f t="shared" si="322"/>
        <v>5002000</v>
      </c>
      <c r="Q573" s="564">
        <f t="shared" si="322"/>
        <v>5000000</v>
      </c>
      <c r="R573" s="564">
        <f t="shared" si="322"/>
        <v>5000000</v>
      </c>
      <c r="S573" s="564">
        <f t="shared" si="322"/>
        <v>2700000</v>
      </c>
      <c r="T573" s="564">
        <f t="shared" si="322"/>
        <v>1500000</v>
      </c>
      <c r="U573" s="1496"/>
      <c r="V573" s="1496"/>
      <c r="W573" s="1496"/>
      <c r="X573" s="567">
        <f>+X574</f>
        <v>19202000</v>
      </c>
      <c r="Y573" s="2721"/>
    </row>
    <row r="574" spans="1:141" s="1638" customFormat="1" thickBot="1">
      <c r="A574" s="2719"/>
      <c r="B574" s="1009" t="s">
        <v>24</v>
      </c>
      <c r="C574" s="2723"/>
      <c r="D574" s="433">
        <f>M574+O574+P574+Q574+R574+S574+T574+U574+V574+W574</f>
        <v>45603289</v>
      </c>
      <c r="E574" s="475">
        <f>+F574+G574+H574</f>
        <v>7100000</v>
      </c>
      <c r="F574" s="1497">
        <v>0</v>
      </c>
      <c r="G574" s="681">
        <v>5300000</v>
      </c>
      <c r="H574" s="949">
        <v>1800000</v>
      </c>
      <c r="I574" s="949">
        <v>0</v>
      </c>
      <c r="J574" s="681">
        <v>1800000</v>
      </c>
      <c r="K574" s="949">
        <f>1502000+1800000-711</f>
        <v>3301289</v>
      </c>
      <c r="L574" s="949">
        <f>1502000+2700000-2000</f>
        <v>4200000</v>
      </c>
      <c r="M574" s="434">
        <f>+E574+I574+J574+K574+L574+N574</f>
        <v>21401289</v>
      </c>
      <c r="N574" s="1498">
        <f>5002000-2000</f>
        <v>5000000</v>
      </c>
      <c r="O574" s="1498">
        <f>5002000-2000</f>
        <v>5000000</v>
      </c>
      <c r="P574" s="1498">
        <v>5002000</v>
      </c>
      <c r="Q574" s="1498">
        <v>5000000</v>
      </c>
      <c r="R574" s="1498">
        <v>5000000</v>
      </c>
      <c r="S574" s="1498">
        <v>2700000</v>
      </c>
      <c r="T574" s="1498">
        <v>1500000</v>
      </c>
      <c r="U574" s="1499"/>
      <c r="V574" s="1499"/>
      <c r="W574" s="1499"/>
      <c r="X574" s="393">
        <f>SUM(P574:T574)</f>
        <v>19202000</v>
      </c>
      <c r="Y574" s="2722"/>
      <c r="Z574" s="1642"/>
    </row>
    <row r="575" spans="1:141" s="1638" customFormat="1" ht="24" hidden="1" customHeight="1">
      <c r="A575" s="2586" t="s">
        <v>83</v>
      </c>
      <c r="B575" s="928" t="s">
        <v>135</v>
      </c>
      <c r="C575" s="418" t="s">
        <v>97</v>
      </c>
      <c r="D575" s="600"/>
      <c r="E575" s="420"/>
      <c r="F575" s="421"/>
      <c r="G575" s="421"/>
      <c r="H575" s="420"/>
      <c r="I575" s="420"/>
      <c r="J575" s="420"/>
      <c r="K575" s="420"/>
      <c r="L575" s="420"/>
      <c r="M575" s="422"/>
      <c r="N575" s="422"/>
      <c r="O575" s="422"/>
      <c r="P575" s="422"/>
      <c r="Q575" s="422"/>
      <c r="R575" s="422"/>
      <c r="S575" s="422"/>
      <c r="T575" s="422"/>
      <c r="U575" s="422"/>
      <c r="V575" s="422"/>
      <c r="W575" s="422"/>
      <c r="X575" s="423"/>
      <c r="Y575" s="2589" t="s">
        <v>103</v>
      </c>
    </row>
    <row r="576" spans="1:141" s="1638" customFormat="1" ht="12" hidden="1" customHeight="1">
      <c r="A576" s="2587"/>
      <c r="B576" s="358" t="s">
        <v>22</v>
      </c>
      <c r="C576" s="359"/>
      <c r="D576" s="595"/>
      <c r="E576" s="595"/>
      <c r="F576" s="595"/>
      <c r="G576" s="595"/>
      <c r="H576" s="595"/>
      <c r="I576" s="595"/>
      <c r="J576" s="595"/>
      <c r="K576" s="595"/>
      <c r="L576" s="595"/>
      <c r="M576" s="595"/>
      <c r="N576" s="595"/>
      <c r="O576" s="595"/>
      <c r="P576" s="595"/>
      <c r="Q576" s="595"/>
      <c r="R576" s="595"/>
      <c r="S576" s="595"/>
      <c r="T576" s="595"/>
      <c r="U576" s="1019"/>
      <c r="V576" s="1019"/>
      <c r="W576" s="1019"/>
      <c r="X576" s="525"/>
      <c r="Y576" s="2590"/>
    </row>
    <row r="577" spans="1:26" s="1638" customFormat="1" ht="11.25" hidden="1" customHeight="1">
      <c r="A577" s="2587"/>
      <c r="B577" s="510" t="s">
        <v>36</v>
      </c>
      <c r="C577" s="2602" t="s">
        <v>100</v>
      </c>
      <c r="D577" s="598"/>
      <c r="E577" s="598"/>
      <c r="F577" s="598"/>
      <c r="G577" s="598"/>
      <c r="H577" s="598"/>
      <c r="I577" s="598"/>
      <c r="J577" s="598"/>
      <c r="K577" s="598"/>
      <c r="L577" s="598"/>
      <c r="M577" s="598"/>
      <c r="N577" s="598"/>
      <c r="O577" s="598"/>
      <c r="P577" s="598"/>
      <c r="Q577" s="598"/>
      <c r="R577" s="598"/>
      <c r="S577" s="598"/>
      <c r="T577" s="598"/>
      <c r="U577" s="1018"/>
      <c r="V577" s="1018"/>
      <c r="W577" s="1018"/>
      <c r="X577" s="467"/>
      <c r="Y577" s="2590"/>
    </row>
    <row r="578" spans="1:26" s="1638" customFormat="1" hidden="1" thickBot="1">
      <c r="A578" s="2588"/>
      <c r="B578" s="1656" t="s">
        <v>24</v>
      </c>
      <c r="C578" s="2723"/>
      <c r="D578" s="517"/>
      <c r="E578" s="475"/>
      <c r="F578" s="801"/>
      <c r="G578" s="801"/>
      <c r="H578" s="801"/>
      <c r="I578" s="802"/>
      <c r="J578" s="802"/>
      <c r="K578" s="802"/>
      <c r="L578" s="801"/>
      <c r="M578" s="801"/>
      <c r="N578" s="801"/>
      <c r="O578" s="801"/>
      <c r="P578" s="801"/>
      <c r="Q578" s="801"/>
      <c r="R578" s="801"/>
      <c r="S578" s="801"/>
      <c r="T578" s="801"/>
      <c r="U578" s="1657"/>
      <c r="V578" s="1657"/>
      <c r="W578" s="1657"/>
      <c r="X578" s="1658"/>
      <c r="Y578" s="2591"/>
    </row>
    <row r="579" spans="1:26" s="1638" customFormat="1" ht="14.25" hidden="1" customHeight="1">
      <c r="A579" s="2586" t="s">
        <v>83</v>
      </c>
      <c r="B579" s="928"/>
      <c r="C579" s="418" t="s">
        <v>97</v>
      </c>
      <c r="D579" s="600"/>
      <c r="E579" s="420"/>
      <c r="F579" s="421"/>
      <c r="G579" s="421"/>
      <c r="H579" s="420"/>
      <c r="I579" s="420"/>
      <c r="J579" s="420"/>
      <c r="K579" s="420"/>
      <c r="L579" s="420"/>
      <c r="M579" s="422"/>
      <c r="N579" s="422"/>
      <c r="O579" s="422"/>
      <c r="P579" s="422"/>
      <c r="Q579" s="1475"/>
      <c r="R579" s="1475"/>
      <c r="S579" s="1475"/>
      <c r="T579" s="1475"/>
      <c r="U579" s="422"/>
      <c r="V579" s="422"/>
      <c r="W579" s="422"/>
      <c r="X579" s="423"/>
      <c r="Y579" s="2589" t="s">
        <v>103</v>
      </c>
    </row>
    <row r="580" spans="1:26" s="1638" customFormat="1" ht="13.5" hidden="1" customHeight="1">
      <c r="A580" s="2587"/>
      <c r="B580" s="358" t="s">
        <v>22</v>
      </c>
      <c r="C580" s="359"/>
      <c r="D580" s="595">
        <f>+D581</f>
        <v>0</v>
      </c>
      <c r="E580" s="595">
        <f t="shared" ref="E580:O580" si="323">+E581</f>
        <v>0</v>
      </c>
      <c r="F580" s="595">
        <f t="shared" si="323"/>
        <v>0</v>
      </c>
      <c r="G580" s="595">
        <f t="shared" si="323"/>
        <v>0</v>
      </c>
      <c r="H580" s="595">
        <f t="shared" si="323"/>
        <v>0</v>
      </c>
      <c r="I580" s="595">
        <f t="shared" si="323"/>
        <v>0</v>
      </c>
      <c r="J580" s="595">
        <f t="shared" si="323"/>
        <v>0</v>
      </c>
      <c r="K580" s="595">
        <f t="shared" si="323"/>
        <v>0</v>
      </c>
      <c r="L580" s="595">
        <f>+L581</f>
        <v>0</v>
      </c>
      <c r="M580" s="595">
        <f t="shared" si="323"/>
        <v>0</v>
      </c>
      <c r="N580" s="595">
        <f t="shared" si="323"/>
        <v>0</v>
      </c>
      <c r="O580" s="595">
        <f t="shared" si="323"/>
        <v>0</v>
      </c>
      <c r="P580" s="950">
        <v>0</v>
      </c>
      <c r="Q580" s="950">
        <v>0</v>
      </c>
      <c r="R580" s="950">
        <v>0</v>
      </c>
      <c r="S580" s="950">
        <v>0</v>
      </c>
      <c r="T580" s="950">
        <v>0</v>
      </c>
      <c r="U580" s="950">
        <v>0</v>
      </c>
      <c r="V580" s="950">
        <v>0</v>
      </c>
      <c r="W580" s="950">
        <v>0</v>
      </c>
      <c r="X580" s="464">
        <f>+X581</f>
        <v>0</v>
      </c>
      <c r="Y580" s="2590"/>
      <c r="Z580" s="1637">
        <f>+O580+P580+Q580+R580</f>
        <v>0</v>
      </c>
    </row>
    <row r="581" spans="1:26" s="1638" customFormat="1" ht="12.75" hidden="1" customHeight="1">
      <c r="A581" s="2587"/>
      <c r="B581" s="510" t="s">
        <v>36</v>
      </c>
      <c r="C581" s="2602" t="s">
        <v>100</v>
      </c>
      <c r="D581" s="598">
        <f>+D582+D583</f>
        <v>0</v>
      </c>
      <c r="E581" s="598">
        <f t="shared" ref="E581:M581" si="324">+E582+E583</f>
        <v>0</v>
      </c>
      <c r="F581" s="598">
        <f t="shared" si="324"/>
        <v>0</v>
      </c>
      <c r="G581" s="598">
        <f t="shared" si="324"/>
        <v>0</v>
      </c>
      <c r="H581" s="598">
        <f t="shared" si="324"/>
        <v>0</v>
      </c>
      <c r="I581" s="598">
        <f t="shared" si="324"/>
        <v>0</v>
      </c>
      <c r="J581" s="598">
        <f t="shared" si="324"/>
        <v>0</v>
      </c>
      <c r="K581" s="598">
        <f t="shared" si="324"/>
        <v>0</v>
      </c>
      <c r="L581" s="598">
        <f>+L582+L583</f>
        <v>0</v>
      </c>
      <c r="M581" s="598">
        <f t="shared" si="324"/>
        <v>0</v>
      </c>
      <c r="N581" s="598">
        <f>+N582+N583</f>
        <v>0</v>
      </c>
      <c r="O581" s="598">
        <f>+O582+O583</f>
        <v>0</v>
      </c>
      <c r="P581" s="951">
        <v>0</v>
      </c>
      <c r="Q581" s="951">
        <v>0</v>
      </c>
      <c r="R581" s="951">
        <v>0</v>
      </c>
      <c r="S581" s="951">
        <v>0</v>
      </c>
      <c r="T581" s="951">
        <v>0</v>
      </c>
      <c r="U581" s="951">
        <v>0</v>
      </c>
      <c r="V581" s="951">
        <v>0</v>
      </c>
      <c r="W581" s="951">
        <v>0</v>
      </c>
      <c r="X581" s="486">
        <f>+X582+X583</f>
        <v>0</v>
      </c>
      <c r="Y581" s="2590"/>
      <c r="Z581" s="1638" t="s">
        <v>325</v>
      </c>
    </row>
    <row r="582" spans="1:26" s="1638" customFormat="1" ht="12" hidden="1">
      <c r="A582" s="2587"/>
      <c r="B582" s="1659" t="s">
        <v>24</v>
      </c>
      <c r="C582" s="2595"/>
      <c r="D582" s="450">
        <f>+M582+O582</f>
        <v>0</v>
      </c>
      <c r="E582" s="440">
        <f>+F582+G582+H582</f>
        <v>0</v>
      </c>
      <c r="F582" s="514">
        <v>0</v>
      </c>
      <c r="G582" s="514"/>
      <c r="H582" s="514">
        <v>0</v>
      </c>
      <c r="I582" s="513">
        <f>9525-9525</f>
        <v>0</v>
      </c>
      <c r="J582" s="513"/>
      <c r="K582" s="513"/>
      <c r="L582" s="514"/>
      <c r="M582" s="514">
        <f>+J582+K582+L582+N582</f>
        <v>0</v>
      </c>
      <c r="N582" s="514"/>
      <c r="O582" s="514"/>
      <c r="P582" s="954">
        <v>0</v>
      </c>
      <c r="Q582" s="954">
        <v>0</v>
      </c>
      <c r="R582" s="954">
        <v>0</v>
      </c>
      <c r="S582" s="954">
        <v>0</v>
      </c>
      <c r="T582" s="954">
        <v>0</v>
      </c>
      <c r="U582" s="954">
        <v>0</v>
      </c>
      <c r="V582" s="954">
        <v>0</v>
      </c>
      <c r="W582" s="954">
        <v>0</v>
      </c>
      <c r="X582" s="393">
        <f>SUM(P582:T582)</f>
        <v>0</v>
      </c>
      <c r="Y582" s="2590"/>
    </row>
    <row r="583" spans="1:26" s="1638" customFormat="1" ht="12" hidden="1">
      <c r="A583" s="2587"/>
      <c r="B583" s="1660" t="s">
        <v>27</v>
      </c>
      <c r="C583" s="2662"/>
      <c r="D583" s="450">
        <f>+M583+O583</f>
        <v>0</v>
      </c>
      <c r="E583" s="740"/>
      <c r="F583" s="789"/>
      <c r="G583" s="789"/>
      <c r="H583" s="789"/>
      <c r="I583" s="799"/>
      <c r="J583" s="799"/>
      <c r="K583" s="799"/>
      <c r="L583" s="789"/>
      <c r="M583" s="514">
        <f>+J583+K583+L583+N583</f>
        <v>0</v>
      </c>
      <c r="N583" s="789"/>
      <c r="O583" s="789"/>
      <c r="P583" s="954">
        <v>0</v>
      </c>
      <c r="Q583" s="954">
        <v>0</v>
      </c>
      <c r="R583" s="954">
        <v>0</v>
      </c>
      <c r="S583" s="954">
        <v>0</v>
      </c>
      <c r="T583" s="954">
        <v>0</v>
      </c>
      <c r="U583" s="954">
        <v>0</v>
      </c>
      <c r="V583" s="954">
        <v>0</v>
      </c>
      <c r="W583" s="954">
        <v>0</v>
      </c>
      <c r="X583" s="393">
        <f>SUM(P583:T583)</f>
        <v>0</v>
      </c>
      <c r="Y583" s="2528"/>
    </row>
    <row r="584" spans="1:26" s="1638" customFormat="1" ht="10.5" hidden="1" customHeight="1">
      <c r="A584" s="2587"/>
      <c r="B584" s="358" t="s">
        <v>34</v>
      </c>
      <c r="C584" s="359"/>
      <c r="D584" s="595">
        <f>+D585</f>
        <v>0</v>
      </c>
      <c r="E584" s="595">
        <f t="shared" ref="E584:O585" si="325">+E585</f>
        <v>0</v>
      </c>
      <c r="F584" s="595">
        <f t="shared" si="325"/>
        <v>0</v>
      </c>
      <c r="G584" s="595">
        <f t="shared" si="325"/>
        <v>0</v>
      </c>
      <c r="H584" s="595">
        <f t="shared" si="325"/>
        <v>0</v>
      </c>
      <c r="I584" s="595">
        <f t="shared" si="325"/>
        <v>0</v>
      </c>
      <c r="J584" s="595">
        <f t="shared" si="325"/>
        <v>0</v>
      </c>
      <c r="K584" s="595">
        <f t="shared" si="325"/>
        <v>0</v>
      </c>
      <c r="L584" s="595">
        <f t="shared" si="325"/>
        <v>0</v>
      </c>
      <c r="M584" s="595">
        <f t="shared" si="325"/>
        <v>0</v>
      </c>
      <c r="N584" s="595">
        <f t="shared" si="325"/>
        <v>0</v>
      </c>
      <c r="O584" s="595">
        <f t="shared" si="325"/>
        <v>0</v>
      </c>
      <c r="P584" s="950">
        <v>0</v>
      </c>
      <c r="Q584" s="950">
        <v>0</v>
      </c>
      <c r="R584" s="950">
        <v>0</v>
      </c>
      <c r="S584" s="950">
        <v>0</v>
      </c>
      <c r="T584" s="950">
        <v>0</v>
      </c>
      <c r="U584" s="950">
        <v>0</v>
      </c>
      <c r="V584" s="950">
        <v>0</v>
      </c>
      <c r="W584" s="950">
        <v>0</v>
      </c>
      <c r="X584" s="2766" t="s">
        <v>35</v>
      </c>
      <c r="Y584" s="2744" t="s">
        <v>120</v>
      </c>
    </row>
    <row r="585" spans="1:26" s="1638" customFormat="1" ht="12.75" hidden="1" customHeight="1">
      <c r="A585" s="2587"/>
      <c r="B585" s="510" t="s">
        <v>36</v>
      </c>
      <c r="C585" s="2623" t="s">
        <v>100</v>
      </c>
      <c r="D585" s="598">
        <f>+D586</f>
        <v>0</v>
      </c>
      <c r="E585" s="598">
        <f t="shared" si="325"/>
        <v>0</v>
      </c>
      <c r="F585" s="598">
        <f t="shared" si="325"/>
        <v>0</v>
      </c>
      <c r="G585" s="598">
        <f t="shared" si="325"/>
        <v>0</v>
      </c>
      <c r="H585" s="598">
        <f t="shared" si="325"/>
        <v>0</v>
      </c>
      <c r="I585" s="598">
        <f t="shared" si="325"/>
        <v>0</v>
      </c>
      <c r="J585" s="598">
        <f t="shared" si="325"/>
        <v>0</v>
      </c>
      <c r="K585" s="598">
        <f t="shared" si="325"/>
        <v>0</v>
      </c>
      <c r="L585" s="598">
        <f t="shared" si="325"/>
        <v>0</v>
      </c>
      <c r="M585" s="598">
        <f t="shared" si="325"/>
        <v>0</v>
      </c>
      <c r="N585" s="598">
        <f t="shared" si="325"/>
        <v>0</v>
      </c>
      <c r="O585" s="598">
        <f t="shared" si="325"/>
        <v>0</v>
      </c>
      <c r="P585" s="951">
        <v>0</v>
      </c>
      <c r="Q585" s="951">
        <v>0</v>
      </c>
      <c r="R585" s="951">
        <v>0</v>
      </c>
      <c r="S585" s="951">
        <v>0</v>
      </c>
      <c r="T585" s="951">
        <v>0</v>
      </c>
      <c r="U585" s="951">
        <v>0</v>
      </c>
      <c r="V585" s="951">
        <v>0</v>
      </c>
      <c r="W585" s="951">
        <v>0</v>
      </c>
      <c r="X585" s="2760"/>
      <c r="Y585" s="2590"/>
    </row>
    <row r="586" spans="1:26" s="1638" customFormat="1" ht="13.5" hidden="1" customHeight="1" thickBot="1">
      <c r="A586" s="2588"/>
      <c r="B586" s="1656" t="s">
        <v>27</v>
      </c>
      <c r="C586" s="2593"/>
      <c r="D586" s="517">
        <f>+M586+O586</f>
        <v>0</v>
      </c>
      <c r="E586" s="454"/>
      <c r="F586" s="1500"/>
      <c r="G586" s="1500"/>
      <c r="H586" s="1500"/>
      <c r="I586" s="1501"/>
      <c r="J586" s="1501"/>
      <c r="K586" s="1501"/>
      <c r="L586" s="481"/>
      <c r="M586" s="481">
        <f>+L586+N586</f>
        <v>0</v>
      </c>
      <c r="N586" s="481"/>
      <c r="O586" s="481"/>
      <c r="P586" s="954">
        <v>0</v>
      </c>
      <c r="Q586" s="954">
        <v>0</v>
      </c>
      <c r="R586" s="954">
        <v>0</v>
      </c>
      <c r="S586" s="954">
        <v>0</v>
      </c>
      <c r="T586" s="954">
        <v>0</v>
      </c>
      <c r="U586" s="954">
        <v>0</v>
      </c>
      <c r="V586" s="954">
        <v>0</v>
      </c>
      <c r="W586" s="954">
        <v>0</v>
      </c>
      <c r="X586" s="2761"/>
      <c r="Y586" s="2591"/>
    </row>
    <row r="587" spans="1:26" s="1638" customFormat="1" ht="25.5" customHeight="1">
      <c r="A587" s="2586" t="s">
        <v>136</v>
      </c>
      <c r="B587" s="928" t="s">
        <v>443</v>
      </c>
      <c r="C587" s="457" t="s">
        <v>97</v>
      </c>
      <c r="D587" s="420"/>
      <c r="E587" s="420"/>
      <c r="F587" s="421"/>
      <c r="G587" s="421"/>
      <c r="H587" s="420"/>
      <c r="I587" s="420"/>
      <c r="J587" s="420"/>
      <c r="K587" s="420"/>
      <c r="L587" s="420"/>
      <c r="M587" s="420"/>
      <c r="N587" s="420"/>
      <c r="O587" s="420"/>
      <c r="P587" s="422"/>
      <c r="Q587" s="422"/>
      <c r="R587" s="422"/>
      <c r="S587" s="422"/>
      <c r="T587" s="422"/>
      <c r="U587" s="422"/>
      <c r="V587" s="422"/>
      <c r="W587" s="422"/>
      <c r="X587" s="423"/>
      <c r="Y587" s="2589" t="s">
        <v>103</v>
      </c>
    </row>
    <row r="588" spans="1:26" s="1638" customFormat="1" ht="12">
      <c r="A588" s="2587"/>
      <c r="B588" s="358" t="s">
        <v>22</v>
      </c>
      <c r="C588" s="359"/>
      <c r="D588" s="595">
        <f>+D589</f>
        <v>1743306</v>
      </c>
      <c r="E588" s="595">
        <f t="shared" ref="E588:Q589" si="326">+E589</f>
        <v>0</v>
      </c>
      <c r="F588" s="595">
        <f t="shared" si="326"/>
        <v>0</v>
      </c>
      <c r="G588" s="595">
        <f t="shared" si="326"/>
        <v>0</v>
      </c>
      <c r="H588" s="595">
        <f t="shared" si="326"/>
        <v>0</v>
      </c>
      <c r="I588" s="595">
        <f t="shared" si="326"/>
        <v>0</v>
      </c>
      <c r="J588" s="595">
        <f t="shared" si="326"/>
        <v>0</v>
      </c>
      <c r="K588" s="595">
        <f t="shared" si="326"/>
        <v>354120</v>
      </c>
      <c r="L588" s="595">
        <f t="shared" si="326"/>
        <v>0</v>
      </c>
      <c r="M588" s="595">
        <f t="shared" si="326"/>
        <v>354120</v>
      </c>
      <c r="N588" s="595">
        <f t="shared" si="326"/>
        <v>0</v>
      </c>
      <c r="O588" s="595">
        <f t="shared" si="326"/>
        <v>149500</v>
      </c>
      <c r="P588" s="595">
        <f t="shared" si="326"/>
        <v>0</v>
      </c>
      <c r="Q588" s="595">
        <f t="shared" si="326"/>
        <v>1239686</v>
      </c>
      <c r="R588" s="950">
        <v>0</v>
      </c>
      <c r="S588" s="950">
        <v>0</v>
      </c>
      <c r="T588" s="950">
        <v>0</v>
      </c>
      <c r="U588" s="950">
        <v>0</v>
      </c>
      <c r="V588" s="950">
        <v>0</v>
      </c>
      <c r="W588" s="950">
        <v>0</v>
      </c>
      <c r="X588" s="464">
        <f>+X589</f>
        <v>1239686</v>
      </c>
      <c r="Y588" s="2590"/>
      <c r="Z588" s="1637">
        <f>+O588+P588+Q588+R588</f>
        <v>1389186</v>
      </c>
    </row>
    <row r="589" spans="1:26" s="1638" customFormat="1" ht="12">
      <c r="A589" s="2587"/>
      <c r="B589" s="510" t="s">
        <v>36</v>
      </c>
      <c r="C589" s="2602" t="s">
        <v>100</v>
      </c>
      <c r="D589" s="598">
        <f>+D590</f>
        <v>1743306</v>
      </c>
      <c r="E589" s="598">
        <f t="shared" si="326"/>
        <v>0</v>
      </c>
      <c r="F589" s="598">
        <f t="shared" si="326"/>
        <v>0</v>
      </c>
      <c r="G589" s="598">
        <f t="shared" si="326"/>
        <v>0</v>
      </c>
      <c r="H589" s="598">
        <f t="shared" si="326"/>
        <v>0</v>
      </c>
      <c r="I589" s="598">
        <f t="shared" si="326"/>
        <v>0</v>
      </c>
      <c r="J589" s="598">
        <f t="shared" si="326"/>
        <v>0</v>
      </c>
      <c r="K589" s="598">
        <f t="shared" si="326"/>
        <v>354120</v>
      </c>
      <c r="L589" s="598">
        <f t="shared" si="326"/>
        <v>0</v>
      </c>
      <c r="M589" s="598">
        <f t="shared" si="326"/>
        <v>354120</v>
      </c>
      <c r="N589" s="598">
        <f t="shared" si="326"/>
        <v>0</v>
      </c>
      <c r="O589" s="598">
        <f t="shared" si="326"/>
        <v>149500</v>
      </c>
      <c r="P589" s="598">
        <f t="shared" si="326"/>
        <v>0</v>
      </c>
      <c r="Q589" s="598">
        <f t="shared" si="326"/>
        <v>1239686</v>
      </c>
      <c r="R589" s="951">
        <v>0</v>
      </c>
      <c r="S589" s="951">
        <v>0</v>
      </c>
      <c r="T589" s="951">
        <v>0</v>
      </c>
      <c r="U589" s="951">
        <v>0</v>
      </c>
      <c r="V589" s="951">
        <v>0</v>
      </c>
      <c r="W589" s="951">
        <v>0</v>
      </c>
      <c r="X589" s="486">
        <f>+X590</f>
        <v>1239686</v>
      </c>
      <c r="Y589" s="2590"/>
    </row>
    <row r="590" spans="1:26" s="1638" customFormat="1" thickBot="1">
      <c r="A590" s="2588"/>
      <c r="B590" s="1656" t="s">
        <v>24</v>
      </c>
      <c r="C590" s="2603"/>
      <c r="D590" s="433">
        <f>M590+O590+P590+Q590+R590+S590+T590+U590+V590+W590</f>
        <v>1743306</v>
      </c>
      <c r="E590" s="440">
        <f>+F590+G590+H590</f>
        <v>0</v>
      </c>
      <c r="F590" s="514">
        <v>0</v>
      </c>
      <c r="G590" s="514"/>
      <c r="H590" s="514">
        <v>0</v>
      </c>
      <c r="I590" s="513">
        <f>9525-9525</f>
        <v>0</v>
      </c>
      <c r="J590" s="513"/>
      <c r="K590" s="513">
        <v>354120</v>
      </c>
      <c r="L590" s="514">
        <f>1389186-1389186</f>
        <v>0</v>
      </c>
      <c r="M590" s="434">
        <f>+E590+I590+J590+K590+L590+N590</f>
        <v>354120</v>
      </c>
      <c r="N590" s="514">
        <f>149500-149500</f>
        <v>0</v>
      </c>
      <c r="O590" s="514">
        <f>1200000+39686+149500-1239686</f>
        <v>149500</v>
      </c>
      <c r="P590" s="514">
        <f>1239686-1239686</f>
        <v>0</v>
      </c>
      <c r="Q590" s="514">
        <v>1239686</v>
      </c>
      <c r="R590" s="954">
        <v>0</v>
      </c>
      <c r="S590" s="954">
        <v>0</v>
      </c>
      <c r="T590" s="954">
        <v>0</v>
      </c>
      <c r="U590" s="954">
        <v>0</v>
      </c>
      <c r="V590" s="954">
        <v>0</v>
      </c>
      <c r="W590" s="954">
        <v>0</v>
      </c>
      <c r="X590" s="393">
        <f>SUM(P590:T590)</f>
        <v>1239686</v>
      </c>
      <c r="Y590" s="2590"/>
    </row>
    <row r="591" spans="1:26" s="1638" customFormat="1" ht="22.5" hidden="1" customHeight="1">
      <c r="A591" s="2586" t="s">
        <v>104</v>
      </c>
      <c r="B591" s="928"/>
      <c r="C591" s="457" t="s">
        <v>97</v>
      </c>
      <c r="D591" s="600"/>
      <c r="E591" s="420"/>
      <c r="F591" s="421"/>
      <c r="G591" s="421"/>
      <c r="H591" s="420"/>
      <c r="I591" s="420"/>
      <c r="J591" s="420"/>
      <c r="K591" s="420"/>
      <c r="L591" s="420"/>
      <c r="M591" s="422"/>
      <c r="N591" s="422"/>
      <c r="O591" s="422"/>
      <c r="P591" s="422"/>
      <c r="Q591" s="422"/>
      <c r="R591" s="422"/>
      <c r="S591" s="800"/>
      <c r="T591" s="541"/>
      <c r="U591" s="800"/>
      <c r="V591" s="800"/>
      <c r="W591" s="800"/>
      <c r="X591" s="423"/>
      <c r="Y591" s="2589" t="s">
        <v>103</v>
      </c>
    </row>
    <row r="592" spans="1:26" s="1638" customFormat="1" ht="12.75" hidden="1" customHeight="1">
      <c r="A592" s="2587"/>
      <c r="B592" s="358" t="s">
        <v>22</v>
      </c>
      <c r="C592" s="359"/>
      <c r="D592" s="595">
        <f>+D593</f>
        <v>0</v>
      </c>
      <c r="E592" s="595">
        <f t="shared" ref="E592:N592" si="327">+E593</f>
        <v>0</v>
      </c>
      <c r="F592" s="595">
        <f t="shared" si="327"/>
        <v>0</v>
      </c>
      <c r="G592" s="595">
        <f t="shared" si="327"/>
        <v>0</v>
      </c>
      <c r="H592" s="595">
        <f t="shared" si="327"/>
        <v>0</v>
      </c>
      <c r="I592" s="595">
        <f t="shared" si="327"/>
        <v>0</v>
      </c>
      <c r="J592" s="595">
        <f t="shared" si="327"/>
        <v>0</v>
      </c>
      <c r="K592" s="595">
        <f t="shared" si="327"/>
        <v>0</v>
      </c>
      <c r="L592" s="595">
        <f t="shared" si="327"/>
        <v>0</v>
      </c>
      <c r="M592" s="595">
        <f t="shared" si="327"/>
        <v>0</v>
      </c>
      <c r="N592" s="595">
        <f t="shared" si="327"/>
        <v>0</v>
      </c>
      <c r="O592" s="950">
        <v>0</v>
      </c>
      <c r="P592" s="950">
        <v>0</v>
      </c>
      <c r="Q592" s="950">
        <v>0</v>
      </c>
      <c r="R592" s="950">
        <v>0</v>
      </c>
      <c r="S592" s="950">
        <v>0</v>
      </c>
      <c r="T592" s="950">
        <v>0</v>
      </c>
      <c r="U592" s="950">
        <v>0</v>
      </c>
      <c r="V592" s="950">
        <v>0</v>
      </c>
      <c r="W592" s="950">
        <v>0</v>
      </c>
      <c r="X592" s="745">
        <f>+X593</f>
        <v>0</v>
      </c>
      <c r="Y592" s="2590"/>
      <c r="Z592" s="1637">
        <f>+O592+P592+Q592+R592</f>
        <v>0</v>
      </c>
    </row>
    <row r="593" spans="1:26" s="1638" customFormat="1" ht="12.75" hidden="1" customHeight="1">
      <c r="A593" s="2587"/>
      <c r="B593" s="510" t="s">
        <v>36</v>
      </c>
      <c r="C593" s="2602" t="s">
        <v>100</v>
      </c>
      <c r="D593" s="598">
        <f>+D594+D595</f>
        <v>0</v>
      </c>
      <c r="E593" s="598">
        <f t="shared" ref="E593:N593" si="328">+E594+E595</f>
        <v>0</v>
      </c>
      <c r="F593" s="598">
        <f t="shared" si="328"/>
        <v>0</v>
      </c>
      <c r="G593" s="598">
        <f t="shared" si="328"/>
        <v>0</v>
      </c>
      <c r="H593" s="598">
        <f t="shared" si="328"/>
        <v>0</v>
      </c>
      <c r="I593" s="598">
        <f t="shared" si="328"/>
        <v>0</v>
      </c>
      <c r="J593" s="598">
        <f t="shared" si="328"/>
        <v>0</v>
      </c>
      <c r="K593" s="598">
        <f t="shared" si="328"/>
        <v>0</v>
      </c>
      <c r="L593" s="598">
        <f t="shared" si="328"/>
        <v>0</v>
      </c>
      <c r="M593" s="598">
        <f>+M594+M595</f>
        <v>0</v>
      </c>
      <c r="N593" s="598">
        <f t="shared" si="328"/>
        <v>0</v>
      </c>
      <c r="O593" s="951">
        <v>0</v>
      </c>
      <c r="P593" s="951">
        <v>0</v>
      </c>
      <c r="Q593" s="951">
        <v>0</v>
      </c>
      <c r="R593" s="951">
        <v>0</v>
      </c>
      <c r="S593" s="951">
        <v>0</v>
      </c>
      <c r="T593" s="951">
        <v>0</v>
      </c>
      <c r="U593" s="951">
        <v>0</v>
      </c>
      <c r="V593" s="951">
        <v>0</v>
      </c>
      <c r="W593" s="951">
        <v>0</v>
      </c>
      <c r="X593" s="486">
        <f>+X594</f>
        <v>0</v>
      </c>
      <c r="Y593" s="2590"/>
    </row>
    <row r="594" spans="1:26" s="1638" customFormat="1" ht="12.75" hidden="1" customHeight="1">
      <c r="A594" s="2587"/>
      <c r="B594" s="1659" t="s">
        <v>24</v>
      </c>
      <c r="C594" s="2595"/>
      <c r="D594" s="433">
        <f>M594+O594+P594+Q594+R594+S594+T594+U594+V594+W594</f>
        <v>0</v>
      </c>
      <c r="E594" s="440">
        <f>+F594+G594+H594</f>
        <v>0</v>
      </c>
      <c r="F594" s="514">
        <v>0</v>
      </c>
      <c r="G594" s="514"/>
      <c r="H594" s="514">
        <v>0</v>
      </c>
      <c r="I594" s="599"/>
      <c r="J594" s="478"/>
      <c r="K594" s="513"/>
      <c r="L594" s="514"/>
      <c r="M594" s="434">
        <f>+E594+I594+J594+K594+L594+N594</f>
        <v>0</v>
      </c>
      <c r="N594" s="514"/>
      <c r="O594" s="954">
        <v>0</v>
      </c>
      <c r="P594" s="954">
        <v>0</v>
      </c>
      <c r="Q594" s="954">
        <v>0</v>
      </c>
      <c r="R594" s="954">
        <v>0</v>
      </c>
      <c r="S594" s="954">
        <v>0</v>
      </c>
      <c r="T594" s="954">
        <v>0</v>
      </c>
      <c r="U594" s="954">
        <v>0</v>
      </c>
      <c r="V594" s="954">
        <v>0</v>
      </c>
      <c r="W594" s="954">
        <v>0</v>
      </c>
      <c r="X594" s="393">
        <f>SUM(P594:T594)</f>
        <v>0</v>
      </c>
      <c r="Y594" s="2590"/>
    </row>
    <row r="595" spans="1:26" s="1638" customFormat="1" ht="12.75" hidden="1" customHeight="1">
      <c r="A595" s="2587"/>
      <c r="B595" s="1660" t="s">
        <v>27</v>
      </c>
      <c r="C595" s="2662"/>
      <c r="D595" s="433">
        <f>M595+O595+P595+Q595+R595+S595+T595+U595+V595+W595</f>
        <v>0</v>
      </c>
      <c r="E595" s="740"/>
      <c r="F595" s="789"/>
      <c r="G595" s="789"/>
      <c r="H595" s="789"/>
      <c r="I595" s="799"/>
      <c r="J595" s="799"/>
      <c r="K595" s="799"/>
      <c r="L595" s="789"/>
      <c r="M595" s="434">
        <f>+E595+I595+J595+K595+L595+N595</f>
        <v>0</v>
      </c>
      <c r="N595" s="789"/>
      <c r="O595" s="954">
        <v>0</v>
      </c>
      <c r="P595" s="954">
        <v>0</v>
      </c>
      <c r="Q595" s="954">
        <v>0</v>
      </c>
      <c r="R595" s="954">
        <v>0</v>
      </c>
      <c r="S595" s="954">
        <v>0</v>
      </c>
      <c r="T595" s="954">
        <v>0</v>
      </c>
      <c r="U595" s="954">
        <v>0</v>
      </c>
      <c r="V595" s="954">
        <v>0</v>
      </c>
      <c r="W595" s="954">
        <v>0</v>
      </c>
      <c r="X595" s="393">
        <f>SUM(P595:T595)</f>
        <v>0</v>
      </c>
      <c r="Y595" s="2528"/>
    </row>
    <row r="596" spans="1:26" s="1638" customFormat="1" ht="12.75" hidden="1" customHeight="1">
      <c r="A596" s="2587"/>
      <c r="B596" s="358" t="s">
        <v>34</v>
      </c>
      <c r="C596" s="359"/>
      <c r="D596" s="595">
        <f>+D597</f>
        <v>0</v>
      </c>
      <c r="E596" s="595">
        <f t="shared" ref="E596:N597" si="329">+E597</f>
        <v>0</v>
      </c>
      <c r="F596" s="595">
        <f t="shared" si="329"/>
        <v>0</v>
      </c>
      <c r="G596" s="595">
        <f t="shared" si="329"/>
        <v>0</v>
      </c>
      <c r="H596" s="595">
        <f t="shared" si="329"/>
        <v>0</v>
      </c>
      <c r="I596" s="595">
        <f t="shared" si="329"/>
        <v>0</v>
      </c>
      <c r="J596" s="595">
        <f t="shared" si="329"/>
        <v>0</v>
      </c>
      <c r="K596" s="595">
        <f t="shared" si="329"/>
        <v>0</v>
      </c>
      <c r="L596" s="595">
        <f t="shared" si="329"/>
        <v>0</v>
      </c>
      <c r="M596" s="595">
        <f t="shared" si="329"/>
        <v>0</v>
      </c>
      <c r="N596" s="595">
        <f t="shared" si="329"/>
        <v>0</v>
      </c>
      <c r="O596" s="950">
        <v>0</v>
      </c>
      <c r="P596" s="950">
        <v>0</v>
      </c>
      <c r="Q596" s="950">
        <v>0</v>
      </c>
      <c r="R596" s="950">
        <v>0</v>
      </c>
      <c r="S596" s="950">
        <v>0</v>
      </c>
      <c r="T596" s="950">
        <v>0</v>
      </c>
      <c r="U596" s="950">
        <v>0</v>
      </c>
      <c r="V596" s="950">
        <v>0</v>
      </c>
      <c r="W596" s="950">
        <v>0</v>
      </c>
      <c r="X596" s="2767" t="s">
        <v>35</v>
      </c>
      <c r="Y596" s="2744" t="s">
        <v>120</v>
      </c>
    </row>
    <row r="597" spans="1:26" s="1638" customFormat="1" ht="12.75" hidden="1" customHeight="1">
      <c r="A597" s="2587"/>
      <c r="B597" s="510" t="s">
        <v>36</v>
      </c>
      <c r="C597" s="2623" t="s">
        <v>100</v>
      </c>
      <c r="D597" s="598">
        <f>+D598</f>
        <v>0</v>
      </c>
      <c r="E597" s="598">
        <f t="shared" si="329"/>
        <v>0</v>
      </c>
      <c r="F597" s="598">
        <f t="shared" si="329"/>
        <v>0</v>
      </c>
      <c r="G597" s="598">
        <f t="shared" si="329"/>
        <v>0</v>
      </c>
      <c r="H597" s="598">
        <f t="shared" si="329"/>
        <v>0</v>
      </c>
      <c r="I597" s="598">
        <f t="shared" si="329"/>
        <v>0</v>
      </c>
      <c r="J597" s="598">
        <f t="shared" si="329"/>
        <v>0</v>
      </c>
      <c r="K597" s="598">
        <f t="shared" si="329"/>
        <v>0</v>
      </c>
      <c r="L597" s="598">
        <f t="shared" si="329"/>
        <v>0</v>
      </c>
      <c r="M597" s="598">
        <f t="shared" si="329"/>
        <v>0</v>
      </c>
      <c r="N597" s="598">
        <f t="shared" si="329"/>
        <v>0</v>
      </c>
      <c r="O597" s="951">
        <v>0</v>
      </c>
      <c r="P597" s="951">
        <v>0</v>
      </c>
      <c r="Q597" s="951">
        <v>0</v>
      </c>
      <c r="R597" s="951">
        <v>0</v>
      </c>
      <c r="S597" s="951">
        <v>0</v>
      </c>
      <c r="T597" s="951">
        <v>0</v>
      </c>
      <c r="U597" s="951">
        <v>0</v>
      </c>
      <c r="V597" s="951">
        <v>0</v>
      </c>
      <c r="W597" s="951">
        <v>0</v>
      </c>
      <c r="X597" s="2746"/>
      <c r="Y597" s="2590"/>
    </row>
    <row r="598" spans="1:26" s="1638" customFormat="1" ht="13.5" hidden="1" customHeight="1" thickBot="1">
      <c r="A598" s="2588"/>
      <c r="B598" s="1656" t="s">
        <v>27</v>
      </c>
      <c r="C598" s="2593"/>
      <c r="D598" s="433">
        <f>M598+O598+P598+Q598+R598+S598+T598+U598+V598+W598</f>
        <v>0</v>
      </c>
      <c r="E598" s="475"/>
      <c r="F598" s="801"/>
      <c r="G598" s="801"/>
      <c r="H598" s="801"/>
      <c r="I598" s="802"/>
      <c r="J598" s="802"/>
      <c r="K598" s="802"/>
      <c r="L598" s="481"/>
      <c r="M598" s="434"/>
      <c r="N598" s="481"/>
      <c r="O598" s="954">
        <v>0</v>
      </c>
      <c r="P598" s="954">
        <v>0</v>
      </c>
      <c r="Q598" s="954">
        <v>0</v>
      </c>
      <c r="R598" s="954">
        <v>0</v>
      </c>
      <c r="S598" s="954">
        <v>0</v>
      </c>
      <c r="T598" s="954">
        <v>0</v>
      </c>
      <c r="U598" s="954">
        <v>0</v>
      </c>
      <c r="V598" s="954">
        <v>0</v>
      </c>
      <c r="W598" s="954">
        <v>0</v>
      </c>
      <c r="X598" s="2747"/>
      <c r="Y598" s="2591"/>
    </row>
    <row r="599" spans="1:26" s="1638" customFormat="1" ht="26.25" customHeight="1">
      <c r="A599" s="2586" t="s">
        <v>104</v>
      </c>
      <c r="B599" s="928" t="s">
        <v>318</v>
      </c>
      <c r="C599" s="457" t="s">
        <v>97</v>
      </c>
      <c r="D599" s="600"/>
      <c r="E599" s="420"/>
      <c r="F599" s="421"/>
      <c r="G599" s="421"/>
      <c r="H599" s="420"/>
      <c r="I599" s="420"/>
      <c r="J599" s="420"/>
      <c r="K599" s="420"/>
      <c r="L599" s="420"/>
      <c r="M599" s="422"/>
      <c r="N599" s="422"/>
      <c r="O599" s="422"/>
      <c r="P599" s="422"/>
      <c r="Q599" s="422"/>
      <c r="R599" s="422"/>
      <c r="S599" s="422"/>
      <c r="T599" s="542"/>
      <c r="U599" s="800"/>
      <c r="V599" s="800"/>
      <c r="W599" s="800"/>
      <c r="X599" s="800"/>
      <c r="Y599" s="2589" t="s">
        <v>103</v>
      </c>
    </row>
    <row r="600" spans="1:26" s="1638" customFormat="1" ht="12">
      <c r="A600" s="2587"/>
      <c r="B600" s="358" t="s">
        <v>22</v>
      </c>
      <c r="C600" s="1670"/>
      <c r="D600" s="1625">
        <f>+D601</f>
        <v>4410000</v>
      </c>
      <c r="E600" s="1625"/>
      <c r="F600" s="1625"/>
      <c r="G600" s="1625"/>
      <c r="H600" s="1625"/>
      <c r="I600" s="1625"/>
      <c r="J600" s="1625">
        <f>+J601</f>
        <v>0</v>
      </c>
      <c r="K600" s="1625">
        <f t="shared" ref="K600:P601" si="330">+K601</f>
        <v>0</v>
      </c>
      <c r="L600" s="1625">
        <f t="shared" si="330"/>
        <v>0</v>
      </c>
      <c r="M600" s="1626">
        <f t="shared" si="330"/>
        <v>0</v>
      </c>
      <c r="N600" s="1626">
        <f t="shared" si="330"/>
        <v>0</v>
      </c>
      <c r="O600" s="1626">
        <f t="shared" si="330"/>
        <v>0</v>
      </c>
      <c r="P600" s="1625">
        <f t="shared" si="330"/>
        <v>4410000</v>
      </c>
      <c r="Q600" s="1626">
        <v>0</v>
      </c>
      <c r="R600" s="1626">
        <v>0</v>
      </c>
      <c r="S600" s="1626">
        <v>0</v>
      </c>
      <c r="T600" s="1626">
        <v>0</v>
      </c>
      <c r="U600" s="1626">
        <v>0</v>
      </c>
      <c r="V600" s="1626">
        <v>0</v>
      </c>
      <c r="W600" s="1626">
        <v>0</v>
      </c>
      <c r="X600" s="1704">
        <f>+X601</f>
        <v>4410000</v>
      </c>
      <c r="Y600" s="2590"/>
    </row>
    <row r="601" spans="1:26" s="1638" customFormat="1" ht="12">
      <c r="A601" s="2587"/>
      <c r="B601" s="510" t="s">
        <v>36</v>
      </c>
      <c r="C601" s="2592" t="s">
        <v>100</v>
      </c>
      <c r="D601" s="1703">
        <f>+D602</f>
        <v>4410000</v>
      </c>
      <c r="E601" s="1703"/>
      <c r="F601" s="1703"/>
      <c r="G601" s="1703"/>
      <c r="H601" s="1703"/>
      <c r="I601" s="1703"/>
      <c r="J601" s="1703">
        <f>+J602</f>
        <v>0</v>
      </c>
      <c r="K601" s="1703">
        <f t="shared" si="330"/>
        <v>0</v>
      </c>
      <c r="L601" s="1703">
        <f t="shared" si="330"/>
        <v>0</v>
      </c>
      <c r="M601" s="1705">
        <f t="shared" si="330"/>
        <v>0</v>
      </c>
      <c r="N601" s="1705">
        <f t="shared" si="330"/>
        <v>0</v>
      </c>
      <c r="O601" s="1705">
        <f t="shared" si="330"/>
        <v>0</v>
      </c>
      <c r="P601" s="1703">
        <f t="shared" si="330"/>
        <v>4410000</v>
      </c>
      <c r="Q601" s="1705">
        <v>0</v>
      </c>
      <c r="R601" s="1705">
        <v>0</v>
      </c>
      <c r="S601" s="1705">
        <v>0</v>
      </c>
      <c r="T601" s="1705">
        <v>0</v>
      </c>
      <c r="U601" s="1705">
        <v>0</v>
      </c>
      <c r="V601" s="1705">
        <v>0</v>
      </c>
      <c r="W601" s="1705">
        <v>0</v>
      </c>
      <c r="X601" s="1706">
        <f>+X602</f>
        <v>4410000</v>
      </c>
      <c r="Y601" s="2590"/>
    </row>
    <row r="602" spans="1:26" s="1638" customFormat="1" ht="12">
      <c r="A602" s="2587"/>
      <c r="B602" s="1661" t="s">
        <v>24</v>
      </c>
      <c r="C602" s="2742"/>
      <c r="D602" s="1381">
        <f>M602+O602+P602+Q602+R602+S602+T602+U602+V602+W602</f>
        <v>4410000</v>
      </c>
      <c r="E602" s="1620"/>
      <c r="F602" s="1396"/>
      <c r="G602" s="1396"/>
      <c r="H602" s="1396"/>
      <c r="I602" s="1621"/>
      <c r="J602" s="1622"/>
      <c r="K602" s="1623"/>
      <c r="L602" s="1396"/>
      <c r="M602" s="1624">
        <f>+E602+I602+J602+K602+L602+N602</f>
        <v>0</v>
      </c>
      <c r="N602" s="1490">
        <v>0</v>
      </c>
      <c r="O602" s="1490">
        <v>0</v>
      </c>
      <c r="P602" s="1396">
        <v>4410000</v>
      </c>
      <c r="Q602" s="1490">
        <v>0</v>
      </c>
      <c r="R602" s="1490">
        <v>0</v>
      </c>
      <c r="S602" s="1490">
        <v>0</v>
      </c>
      <c r="T602" s="1490">
        <v>0</v>
      </c>
      <c r="U602" s="1490">
        <v>0</v>
      </c>
      <c r="V602" s="1490">
        <v>0</v>
      </c>
      <c r="W602" s="1490">
        <v>0</v>
      </c>
      <c r="X602" s="1678">
        <f>SUM(P602:T602)</f>
        <v>4410000</v>
      </c>
      <c r="Y602" s="2590"/>
    </row>
    <row r="603" spans="1:26" s="1638" customFormat="1" ht="12">
      <c r="A603" s="2587"/>
      <c r="B603" s="358" t="s">
        <v>34</v>
      </c>
      <c r="C603" s="1670"/>
      <c r="D603" s="1625">
        <f>+D604</f>
        <v>2153370</v>
      </c>
      <c r="E603" s="1625">
        <f t="shared" ref="E603:N604" si="331">+E604</f>
        <v>0</v>
      </c>
      <c r="F603" s="1625">
        <f t="shared" si="331"/>
        <v>0</v>
      </c>
      <c r="G603" s="1625">
        <f t="shared" si="331"/>
        <v>0</v>
      </c>
      <c r="H603" s="1625">
        <f t="shared" si="331"/>
        <v>0</v>
      </c>
      <c r="I603" s="1625">
        <f t="shared" si="331"/>
        <v>0</v>
      </c>
      <c r="J603" s="1625">
        <f t="shared" si="331"/>
        <v>0</v>
      </c>
      <c r="K603" s="1625">
        <f t="shared" si="331"/>
        <v>0</v>
      </c>
      <c r="L603" s="1625">
        <f t="shared" si="331"/>
        <v>0</v>
      </c>
      <c r="M603" s="1626">
        <f t="shared" si="331"/>
        <v>0</v>
      </c>
      <c r="N603" s="1625">
        <f t="shared" si="331"/>
        <v>0</v>
      </c>
      <c r="O603" s="1626">
        <v>0</v>
      </c>
      <c r="P603" s="1625">
        <f>+P604</f>
        <v>2153370</v>
      </c>
      <c r="Q603" s="1626">
        <v>0</v>
      </c>
      <c r="R603" s="1626">
        <v>0</v>
      </c>
      <c r="S603" s="1626">
        <v>0</v>
      </c>
      <c r="T603" s="1626">
        <v>0</v>
      </c>
      <c r="U603" s="1626">
        <v>0</v>
      </c>
      <c r="V603" s="1626">
        <v>0</v>
      </c>
      <c r="W603" s="1626">
        <v>0</v>
      </c>
      <c r="X603" s="2745" t="s">
        <v>35</v>
      </c>
      <c r="Y603" s="2748" t="s">
        <v>120</v>
      </c>
    </row>
    <row r="604" spans="1:26" s="1638" customFormat="1" ht="12">
      <c r="A604" s="2587"/>
      <c r="B604" s="510" t="s">
        <v>36</v>
      </c>
      <c r="C604" s="2592">
        <v>75802</v>
      </c>
      <c r="D604" s="1703">
        <f>+D605</f>
        <v>2153370</v>
      </c>
      <c r="E604" s="1703">
        <f t="shared" si="331"/>
        <v>0</v>
      </c>
      <c r="F604" s="1703">
        <f t="shared" si="331"/>
        <v>0</v>
      </c>
      <c r="G604" s="1703">
        <f t="shared" si="331"/>
        <v>0</v>
      </c>
      <c r="H604" s="1703">
        <f t="shared" si="331"/>
        <v>0</v>
      </c>
      <c r="I604" s="1703">
        <f t="shared" si="331"/>
        <v>0</v>
      </c>
      <c r="J604" s="1703">
        <f t="shared" si="331"/>
        <v>0</v>
      </c>
      <c r="K604" s="1703">
        <f t="shared" si="331"/>
        <v>0</v>
      </c>
      <c r="L604" s="1703">
        <f t="shared" si="331"/>
        <v>0</v>
      </c>
      <c r="M604" s="1705">
        <f t="shared" si="331"/>
        <v>0</v>
      </c>
      <c r="N604" s="1703">
        <f t="shared" si="331"/>
        <v>0</v>
      </c>
      <c r="O604" s="1705">
        <v>0</v>
      </c>
      <c r="P604" s="1703">
        <f>+P605</f>
        <v>2153370</v>
      </c>
      <c r="Q604" s="1705">
        <v>0</v>
      </c>
      <c r="R604" s="1705">
        <v>0</v>
      </c>
      <c r="S604" s="1705">
        <v>0</v>
      </c>
      <c r="T604" s="1705">
        <v>0</v>
      </c>
      <c r="U604" s="1705">
        <v>0</v>
      </c>
      <c r="V604" s="1705">
        <v>0</v>
      </c>
      <c r="W604" s="1705">
        <v>0</v>
      </c>
      <c r="X604" s="2746"/>
      <c r="Y604" s="2590"/>
    </row>
    <row r="605" spans="1:26" s="1638" customFormat="1" thickBot="1">
      <c r="A605" s="2588"/>
      <c r="B605" s="1656" t="s">
        <v>425</v>
      </c>
      <c r="C605" s="2593"/>
      <c r="D605" s="1064">
        <f>M605+O605+P605+Q605+R605+S605+T605+U605+V605+W605</f>
        <v>2153370</v>
      </c>
      <c r="E605" s="475"/>
      <c r="F605" s="801"/>
      <c r="G605" s="801"/>
      <c r="H605" s="801"/>
      <c r="I605" s="802"/>
      <c r="J605" s="802"/>
      <c r="K605" s="802"/>
      <c r="L605" s="481"/>
      <c r="M605" s="1071">
        <f>+E605+I605+J605+K605+L605+N605</f>
        <v>0</v>
      </c>
      <c r="N605" s="481"/>
      <c r="O605" s="1082">
        <v>0</v>
      </c>
      <c r="P605" s="801">
        <v>2153370</v>
      </c>
      <c r="Q605" s="1082">
        <v>0</v>
      </c>
      <c r="R605" s="1082">
        <v>0</v>
      </c>
      <c r="S605" s="1082">
        <v>0</v>
      </c>
      <c r="T605" s="1082">
        <v>0</v>
      </c>
      <c r="U605" s="1082">
        <v>0</v>
      </c>
      <c r="V605" s="1082">
        <v>0</v>
      </c>
      <c r="W605" s="1082">
        <v>0</v>
      </c>
      <c r="X605" s="2747"/>
      <c r="Y605" s="2591"/>
    </row>
    <row r="606" spans="1:26" s="1638" customFormat="1" ht="15" customHeight="1">
      <c r="A606" s="2586" t="s">
        <v>105</v>
      </c>
      <c r="B606" s="928" t="s">
        <v>455</v>
      </c>
      <c r="C606" s="457" t="s">
        <v>128</v>
      </c>
      <c r="D606" s="600"/>
      <c r="E606" s="420"/>
      <c r="F606" s="421"/>
      <c r="G606" s="421"/>
      <c r="H606" s="420"/>
      <c r="I606" s="420"/>
      <c r="J606" s="420"/>
      <c r="K606" s="420"/>
      <c r="L606" s="420"/>
      <c r="M606" s="422"/>
      <c r="N606" s="422"/>
      <c r="O606" s="422"/>
      <c r="P606" s="422"/>
      <c r="Q606" s="422"/>
      <c r="R606" s="422"/>
      <c r="S606" s="422"/>
      <c r="T606" s="542"/>
      <c r="U606" s="422"/>
      <c r="V606" s="422"/>
      <c r="W606" s="422"/>
      <c r="X606" s="423"/>
      <c r="Y606" s="2589" t="s">
        <v>120</v>
      </c>
    </row>
    <row r="607" spans="1:26" s="1638" customFormat="1" ht="12">
      <c r="A607" s="2587"/>
      <c r="B607" s="358" t="s">
        <v>22</v>
      </c>
      <c r="C607" s="359"/>
      <c r="D607" s="595">
        <f>+D608</f>
        <v>16858217</v>
      </c>
      <c r="E607" s="595"/>
      <c r="F607" s="595"/>
      <c r="G607" s="595"/>
      <c r="H607" s="595"/>
      <c r="I607" s="595"/>
      <c r="J607" s="595">
        <f>+J608</f>
        <v>951324</v>
      </c>
      <c r="K607" s="595">
        <f t="shared" ref="K607:S608" si="332">+K608</f>
        <v>919494</v>
      </c>
      <c r="L607" s="595">
        <f t="shared" si="332"/>
        <v>925672</v>
      </c>
      <c r="M607" s="595">
        <f t="shared" si="332"/>
        <v>3974490</v>
      </c>
      <c r="N607" s="595">
        <f t="shared" si="332"/>
        <v>1178000</v>
      </c>
      <c r="O607" s="595">
        <f t="shared" si="332"/>
        <v>1100322</v>
      </c>
      <c r="P607" s="595">
        <f t="shared" si="332"/>
        <v>1283405</v>
      </c>
      <c r="Q607" s="595">
        <f t="shared" si="332"/>
        <v>3500000</v>
      </c>
      <c r="R607" s="595">
        <f t="shared" si="332"/>
        <v>3500000</v>
      </c>
      <c r="S607" s="595">
        <f t="shared" si="332"/>
        <v>3500000</v>
      </c>
      <c r="T607" s="950">
        <v>0</v>
      </c>
      <c r="U607" s="950">
        <v>0</v>
      </c>
      <c r="V607" s="950">
        <v>0</v>
      </c>
      <c r="W607" s="950">
        <v>0</v>
      </c>
      <c r="X607" s="818">
        <f>+X608</f>
        <v>11783405</v>
      </c>
      <c r="Y607" s="2590"/>
      <c r="Z607" s="1637">
        <f>+O607+P607+Q607+R607</f>
        <v>9383727</v>
      </c>
    </row>
    <row r="608" spans="1:26" s="1638" customFormat="1" ht="12">
      <c r="A608" s="2587"/>
      <c r="B608" s="510" t="s">
        <v>36</v>
      </c>
      <c r="C608" s="2623" t="s">
        <v>116</v>
      </c>
      <c r="D608" s="598">
        <f>+D609</f>
        <v>16858217</v>
      </c>
      <c r="E608" s="598"/>
      <c r="F608" s="598"/>
      <c r="G608" s="598"/>
      <c r="H608" s="598"/>
      <c r="I608" s="598"/>
      <c r="J608" s="598">
        <f>+J609</f>
        <v>951324</v>
      </c>
      <c r="K608" s="598">
        <f t="shared" si="332"/>
        <v>919494</v>
      </c>
      <c r="L608" s="598">
        <f t="shared" si="332"/>
        <v>925672</v>
      </c>
      <c r="M608" s="598">
        <f t="shared" si="332"/>
        <v>3974490</v>
      </c>
      <c r="N608" s="598">
        <f t="shared" si="332"/>
        <v>1178000</v>
      </c>
      <c r="O608" s="598">
        <f t="shared" si="332"/>
        <v>1100322</v>
      </c>
      <c r="P608" s="598">
        <f t="shared" si="332"/>
        <v>1283405</v>
      </c>
      <c r="Q608" s="598">
        <f t="shared" si="332"/>
        <v>3500000</v>
      </c>
      <c r="R608" s="598">
        <f t="shared" si="332"/>
        <v>3500000</v>
      </c>
      <c r="S608" s="598">
        <f t="shared" si="332"/>
        <v>3500000</v>
      </c>
      <c r="T608" s="951">
        <v>0</v>
      </c>
      <c r="U608" s="951">
        <v>0</v>
      </c>
      <c r="V608" s="951">
        <v>0</v>
      </c>
      <c r="W608" s="951">
        <v>0</v>
      </c>
      <c r="X608" s="567">
        <f>+X609</f>
        <v>11783405</v>
      </c>
      <c r="Y608" s="2590"/>
    </row>
    <row r="609" spans="1:26" s="1638" customFormat="1" thickBot="1">
      <c r="A609" s="2588"/>
      <c r="B609" s="1662" t="s">
        <v>24</v>
      </c>
      <c r="C609" s="2593"/>
      <c r="D609" s="433">
        <f>M609+O609+P609+Q609+R609+S609+T609+U609+V609+W609</f>
        <v>16858217</v>
      </c>
      <c r="E609" s="475"/>
      <c r="F609" s="801"/>
      <c r="G609" s="801"/>
      <c r="H609" s="801"/>
      <c r="I609" s="803"/>
      <c r="J609" s="481">
        <f>969812-18488</f>
        <v>951324</v>
      </c>
      <c r="K609" s="802">
        <f>1150000-230506</f>
        <v>919494</v>
      </c>
      <c r="L609" s="801">
        <f>2150000-700000-500000-24328</f>
        <v>925672</v>
      </c>
      <c r="M609" s="434">
        <f>+E609+I609+J609+K609+L609+N609</f>
        <v>3974490</v>
      </c>
      <c r="N609" s="801">
        <v>1178000</v>
      </c>
      <c r="O609" s="801">
        <f>3000000-440000-1450000-9678</f>
        <v>1100322</v>
      </c>
      <c r="P609" s="801">
        <f>3000000-250000-1400000-66595</f>
        <v>1283405</v>
      </c>
      <c r="Q609" s="801">
        <f>3000000+500000</f>
        <v>3500000</v>
      </c>
      <c r="R609" s="801">
        <f>3000000+500000</f>
        <v>3500000</v>
      </c>
      <c r="S609" s="801">
        <f>3000000+500000</f>
        <v>3500000</v>
      </c>
      <c r="T609" s="954">
        <v>0</v>
      </c>
      <c r="U609" s="954">
        <v>0</v>
      </c>
      <c r="V609" s="954">
        <v>0</v>
      </c>
      <c r="W609" s="954">
        <v>0</v>
      </c>
      <c r="X609" s="393">
        <f>SUM(P609:T609)</f>
        <v>11783405</v>
      </c>
      <c r="Y609" s="2591"/>
    </row>
    <row r="610" spans="1:26" s="1638" customFormat="1" ht="15.75" customHeight="1">
      <c r="A610" s="2586" t="s">
        <v>106</v>
      </c>
      <c r="B610" s="928" t="s">
        <v>278</v>
      </c>
      <c r="C610" s="457" t="s">
        <v>128</v>
      </c>
      <c r="D610" s="600"/>
      <c r="E610" s="420"/>
      <c r="F610" s="421"/>
      <c r="G610" s="421"/>
      <c r="H610" s="420"/>
      <c r="I610" s="420"/>
      <c r="J610" s="420"/>
      <c r="K610" s="420"/>
      <c r="L610" s="420"/>
      <c r="M610" s="422"/>
      <c r="N610" s="422"/>
      <c r="O610" s="422"/>
      <c r="P610" s="422"/>
      <c r="Q610" s="422"/>
      <c r="R610" s="422"/>
      <c r="S610" s="422"/>
      <c r="T610" s="542"/>
      <c r="U610" s="1873"/>
      <c r="V610" s="1873"/>
      <c r="W610" s="1873"/>
      <c r="X610" s="423"/>
      <c r="Y610" s="2589" t="s">
        <v>120</v>
      </c>
    </row>
    <row r="611" spans="1:26" s="1638" customFormat="1" ht="12">
      <c r="A611" s="2587"/>
      <c r="B611" s="358" t="s">
        <v>22</v>
      </c>
      <c r="C611" s="359"/>
      <c r="D611" s="1874">
        <f>+D612</f>
        <v>644082749</v>
      </c>
      <c r="E611" s="1874"/>
      <c r="F611" s="1874"/>
      <c r="G611" s="1874"/>
      <c r="H611" s="1874"/>
      <c r="I611" s="1874"/>
      <c r="J611" s="1874"/>
      <c r="K611" s="1874"/>
      <c r="L611" s="1874">
        <f t="shared" ref="L611:X611" si="333">+L612</f>
        <v>77246948</v>
      </c>
      <c r="M611" s="1874">
        <f t="shared" si="333"/>
        <v>157023229</v>
      </c>
      <c r="N611" s="1874">
        <f t="shared" si="333"/>
        <v>79776281</v>
      </c>
      <c r="O611" s="1874">
        <f>+O612</f>
        <v>80672106</v>
      </c>
      <c r="P611" s="1874">
        <f>+P612</f>
        <v>82387414</v>
      </c>
      <c r="Q611" s="1874">
        <f t="shared" si="333"/>
        <v>81000000</v>
      </c>
      <c r="R611" s="1874">
        <f t="shared" si="333"/>
        <v>81000000</v>
      </c>
      <c r="S611" s="1874">
        <f t="shared" si="333"/>
        <v>81000000</v>
      </c>
      <c r="T611" s="1874">
        <f t="shared" si="333"/>
        <v>81000000</v>
      </c>
      <c r="U611" s="1875">
        <v>0</v>
      </c>
      <c r="V611" s="1875">
        <v>0</v>
      </c>
      <c r="W611" s="1875">
        <v>0</v>
      </c>
      <c r="X611" s="1876">
        <f t="shared" si="333"/>
        <v>406387414</v>
      </c>
      <c r="Y611" s="2590"/>
      <c r="Z611" s="1637">
        <f>+O611+P611+Q611+R611+158000000</f>
        <v>483059520</v>
      </c>
    </row>
    <row r="612" spans="1:26" s="1638" customFormat="1" ht="12">
      <c r="A612" s="2587"/>
      <c r="B612" s="510" t="s">
        <v>36</v>
      </c>
      <c r="C612" s="2749" t="s">
        <v>116</v>
      </c>
      <c r="D612" s="1877">
        <f>+D613+D614</f>
        <v>644082749</v>
      </c>
      <c r="E612" s="1877"/>
      <c r="F612" s="1877"/>
      <c r="G612" s="1877"/>
      <c r="H612" s="1877"/>
      <c r="I612" s="1877"/>
      <c r="J612" s="1877"/>
      <c r="K612" s="1877"/>
      <c r="L612" s="1877">
        <f t="shared" ref="L612:R612" si="334">+L613+L614</f>
        <v>77246948</v>
      </c>
      <c r="M612" s="1877">
        <f>+M613+M614</f>
        <v>157023229</v>
      </c>
      <c r="N612" s="1877">
        <f t="shared" si="334"/>
        <v>79776281</v>
      </c>
      <c r="O612" s="1877">
        <f>+O613+O614</f>
        <v>80672106</v>
      </c>
      <c r="P612" s="1877">
        <f>+P613+P614</f>
        <v>82387414</v>
      </c>
      <c r="Q612" s="1877">
        <f t="shared" si="334"/>
        <v>81000000</v>
      </c>
      <c r="R612" s="1877">
        <f t="shared" si="334"/>
        <v>81000000</v>
      </c>
      <c r="S612" s="1877">
        <f>+S613+S614</f>
        <v>81000000</v>
      </c>
      <c r="T612" s="1877">
        <f>+T613+T614</f>
        <v>81000000</v>
      </c>
      <c r="U612" s="1091">
        <v>0</v>
      </c>
      <c r="V612" s="1091">
        <v>0</v>
      </c>
      <c r="W612" s="1091">
        <v>0</v>
      </c>
      <c r="X612" s="1092">
        <f>+X613+X614</f>
        <v>406387414</v>
      </c>
      <c r="Y612" s="2590"/>
    </row>
    <row r="613" spans="1:26" s="1638" customFormat="1" ht="12">
      <c r="A613" s="2587"/>
      <c r="B613" s="1663" t="s">
        <v>24</v>
      </c>
      <c r="C613" s="2743"/>
      <c r="D613" s="1093">
        <f>M613+O613+P613+Q613+R613+S613+T613+U613+V613+W613</f>
        <v>639387771</v>
      </c>
      <c r="E613" s="1095"/>
      <c r="F613" s="1106"/>
      <c r="G613" s="1106"/>
      <c r="H613" s="1106"/>
      <c r="I613" s="1878"/>
      <c r="J613" s="1094"/>
      <c r="K613" s="1879"/>
      <c r="L613" s="1106">
        <f>77000000+700000-658679</f>
        <v>77041321</v>
      </c>
      <c r="M613" s="1096">
        <f>+E613+I613+J613+K613+L613+N613</f>
        <v>155607978</v>
      </c>
      <c r="N613" s="1106">
        <v>78566657</v>
      </c>
      <c r="O613" s="1106">
        <f>77000000+2000000+40000-19207</f>
        <v>79020793</v>
      </c>
      <c r="P613" s="1106">
        <v>80759000</v>
      </c>
      <c r="Q613" s="1106">
        <f>79000000+2000000</f>
        <v>81000000</v>
      </c>
      <c r="R613" s="1106">
        <f>79000000+2000000</f>
        <v>81000000</v>
      </c>
      <c r="S613" s="1106">
        <f>79000000+2000000</f>
        <v>81000000</v>
      </c>
      <c r="T613" s="1106">
        <f>79000000+2000000</f>
        <v>81000000</v>
      </c>
      <c r="U613" s="1880">
        <v>0</v>
      </c>
      <c r="V613" s="1880">
        <v>0</v>
      </c>
      <c r="W613" s="1880">
        <v>0</v>
      </c>
      <c r="X613" s="1098">
        <f>SUM(P613:T613)</f>
        <v>404759000</v>
      </c>
      <c r="Y613" s="2590"/>
    </row>
    <row r="614" spans="1:26" s="1638" customFormat="1" ht="12">
      <c r="A614" s="2587"/>
      <c r="B614" s="1469" t="s">
        <v>27</v>
      </c>
      <c r="C614" s="2520"/>
      <c r="D614" s="1093">
        <f>M614+O614+P614+Q614+R614+S614+T614+U614+V614+W614</f>
        <v>4694978</v>
      </c>
      <c r="E614" s="740"/>
      <c r="F614" s="789"/>
      <c r="G614" s="789"/>
      <c r="H614" s="789"/>
      <c r="I614" s="799"/>
      <c r="J614" s="799"/>
      <c r="K614" s="799"/>
      <c r="L614" s="789">
        <f>220000-14373</f>
        <v>205627</v>
      </c>
      <c r="M614" s="1096">
        <f>+E614+I614+J614+K614+L614+N614</f>
        <v>1415251</v>
      </c>
      <c r="N614" s="789">
        <v>1209624</v>
      </c>
      <c r="O614" s="789">
        <f>1447218+230000-25905</f>
        <v>1651313</v>
      </c>
      <c r="P614" s="789">
        <f>1398414+230000</f>
        <v>1628414</v>
      </c>
      <c r="Q614" s="1881">
        <v>0</v>
      </c>
      <c r="R614" s="1881">
        <v>0</v>
      </c>
      <c r="S614" s="1882">
        <v>0</v>
      </c>
      <c r="T614" s="1882">
        <v>0</v>
      </c>
      <c r="U614" s="1883">
        <v>0</v>
      </c>
      <c r="V614" s="1883">
        <v>0</v>
      </c>
      <c r="W614" s="1883">
        <v>0</v>
      </c>
      <c r="X614" s="1098">
        <f>SUM(P614:T614)</f>
        <v>1628414</v>
      </c>
      <c r="Y614" s="2590"/>
    </row>
    <row r="615" spans="1:26" s="1638" customFormat="1" ht="12">
      <c r="A615" s="2587"/>
      <c r="B615" s="358" t="s">
        <v>34</v>
      </c>
      <c r="C615" s="359"/>
      <c r="D615" s="1874">
        <f>+D616</f>
        <v>75288511</v>
      </c>
      <c r="E615" s="1874"/>
      <c r="F615" s="1874">
        <f t="shared" ref="F615:T615" si="335">+F616</f>
        <v>0</v>
      </c>
      <c r="G615" s="1874">
        <f t="shared" si="335"/>
        <v>0</v>
      </c>
      <c r="H615" s="1874">
        <f t="shared" si="335"/>
        <v>0</v>
      </c>
      <c r="I615" s="1874"/>
      <c r="J615" s="1874"/>
      <c r="K615" s="1874"/>
      <c r="L615" s="1874">
        <f t="shared" si="335"/>
        <v>205627</v>
      </c>
      <c r="M615" s="1874">
        <f t="shared" si="335"/>
        <v>1415251</v>
      </c>
      <c r="N615" s="1874">
        <f t="shared" si="335"/>
        <v>1209624</v>
      </c>
      <c r="O615" s="1874">
        <f t="shared" si="335"/>
        <v>12244846</v>
      </c>
      <c r="P615" s="1874">
        <f t="shared" si="335"/>
        <v>13628414</v>
      </c>
      <c r="Q615" s="1884">
        <f t="shared" si="335"/>
        <v>12000000</v>
      </c>
      <c r="R615" s="1884">
        <f t="shared" si="335"/>
        <v>12000000</v>
      </c>
      <c r="S615" s="1884">
        <f t="shared" si="335"/>
        <v>12000000</v>
      </c>
      <c r="T615" s="1884">
        <f t="shared" si="335"/>
        <v>12000000</v>
      </c>
      <c r="U615" s="1885">
        <v>0</v>
      </c>
      <c r="V615" s="1885">
        <v>0</v>
      </c>
      <c r="W615" s="1885">
        <v>0</v>
      </c>
      <c r="X615" s="2759" t="s">
        <v>35</v>
      </c>
      <c r="Y615" s="2590"/>
    </row>
    <row r="616" spans="1:26" s="1638" customFormat="1" ht="12">
      <c r="A616" s="2587"/>
      <c r="B616" s="510" t="s">
        <v>36</v>
      </c>
      <c r="C616" s="2749" t="s">
        <v>116</v>
      </c>
      <c r="D616" s="1877">
        <f>+D617+D618</f>
        <v>75288511</v>
      </c>
      <c r="E616" s="1877">
        <f t="shared" ref="E616:R616" si="336">+E617+E618</f>
        <v>0</v>
      </c>
      <c r="F616" s="1877">
        <f t="shared" si="336"/>
        <v>0</v>
      </c>
      <c r="G616" s="1877">
        <f t="shared" si="336"/>
        <v>0</v>
      </c>
      <c r="H616" s="1877">
        <f t="shared" si="336"/>
        <v>0</v>
      </c>
      <c r="I616" s="1877">
        <f t="shared" si="336"/>
        <v>0</v>
      </c>
      <c r="J616" s="1877">
        <f t="shared" si="336"/>
        <v>0</v>
      </c>
      <c r="K616" s="1877">
        <f t="shared" si="336"/>
        <v>0</v>
      </c>
      <c r="L616" s="1877">
        <f t="shared" si="336"/>
        <v>205627</v>
      </c>
      <c r="M616" s="1877">
        <f t="shared" si="336"/>
        <v>1415251</v>
      </c>
      <c r="N616" s="1877">
        <f t="shared" si="336"/>
        <v>1209624</v>
      </c>
      <c r="O616" s="1877">
        <f t="shared" si="336"/>
        <v>12244846</v>
      </c>
      <c r="P616" s="1877">
        <f t="shared" si="336"/>
        <v>13628414</v>
      </c>
      <c r="Q616" s="1877">
        <f t="shared" si="336"/>
        <v>12000000</v>
      </c>
      <c r="R616" s="1877">
        <f t="shared" si="336"/>
        <v>12000000</v>
      </c>
      <c r="S616" s="1877">
        <f>+S617+S618</f>
        <v>12000000</v>
      </c>
      <c r="T616" s="1877">
        <f>+T617+T618</f>
        <v>12000000</v>
      </c>
      <c r="U616" s="1091">
        <v>0</v>
      </c>
      <c r="V616" s="1091">
        <v>0</v>
      </c>
      <c r="W616" s="1091">
        <v>0</v>
      </c>
      <c r="X616" s="2760"/>
      <c r="Y616" s="2590"/>
    </row>
    <row r="617" spans="1:26" s="1638" customFormat="1" ht="12">
      <c r="A617" s="2587"/>
      <c r="B617" s="2229" t="s">
        <v>283</v>
      </c>
      <c r="C617" s="2742"/>
      <c r="D617" s="1093">
        <f>M617+O617+P617+Q617+R617+S617+T617+U617+V617+W617</f>
        <v>70593533</v>
      </c>
      <c r="E617" s="1886"/>
      <c r="F617" s="1886"/>
      <c r="G617" s="1886"/>
      <c r="H617" s="1886"/>
      <c r="I617" s="1886"/>
      <c r="J617" s="1886"/>
      <c r="K617" s="1886"/>
      <c r="L617" s="1886"/>
      <c r="M617" s="1096">
        <f>+E617+I617+J617+K617+L617+N617</f>
        <v>0</v>
      </c>
      <c r="N617" s="1886"/>
      <c r="O617" s="1107">
        <f>8500000+40000+1960000+93533</f>
        <v>10593533</v>
      </c>
      <c r="P617" s="1107">
        <f>10500000+1500000</f>
        <v>12000000</v>
      </c>
      <c r="Q617" s="1107">
        <f>10500000+1500000</f>
        <v>12000000</v>
      </c>
      <c r="R617" s="1107">
        <f>10500000+1500000</f>
        <v>12000000</v>
      </c>
      <c r="S617" s="1107">
        <f>10500000+1500000</f>
        <v>12000000</v>
      </c>
      <c r="T617" s="1107">
        <f>10500000+1500000</f>
        <v>12000000</v>
      </c>
      <c r="U617" s="1887">
        <v>0</v>
      </c>
      <c r="V617" s="1887">
        <v>0</v>
      </c>
      <c r="W617" s="1887">
        <v>0</v>
      </c>
      <c r="X617" s="2760"/>
      <c r="Y617" s="2590"/>
    </row>
    <row r="618" spans="1:26" s="1638" customFormat="1" ht="12" customHeight="1" thickBot="1">
      <c r="A618" s="2588"/>
      <c r="B618" s="1656" t="s">
        <v>27</v>
      </c>
      <c r="C618" s="2593"/>
      <c r="D618" s="1064">
        <f>M618+O618+P618+Q618+R618+S618+T618+U618+V618+W618</f>
        <v>4694978</v>
      </c>
      <c r="E618" s="475"/>
      <c r="F618" s="801"/>
      <c r="G618" s="801"/>
      <c r="H618" s="801"/>
      <c r="I618" s="802"/>
      <c r="J618" s="802"/>
      <c r="K618" s="802"/>
      <c r="L618" s="481">
        <f>220000-14373</f>
        <v>205627</v>
      </c>
      <c r="M618" s="1064">
        <f>+E618+I618+J618+K618+L618+N618</f>
        <v>1415251</v>
      </c>
      <c r="N618" s="481">
        <v>1209624</v>
      </c>
      <c r="O618" s="481">
        <f>1447218+230000-25905</f>
        <v>1651313</v>
      </c>
      <c r="P618" s="481">
        <f>1398414+230000</f>
        <v>1628414</v>
      </c>
      <c r="Q618" s="481">
        <v>0</v>
      </c>
      <c r="R618" s="481">
        <v>0</v>
      </c>
      <c r="S618" s="957">
        <v>0</v>
      </c>
      <c r="T618" s="957">
        <v>0</v>
      </c>
      <c r="U618" s="957">
        <v>0</v>
      </c>
      <c r="V618" s="957">
        <v>0</v>
      </c>
      <c r="W618" s="957">
        <v>0</v>
      </c>
      <c r="X618" s="2761"/>
      <c r="Y618" s="2591"/>
    </row>
    <row r="619" spans="1:26" s="1638" customFormat="1" hidden="1" thickBot="1">
      <c r="A619" s="2586"/>
      <c r="B619" s="928"/>
      <c r="C619" s="457" t="s">
        <v>128</v>
      </c>
      <c r="D619" s="600"/>
      <c r="E619" s="420"/>
      <c r="F619" s="421"/>
      <c r="G619" s="421"/>
      <c r="H619" s="420"/>
      <c r="I619" s="420"/>
      <c r="J619" s="420"/>
      <c r="K619" s="420"/>
      <c r="L619" s="420"/>
      <c r="M619" s="422"/>
      <c r="N619" s="422"/>
      <c r="O619" s="422"/>
      <c r="P619" s="422"/>
      <c r="Q619" s="422"/>
      <c r="R619" s="422"/>
      <c r="S619" s="422"/>
      <c r="T619" s="422"/>
      <c r="U619" s="422"/>
      <c r="V619" s="422"/>
      <c r="W619" s="422"/>
      <c r="X619" s="423"/>
      <c r="Y619" s="2589" t="s">
        <v>120</v>
      </c>
    </row>
    <row r="620" spans="1:26" s="1638" customFormat="1" hidden="1" thickBot="1">
      <c r="A620" s="2587"/>
      <c r="B620" s="358" t="s">
        <v>22</v>
      </c>
      <c r="C620" s="359"/>
      <c r="D620" s="595">
        <f>+D621</f>
        <v>0</v>
      </c>
      <c r="E620" s="595"/>
      <c r="F620" s="595"/>
      <c r="G620" s="595"/>
      <c r="H620" s="595"/>
      <c r="I620" s="595"/>
      <c r="J620" s="595"/>
      <c r="K620" s="595"/>
      <c r="L620" s="595">
        <f t="shared" ref="L620:N621" si="337">+L621</f>
        <v>0</v>
      </c>
      <c r="M620" s="595">
        <f t="shared" si="337"/>
        <v>0</v>
      </c>
      <c r="N620" s="595">
        <f t="shared" si="337"/>
        <v>0</v>
      </c>
      <c r="O620" s="595"/>
      <c r="P620" s="595"/>
      <c r="Q620" s="595"/>
      <c r="R620" s="595"/>
      <c r="S620" s="595"/>
      <c r="T620" s="595"/>
      <c r="U620" s="1019"/>
      <c r="V620" s="1019"/>
      <c r="W620" s="1019"/>
      <c r="X620" s="525"/>
      <c r="Y620" s="2590"/>
      <c r="Z620" s="1637">
        <f>+O620+P620+Q620+R620</f>
        <v>0</v>
      </c>
    </row>
    <row r="621" spans="1:26" s="1638" customFormat="1" hidden="1" thickBot="1">
      <c r="A621" s="2587"/>
      <c r="B621" s="510" t="s">
        <v>36</v>
      </c>
      <c r="C621" s="1664" t="s">
        <v>116</v>
      </c>
      <c r="D621" s="598">
        <f>+D622</f>
        <v>0</v>
      </c>
      <c r="E621" s="598"/>
      <c r="F621" s="598"/>
      <c r="G621" s="598"/>
      <c r="H621" s="598"/>
      <c r="I621" s="598"/>
      <c r="J621" s="598"/>
      <c r="K621" s="598"/>
      <c r="L621" s="598">
        <f t="shared" si="337"/>
        <v>0</v>
      </c>
      <c r="M621" s="598">
        <f t="shared" si="337"/>
        <v>0</v>
      </c>
      <c r="N621" s="598">
        <f t="shared" si="337"/>
        <v>0</v>
      </c>
      <c r="O621" s="598"/>
      <c r="P621" s="598"/>
      <c r="Q621" s="598"/>
      <c r="R621" s="598"/>
      <c r="S621" s="598"/>
      <c r="T621" s="598"/>
      <c r="U621" s="1018"/>
      <c r="V621" s="1018"/>
      <c r="W621" s="1018"/>
      <c r="X621" s="467"/>
      <c r="Y621" s="2590"/>
    </row>
    <row r="622" spans="1:26" s="1638" customFormat="1" hidden="1" thickBot="1">
      <c r="A622" s="2587"/>
      <c r="B622" s="1659" t="s">
        <v>24</v>
      </c>
      <c r="C622" s="1665"/>
      <c r="D622" s="450">
        <f>SUM(M622:T622)</f>
        <v>0</v>
      </c>
      <c r="E622" s="440"/>
      <c r="F622" s="514"/>
      <c r="G622" s="514"/>
      <c r="H622" s="514"/>
      <c r="I622" s="599"/>
      <c r="J622" s="478"/>
      <c r="K622" s="513"/>
      <c r="L622" s="514"/>
      <c r="M622" s="740">
        <f>L622+E622+I622+J622+K622</f>
        <v>0</v>
      </c>
      <c r="N622" s="514"/>
      <c r="O622" s="514"/>
      <c r="P622" s="514"/>
      <c r="Q622" s="514"/>
      <c r="R622" s="514"/>
      <c r="S622" s="514"/>
      <c r="T622" s="514"/>
      <c r="U622" s="810"/>
      <c r="V622" s="810"/>
      <c r="W622" s="810"/>
      <c r="X622" s="470"/>
      <c r="Y622" s="2590"/>
    </row>
    <row r="623" spans="1:26" s="1638" customFormat="1" ht="14.25" customHeight="1">
      <c r="A623" s="2586" t="s">
        <v>107</v>
      </c>
      <c r="B623" s="928" t="s">
        <v>438</v>
      </c>
      <c r="C623" s="457" t="s">
        <v>128</v>
      </c>
      <c r="D623" s="420"/>
      <c r="E623" s="420"/>
      <c r="F623" s="421"/>
      <c r="G623" s="421"/>
      <c r="H623" s="420"/>
      <c r="I623" s="420"/>
      <c r="J623" s="420"/>
      <c r="K623" s="420"/>
      <c r="L623" s="420"/>
      <c r="M623" s="422"/>
      <c r="N623" s="422"/>
      <c r="O623" s="422"/>
      <c r="P623" s="422"/>
      <c r="Q623" s="422"/>
      <c r="R623" s="422"/>
      <c r="S623" s="422"/>
      <c r="T623" s="422"/>
      <c r="U623" s="422"/>
      <c r="V623" s="422"/>
      <c r="W623" s="422"/>
      <c r="X623" s="423"/>
      <c r="Y623" s="2589" t="s">
        <v>103</v>
      </c>
    </row>
    <row r="624" spans="1:26" s="1638" customFormat="1" ht="12">
      <c r="A624" s="2587"/>
      <c r="B624" s="358" t="s">
        <v>22</v>
      </c>
      <c r="C624" s="359"/>
      <c r="D624" s="595">
        <f>+D625</f>
        <v>66662566</v>
      </c>
      <c r="E624" s="595"/>
      <c r="F624" s="595"/>
      <c r="G624" s="595"/>
      <c r="H624" s="595"/>
      <c r="I624" s="595"/>
      <c r="J624" s="595">
        <f t="shared" ref="J624:S624" si="338">+J625</f>
        <v>13756407</v>
      </c>
      <c r="K624" s="595">
        <f t="shared" si="338"/>
        <v>10539236</v>
      </c>
      <c r="L624" s="595">
        <f t="shared" si="338"/>
        <v>18766825</v>
      </c>
      <c r="M624" s="595">
        <f t="shared" si="338"/>
        <v>49581805</v>
      </c>
      <c r="N624" s="595">
        <f t="shared" si="338"/>
        <v>6519337</v>
      </c>
      <c r="O624" s="595">
        <f t="shared" si="338"/>
        <v>6532090</v>
      </c>
      <c r="P624" s="595">
        <f t="shared" si="338"/>
        <v>10548671</v>
      </c>
      <c r="Q624" s="595">
        <f t="shared" si="338"/>
        <v>0</v>
      </c>
      <c r="R624" s="595">
        <f t="shared" si="338"/>
        <v>0</v>
      </c>
      <c r="S624" s="595">
        <f t="shared" si="338"/>
        <v>0</v>
      </c>
      <c r="T624" s="950">
        <v>0</v>
      </c>
      <c r="U624" s="950">
        <v>0</v>
      </c>
      <c r="V624" s="950">
        <v>0</v>
      </c>
      <c r="W624" s="950">
        <v>0</v>
      </c>
      <c r="X624" s="464">
        <f>+X625</f>
        <v>10548671</v>
      </c>
      <c r="Y624" s="2590"/>
      <c r="Z624" s="1637">
        <f>+O624+P624+Q624+R624</f>
        <v>17080761</v>
      </c>
    </row>
    <row r="625" spans="1:26" s="1638" customFormat="1" ht="12">
      <c r="A625" s="2587"/>
      <c r="B625" s="510" t="s">
        <v>36</v>
      </c>
      <c r="C625" s="2623" t="s">
        <v>100</v>
      </c>
      <c r="D625" s="598">
        <f>+D626+D627</f>
        <v>66662566</v>
      </c>
      <c r="E625" s="598">
        <f t="shared" ref="E625:R625" si="339">+E626+E627</f>
        <v>0</v>
      </c>
      <c r="F625" s="598">
        <f t="shared" si="339"/>
        <v>0</v>
      </c>
      <c r="G625" s="598">
        <f t="shared" si="339"/>
        <v>0</v>
      </c>
      <c r="H625" s="598">
        <f t="shared" si="339"/>
        <v>0</v>
      </c>
      <c r="I625" s="598">
        <f t="shared" si="339"/>
        <v>0</v>
      </c>
      <c r="J625" s="598">
        <f t="shared" si="339"/>
        <v>13756407</v>
      </c>
      <c r="K625" s="598">
        <f t="shared" si="339"/>
        <v>10539236</v>
      </c>
      <c r="L625" s="598">
        <f t="shared" si="339"/>
        <v>18766825</v>
      </c>
      <c r="M625" s="598">
        <f t="shared" si="339"/>
        <v>49581805</v>
      </c>
      <c r="N625" s="598">
        <f t="shared" si="339"/>
        <v>6519337</v>
      </c>
      <c r="O625" s="598">
        <f t="shared" si="339"/>
        <v>6532090</v>
      </c>
      <c r="P625" s="598">
        <f t="shared" si="339"/>
        <v>10548671</v>
      </c>
      <c r="Q625" s="598">
        <f t="shared" si="339"/>
        <v>0</v>
      </c>
      <c r="R625" s="598">
        <f t="shared" si="339"/>
        <v>0</v>
      </c>
      <c r="S625" s="598">
        <f>+S626+S627</f>
        <v>0</v>
      </c>
      <c r="T625" s="951">
        <v>0</v>
      </c>
      <c r="U625" s="951">
        <v>0</v>
      </c>
      <c r="V625" s="951">
        <v>0</v>
      </c>
      <c r="W625" s="951">
        <v>0</v>
      </c>
      <c r="X625" s="486">
        <f>+X626+X627</f>
        <v>10548671</v>
      </c>
      <c r="Y625" s="2590"/>
    </row>
    <row r="626" spans="1:26" s="1638" customFormat="1" ht="12">
      <c r="A626" s="2587"/>
      <c r="B626" s="1663" t="s">
        <v>24</v>
      </c>
      <c r="C626" s="2742"/>
      <c r="D626" s="433">
        <f>M626+O626+P626+Q626+R626+S626+T626+U626+V626+W626</f>
        <v>54478957</v>
      </c>
      <c r="E626" s="438"/>
      <c r="F626" s="469"/>
      <c r="G626" s="469"/>
      <c r="H626" s="469"/>
      <c r="I626" s="952"/>
      <c r="J626" s="471">
        <f>16277106-2520699</f>
        <v>13756407</v>
      </c>
      <c r="K626" s="953">
        <f>10500000+40350-1114</f>
        <v>10539236</v>
      </c>
      <c r="L626" s="469">
        <f>13364000+3000000+120000+3000000-717175</f>
        <v>18766825</v>
      </c>
      <c r="M626" s="434">
        <f>+E626+I626+J626+K626+L626+N626</f>
        <v>49581805</v>
      </c>
      <c r="N626" s="471">
        <f>13738192-18000-6500000-700855</f>
        <v>6519337</v>
      </c>
      <c r="O626" s="471">
        <f>14122861+717175-2801143+961107-1000000-2000000-7051000-2371028</f>
        <v>577972</v>
      </c>
      <c r="P626" s="471">
        <f>14518301-1518301+1400000-3851329-6229491</f>
        <v>4319180</v>
      </c>
      <c r="Q626" s="471">
        <f>15244216-2244216+1300855-14300855</f>
        <v>0</v>
      </c>
      <c r="R626" s="471">
        <f>11286227+1713773-13000000</f>
        <v>0</v>
      </c>
      <c r="S626" s="471">
        <f>12000000-12000000</f>
        <v>0</v>
      </c>
      <c r="T626" s="954">
        <v>0</v>
      </c>
      <c r="U626" s="954">
        <v>0</v>
      </c>
      <c r="V626" s="954">
        <v>0</v>
      </c>
      <c r="W626" s="954">
        <v>0</v>
      </c>
      <c r="X626" s="393">
        <f>SUM(P626:T626)</f>
        <v>4319180</v>
      </c>
      <c r="Y626" s="2590"/>
    </row>
    <row r="627" spans="1:26" s="1638" customFormat="1" ht="12">
      <c r="A627" s="2587"/>
      <c r="B627" s="624" t="s">
        <v>125</v>
      </c>
      <c r="C627" s="2743"/>
      <c r="D627" s="433">
        <f>M627+O627+P627+Q627+R627+S627+T627+U627+V627+W627</f>
        <v>12183609</v>
      </c>
      <c r="E627" s="440"/>
      <c r="F627" s="478"/>
      <c r="G627" s="478"/>
      <c r="H627" s="478"/>
      <c r="I627" s="478"/>
      <c r="J627" s="478"/>
      <c r="K627" s="516"/>
      <c r="L627" s="478"/>
      <c r="M627" s="1070">
        <f>+E627+I627+J627+K627+L627+N627</f>
        <v>0</v>
      </c>
      <c r="N627" s="955">
        <v>0</v>
      </c>
      <c r="O627" s="478">
        <f>7051000-1096882</f>
        <v>5954118</v>
      </c>
      <c r="P627" s="471">
        <v>6229491</v>
      </c>
      <c r="Q627" s="955">
        <v>0</v>
      </c>
      <c r="R627" s="955">
        <v>0</v>
      </c>
      <c r="S627" s="955">
        <v>0</v>
      </c>
      <c r="T627" s="955">
        <v>0</v>
      </c>
      <c r="U627" s="931">
        <v>0</v>
      </c>
      <c r="V627" s="931">
        <v>0</v>
      </c>
      <c r="W627" s="931">
        <v>0</v>
      </c>
      <c r="X627" s="393">
        <f>SUM(P627:T627)</f>
        <v>6229491</v>
      </c>
      <c r="Y627" s="2590"/>
    </row>
    <row r="628" spans="1:26" s="1638" customFormat="1" ht="12">
      <c r="A628" s="2587"/>
      <c r="B628" s="489" t="s">
        <v>34</v>
      </c>
      <c r="C628" s="359"/>
      <c r="D628" s="595">
        <f>+D629</f>
        <v>12183609</v>
      </c>
      <c r="E628" s="595"/>
      <c r="F628" s="595"/>
      <c r="G628" s="595"/>
      <c r="H628" s="595"/>
      <c r="I628" s="595"/>
      <c r="J628" s="595"/>
      <c r="K628" s="595"/>
      <c r="L628" s="595"/>
      <c r="M628" s="950">
        <v>0</v>
      </c>
      <c r="N628" s="950">
        <v>0</v>
      </c>
      <c r="O628" s="595">
        <f>+O629</f>
        <v>5954118</v>
      </c>
      <c r="P628" s="595">
        <f>+P629</f>
        <v>6229491</v>
      </c>
      <c r="Q628" s="950">
        <v>0</v>
      </c>
      <c r="R628" s="950">
        <v>0</v>
      </c>
      <c r="S628" s="950">
        <v>0</v>
      </c>
      <c r="T628" s="950">
        <v>0</v>
      </c>
      <c r="U628" s="950">
        <v>0</v>
      </c>
      <c r="V628" s="950">
        <v>0</v>
      </c>
      <c r="W628" s="950">
        <v>0</v>
      </c>
      <c r="X628" s="2751" t="s">
        <v>35</v>
      </c>
      <c r="Y628" s="2590"/>
    </row>
    <row r="629" spans="1:26" s="1638" customFormat="1" ht="12">
      <c r="A629" s="2587"/>
      <c r="B629" s="510" t="s">
        <v>36</v>
      </c>
      <c r="C629" s="2623" t="s">
        <v>100</v>
      </c>
      <c r="D629" s="444">
        <f>+D630</f>
        <v>12183609</v>
      </c>
      <c r="E629" s="536"/>
      <c r="F629" s="465"/>
      <c r="G629" s="465"/>
      <c r="H629" s="535"/>
      <c r="I629" s="535"/>
      <c r="J629" s="535"/>
      <c r="K629" s="727"/>
      <c r="L629" s="535"/>
      <c r="M629" s="785"/>
      <c r="N629" s="938">
        <v>0</v>
      </c>
      <c r="O629" s="535">
        <f>+O630</f>
        <v>5954118</v>
      </c>
      <c r="P629" s="535">
        <f>+P630</f>
        <v>6229491</v>
      </c>
      <c r="Q629" s="938">
        <v>0</v>
      </c>
      <c r="R629" s="938">
        <v>0</v>
      </c>
      <c r="S629" s="956">
        <v>0</v>
      </c>
      <c r="T629" s="938">
        <v>0</v>
      </c>
      <c r="U629" s="938">
        <v>0</v>
      </c>
      <c r="V629" s="938">
        <v>0</v>
      </c>
      <c r="W629" s="938">
        <v>0</v>
      </c>
      <c r="X629" s="2734"/>
      <c r="Y629" s="2590"/>
    </row>
    <row r="630" spans="1:26" s="1638" customFormat="1" thickBot="1">
      <c r="A630" s="2588"/>
      <c r="B630" s="1009" t="s">
        <v>25</v>
      </c>
      <c r="C630" s="2593"/>
      <c r="D630" s="1064">
        <f>M630+O630+P630+Q630+R630+S630+T630+U630+V630+W630</f>
        <v>12183609</v>
      </c>
      <c r="E630" s="475"/>
      <c r="F630" s="801"/>
      <c r="G630" s="801"/>
      <c r="H630" s="481"/>
      <c r="I630" s="481"/>
      <c r="J630" s="481"/>
      <c r="K630" s="748"/>
      <c r="L630" s="481"/>
      <c r="M630" s="1071">
        <f>+E630+I630+J630+K630+L630+N630</f>
        <v>0</v>
      </c>
      <c r="N630" s="957">
        <v>0</v>
      </c>
      <c r="O630" s="481">
        <f>7051000-1096882</f>
        <v>5954118</v>
      </c>
      <c r="P630" s="481">
        <v>6229491</v>
      </c>
      <c r="Q630" s="957">
        <v>0</v>
      </c>
      <c r="R630" s="957">
        <v>0</v>
      </c>
      <c r="S630" s="958">
        <v>0</v>
      </c>
      <c r="T630" s="957">
        <v>0</v>
      </c>
      <c r="U630" s="957">
        <v>0</v>
      </c>
      <c r="V630" s="957">
        <v>0</v>
      </c>
      <c r="W630" s="957">
        <v>0</v>
      </c>
      <c r="X630" s="2735"/>
      <c r="Y630" s="2591"/>
    </row>
    <row r="631" spans="1:26" s="1638" customFormat="1" ht="24.75" customHeight="1">
      <c r="A631" s="2586" t="s">
        <v>108</v>
      </c>
      <c r="B631" s="928" t="s">
        <v>439</v>
      </c>
      <c r="C631" s="457" t="s">
        <v>128</v>
      </c>
      <c r="D631" s="420"/>
      <c r="E631" s="420"/>
      <c r="F631" s="421"/>
      <c r="G631" s="421"/>
      <c r="H631" s="420"/>
      <c r="I631" s="420"/>
      <c r="J631" s="420"/>
      <c r="K631" s="420"/>
      <c r="L631" s="420"/>
      <c r="M631" s="420"/>
      <c r="N631" s="420"/>
      <c r="O631" s="420"/>
      <c r="P631" s="420"/>
      <c r="Q631" s="420"/>
      <c r="R631" s="420"/>
      <c r="S631" s="422"/>
      <c r="T631" s="422"/>
      <c r="U631" s="422"/>
      <c r="V631" s="422"/>
      <c r="W631" s="422"/>
      <c r="X631" s="423"/>
      <c r="Y631" s="2589" t="s">
        <v>103</v>
      </c>
    </row>
    <row r="632" spans="1:26" s="1638" customFormat="1" ht="12">
      <c r="A632" s="2587"/>
      <c r="B632" s="358" t="s">
        <v>22</v>
      </c>
      <c r="C632" s="359"/>
      <c r="D632" s="595">
        <f>+D633</f>
        <v>5654379</v>
      </c>
      <c r="E632" s="595"/>
      <c r="F632" s="595"/>
      <c r="G632" s="595"/>
      <c r="H632" s="595"/>
      <c r="I632" s="595"/>
      <c r="J632" s="595">
        <f t="shared" ref="J632:S632" si="340">+J633</f>
        <v>806409</v>
      </c>
      <c r="K632" s="595">
        <f t="shared" si="340"/>
        <v>831715</v>
      </c>
      <c r="L632" s="595">
        <f t="shared" si="340"/>
        <v>908119</v>
      </c>
      <c r="M632" s="595">
        <f t="shared" si="340"/>
        <v>3481428</v>
      </c>
      <c r="N632" s="595">
        <f t="shared" si="340"/>
        <v>935185</v>
      </c>
      <c r="O632" s="595">
        <f t="shared" si="340"/>
        <v>1081746</v>
      </c>
      <c r="P632" s="595">
        <f t="shared" si="340"/>
        <v>1091205</v>
      </c>
      <c r="Q632" s="595">
        <f t="shared" si="340"/>
        <v>0</v>
      </c>
      <c r="R632" s="595">
        <f t="shared" si="340"/>
        <v>0</v>
      </c>
      <c r="S632" s="595">
        <f t="shared" si="340"/>
        <v>0</v>
      </c>
      <c r="T632" s="950">
        <v>0</v>
      </c>
      <c r="U632" s="950">
        <v>0</v>
      </c>
      <c r="V632" s="950">
        <v>0</v>
      </c>
      <c r="W632" s="950">
        <v>0</v>
      </c>
      <c r="X632" s="464">
        <f>+X633</f>
        <v>1091205</v>
      </c>
      <c r="Y632" s="2590"/>
      <c r="Z632" s="1637">
        <f>+O632+P632+Q632+R632</f>
        <v>2172951</v>
      </c>
    </row>
    <row r="633" spans="1:26" s="1638" customFormat="1" ht="12">
      <c r="A633" s="2587"/>
      <c r="B633" s="510" t="s">
        <v>36</v>
      </c>
      <c r="C633" s="2623" t="s">
        <v>100</v>
      </c>
      <c r="D633" s="598">
        <f>+D634+D635</f>
        <v>5654379</v>
      </c>
      <c r="E633" s="598">
        <f t="shared" ref="E633:R633" si="341">+E634+E635</f>
        <v>0</v>
      </c>
      <c r="F633" s="598">
        <f t="shared" si="341"/>
        <v>0</v>
      </c>
      <c r="G633" s="598">
        <f t="shared" si="341"/>
        <v>0</v>
      </c>
      <c r="H633" s="598">
        <f t="shared" si="341"/>
        <v>0</v>
      </c>
      <c r="I633" s="598">
        <f t="shared" si="341"/>
        <v>0</v>
      </c>
      <c r="J633" s="598">
        <f t="shared" si="341"/>
        <v>806409</v>
      </c>
      <c r="K633" s="598">
        <f t="shared" si="341"/>
        <v>831715</v>
      </c>
      <c r="L633" s="598">
        <f t="shared" si="341"/>
        <v>908119</v>
      </c>
      <c r="M633" s="598">
        <f t="shared" si="341"/>
        <v>3481428</v>
      </c>
      <c r="N633" s="598">
        <f t="shared" si="341"/>
        <v>935185</v>
      </c>
      <c r="O633" s="598">
        <f t="shared" si="341"/>
        <v>1081746</v>
      </c>
      <c r="P633" s="598">
        <f t="shared" si="341"/>
        <v>1091205</v>
      </c>
      <c r="Q633" s="598">
        <f t="shared" si="341"/>
        <v>0</v>
      </c>
      <c r="R633" s="598">
        <f t="shared" si="341"/>
        <v>0</v>
      </c>
      <c r="S633" s="598">
        <f>+S634+S635</f>
        <v>0</v>
      </c>
      <c r="T633" s="955">
        <v>0</v>
      </c>
      <c r="U633" s="931">
        <v>0</v>
      </c>
      <c r="V633" s="931">
        <v>0</v>
      </c>
      <c r="W633" s="931">
        <v>0</v>
      </c>
      <c r="X633" s="486">
        <f>+X634+X635</f>
        <v>1091205</v>
      </c>
      <c r="Y633" s="2590"/>
    </row>
    <row r="634" spans="1:26" s="1638" customFormat="1" ht="12">
      <c r="A634" s="2587"/>
      <c r="B634" s="1663" t="s">
        <v>24</v>
      </c>
      <c r="C634" s="2742"/>
      <c r="D634" s="433">
        <f>M634+O634+P634+Q634+R634+S634+T634+U634+V634+W634</f>
        <v>3534687</v>
      </c>
      <c r="E634" s="440"/>
      <c r="F634" s="514"/>
      <c r="G634" s="514"/>
      <c r="H634" s="514"/>
      <c r="I634" s="599"/>
      <c r="J634" s="478">
        <v>806409</v>
      </c>
      <c r="K634" s="513">
        <f>846730-15015</f>
        <v>831715</v>
      </c>
      <c r="L634" s="514">
        <f>889066+20000-947</f>
        <v>908119</v>
      </c>
      <c r="M634" s="434">
        <f>+E634+I634+J634+K634+L634+N634</f>
        <v>3481428</v>
      </c>
      <c r="N634" s="478">
        <f>933520+18000-16335</f>
        <v>935185</v>
      </c>
      <c r="O634" s="478">
        <f>980196+947+110000-1064047-5461</f>
        <v>21635</v>
      </c>
      <c r="P634" s="478">
        <f>1029205+62000-1059581</f>
        <v>31624</v>
      </c>
      <c r="Q634" s="478">
        <f>1080665+11000+5461-1097126</f>
        <v>0</v>
      </c>
      <c r="R634" s="478">
        <f>1106601-1106601</f>
        <v>0</v>
      </c>
      <c r="S634" s="478">
        <f>1165000-1165000</f>
        <v>0</v>
      </c>
      <c r="T634" s="955">
        <v>0</v>
      </c>
      <c r="U634" s="931">
        <v>0</v>
      </c>
      <c r="V634" s="931">
        <v>0</v>
      </c>
      <c r="W634" s="931">
        <v>0</v>
      </c>
      <c r="X634" s="393">
        <f>SUM(P634:T634)</f>
        <v>31624</v>
      </c>
      <c r="Y634" s="2590"/>
    </row>
    <row r="635" spans="1:26" s="1638" customFormat="1" ht="12">
      <c r="A635" s="2587"/>
      <c r="B635" s="624" t="s">
        <v>94</v>
      </c>
      <c r="C635" s="2743"/>
      <c r="D635" s="433">
        <f>M635+O635+P635+Q635+R635+S635+T635+U635+V635+W635</f>
        <v>2119692</v>
      </c>
      <c r="E635" s="440"/>
      <c r="F635" s="478"/>
      <c r="G635" s="478"/>
      <c r="H635" s="478"/>
      <c r="I635" s="478"/>
      <c r="J635" s="478"/>
      <c r="K635" s="516"/>
      <c r="L635" s="478"/>
      <c r="M635" s="1070">
        <f>+E635+I635+J635+K635+L635+N635</f>
        <v>0</v>
      </c>
      <c r="N635" s="478"/>
      <c r="O635" s="478">
        <f>1064047-3936</f>
        <v>1060111</v>
      </c>
      <c r="P635" s="478">
        <v>1059581</v>
      </c>
      <c r="Q635" s="478">
        <v>0</v>
      </c>
      <c r="R635" s="478">
        <v>0</v>
      </c>
      <c r="S635" s="955">
        <v>0</v>
      </c>
      <c r="T635" s="955">
        <v>0</v>
      </c>
      <c r="U635" s="931">
        <v>0</v>
      </c>
      <c r="V635" s="931">
        <v>0</v>
      </c>
      <c r="W635" s="931">
        <v>0</v>
      </c>
      <c r="X635" s="393">
        <f>SUM(P635:T635)</f>
        <v>1059581</v>
      </c>
      <c r="Y635" s="2590"/>
    </row>
    <row r="636" spans="1:26" s="1638" customFormat="1" ht="12">
      <c r="A636" s="2587"/>
      <c r="B636" s="489" t="s">
        <v>34</v>
      </c>
      <c r="C636" s="359"/>
      <c r="D636" s="595">
        <f>D637</f>
        <v>2119692</v>
      </c>
      <c r="E636" s="595"/>
      <c r="F636" s="595"/>
      <c r="G636" s="595"/>
      <c r="H636" s="595"/>
      <c r="I636" s="595"/>
      <c r="J636" s="595"/>
      <c r="K636" s="595"/>
      <c r="L636" s="595"/>
      <c r="M636" s="950">
        <v>0</v>
      </c>
      <c r="N636" s="950">
        <v>0</v>
      </c>
      <c r="O636" s="595">
        <f>+O637</f>
        <v>1060111</v>
      </c>
      <c r="P636" s="595">
        <f>+P637</f>
        <v>1059581</v>
      </c>
      <c r="Q636" s="950">
        <v>0</v>
      </c>
      <c r="R636" s="950">
        <v>0</v>
      </c>
      <c r="S636" s="950">
        <v>0</v>
      </c>
      <c r="T636" s="950">
        <v>0</v>
      </c>
      <c r="U636" s="950">
        <v>0</v>
      </c>
      <c r="V636" s="950">
        <v>0</v>
      </c>
      <c r="W636" s="950">
        <v>0</v>
      </c>
      <c r="X636" s="2751" t="s">
        <v>35</v>
      </c>
      <c r="Y636" s="2590"/>
    </row>
    <row r="637" spans="1:26" s="1638" customFormat="1" ht="12">
      <c r="A637" s="2587"/>
      <c r="B637" s="510" t="s">
        <v>36</v>
      </c>
      <c r="C637" s="2623" t="s">
        <v>100</v>
      </c>
      <c r="D637" s="1502">
        <f>+D638</f>
        <v>2119692</v>
      </c>
      <c r="E637" s="536"/>
      <c r="F637" s="465"/>
      <c r="G637" s="465"/>
      <c r="H637" s="535"/>
      <c r="I637" s="535"/>
      <c r="J637" s="535"/>
      <c r="K637" s="727"/>
      <c r="L637" s="535"/>
      <c r="M637" s="1503">
        <v>0</v>
      </c>
      <c r="N637" s="956">
        <v>0</v>
      </c>
      <c r="O637" s="1504">
        <f>+O638</f>
        <v>1060111</v>
      </c>
      <c r="P637" s="1504">
        <f>+P638</f>
        <v>1059581</v>
      </c>
      <c r="Q637" s="956">
        <v>0</v>
      </c>
      <c r="R637" s="956">
        <v>0</v>
      </c>
      <c r="S637" s="956">
        <v>0</v>
      </c>
      <c r="T637" s="938">
        <v>0</v>
      </c>
      <c r="U637" s="938">
        <v>0</v>
      </c>
      <c r="V637" s="938">
        <v>0</v>
      </c>
      <c r="W637" s="938">
        <v>0</v>
      </c>
      <c r="X637" s="2734"/>
      <c r="Y637" s="2590"/>
    </row>
    <row r="638" spans="1:26" s="1638" customFormat="1" thickBot="1">
      <c r="A638" s="2588"/>
      <c r="B638" s="624" t="s">
        <v>25</v>
      </c>
      <c r="C638" s="2593"/>
      <c r="D638" s="433">
        <f>M638+O638+P638+Q638+R638+S638+T638+U638+V638+W638</f>
        <v>2119692</v>
      </c>
      <c r="E638" s="475"/>
      <c r="F638" s="801"/>
      <c r="G638" s="801"/>
      <c r="H638" s="481"/>
      <c r="I638" s="481"/>
      <c r="J638" s="481"/>
      <c r="K638" s="748"/>
      <c r="L638" s="481"/>
      <c r="M638" s="1070">
        <f>+E638+I638+J638+K638+L638+N638</f>
        <v>0</v>
      </c>
      <c r="N638" s="958">
        <v>0</v>
      </c>
      <c r="O638" s="1505">
        <f>1064047-3936</f>
        <v>1060111</v>
      </c>
      <c r="P638" s="478">
        <v>1059581</v>
      </c>
      <c r="Q638" s="958">
        <v>0</v>
      </c>
      <c r="R638" s="958">
        <v>0</v>
      </c>
      <c r="S638" s="958">
        <v>0</v>
      </c>
      <c r="T638" s="957">
        <v>0</v>
      </c>
      <c r="U638" s="957">
        <v>0</v>
      </c>
      <c r="V638" s="957">
        <v>0</v>
      </c>
      <c r="W638" s="957">
        <v>0</v>
      </c>
      <c r="X638" s="2735"/>
      <c r="Y638" s="2591"/>
    </row>
    <row r="639" spans="1:26" s="1638" customFormat="1" ht="14.25" customHeight="1">
      <c r="A639" s="2586" t="s">
        <v>109</v>
      </c>
      <c r="B639" s="928" t="s">
        <v>437</v>
      </c>
      <c r="C639" s="457" t="s">
        <v>97</v>
      </c>
      <c r="D639" s="600"/>
      <c r="E639" s="420"/>
      <c r="F639" s="421"/>
      <c r="G639" s="421"/>
      <c r="H639" s="420"/>
      <c r="I639" s="420"/>
      <c r="J639" s="420"/>
      <c r="K639" s="420"/>
      <c r="L639" s="420"/>
      <c r="M639" s="422"/>
      <c r="N639" s="422"/>
      <c r="O639" s="422"/>
      <c r="P639" s="422"/>
      <c r="Q639" s="422"/>
      <c r="R639" s="422"/>
      <c r="S639" s="422"/>
      <c r="T639" s="422"/>
      <c r="U639" s="422"/>
      <c r="V639" s="422"/>
      <c r="W639" s="422"/>
      <c r="X639" s="423"/>
      <c r="Y639" s="2589" t="s">
        <v>103</v>
      </c>
    </row>
    <row r="640" spans="1:26" s="1638" customFormat="1" ht="12">
      <c r="A640" s="2587"/>
      <c r="B640" s="358" t="s">
        <v>22</v>
      </c>
      <c r="C640" s="359"/>
      <c r="D640" s="595">
        <f>+D641</f>
        <v>373620</v>
      </c>
      <c r="E640" s="595"/>
      <c r="F640" s="595"/>
      <c r="G640" s="595"/>
      <c r="H640" s="595"/>
      <c r="I640" s="595"/>
      <c r="J640" s="595"/>
      <c r="K640" s="595"/>
      <c r="L640" s="595">
        <f t="shared" ref="L640:R641" si="342">+L641</f>
        <v>128194</v>
      </c>
      <c r="M640" s="595">
        <f t="shared" si="342"/>
        <v>275669</v>
      </c>
      <c r="N640" s="595">
        <f t="shared" si="342"/>
        <v>147475</v>
      </c>
      <c r="O640" s="595">
        <f t="shared" si="342"/>
        <v>65342</v>
      </c>
      <c r="P640" s="595">
        <f t="shared" si="342"/>
        <v>32609</v>
      </c>
      <c r="Q640" s="595">
        <f t="shared" si="342"/>
        <v>0</v>
      </c>
      <c r="R640" s="595">
        <f t="shared" si="342"/>
        <v>0</v>
      </c>
      <c r="S640" s="950">
        <v>0</v>
      </c>
      <c r="T640" s="950">
        <v>0</v>
      </c>
      <c r="U640" s="950">
        <v>0</v>
      </c>
      <c r="V640" s="950">
        <v>0</v>
      </c>
      <c r="W640" s="950">
        <v>0</v>
      </c>
      <c r="X640" s="464">
        <f>+X641</f>
        <v>32609</v>
      </c>
      <c r="Y640" s="2590"/>
      <c r="Z640" s="1637">
        <f>+O640+P640+Q640+R640</f>
        <v>97951</v>
      </c>
    </row>
    <row r="641" spans="1:26" s="1638" customFormat="1" ht="12">
      <c r="A641" s="2587"/>
      <c r="B641" s="510" t="s">
        <v>36</v>
      </c>
      <c r="C641" s="2623" t="s">
        <v>100</v>
      </c>
      <c r="D641" s="598">
        <f>+D642</f>
        <v>373620</v>
      </c>
      <c r="E641" s="598"/>
      <c r="F641" s="598"/>
      <c r="G641" s="598"/>
      <c r="H641" s="598"/>
      <c r="I641" s="598"/>
      <c r="J641" s="598"/>
      <c r="K641" s="598"/>
      <c r="L641" s="598">
        <f t="shared" si="342"/>
        <v>128194</v>
      </c>
      <c r="M641" s="598">
        <f t="shared" si="342"/>
        <v>275669</v>
      </c>
      <c r="N641" s="598">
        <f t="shared" si="342"/>
        <v>147475</v>
      </c>
      <c r="O641" s="598">
        <f t="shared" si="342"/>
        <v>65342</v>
      </c>
      <c r="P641" s="598">
        <f t="shared" si="342"/>
        <v>32609</v>
      </c>
      <c r="Q641" s="598">
        <f t="shared" si="342"/>
        <v>0</v>
      </c>
      <c r="R641" s="598">
        <f t="shared" si="342"/>
        <v>0</v>
      </c>
      <c r="S641" s="951">
        <v>0</v>
      </c>
      <c r="T641" s="951">
        <v>0</v>
      </c>
      <c r="U641" s="951">
        <v>0</v>
      </c>
      <c r="V641" s="951">
        <v>0</v>
      </c>
      <c r="W641" s="951">
        <v>0</v>
      </c>
      <c r="X641" s="486">
        <f>+X642</f>
        <v>32609</v>
      </c>
      <c r="Y641" s="2590"/>
    </row>
    <row r="642" spans="1:26" s="1638" customFormat="1" thickBot="1">
      <c r="A642" s="2588"/>
      <c r="B642" s="1662" t="s">
        <v>24</v>
      </c>
      <c r="C642" s="2593"/>
      <c r="D642" s="433">
        <f>M642+O642+P642+Q642+R642+S642+T642+U642+V642+W642</f>
        <v>373620</v>
      </c>
      <c r="E642" s="475"/>
      <c r="F642" s="801"/>
      <c r="G642" s="801"/>
      <c r="H642" s="801"/>
      <c r="I642" s="803"/>
      <c r="J642" s="481"/>
      <c r="K642" s="802"/>
      <c r="L642" s="801">
        <f>250000+80000-150160-51646</f>
        <v>128194</v>
      </c>
      <c r="M642" s="434">
        <f>+E642+I642+J642+K642+L642+N642</f>
        <v>275669</v>
      </c>
      <c r="N642" s="801">
        <f>150000+150160+51646-147600-5283-50000-1448</f>
        <v>147475</v>
      </c>
      <c r="O642" s="801">
        <f>150000+147600-127600-104576-82</f>
        <v>65342</v>
      </c>
      <c r="P642" s="801">
        <f>150000-115000-2391</f>
        <v>32609</v>
      </c>
      <c r="Q642" s="801">
        <f>165000-165000</f>
        <v>0</v>
      </c>
      <c r="R642" s="801">
        <f>168960-168960</f>
        <v>0</v>
      </c>
      <c r="S642" s="1082">
        <v>0</v>
      </c>
      <c r="T642" s="1082">
        <v>0</v>
      </c>
      <c r="U642" s="954">
        <v>0</v>
      </c>
      <c r="V642" s="954">
        <v>0</v>
      </c>
      <c r="W642" s="954">
        <v>0</v>
      </c>
      <c r="X642" s="393">
        <f>SUM(P642:W642)</f>
        <v>32609</v>
      </c>
      <c r="Y642" s="2591"/>
    </row>
    <row r="643" spans="1:26" s="1638" customFormat="1" ht="14.25" customHeight="1">
      <c r="A643" s="2586" t="s">
        <v>110</v>
      </c>
      <c r="B643" s="928" t="s">
        <v>440</v>
      </c>
      <c r="C643" s="457" t="s">
        <v>128</v>
      </c>
      <c r="D643" s="600"/>
      <c r="E643" s="420"/>
      <c r="F643" s="421"/>
      <c r="G643" s="421"/>
      <c r="H643" s="420"/>
      <c r="I643" s="420"/>
      <c r="J643" s="420"/>
      <c r="K643" s="420"/>
      <c r="L643" s="420"/>
      <c r="M643" s="422"/>
      <c r="N643" s="422"/>
      <c r="O643" s="422"/>
      <c r="P643" s="422"/>
      <c r="Q643" s="422"/>
      <c r="R643" s="422"/>
      <c r="S643" s="422"/>
      <c r="T643" s="422"/>
      <c r="U643" s="422"/>
      <c r="V643" s="422"/>
      <c r="W643" s="422"/>
      <c r="X643" s="423"/>
      <c r="Y643" s="2589" t="s">
        <v>103</v>
      </c>
    </row>
    <row r="644" spans="1:26" s="1638" customFormat="1" ht="12">
      <c r="A644" s="2587"/>
      <c r="B644" s="358" t="s">
        <v>22</v>
      </c>
      <c r="C644" s="359"/>
      <c r="D644" s="595">
        <f>+D645</f>
        <v>28812</v>
      </c>
      <c r="E644" s="595"/>
      <c r="F644" s="595"/>
      <c r="G644" s="595"/>
      <c r="H644" s="595"/>
      <c r="I644" s="595"/>
      <c r="J644" s="595"/>
      <c r="K644" s="595"/>
      <c r="L644" s="595">
        <f t="shared" ref="L644:S645" si="343">+L645</f>
        <v>0</v>
      </c>
      <c r="M644" s="950">
        <f t="shared" si="343"/>
        <v>0</v>
      </c>
      <c r="N644" s="595">
        <f t="shared" si="343"/>
        <v>0</v>
      </c>
      <c r="O644" s="950">
        <f t="shared" si="343"/>
        <v>0</v>
      </c>
      <c r="P644" s="595">
        <f t="shared" si="343"/>
        <v>28812</v>
      </c>
      <c r="Q644" s="595">
        <f t="shared" si="343"/>
        <v>0</v>
      </c>
      <c r="R644" s="595">
        <f t="shared" si="343"/>
        <v>0</v>
      </c>
      <c r="S644" s="595">
        <f t="shared" si="343"/>
        <v>0</v>
      </c>
      <c r="T644" s="950">
        <v>0</v>
      </c>
      <c r="U644" s="950">
        <v>0</v>
      </c>
      <c r="V644" s="950">
        <v>0</v>
      </c>
      <c r="W644" s="950">
        <v>0</v>
      </c>
      <c r="X644" s="464">
        <f>+X645</f>
        <v>28812</v>
      </c>
      <c r="Y644" s="2590"/>
      <c r="Z644" s="1637">
        <f>+O644+P644+Q644+R644</f>
        <v>28812</v>
      </c>
    </row>
    <row r="645" spans="1:26" s="1638" customFormat="1" ht="12">
      <c r="A645" s="2587"/>
      <c r="B645" s="510" t="s">
        <v>36</v>
      </c>
      <c r="C645" s="2623" t="s">
        <v>100</v>
      </c>
      <c r="D645" s="598">
        <f>+D646</f>
        <v>28812</v>
      </c>
      <c r="E645" s="598"/>
      <c r="F645" s="598"/>
      <c r="G645" s="598"/>
      <c r="H645" s="598"/>
      <c r="I645" s="598"/>
      <c r="J645" s="598"/>
      <c r="K645" s="598"/>
      <c r="L645" s="598">
        <f t="shared" si="343"/>
        <v>0</v>
      </c>
      <c r="M645" s="951">
        <f t="shared" si="343"/>
        <v>0</v>
      </c>
      <c r="N645" s="598">
        <f t="shared" si="343"/>
        <v>0</v>
      </c>
      <c r="O645" s="951">
        <f t="shared" si="343"/>
        <v>0</v>
      </c>
      <c r="P645" s="598">
        <f t="shared" si="343"/>
        <v>28812</v>
      </c>
      <c r="Q645" s="598">
        <f t="shared" si="343"/>
        <v>0</v>
      </c>
      <c r="R645" s="598">
        <f t="shared" si="343"/>
        <v>0</v>
      </c>
      <c r="S645" s="598">
        <f t="shared" si="343"/>
        <v>0</v>
      </c>
      <c r="T645" s="951">
        <v>0</v>
      </c>
      <c r="U645" s="951">
        <v>0</v>
      </c>
      <c r="V645" s="951">
        <v>0</v>
      </c>
      <c r="W645" s="951">
        <v>0</v>
      </c>
      <c r="X645" s="486">
        <f>+X646</f>
        <v>28812</v>
      </c>
      <c r="Y645" s="2590"/>
    </row>
    <row r="646" spans="1:26" s="1638" customFormat="1" thickBot="1">
      <c r="A646" s="2588"/>
      <c r="B646" s="1662" t="s">
        <v>24</v>
      </c>
      <c r="C646" s="2593"/>
      <c r="D646" s="433">
        <f>M646+O646+P646+Q646+R646+S646+T646+U646+V646+W646</f>
        <v>28812</v>
      </c>
      <c r="E646" s="475"/>
      <c r="F646" s="801"/>
      <c r="G646" s="801"/>
      <c r="H646" s="801"/>
      <c r="I646" s="803"/>
      <c r="J646" s="481"/>
      <c r="K646" s="802"/>
      <c r="L646" s="801">
        <v>0</v>
      </c>
      <c r="M646" s="1070">
        <v>0</v>
      </c>
      <c r="N646" s="801">
        <v>0</v>
      </c>
      <c r="O646" s="1082">
        <v>0</v>
      </c>
      <c r="P646" s="801">
        <f>115000-86188</f>
        <v>28812</v>
      </c>
      <c r="Q646" s="801">
        <f>150000-150000</f>
        <v>0</v>
      </c>
      <c r="R646" s="801">
        <f>150000-150000</f>
        <v>0</v>
      </c>
      <c r="S646" s="801">
        <f>150000-150000</f>
        <v>0</v>
      </c>
      <c r="T646" s="1082">
        <v>0</v>
      </c>
      <c r="U646" s="954">
        <v>0</v>
      </c>
      <c r="V646" s="954">
        <v>0</v>
      </c>
      <c r="W646" s="954">
        <v>0</v>
      </c>
      <c r="X646" s="393">
        <f>SUM(P646:W646)</f>
        <v>28812</v>
      </c>
      <c r="Y646" s="2591"/>
    </row>
    <row r="647" spans="1:26" s="1638" customFormat="1" ht="24.75" customHeight="1">
      <c r="A647" s="2586" t="s">
        <v>111</v>
      </c>
      <c r="B647" s="928" t="s">
        <v>279</v>
      </c>
      <c r="C647" s="457" t="s">
        <v>128</v>
      </c>
      <c r="D647" s="600"/>
      <c r="E647" s="420"/>
      <c r="F647" s="421"/>
      <c r="G647" s="421"/>
      <c r="H647" s="420"/>
      <c r="I647" s="420"/>
      <c r="J647" s="420"/>
      <c r="K647" s="420"/>
      <c r="L647" s="420"/>
      <c r="M647" s="422"/>
      <c r="N647" s="422"/>
      <c r="O647" s="422"/>
      <c r="P647" s="422"/>
      <c r="Q647" s="422"/>
      <c r="R647" s="422"/>
      <c r="S647" s="422"/>
      <c r="T647" s="422"/>
      <c r="U647" s="422"/>
      <c r="V647" s="422"/>
      <c r="W647" s="422"/>
      <c r="X647" s="423"/>
      <c r="Y647" s="2589" t="s">
        <v>120</v>
      </c>
    </row>
    <row r="648" spans="1:26" s="1638" customFormat="1" ht="12">
      <c r="A648" s="2587"/>
      <c r="B648" s="358" t="s">
        <v>22</v>
      </c>
      <c r="C648" s="359"/>
      <c r="D648" s="595">
        <f>+D649</f>
        <v>659736</v>
      </c>
      <c r="E648" s="595"/>
      <c r="F648" s="595"/>
      <c r="G648" s="595"/>
      <c r="H648" s="595"/>
      <c r="I648" s="595"/>
      <c r="J648" s="595"/>
      <c r="K648" s="595"/>
      <c r="L648" s="595">
        <f t="shared" ref="L648:T649" si="344">+L649</f>
        <v>0</v>
      </c>
      <c r="M648" s="950">
        <f t="shared" si="344"/>
        <v>0</v>
      </c>
      <c r="N648" s="595">
        <f t="shared" si="344"/>
        <v>0</v>
      </c>
      <c r="O648" s="595">
        <f t="shared" si="344"/>
        <v>62069</v>
      </c>
      <c r="P648" s="595">
        <f t="shared" si="344"/>
        <v>57667</v>
      </c>
      <c r="Q648" s="595">
        <f t="shared" si="344"/>
        <v>135000</v>
      </c>
      <c r="R648" s="595">
        <f t="shared" si="344"/>
        <v>135000</v>
      </c>
      <c r="S648" s="595">
        <f t="shared" si="344"/>
        <v>135000</v>
      </c>
      <c r="T648" s="595">
        <f t="shared" si="344"/>
        <v>135000</v>
      </c>
      <c r="U648" s="950">
        <v>0</v>
      </c>
      <c r="V648" s="950">
        <v>0</v>
      </c>
      <c r="W648" s="950">
        <v>0</v>
      </c>
      <c r="X648" s="464">
        <f>+X649</f>
        <v>597667</v>
      </c>
      <c r="Y648" s="2590"/>
      <c r="Z648" s="1637">
        <f>+O648+P648+Q648+R648</f>
        <v>389736</v>
      </c>
    </row>
    <row r="649" spans="1:26" s="1638" customFormat="1" ht="12">
      <c r="A649" s="2587"/>
      <c r="B649" s="510" t="s">
        <v>36</v>
      </c>
      <c r="C649" s="2623" t="s">
        <v>116</v>
      </c>
      <c r="D649" s="598">
        <f>+D650</f>
        <v>659736</v>
      </c>
      <c r="E649" s="598"/>
      <c r="F649" s="598"/>
      <c r="G649" s="598"/>
      <c r="H649" s="598"/>
      <c r="I649" s="598"/>
      <c r="J649" s="598"/>
      <c r="K649" s="598"/>
      <c r="L649" s="598">
        <f t="shared" si="344"/>
        <v>0</v>
      </c>
      <c r="M649" s="951">
        <f t="shared" si="344"/>
        <v>0</v>
      </c>
      <c r="N649" s="598">
        <f t="shared" si="344"/>
        <v>0</v>
      </c>
      <c r="O649" s="598">
        <f t="shared" si="344"/>
        <v>62069</v>
      </c>
      <c r="P649" s="598">
        <f t="shared" si="344"/>
        <v>57667</v>
      </c>
      <c r="Q649" s="598">
        <f t="shared" si="344"/>
        <v>135000</v>
      </c>
      <c r="R649" s="598">
        <f t="shared" si="344"/>
        <v>135000</v>
      </c>
      <c r="S649" s="598">
        <f t="shared" si="344"/>
        <v>135000</v>
      </c>
      <c r="T649" s="598">
        <f t="shared" si="344"/>
        <v>135000</v>
      </c>
      <c r="U649" s="951">
        <v>0</v>
      </c>
      <c r="V649" s="951">
        <v>0</v>
      </c>
      <c r="W649" s="951">
        <v>0</v>
      </c>
      <c r="X649" s="486">
        <f>+X650</f>
        <v>597667</v>
      </c>
      <c r="Y649" s="2590"/>
    </row>
    <row r="650" spans="1:26" s="1638" customFormat="1" thickBot="1">
      <c r="A650" s="2588"/>
      <c r="B650" s="1656" t="s">
        <v>24</v>
      </c>
      <c r="C650" s="2593"/>
      <c r="D650" s="1064">
        <f>M650+O650+P650+Q650+R650+S650+T650+U650+V650+W650</f>
        <v>659736</v>
      </c>
      <c r="E650" s="475"/>
      <c r="F650" s="801"/>
      <c r="G650" s="801"/>
      <c r="H650" s="801"/>
      <c r="I650" s="803"/>
      <c r="J650" s="481"/>
      <c r="K650" s="802"/>
      <c r="L650" s="801">
        <v>0</v>
      </c>
      <c r="M650" s="1071">
        <f>+E650+I650+J650+K650+L650+N650</f>
        <v>0</v>
      </c>
      <c r="N650" s="801">
        <v>0</v>
      </c>
      <c r="O650" s="801">
        <f>120000-51166-6765</f>
        <v>62069</v>
      </c>
      <c r="P650" s="801">
        <f>135000-77333</f>
        <v>57667</v>
      </c>
      <c r="Q650" s="801">
        <v>135000</v>
      </c>
      <c r="R650" s="801">
        <v>135000</v>
      </c>
      <c r="S650" s="801">
        <v>135000</v>
      </c>
      <c r="T650" s="801">
        <v>135000</v>
      </c>
      <c r="U650" s="1082">
        <v>0</v>
      </c>
      <c r="V650" s="1082">
        <v>0</v>
      </c>
      <c r="W650" s="1082">
        <v>0</v>
      </c>
      <c r="X650" s="739">
        <f>SUM(P650:T650)</f>
        <v>597667</v>
      </c>
      <c r="Y650" s="2591"/>
    </row>
    <row r="651" spans="1:26" s="1638" customFormat="1" ht="27" customHeight="1">
      <c r="A651" s="2586" t="s">
        <v>112</v>
      </c>
      <c r="B651" s="928" t="s">
        <v>433</v>
      </c>
      <c r="C651" s="457" t="s">
        <v>97</v>
      </c>
      <c r="D651" s="600"/>
      <c r="E651" s="420"/>
      <c r="F651" s="421"/>
      <c r="G651" s="421"/>
      <c r="H651" s="420"/>
      <c r="I651" s="420"/>
      <c r="J651" s="420"/>
      <c r="K651" s="420"/>
      <c r="L651" s="420"/>
      <c r="M651" s="422"/>
      <c r="N651" s="422"/>
      <c r="O651" s="422"/>
      <c r="P651" s="422"/>
      <c r="Q651" s="422"/>
      <c r="R651" s="422"/>
      <c r="S651" s="422"/>
      <c r="T651" s="422"/>
      <c r="U651" s="422"/>
      <c r="V651" s="422"/>
      <c r="W651" s="422"/>
      <c r="X651" s="423"/>
      <c r="Y651" s="2589" t="s">
        <v>103</v>
      </c>
    </row>
    <row r="652" spans="1:26" s="1638" customFormat="1" ht="12">
      <c r="A652" s="2587"/>
      <c r="B652" s="358" t="s">
        <v>22</v>
      </c>
      <c r="C652" s="359"/>
      <c r="D652" s="1625">
        <f>+D653</f>
        <v>6355000</v>
      </c>
      <c r="E652" s="1625"/>
      <c r="F652" s="1625"/>
      <c r="G652" s="1625"/>
      <c r="H652" s="1625"/>
      <c r="I652" s="1625"/>
      <c r="J652" s="1625"/>
      <c r="K652" s="1625"/>
      <c r="L652" s="1625">
        <f t="shared" ref="L652:R653" si="345">+L653</f>
        <v>0</v>
      </c>
      <c r="M652" s="1626">
        <f t="shared" si="345"/>
        <v>0</v>
      </c>
      <c r="N652" s="1625">
        <f t="shared" si="345"/>
        <v>0</v>
      </c>
      <c r="O652" s="1626">
        <f t="shared" si="345"/>
        <v>0</v>
      </c>
      <c r="P652" s="1625">
        <f t="shared" si="345"/>
        <v>4296264</v>
      </c>
      <c r="Q652" s="1625">
        <f t="shared" si="345"/>
        <v>2058736</v>
      </c>
      <c r="R652" s="1626">
        <f t="shared" si="345"/>
        <v>0</v>
      </c>
      <c r="S652" s="1626">
        <v>0</v>
      </c>
      <c r="T652" s="1626">
        <v>0</v>
      </c>
      <c r="U652" s="1626">
        <v>0</v>
      </c>
      <c r="V652" s="1626">
        <v>0</v>
      </c>
      <c r="W652" s="1626">
        <v>0</v>
      </c>
      <c r="X652" s="1672">
        <f>+X653</f>
        <v>6355000</v>
      </c>
      <c r="Y652" s="2590"/>
      <c r="Z652" s="1637">
        <f>+O652+P652+Q652+R652</f>
        <v>6355000</v>
      </c>
    </row>
    <row r="653" spans="1:26" s="1638" customFormat="1" ht="12">
      <c r="A653" s="2587"/>
      <c r="B653" s="510" t="s">
        <v>36</v>
      </c>
      <c r="C653" s="2592" t="s">
        <v>100</v>
      </c>
      <c r="D653" s="1703">
        <f>+D654</f>
        <v>6355000</v>
      </c>
      <c r="E653" s="1703"/>
      <c r="F653" s="1703"/>
      <c r="G653" s="1703"/>
      <c r="H653" s="1703"/>
      <c r="I653" s="1703"/>
      <c r="J653" s="1703"/>
      <c r="K653" s="1703"/>
      <c r="L653" s="1703">
        <f t="shared" si="345"/>
        <v>0</v>
      </c>
      <c r="M653" s="1705">
        <f t="shared" si="345"/>
        <v>0</v>
      </c>
      <c r="N653" s="1703">
        <f t="shared" si="345"/>
        <v>0</v>
      </c>
      <c r="O653" s="1705">
        <f t="shared" si="345"/>
        <v>0</v>
      </c>
      <c r="P653" s="1703">
        <f t="shared" si="345"/>
        <v>4296264</v>
      </c>
      <c r="Q653" s="1703">
        <f t="shared" si="345"/>
        <v>2058736</v>
      </c>
      <c r="R653" s="1705">
        <f t="shared" si="345"/>
        <v>0</v>
      </c>
      <c r="S653" s="1705">
        <v>0</v>
      </c>
      <c r="T653" s="1705">
        <v>0</v>
      </c>
      <c r="U653" s="1705">
        <v>0</v>
      </c>
      <c r="V653" s="1705">
        <v>0</v>
      </c>
      <c r="W653" s="1705">
        <v>0</v>
      </c>
      <c r="X653" s="1674">
        <f>+X654</f>
        <v>6355000</v>
      </c>
      <c r="Y653" s="2590"/>
    </row>
    <row r="654" spans="1:26" s="1638" customFormat="1" thickBot="1">
      <c r="A654" s="2588"/>
      <c r="B654" s="1662" t="s">
        <v>24</v>
      </c>
      <c r="C654" s="2593"/>
      <c r="D654" s="1064">
        <f>M654+O654+P654+Q654+R654+S654+T654+U654+V654+W654</f>
        <v>6355000</v>
      </c>
      <c r="E654" s="475"/>
      <c r="F654" s="801"/>
      <c r="G654" s="801"/>
      <c r="H654" s="801"/>
      <c r="I654" s="803"/>
      <c r="J654" s="481"/>
      <c r="K654" s="802"/>
      <c r="L654" s="801"/>
      <c r="M654" s="1071"/>
      <c r="N654" s="801"/>
      <c r="O654" s="1082"/>
      <c r="P654" s="801">
        <f>4390000-93736</f>
        <v>4296264</v>
      </c>
      <c r="Q654" s="801">
        <f>1965000+93736</f>
        <v>2058736</v>
      </c>
      <c r="R654" s="1082">
        <f>168960-168960</f>
        <v>0</v>
      </c>
      <c r="S654" s="1082">
        <v>0</v>
      </c>
      <c r="T654" s="1082">
        <v>0</v>
      </c>
      <c r="U654" s="1082">
        <v>0</v>
      </c>
      <c r="V654" s="1082">
        <v>0</v>
      </c>
      <c r="W654" s="1082">
        <v>0</v>
      </c>
      <c r="X654" s="739">
        <f>SUM(P654:W654)</f>
        <v>6355000</v>
      </c>
      <c r="Y654" s="2591"/>
    </row>
    <row r="655" spans="1:26" s="1638" customFormat="1" ht="16.5" customHeight="1">
      <c r="A655" s="2586" t="s">
        <v>113</v>
      </c>
      <c r="B655" s="928" t="s">
        <v>507</v>
      </c>
      <c r="C655" s="457" t="s">
        <v>128</v>
      </c>
      <c r="D655" s="600"/>
      <c r="E655" s="420"/>
      <c r="F655" s="421"/>
      <c r="G655" s="421"/>
      <c r="H655" s="420"/>
      <c r="I655" s="420"/>
      <c r="J655" s="420"/>
      <c r="K655" s="420"/>
      <c r="L655" s="420"/>
      <c r="M655" s="1873"/>
      <c r="N655" s="422"/>
      <c r="O655" s="1873"/>
      <c r="P655" s="422"/>
      <c r="Q655" s="422"/>
      <c r="R655" s="422"/>
      <c r="S655" s="422"/>
      <c r="T655" s="422"/>
      <c r="U655" s="422"/>
      <c r="V655" s="422"/>
      <c r="W655" s="422"/>
      <c r="X655" s="423"/>
      <c r="Y655" s="2589" t="s">
        <v>103</v>
      </c>
    </row>
    <row r="656" spans="1:26" s="1638" customFormat="1" ht="12">
      <c r="A656" s="2587"/>
      <c r="B656" s="358" t="s">
        <v>22</v>
      </c>
      <c r="C656" s="359"/>
      <c r="D656" s="1625">
        <f>+D657</f>
        <v>104265718</v>
      </c>
      <c r="E656" s="1625"/>
      <c r="F656" s="1625"/>
      <c r="G656" s="1625"/>
      <c r="H656" s="1625"/>
      <c r="I656" s="1625"/>
      <c r="J656" s="1625"/>
      <c r="K656" s="1625"/>
      <c r="L656" s="1625">
        <f t="shared" ref="L656:T657" si="346">+L657</f>
        <v>0</v>
      </c>
      <c r="M656" s="1626">
        <f t="shared" si="346"/>
        <v>0</v>
      </c>
      <c r="N656" s="1625">
        <f t="shared" si="346"/>
        <v>0</v>
      </c>
      <c r="O656" s="1626">
        <f t="shared" si="346"/>
        <v>0</v>
      </c>
      <c r="P656" s="1626">
        <f t="shared" si="346"/>
        <v>0</v>
      </c>
      <c r="Q656" s="1625">
        <f t="shared" si="346"/>
        <v>24229019</v>
      </c>
      <c r="R656" s="1625">
        <f t="shared" si="346"/>
        <v>26856601</v>
      </c>
      <c r="S656" s="1625">
        <f t="shared" si="346"/>
        <v>26265000</v>
      </c>
      <c r="T656" s="1625">
        <f t="shared" si="346"/>
        <v>26915098</v>
      </c>
      <c r="U656" s="1626">
        <v>0</v>
      </c>
      <c r="V656" s="1626">
        <v>0</v>
      </c>
      <c r="W656" s="1626">
        <v>0</v>
      </c>
      <c r="X656" s="1672">
        <f>+X657</f>
        <v>104265718</v>
      </c>
      <c r="Y656" s="2590"/>
      <c r="Z656" s="1637">
        <f>+O656+P656+Q656+R656</f>
        <v>51085620</v>
      </c>
    </row>
    <row r="657" spans="1:26" s="1638" customFormat="1" ht="12">
      <c r="A657" s="2587"/>
      <c r="B657" s="510" t="s">
        <v>36</v>
      </c>
      <c r="C657" s="2592" t="s">
        <v>100</v>
      </c>
      <c r="D657" s="1703">
        <f>+D658</f>
        <v>104265718</v>
      </c>
      <c r="E657" s="1703"/>
      <c r="F657" s="1703"/>
      <c r="G657" s="1703"/>
      <c r="H657" s="1703"/>
      <c r="I657" s="1703"/>
      <c r="J657" s="1703"/>
      <c r="K657" s="1703"/>
      <c r="L657" s="1703">
        <f t="shared" si="346"/>
        <v>0</v>
      </c>
      <c r="M657" s="1705">
        <f t="shared" si="346"/>
        <v>0</v>
      </c>
      <c r="N657" s="1703">
        <f t="shared" si="346"/>
        <v>0</v>
      </c>
      <c r="O657" s="1705">
        <f t="shared" si="346"/>
        <v>0</v>
      </c>
      <c r="P657" s="1705">
        <f t="shared" si="346"/>
        <v>0</v>
      </c>
      <c r="Q657" s="1703">
        <f t="shared" si="346"/>
        <v>24229019</v>
      </c>
      <c r="R657" s="1703">
        <f t="shared" si="346"/>
        <v>26856601</v>
      </c>
      <c r="S657" s="1703">
        <f t="shared" si="346"/>
        <v>26265000</v>
      </c>
      <c r="T657" s="1703">
        <f t="shared" si="346"/>
        <v>26915098</v>
      </c>
      <c r="U657" s="1705">
        <v>0</v>
      </c>
      <c r="V657" s="1705">
        <v>0</v>
      </c>
      <c r="W657" s="1705">
        <v>0</v>
      </c>
      <c r="X657" s="1674">
        <f>+X658</f>
        <v>104265718</v>
      </c>
      <c r="Y657" s="2590"/>
    </row>
    <row r="658" spans="1:26" s="1638" customFormat="1" ht="14.25" customHeight="1" thickBot="1">
      <c r="A658" s="2588"/>
      <c r="B658" s="1662" t="s">
        <v>24</v>
      </c>
      <c r="C658" s="2593"/>
      <c r="D658" s="1064">
        <f>M658+O658+P658+Q658+R658+S658+T658+U658+V658+W658</f>
        <v>104265718</v>
      </c>
      <c r="E658" s="475"/>
      <c r="F658" s="801"/>
      <c r="G658" s="801"/>
      <c r="H658" s="801"/>
      <c r="I658" s="803"/>
      <c r="J658" s="481"/>
      <c r="K658" s="802"/>
      <c r="L658" s="801"/>
      <c r="M658" s="1071"/>
      <c r="N658" s="801"/>
      <c r="O658" s="1082"/>
      <c r="P658" s="1082"/>
      <c r="Q658" s="801">
        <f>24142831+86188</f>
        <v>24229019</v>
      </c>
      <c r="R658" s="801">
        <v>26856601</v>
      </c>
      <c r="S658" s="801">
        <v>26265000</v>
      </c>
      <c r="T658" s="801">
        <v>26915098</v>
      </c>
      <c r="U658" s="1082">
        <v>0</v>
      </c>
      <c r="V658" s="1082">
        <v>0</v>
      </c>
      <c r="W658" s="1082">
        <v>0</v>
      </c>
      <c r="X658" s="739">
        <f>SUM(P658:W658)</f>
        <v>104265718</v>
      </c>
      <c r="Y658" s="2591"/>
    </row>
    <row r="659" spans="1:26" s="1638" customFormat="1" ht="16.5" customHeight="1">
      <c r="A659" s="2586" t="s">
        <v>114</v>
      </c>
      <c r="B659" s="928" t="s">
        <v>508</v>
      </c>
      <c r="C659" s="457" t="s">
        <v>97</v>
      </c>
      <c r="D659" s="600"/>
      <c r="E659" s="420"/>
      <c r="F659" s="421"/>
      <c r="G659" s="421"/>
      <c r="H659" s="420"/>
      <c r="I659" s="420"/>
      <c r="J659" s="420"/>
      <c r="K659" s="420"/>
      <c r="L659" s="420"/>
      <c r="M659" s="1873"/>
      <c r="N659" s="422"/>
      <c r="O659" s="1873"/>
      <c r="P659" s="1873"/>
      <c r="Q659" s="422"/>
      <c r="R659" s="422"/>
      <c r="S659" s="422"/>
      <c r="T659" s="422"/>
      <c r="U659" s="422"/>
      <c r="V659" s="422"/>
      <c r="W659" s="422"/>
      <c r="X659" s="423"/>
      <c r="Y659" s="2589" t="s">
        <v>103</v>
      </c>
    </row>
    <row r="660" spans="1:26" s="1638" customFormat="1" ht="12">
      <c r="A660" s="2587"/>
      <c r="B660" s="358" t="s">
        <v>22</v>
      </c>
      <c r="C660" s="359"/>
      <c r="D660" s="1625">
        <f>+D661</f>
        <v>113140000</v>
      </c>
      <c r="E660" s="1625"/>
      <c r="F660" s="1625"/>
      <c r="G660" s="1625"/>
      <c r="H660" s="1625"/>
      <c r="I660" s="1625"/>
      <c r="J660" s="1625"/>
      <c r="K660" s="1625"/>
      <c r="L660" s="1625">
        <f t="shared" ref="L660:T661" si="347">+L661</f>
        <v>0</v>
      </c>
      <c r="M660" s="1626">
        <f t="shared" si="347"/>
        <v>0</v>
      </c>
      <c r="N660" s="1625">
        <f t="shared" si="347"/>
        <v>0</v>
      </c>
      <c r="O660" s="1626">
        <f t="shared" si="347"/>
        <v>0</v>
      </c>
      <c r="P660" s="1626">
        <f t="shared" si="347"/>
        <v>0</v>
      </c>
      <c r="Q660" s="1625">
        <f t="shared" si="347"/>
        <v>22110000</v>
      </c>
      <c r="R660" s="1625">
        <f t="shared" si="347"/>
        <v>29200000</v>
      </c>
      <c r="S660" s="1625">
        <f t="shared" si="347"/>
        <v>30550000</v>
      </c>
      <c r="T660" s="1625">
        <f t="shared" si="347"/>
        <v>31280000</v>
      </c>
      <c r="U660" s="1626">
        <v>0</v>
      </c>
      <c r="V660" s="1626">
        <v>0</v>
      </c>
      <c r="W660" s="1626">
        <v>0</v>
      </c>
      <c r="X660" s="1672">
        <f>+X661</f>
        <v>113140000</v>
      </c>
      <c r="Y660" s="2590"/>
      <c r="Z660" s="1637">
        <f>+O660+P660+Q660+R660</f>
        <v>51310000</v>
      </c>
    </row>
    <row r="661" spans="1:26" s="1638" customFormat="1" ht="12">
      <c r="A661" s="2587"/>
      <c r="B661" s="510" t="s">
        <v>36</v>
      </c>
      <c r="C661" s="2592" t="s">
        <v>100</v>
      </c>
      <c r="D661" s="1703">
        <f>+D662</f>
        <v>113140000</v>
      </c>
      <c r="E661" s="1703"/>
      <c r="F661" s="1703"/>
      <c r="G661" s="1703"/>
      <c r="H661" s="1703"/>
      <c r="I661" s="1703"/>
      <c r="J661" s="1703"/>
      <c r="K661" s="1703"/>
      <c r="L661" s="1703">
        <f t="shared" si="347"/>
        <v>0</v>
      </c>
      <c r="M661" s="1705">
        <f t="shared" si="347"/>
        <v>0</v>
      </c>
      <c r="N661" s="1703">
        <f t="shared" si="347"/>
        <v>0</v>
      </c>
      <c r="O661" s="1705">
        <f t="shared" si="347"/>
        <v>0</v>
      </c>
      <c r="P661" s="1705">
        <f t="shared" si="347"/>
        <v>0</v>
      </c>
      <c r="Q661" s="1703">
        <f t="shared" si="347"/>
        <v>22110000</v>
      </c>
      <c r="R661" s="1703">
        <f t="shared" si="347"/>
        <v>29200000</v>
      </c>
      <c r="S661" s="1703">
        <f t="shared" si="347"/>
        <v>30550000</v>
      </c>
      <c r="T661" s="1703">
        <f t="shared" si="347"/>
        <v>31280000</v>
      </c>
      <c r="U661" s="1705">
        <v>0</v>
      </c>
      <c r="V661" s="1705">
        <v>0</v>
      </c>
      <c r="W661" s="1705">
        <v>0</v>
      </c>
      <c r="X661" s="1674">
        <f>+X662</f>
        <v>113140000</v>
      </c>
      <c r="Y661" s="2590"/>
    </row>
    <row r="662" spans="1:26" s="1638" customFormat="1" thickBot="1">
      <c r="A662" s="2588"/>
      <c r="B662" s="1662" t="s">
        <v>24</v>
      </c>
      <c r="C662" s="2593"/>
      <c r="D662" s="1064">
        <f>M662+O662+P662+Q662+R662+S662+T662+U662+V662+W662</f>
        <v>113140000</v>
      </c>
      <c r="E662" s="475"/>
      <c r="F662" s="801"/>
      <c r="G662" s="801"/>
      <c r="H662" s="801"/>
      <c r="I662" s="803"/>
      <c r="J662" s="481"/>
      <c r="K662" s="802"/>
      <c r="L662" s="801"/>
      <c r="M662" s="1071"/>
      <c r="N662" s="801"/>
      <c r="O662" s="801"/>
      <c r="P662" s="801"/>
      <c r="Q662" s="801">
        <v>22110000</v>
      </c>
      <c r="R662" s="801">
        <v>29200000</v>
      </c>
      <c r="S662" s="801">
        <v>30550000</v>
      </c>
      <c r="T662" s="801">
        <v>31280000</v>
      </c>
      <c r="U662" s="1082">
        <v>0</v>
      </c>
      <c r="V662" s="1082">
        <v>0</v>
      </c>
      <c r="W662" s="1082">
        <v>0</v>
      </c>
      <c r="X662" s="739">
        <f>SUM(P662:W662)</f>
        <v>113140000</v>
      </c>
      <c r="Y662" s="2591"/>
    </row>
    <row r="663" spans="1:26" ht="15">
      <c r="A663" s="2486" t="s">
        <v>555</v>
      </c>
      <c r="B663" s="2750" t="s">
        <v>556</v>
      </c>
      <c r="C663" s="2750"/>
      <c r="D663" s="2750"/>
      <c r="E663" s="2750"/>
      <c r="F663" s="2750"/>
      <c r="G663" s="2750"/>
      <c r="H663" s="2750"/>
      <c r="I663" s="2750"/>
      <c r="J663" s="2750"/>
      <c r="K663" s="2750"/>
      <c r="L663" s="2750"/>
      <c r="M663" s="2750"/>
      <c r="N663" s="2750"/>
      <c r="O663" s="2750"/>
      <c r="P663" s="2750"/>
      <c r="Q663" s="2750"/>
      <c r="R663" s="2750"/>
      <c r="S663" s="2750"/>
      <c r="T663" s="2750"/>
      <c r="U663" s="2750"/>
      <c r="V663" s="2750"/>
      <c r="W663" s="2750"/>
      <c r="X663" s="2750"/>
      <c r="Y663" s="640"/>
    </row>
  </sheetData>
  <mergeCells count="322">
    <mergeCell ref="B663:X663"/>
    <mergeCell ref="A619:A622"/>
    <mergeCell ref="X636:X638"/>
    <mergeCell ref="Y619:Y622"/>
    <mergeCell ref="C625:C627"/>
    <mergeCell ref="X129:X131"/>
    <mergeCell ref="X151:X155"/>
    <mergeCell ref="X162:X166"/>
    <mergeCell ref="X173:X175"/>
    <mergeCell ref="X210:X212"/>
    <mergeCell ref="X615:X618"/>
    <mergeCell ref="X628:X630"/>
    <mergeCell ref="X194:X196"/>
    <mergeCell ref="X273:X277"/>
    <mergeCell ref="X337:X341"/>
    <mergeCell ref="X387:X391"/>
    <mergeCell ref="X398:X400"/>
    <mergeCell ref="X408:X410"/>
    <mergeCell ref="X584:X586"/>
    <mergeCell ref="X596:X598"/>
    <mergeCell ref="X219:X221"/>
    <mergeCell ref="X231:X237"/>
    <mergeCell ref="X245:X249"/>
    <mergeCell ref="X259:X265"/>
    <mergeCell ref="A599:A605"/>
    <mergeCell ref="X603:X605"/>
    <mergeCell ref="Y603:Y605"/>
    <mergeCell ref="C604:C605"/>
    <mergeCell ref="A647:A650"/>
    <mergeCell ref="Y647:Y650"/>
    <mergeCell ref="C649:C650"/>
    <mergeCell ref="A639:A642"/>
    <mergeCell ref="Y639:Y642"/>
    <mergeCell ref="C641:C642"/>
    <mergeCell ref="Y599:Y602"/>
    <mergeCell ref="C601:C602"/>
    <mergeCell ref="A631:A638"/>
    <mergeCell ref="Y631:Y638"/>
    <mergeCell ref="Y623:Y630"/>
    <mergeCell ref="C637:C638"/>
    <mergeCell ref="C629:C630"/>
    <mergeCell ref="A606:A609"/>
    <mergeCell ref="Y606:Y609"/>
    <mergeCell ref="C608:C609"/>
    <mergeCell ref="A610:A618"/>
    <mergeCell ref="Y610:Y618"/>
    <mergeCell ref="C612:C613"/>
    <mergeCell ref="C616:C618"/>
    <mergeCell ref="C553:C554"/>
    <mergeCell ref="A517:A525"/>
    <mergeCell ref="Y517:Y525"/>
    <mergeCell ref="A526:A534"/>
    <mergeCell ref="Y526:Y534"/>
    <mergeCell ref="C528:C531"/>
    <mergeCell ref="C633:C635"/>
    <mergeCell ref="A623:A630"/>
    <mergeCell ref="A575:A578"/>
    <mergeCell ref="Y575:Y578"/>
    <mergeCell ref="C577:C578"/>
    <mergeCell ref="A579:A586"/>
    <mergeCell ref="Y579:Y582"/>
    <mergeCell ref="C581:C583"/>
    <mergeCell ref="Y584:Y586"/>
    <mergeCell ref="C585:C586"/>
    <mergeCell ref="A587:A590"/>
    <mergeCell ref="Y587:Y590"/>
    <mergeCell ref="C589:C590"/>
    <mergeCell ref="A591:A598"/>
    <mergeCell ref="Y591:Y594"/>
    <mergeCell ref="C593:C595"/>
    <mergeCell ref="Y596:Y598"/>
    <mergeCell ref="C597:C598"/>
    <mergeCell ref="A567:A570"/>
    <mergeCell ref="Y567:Y570"/>
    <mergeCell ref="C569:C570"/>
    <mergeCell ref="A571:A574"/>
    <mergeCell ref="Y571:Y574"/>
    <mergeCell ref="C573:C574"/>
    <mergeCell ref="A555:A558"/>
    <mergeCell ref="Y555:Y558"/>
    <mergeCell ref="C557:C558"/>
    <mergeCell ref="A559:A566"/>
    <mergeCell ref="Y559:Y566"/>
    <mergeCell ref="C561:C563"/>
    <mergeCell ref="C565:C566"/>
    <mergeCell ref="X564:X566"/>
    <mergeCell ref="C533:C534"/>
    <mergeCell ref="X523:X525"/>
    <mergeCell ref="X532:X534"/>
    <mergeCell ref="X545:X550"/>
    <mergeCell ref="A197:A200"/>
    <mergeCell ref="C199:C200"/>
    <mergeCell ref="Y198:Y200"/>
    <mergeCell ref="Y206:Y212"/>
    <mergeCell ref="C208:C209"/>
    <mergeCell ref="C211:C212"/>
    <mergeCell ref="X203:X205"/>
    <mergeCell ref="A380:A391"/>
    <mergeCell ref="Y380:Y386"/>
    <mergeCell ref="A342:A353"/>
    <mergeCell ref="C344:C348"/>
    <mergeCell ref="Y342:Y353"/>
    <mergeCell ref="X349:X353"/>
    <mergeCell ref="C350:C353"/>
    <mergeCell ref="Y366:Y379"/>
    <mergeCell ref="Y354:Y365"/>
    <mergeCell ref="X361:X365"/>
    <mergeCell ref="A354:A365"/>
    <mergeCell ref="C356:C360"/>
    <mergeCell ref="Y245:Y249"/>
    <mergeCell ref="Y213:Y221"/>
    <mergeCell ref="C215:C218"/>
    <mergeCell ref="C169:C172"/>
    <mergeCell ref="Y173:Y175"/>
    <mergeCell ref="C174:C175"/>
    <mergeCell ref="A156:A166"/>
    <mergeCell ref="Y157:Y161"/>
    <mergeCell ref="C158:C161"/>
    <mergeCell ref="Y162:Y166"/>
    <mergeCell ref="C163:C164"/>
    <mergeCell ref="C165:C166"/>
    <mergeCell ref="C220:C221"/>
    <mergeCell ref="A206:A212"/>
    <mergeCell ref="C140:C143"/>
    <mergeCell ref="C375:C379"/>
    <mergeCell ref="A366:A379"/>
    <mergeCell ref="C368:C373"/>
    <mergeCell ref="A167:A175"/>
    <mergeCell ref="Y168:Y172"/>
    <mergeCell ref="A188:A196"/>
    <mergeCell ref="Y189:Y193"/>
    <mergeCell ref="C190:C193"/>
    <mergeCell ref="Y194:Y196"/>
    <mergeCell ref="C195:C196"/>
    <mergeCell ref="A176:A187"/>
    <mergeCell ref="Y177:Y182"/>
    <mergeCell ref="C178:C182"/>
    <mergeCell ref="Y183:Y187"/>
    <mergeCell ref="C184:C187"/>
    <mergeCell ref="X183:X187"/>
    <mergeCell ref="Y203:Y205"/>
    <mergeCell ref="C204:C205"/>
    <mergeCell ref="Y231:Y237"/>
    <mergeCell ref="C232:C237"/>
    <mergeCell ref="A250:A265"/>
    <mergeCell ref="Y251:Y258"/>
    <mergeCell ref="A213:A221"/>
    <mergeCell ref="C130:C131"/>
    <mergeCell ref="A132:A143"/>
    <mergeCell ref="Y132:Y143"/>
    <mergeCell ref="C134:C138"/>
    <mergeCell ref="A123:A131"/>
    <mergeCell ref="Y124:Y128"/>
    <mergeCell ref="C125:C128"/>
    <mergeCell ref="Y337:Y341"/>
    <mergeCell ref="Y330:Y336"/>
    <mergeCell ref="A266:A277"/>
    <mergeCell ref="C268:C272"/>
    <mergeCell ref="C274:C277"/>
    <mergeCell ref="A144:A155"/>
    <mergeCell ref="Y145:Y150"/>
    <mergeCell ref="C146:C150"/>
    <mergeCell ref="Y273:Y277"/>
    <mergeCell ref="Y129:Y131"/>
    <mergeCell ref="Y267:Y272"/>
    <mergeCell ref="Y151:Y155"/>
    <mergeCell ref="C152:C155"/>
    <mergeCell ref="Y239:Y244"/>
    <mergeCell ref="C240:C244"/>
    <mergeCell ref="A330:A341"/>
    <mergeCell ref="C246:C249"/>
    <mergeCell ref="Y259:Y265"/>
    <mergeCell ref="C260:C265"/>
    <mergeCell ref="A223:A237"/>
    <mergeCell ref="Y224:Y230"/>
    <mergeCell ref="C225:C230"/>
    <mergeCell ref="A238:A249"/>
    <mergeCell ref="A4:Y4"/>
    <mergeCell ref="C5:C7"/>
    <mergeCell ref="D5:D7"/>
    <mergeCell ref="Y5:Y7"/>
    <mergeCell ref="Y54:Y60"/>
    <mergeCell ref="C55:C58"/>
    <mergeCell ref="A53:A66"/>
    <mergeCell ref="Y61:Y66"/>
    <mergeCell ref="C62:C66"/>
    <mergeCell ref="A9:A34"/>
    <mergeCell ref="X5:X7"/>
    <mergeCell ref="X23:X34"/>
    <mergeCell ref="M5:M6"/>
    <mergeCell ref="O5:O6"/>
    <mergeCell ref="P5:W6"/>
    <mergeCell ref="X61:X66"/>
    <mergeCell ref="Y98:Y104"/>
    <mergeCell ref="C252:C258"/>
    <mergeCell ref="C99:C104"/>
    <mergeCell ref="A111:A122"/>
    <mergeCell ref="Y105:Y110"/>
    <mergeCell ref="C106:C110"/>
    <mergeCell ref="Y112:Y117"/>
    <mergeCell ref="Y118:Y122"/>
    <mergeCell ref="C119:C122"/>
    <mergeCell ref="C113:C116"/>
    <mergeCell ref="A97:A110"/>
    <mergeCell ref="X105:X110"/>
    <mergeCell ref="X118:X122"/>
    <mergeCell ref="A67:A80"/>
    <mergeCell ref="Y68:Y74"/>
    <mergeCell ref="C69:C74"/>
    <mergeCell ref="Y75:Y80"/>
    <mergeCell ref="C76:C80"/>
    <mergeCell ref="A81:A96"/>
    <mergeCell ref="Y82:Y89"/>
    <mergeCell ref="C83:C89"/>
    <mergeCell ref="Y90:Y96"/>
    <mergeCell ref="C91:C96"/>
    <mergeCell ref="X90:X95"/>
    <mergeCell ref="A302:A313"/>
    <mergeCell ref="Y303:Y308"/>
    <mergeCell ref="C304:C308"/>
    <mergeCell ref="X309:X313"/>
    <mergeCell ref="Y309:Y313"/>
    <mergeCell ref="C310:C313"/>
    <mergeCell ref="A450:A458"/>
    <mergeCell ref="Y450:Y455"/>
    <mergeCell ref="C452:C455"/>
    <mergeCell ref="X456:X458"/>
    <mergeCell ref="Y456:Y458"/>
    <mergeCell ref="C457:C458"/>
    <mergeCell ref="A423:A431"/>
    <mergeCell ref="Y423:Y428"/>
    <mergeCell ref="C425:C428"/>
    <mergeCell ref="X429:X431"/>
    <mergeCell ref="Y429:Y431"/>
    <mergeCell ref="C430:C431"/>
    <mergeCell ref="A432:A440"/>
    <mergeCell ref="Y432:Y437"/>
    <mergeCell ref="C434:C437"/>
    <mergeCell ref="X438:X440"/>
    <mergeCell ref="Y438:Y440"/>
    <mergeCell ref="C439:C440"/>
    <mergeCell ref="A278:A289"/>
    <mergeCell ref="Y279:Y284"/>
    <mergeCell ref="C280:C284"/>
    <mergeCell ref="X285:X289"/>
    <mergeCell ref="Y285:Y289"/>
    <mergeCell ref="C286:C289"/>
    <mergeCell ref="A290:A301"/>
    <mergeCell ref="Y291:Y296"/>
    <mergeCell ref="C292:C296"/>
    <mergeCell ref="X297:X301"/>
    <mergeCell ref="Y297:Y301"/>
    <mergeCell ref="C298:C301"/>
    <mergeCell ref="X483:X489"/>
    <mergeCell ref="X499:X507"/>
    <mergeCell ref="X514:X516"/>
    <mergeCell ref="C461:C467"/>
    <mergeCell ref="X471:X473"/>
    <mergeCell ref="C472:C473"/>
    <mergeCell ref="A314:A325"/>
    <mergeCell ref="Y315:Y320"/>
    <mergeCell ref="C316:C320"/>
    <mergeCell ref="X321:X325"/>
    <mergeCell ref="Y321:Y325"/>
    <mergeCell ref="C322:C325"/>
    <mergeCell ref="A326:A329"/>
    <mergeCell ref="Y327:Y329"/>
    <mergeCell ref="C328:C329"/>
    <mergeCell ref="A508:A516"/>
    <mergeCell ref="Y508:Y516"/>
    <mergeCell ref="C510:C513"/>
    <mergeCell ref="C515:C516"/>
    <mergeCell ref="C332:C336"/>
    <mergeCell ref="X418:X422"/>
    <mergeCell ref="Z342:AB342"/>
    <mergeCell ref="A459:A473"/>
    <mergeCell ref="A643:A646"/>
    <mergeCell ref="Y643:Y646"/>
    <mergeCell ref="C645:C646"/>
    <mergeCell ref="C362:C365"/>
    <mergeCell ref="A402:A410"/>
    <mergeCell ref="Y402:Y407"/>
    <mergeCell ref="C404:C407"/>
    <mergeCell ref="Y408:Y410"/>
    <mergeCell ref="C409:C410"/>
    <mergeCell ref="Y459:Y473"/>
    <mergeCell ref="A411:A422"/>
    <mergeCell ref="Y411:Y417"/>
    <mergeCell ref="A536:A547"/>
    <mergeCell ref="Y541:Y550"/>
    <mergeCell ref="A551:A554"/>
    <mergeCell ref="Y551:Y554"/>
    <mergeCell ref="A441:A449"/>
    <mergeCell ref="Y441:Y446"/>
    <mergeCell ref="C443:C446"/>
    <mergeCell ref="X447:X449"/>
    <mergeCell ref="C413:C417"/>
    <mergeCell ref="Y418:Y422"/>
    <mergeCell ref="A655:A658"/>
    <mergeCell ref="Y655:Y658"/>
    <mergeCell ref="C657:C658"/>
    <mergeCell ref="A659:A662"/>
    <mergeCell ref="Y659:Y662"/>
    <mergeCell ref="C661:C662"/>
    <mergeCell ref="C338:C341"/>
    <mergeCell ref="A392:A400"/>
    <mergeCell ref="Y392:Y397"/>
    <mergeCell ref="C394:C397"/>
    <mergeCell ref="Y398:Y400"/>
    <mergeCell ref="C399:C400"/>
    <mergeCell ref="A651:A654"/>
    <mergeCell ref="Y651:Y654"/>
    <mergeCell ref="C653:C654"/>
    <mergeCell ref="C419:C422"/>
    <mergeCell ref="Y447:Y449"/>
    <mergeCell ref="C448:C449"/>
    <mergeCell ref="A474:A489"/>
    <mergeCell ref="Y474:Y488"/>
    <mergeCell ref="A490:A507"/>
    <mergeCell ref="Y490:Y506"/>
    <mergeCell ref="C492:C495"/>
    <mergeCell ref="C500:C507"/>
  </mergeCells>
  <printOptions horizontalCentered="1"/>
  <pageMargins left="3.937007874015748E-2" right="7.874015748031496E-2" top="0.47244094488188981" bottom="0.31496062992125984" header="0.15748031496062992" footer="0.15748031496062992"/>
  <pageSetup paperSize="9" scale="70" firstPageNumber="25" orientation="landscape" useFirstPageNumber="1" r:id="rId1"/>
  <headerFooter alignWithMargins="0">
    <oddHeader>&amp;C&amp;"Arial,Kursywa"Wieloletnia prognoza finansowa  Województwa Zachodniopomorskiego na lata 2016 - 2038&amp;"Arial,Normalny"
_______________________________________________________________________________________________________________________________</oddHeader>
    <oddFooter>&amp;C&amp;8&amp;P</oddFooter>
  </headerFooter>
  <rowBreaks count="8" manualBreakCount="8">
    <brk id="52" max="24" man="1"/>
    <brk id="221" max="24" man="1"/>
    <brk id="277" max="24" man="1"/>
    <brk id="329" max="24" man="1"/>
    <brk id="379" max="24" man="1"/>
    <brk id="431" max="24" man="1"/>
    <brk id="534" max="24" man="1"/>
    <brk id="605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I235"/>
  <sheetViews>
    <sheetView showGridLines="0" view="pageBreakPreview" zoomScale="110" zoomScaleNormal="100" zoomScaleSheetLayoutView="11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A66" sqref="AA66"/>
    </sheetView>
  </sheetViews>
  <sheetFormatPr defaultColWidth="9.140625" defaultRowHeight="12.75"/>
  <cols>
    <col min="1" max="1" width="4" style="1337" customWidth="1"/>
    <col min="2" max="2" width="53.42578125" style="1338" customWidth="1"/>
    <col min="3" max="3" width="10.42578125" style="1338" customWidth="1"/>
    <col min="4" max="4" width="11.7109375" style="1338" customWidth="1"/>
    <col min="5" max="6" width="10.28515625" style="1338" hidden="1" customWidth="1"/>
    <col min="7" max="8" width="10.42578125" style="1338" hidden="1" customWidth="1"/>
    <col min="9" max="9" width="10.28515625" style="1338" hidden="1" customWidth="1"/>
    <col min="10" max="10" width="10.85546875" style="1338" hidden="1" customWidth="1"/>
    <col min="11" max="11" width="10.28515625" style="1338" hidden="1" customWidth="1"/>
    <col min="12" max="12" width="10.7109375" style="1338" hidden="1" customWidth="1"/>
    <col min="13" max="13" width="12.140625" style="1338" customWidth="1"/>
    <col min="14" max="14" width="11.140625" style="1338" hidden="1" customWidth="1"/>
    <col min="15" max="15" width="11.28515625" style="1338" customWidth="1"/>
    <col min="16" max="16" width="9.85546875" style="1338" customWidth="1"/>
    <col min="17" max="17" width="9.42578125" style="1338" customWidth="1"/>
    <col min="18" max="20" width="9.85546875" style="1338" customWidth="1"/>
    <col min="21" max="23" width="9.42578125" style="1338" bestFit="1" customWidth="1"/>
    <col min="24" max="24" width="12.7109375" style="1338" customWidth="1"/>
    <col min="25" max="25" width="14.5703125" style="1338" customWidth="1"/>
    <col min="26" max="26" width="14" style="1338" hidden="1" customWidth="1"/>
    <col min="27" max="27" width="12.140625" style="1338" hidden="1" customWidth="1"/>
    <col min="28" max="28" width="9.5703125" style="1338" customWidth="1"/>
    <col min="29" max="29" width="14.28515625" style="1338" customWidth="1"/>
    <col min="30" max="30" width="12" style="1338" customWidth="1"/>
    <col min="31" max="32" width="9.140625" style="1338"/>
    <col min="33" max="33" width="12.5703125" style="1338" customWidth="1"/>
    <col min="34" max="16384" width="9.140625" style="1338"/>
  </cols>
  <sheetData>
    <row r="1" spans="1:27" s="1336" customFormat="1" ht="17.25" customHeight="1">
      <c r="A1" s="1987"/>
      <c r="B1" s="1987"/>
      <c r="C1" s="1987"/>
      <c r="D1" s="1987"/>
      <c r="E1" s="1987"/>
      <c r="F1" s="1987"/>
      <c r="G1" s="1987"/>
      <c r="H1" s="1987"/>
      <c r="I1" s="1987"/>
      <c r="J1" s="1987"/>
      <c r="K1" s="1987"/>
      <c r="L1" s="1987"/>
      <c r="M1" s="1987"/>
      <c r="N1" s="1987"/>
      <c r="O1" s="1132"/>
      <c r="P1" s="1987"/>
      <c r="Q1" s="1987"/>
      <c r="R1" s="1987"/>
      <c r="S1" s="1987"/>
      <c r="T1" s="1138" t="s">
        <v>137</v>
      </c>
      <c r="U1" s="1138"/>
      <c r="V1" s="1138"/>
      <c r="W1" s="1138"/>
      <c r="X1" s="310"/>
      <c r="Y1" s="311"/>
      <c r="Z1" s="1462"/>
    </row>
    <row r="2" spans="1:27" ht="18.75">
      <c r="A2" s="1987"/>
      <c r="B2" s="1987"/>
      <c r="C2" s="1987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1154"/>
      <c r="R2" s="1154"/>
      <c r="S2" s="1154"/>
      <c r="T2" s="1154"/>
      <c r="U2" s="1154"/>
      <c r="V2" s="1154"/>
      <c r="W2" s="1154"/>
      <c r="X2" s="1154"/>
      <c r="Y2" s="311"/>
      <c r="Z2" s="1463"/>
    </row>
    <row r="3" spans="1:27" ht="34.5" customHeight="1" thickBot="1">
      <c r="A3" s="2776" t="s">
        <v>138</v>
      </c>
      <c r="B3" s="2777"/>
      <c r="C3" s="2777"/>
      <c r="D3" s="2777"/>
      <c r="E3" s="2777"/>
      <c r="F3" s="2777"/>
      <c r="G3" s="2777"/>
      <c r="H3" s="2777"/>
      <c r="I3" s="2777"/>
      <c r="J3" s="2777"/>
      <c r="K3" s="2777"/>
      <c r="L3" s="2777"/>
      <c r="M3" s="2777"/>
      <c r="N3" s="2777"/>
      <c r="O3" s="2777"/>
      <c r="P3" s="2777"/>
      <c r="Q3" s="2777"/>
      <c r="R3" s="2777"/>
      <c r="S3" s="2777"/>
      <c r="T3" s="2777"/>
      <c r="U3" s="2777"/>
      <c r="V3" s="2777"/>
      <c r="W3" s="2777"/>
      <c r="X3" s="2777"/>
      <c r="Y3" s="2778"/>
      <c r="Z3" s="1337"/>
    </row>
    <row r="4" spans="1:27" ht="22.5" customHeight="1">
      <c r="A4" s="2794" t="s">
        <v>90</v>
      </c>
      <c r="B4" s="2786" t="s">
        <v>91</v>
      </c>
      <c r="C4" s="2779" t="s">
        <v>87</v>
      </c>
      <c r="D4" s="2779" t="s">
        <v>139</v>
      </c>
      <c r="E4" s="2010" t="s">
        <v>3</v>
      </c>
      <c r="F4" s="2010"/>
      <c r="G4" s="2010"/>
      <c r="H4" s="2010"/>
      <c r="I4" s="2010"/>
      <c r="J4" s="2010"/>
      <c r="K4" s="2010"/>
      <c r="L4" s="2010"/>
      <c r="M4" s="2788" t="s">
        <v>363</v>
      </c>
      <c r="N4" s="2010"/>
      <c r="O4" s="2790" t="s">
        <v>375</v>
      </c>
      <c r="P4" s="2792" t="s">
        <v>370</v>
      </c>
      <c r="Q4" s="2792"/>
      <c r="R4" s="2792"/>
      <c r="S4" s="2792"/>
      <c r="T4" s="2792"/>
      <c r="U4" s="2792"/>
      <c r="V4" s="2792"/>
      <c r="W4" s="2792"/>
      <c r="X4" s="2784" t="s">
        <v>343</v>
      </c>
      <c r="Y4" s="2782" t="s">
        <v>89</v>
      </c>
      <c r="Z4" s="2004"/>
    </row>
    <row r="5" spans="1:27" ht="27" customHeight="1">
      <c r="A5" s="2795"/>
      <c r="B5" s="2787"/>
      <c r="C5" s="2780"/>
      <c r="D5" s="2781"/>
      <c r="E5" s="2011"/>
      <c r="F5" s="2011"/>
      <c r="G5" s="2011"/>
      <c r="H5" s="2011"/>
      <c r="I5" s="2011"/>
      <c r="J5" s="2011"/>
      <c r="K5" s="2011"/>
      <c r="L5" s="2011"/>
      <c r="M5" s="2789"/>
      <c r="N5" s="2011"/>
      <c r="O5" s="2791"/>
      <c r="P5" s="2793"/>
      <c r="Q5" s="2793"/>
      <c r="R5" s="2793"/>
      <c r="S5" s="2793"/>
      <c r="T5" s="2793"/>
      <c r="U5" s="2793"/>
      <c r="V5" s="2793"/>
      <c r="W5" s="2793"/>
      <c r="X5" s="2785"/>
      <c r="Y5" s="2783"/>
      <c r="Z5" s="2004"/>
    </row>
    <row r="6" spans="1:27" ht="45" customHeight="1">
      <c r="A6" s="2796"/>
      <c r="B6" s="2787"/>
      <c r="C6" s="2780"/>
      <c r="D6" s="2781"/>
      <c r="E6" s="2532" t="s">
        <v>6</v>
      </c>
      <c r="F6" s="2012" t="s">
        <v>7</v>
      </c>
      <c r="G6" s="2012" t="s">
        <v>8</v>
      </c>
      <c r="H6" s="2012" t="s">
        <v>9</v>
      </c>
      <c r="I6" s="2534" t="s">
        <v>10</v>
      </c>
      <c r="J6" s="2534" t="s">
        <v>11</v>
      </c>
      <c r="K6" s="2534" t="s">
        <v>12</v>
      </c>
      <c r="L6" s="2534" t="s">
        <v>13</v>
      </c>
      <c r="M6" s="2013" t="s">
        <v>344</v>
      </c>
      <c r="N6" s="2534" t="s">
        <v>14</v>
      </c>
      <c r="O6" s="2534" t="s">
        <v>15</v>
      </c>
      <c r="P6" s="2534" t="s">
        <v>16</v>
      </c>
      <c r="Q6" s="2534" t="s">
        <v>17</v>
      </c>
      <c r="R6" s="2534" t="s">
        <v>18</v>
      </c>
      <c r="S6" s="2534" t="s">
        <v>271</v>
      </c>
      <c r="T6" s="2534" t="s">
        <v>276</v>
      </c>
      <c r="U6" s="2534" t="s">
        <v>340</v>
      </c>
      <c r="V6" s="2534" t="s">
        <v>341</v>
      </c>
      <c r="W6" s="2534" t="s">
        <v>339</v>
      </c>
      <c r="X6" s="2785"/>
      <c r="Y6" s="2783"/>
      <c r="Z6" s="2004"/>
    </row>
    <row r="7" spans="1:27" ht="13.5" customHeight="1">
      <c r="A7" s="2014">
        <v>1</v>
      </c>
      <c r="B7" s="2015">
        <v>2</v>
      </c>
      <c r="C7" s="2016" t="s">
        <v>140</v>
      </c>
      <c r="D7" s="2016" t="s">
        <v>141</v>
      </c>
      <c r="E7" s="2016"/>
      <c r="F7" s="2016"/>
      <c r="G7" s="2015"/>
      <c r="H7" s="2015"/>
      <c r="I7" s="2016"/>
      <c r="J7" s="2016"/>
      <c r="K7" s="2016"/>
      <c r="L7" s="2016"/>
      <c r="M7" s="2016">
        <v>5</v>
      </c>
      <c r="N7" s="2016" t="s">
        <v>342</v>
      </c>
      <c r="O7" s="2016">
        <v>6</v>
      </c>
      <c r="P7" s="2016">
        <v>7</v>
      </c>
      <c r="Q7" s="2016">
        <v>8</v>
      </c>
      <c r="R7" s="2016">
        <v>9</v>
      </c>
      <c r="S7" s="2016">
        <v>10</v>
      </c>
      <c r="T7" s="2016">
        <v>11</v>
      </c>
      <c r="U7" s="2016">
        <v>12</v>
      </c>
      <c r="V7" s="2016">
        <v>13</v>
      </c>
      <c r="W7" s="2016">
        <v>14</v>
      </c>
      <c r="X7" s="2017">
        <v>15</v>
      </c>
      <c r="Y7" s="2018">
        <v>16</v>
      </c>
      <c r="Z7" s="2004"/>
    </row>
    <row r="8" spans="1:27" ht="14.25" customHeight="1">
      <c r="A8" s="2019"/>
      <c r="B8" s="2020" t="s">
        <v>92</v>
      </c>
      <c r="C8" s="2020"/>
      <c r="D8" s="2021">
        <f>+D9+D10</f>
        <v>86872271</v>
      </c>
      <c r="E8" s="2021">
        <f>+E9+E10</f>
        <v>0</v>
      </c>
      <c r="F8" s="2021">
        <f t="shared" ref="F8:R8" si="0">+F9+F10</f>
        <v>0</v>
      </c>
      <c r="G8" s="2021">
        <f t="shared" si="0"/>
        <v>0</v>
      </c>
      <c r="H8" s="2021">
        <f t="shared" si="0"/>
        <v>0</v>
      </c>
      <c r="I8" s="2021">
        <f t="shared" si="0"/>
        <v>0</v>
      </c>
      <c r="J8" s="2021">
        <f t="shared" si="0"/>
        <v>0</v>
      </c>
      <c r="K8" s="2021">
        <f t="shared" si="0"/>
        <v>0</v>
      </c>
      <c r="L8" s="2021">
        <f t="shared" si="0"/>
        <v>0</v>
      </c>
      <c r="M8" s="2021">
        <f>+M9+M10</f>
        <v>0</v>
      </c>
      <c r="N8" s="2021">
        <f>+N9+N10</f>
        <v>0</v>
      </c>
      <c r="O8" s="2021">
        <f t="shared" si="0"/>
        <v>754041</v>
      </c>
      <c r="P8" s="2021">
        <f t="shared" si="0"/>
        <v>10645477</v>
      </c>
      <c r="Q8" s="2021">
        <f t="shared" si="0"/>
        <v>12792652</v>
      </c>
      <c r="R8" s="2021">
        <f t="shared" si="0"/>
        <v>11561844</v>
      </c>
      <c r="S8" s="2021">
        <f t="shared" ref="S8:X8" si="1">+S9+S10</f>
        <v>12007985</v>
      </c>
      <c r="T8" s="2021">
        <f t="shared" si="1"/>
        <v>11971839</v>
      </c>
      <c r="U8" s="2021">
        <f t="shared" si="1"/>
        <v>9597275</v>
      </c>
      <c r="V8" s="2021">
        <f t="shared" si="1"/>
        <v>8877275</v>
      </c>
      <c r="W8" s="2021">
        <f t="shared" si="1"/>
        <v>8663883</v>
      </c>
      <c r="X8" s="2022">
        <f t="shared" si="1"/>
        <v>86118230</v>
      </c>
      <c r="Y8" s="2023"/>
      <c r="Z8" s="2005">
        <f>+O8+P8+Q8+R8</f>
        <v>35754014</v>
      </c>
      <c r="AA8" s="1339"/>
    </row>
    <row r="9" spans="1:27" ht="13.5" customHeight="1">
      <c r="A9" s="1506"/>
      <c r="B9" s="2020" t="s">
        <v>93</v>
      </c>
      <c r="C9" s="2020"/>
      <c r="D9" s="2021">
        <f t="shared" ref="D9:X9" si="2">+D25+D32+D52+D68+D116+D128+D176+D188+D200+D212+D80+D92+D104+D152</f>
        <v>86813018</v>
      </c>
      <c r="E9" s="2021">
        <f t="shared" si="2"/>
        <v>0</v>
      </c>
      <c r="F9" s="2021">
        <f t="shared" si="2"/>
        <v>0</v>
      </c>
      <c r="G9" s="2021">
        <f t="shared" si="2"/>
        <v>0</v>
      </c>
      <c r="H9" s="2021">
        <f t="shared" si="2"/>
        <v>0</v>
      </c>
      <c r="I9" s="2021">
        <f t="shared" si="2"/>
        <v>0</v>
      </c>
      <c r="J9" s="2021">
        <f t="shared" si="2"/>
        <v>0</v>
      </c>
      <c r="K9" s="2021">
        <f t="shared" si="2"/>
        <v>0</v>
      </c>
      <c r="L9" s="2021">
        <f t="shared" si="2"/>
        <v>0</v>
      </c>
      <c r="M9" s="2021">
        <f t="shared" si="2"/>
        <v>0</v>
      </c>
      <c r="N9" s="2021">
        <f t="shared" si="2"/>
        <v>0</v>
      </c>
      <c r="O9" s="2021">
        <f t="shared" si="2"/>
        <v>754041</v>
      </c>
      <c r="P9" s="2021">
        <f t="shared" si="2"/>
        <v>10614022</v>
      </c>
      <c r="Q9" s="2021">
        <f t="shared" si="2"/>
        <v>12764854</v>
      </c>
      <c r="R9" s="2021">
        <f t="shared" si="2"/>
        <v>11561844</v>
      </c>
      <c r="S9" s="2021">
        <f t="shared" si="2"/>
        <v>12007985</v>
      </c>
      <c r="T9" s="2021">
        <f>+T25+T32+T52+T68+T116+T128+T176+T188+T200+T212+T80+T92+T104+T152</f>
        <v>11971839</v>
      </c>
      <c r="U9" s="2021">
        <f t="shared" si="2"/>
        <v>9597275</v>
      </c>
      <c r="V9" s="2021">
        <f t="shared" si="2"/>
        <v>8877275</v>
      </c>
      <c r="W9" s="2021">
        <f t="shared" si="2"/>
        <v>8663883</v>
      </c>
      <c r="X9" s="2021">
        <f t="shared" si="2"/>
        <v>86058977</v>
      </c>
      <c r="Y9" s="2023"/>
      <c r="Z9" s="2005"/>
      <c r="AA9" s="1339"/>
    </row>
    <row r="10" spans="1:27" ht="13.5" customHeight="1">
      <c r="A10" s="1506"/>
      <c r="B10" s="2024" t="s">
        <v>21</v>
      </c>
      <c r="C10" s="2025"/>
      <c r="D10" s="2026">
        <f>D140+D164+D224</f>
        <v>59253</v>
      </c>
      <c r="E10" s="2026">
        <f t="shared" ref="E10:N10" si="3">E140+E164</f>
        <v>0</v>
      </c>
      <c r="F10" s="2026">
        <f t="shared" si="3"/>
        <v>0</v>
      </c>
      <c r="G10" s="2026">
        <f t="shared" si="3"/>
        <v>0</v>
      </c>
      <c r="H10" s="2026">
        <f t="shared" si="3"/>
        <v>0</v>
      </c>
      <c r="I10" s="2026">
        <f t="shared" si="3"/>
        <v>0</v>
      </c>
      <c r="J10" s="2026">
        <f t="shared" si="3"/>
        <v>0</v>
      </c>
      <c r="K10" s="2026">
        <f t="shared" si="3"/>
        <v>0</v>
      </c>
      <c r="L10" s="2026">
        <f t="shared" si="3"/>
        <v>0</v>
      </c>
      <c r="M10" s="2026">
        <f>M140+M164+M224</f>
        <v>0</v>
      </c>
      <c r="N10" s="2026">
        <f t="shared" si="3"/>
        <v>0</v>
      </c>
      <c r="O10" s="2026">
        <f t="shared" ref="O10:W10" si="4">O140+O164+O224</f>
        <v>0</v>
      </c>
      <c r="P10" s="2026">
        <f t="shared" si="4"/>
        <v>31455</v>
      </c>
      <c r="Q10" s="2026">
        <f t="shared" si="4"/>
        <v>27798</v>
      </c>
      <c r="R10" s="2026">
        <f t="shared" si="4"/>
        <v>0</v>
      </c>
      <c r="S10" s="2026">
        <f t="shared" si="4"/>
        <v>0</v>
      </c>
      <c r="T10" s="2026">
        <f t="shared" si="4"/>
        <v>0</v>
      </c>
      <c r="U10" s="2026">
        <f t="shared" si="4"/>
        <v>0</v>
      </c>
      <c r="V10" s="2026">
        <f t="shared" si="4"/>
        <v>0</v>
      </c>
      <c r="W10" s="2026">
        <f t="shared" si="4"/>
        <v>0</v>
      </c>
      <c r="X10" s="2022">
        <f>SUM(P10:T10)</f>
        <v>59253</v>
      </c>
      <c r="Y10" s="2023"/>
      <c r="Z10" s="2004"/>
    </row>
    <row r="11" spans="1:27" ht="13.5" customHeight="1">
      <c r="A11" s="1506"/>
      <c r="B11" s="2027" t="s">
        <v>22</v>
      </c>
      <c r="C11" s="2027"/>
      <c r="D11" s="2028">
        <f>+D12+D15</f>
        <v>86872271</v>
      </c>
      <c r="E11" s="2028">
        <f t="shared" ref="E11:T11" si="5">E12+E15</f>
        <v>0</v>
      </c>
      <c r="F11" s="2028">
        <f t="shared" si="5"/>
        <v>0</v>
      </c>
      <c r="G11" s="2028">
        <f t="shared" si="5"/>
        <v>0</v>
      </c>
      <c r="H11" s="2028">
        <f t="shared" si="5"/>
        <v>0</v>
      </c>
      <c r="I11" s="2028">
        <f t="shared" si="5"/>
        <v>0</v>
      </c>
      <c r="J11" s="2028">
        <f t="shared" si="5"/>
        <v>0</v>
      </c>
      <c r="K11" s="2028">
        <f t="shared" si="5"/>
        <v>0</v>
      </c>
      <c r="L11" s="2028">
        <f t="shared" si="5"/>
        <v>0</v>
      </c>
      <c r="M11" s="2028">
        <f t="shared" si="5"/>
        <v>0</v>
      </c>
      <c r="N11" s="2028">
        <f t="shared" si="5"/>
        <v>0</v>
      </c>
      <c r="O11" s="2028">
        <f t="shared" si="5"/>
        <v>754041</v>
      </c>
      <c r="P11" s="2028">
        <f t="shared" si="5"/>
        <v>10645477</v>
      </c>
      <c r="Q11" s="2028">
        <f t="shared" si="5"/>
        <v>12792652</v>
      </c>
      <c r="R11" s="2028">
        <f t="shared" si="5"/>
        <v>11561844</v>
      </c>
      <c r="S11" s="2028">
        <f t="shared" si="5"/>
        <v>12007985</v>
      </c>
      <c r="T11" s="2028">
        <f t="shared" si="5"/>
        <v>11971839</v>
      </c>
      <c r="U11" s="2028">
        <f>U12+U15</f>
        <v>9597275</v>
      </c>
      <c r="V11" s="2028">
        <f>V12+V15</f>
        <v>8877275</v>
      </c>
      <c r="W11" s="2028">
        <f>W12+W15</f>
        <v>8663883</v>
      </c>
      <c r="X11" s="2029">
        <f>X12+X15</f>
        <v>86068148</v>
      </c>
      <c r="Y11" s="2030"/>
      <c r="Z11" s="2005"/>
      <c r="AA11" s="1339"/>
    </row>
    <row r="12" spans="1:27" s="1340" customFormat="1" ht="13.5" customHeight="1">
      <c r="A12" s="1506"/>
      <c r="B12" s="2031" t="s">
        <v>36</v>
      </c>
      <c r="C12" s="2031"/>
      <c r="D12" s="2032">
        <f>D13+D14</f>
        <v>13104466</v>
      </c>
      <c r="E12" s="2032">
        <f t="shared" ref="E12:T12" si="6">E13+E14</f>
        <v>0</v>
      </c>
      <c r="F12" s="2032">
        <f t="shared" si="6"/>
        <v>0</v>
      </c>
      <c r="G12" s="2032">
        <f t="shared" si="6"/>
        <v>0</v>
      </c>
      <c r="H12" s="2032">
        <f t="shared" si="6"/>
        <v>0</v>
      </c>
      <c r="I12" s="2032">
        <f t="shared" si="6"/>
        <v>0</v>
      </c>
      <c r="J12" s="2032">
        <f t="shared" si="6"/>
        <v>0</v>
      </c>
      <c r="K12" s="2032">
        <f t="shared" si="6"/>
        <v>0</v>
      </c>
      <c r="L12" s="2032">
        <f t="shared" si="6"/>
        <v>0</v>
      </c>
      <c r="M12" s="2032">
        <f t="shared" si="6"/>
        <v>0</v>
      </c>
      <c r="N12" s="2032">
        <f t="shared" si="6"/>
        <v>0</v>
      </c>
      <c r="O12" s="2032">
        <f t="shared" si="6"/>
        <v>116338</v>
      </c>
      <c r="P12" s="2032">
        <f t="shared" si="6"/>
        <v>1608170</v>
      </c>
      <c r="Q12" s="2032">
        <f t="shared" si="6"/>
        <v>1931538</v>
      </c>
      <c r="R12" s="2032">
        <f t="shared" si="6"/>
        <v>1746858</v>
      </c>
      <c r="S12" s="2032">
        <f t="shared" si="6"/>
        <v>1818109</v>
      </c>
      <c r="T12" s="2032">
        <f t="shared" si="6"/>
        <v>1812687</v>
      </c>
      <c r="U12" s="2032">
        <f>U13+U14</f>
        <v>1439591</v>
      </c>
      <c r="V12" s="2032">
        <f>V13+V14</f>
        <v>1331592</v>
      </c>
      <c r="W12" s="2032">
        <f>W13+W14</f>
        <v>1299583</v>
      </c>
      <c r="X12" s="2033">
        <f>X13+X14</f>
        <v>12988128</v>
      </c>
      <c r="Y12" s="2023"/>
      <c r="Z12" s="2006"/>
    </row>
    <row r="13" spans="1:27" ht="12.75" customHeight="1">
      <c r="A13" s="1506"/>
      <c r="B13" s="2034" t="s">
        <v>24</v>
      </c>
      <c r="C13" s="2034"/>
      <c r="D13" s="2035">
        <f>D54+D70+D130+D142+D94+D82+D214+D106+D154+D166+D178+D34+D226</f>
        <v>13104466</v>
      </c>
      <c r="E13" s="2035">
        <f t="shared" ref="E13:N13" si="7">E54+E70+E130+E142+E94+E82+E214+E106+E154+E166+E178</f>
        <v>0</v>
      </c>
      <c r="F13" s="2035">
        <f t="shared" si="7"/>
        <v>0</v>
      </c>
      <c r="G13" s="2035">
        <f t="shared" si="7"/>
        <v>0</v>
      </c>
      <c r="H13" s="2035">
        <f t="shared" si="7"/>
        <v>0</v>
      </c>
      <c r="I13" s="2035">
        <f t="shared" si="7"/>
        <v>0</v>
      </c>
      <c r="J13" s="2035">
        <f t="shared" si="7"/>
        <v>0</v>
      </c>
      <c r="K13" s="2035">
        <f t="shared" si="7"/>
        <v>0</v>
      </c>
      <c r="L13" s="2035">
        <f t="shared" si="7"/>
        <v>0</v>
      </c>
      <c r="M13" s="2035">
        <f>M54+M70+M130+M142+M94+M82+M214+M106+M154+M166+M178+M34+M226</f>
        <v>0</v>
      </c>
      <c r="N13" s="2035">
        <f t="shared" si="7"/>
        <v>0</v>
      </c>
      <c r="O13" s="2035">
        <f t="shared" ref="O13:X13" si="8">O54+O70+O130+O142+O94+O82+O214+O106+O154+O166+O178+O34+O226</f>
        <v>116338</v>
      </c>
      <c r="P13" s="2035">
        <f t="shared" si="8"/>
        <v>1608170</v>
      </c>
      <c r="Q13" s="2035">
        <f t="shared" si="8"/>
        <v>1931538</v>
      </c>
      <c r="R13" s="2035">
        <f t="shared" si="8"/>
        <v>1746858</v>
      </c>
      <c r="S13" s="2035">
        <f t="shared" si="8"/>
        <v>1818109</v>
      </c>
      <c r="T13" s="2035">
        <f t="shared" si="8"/>
        <v>1812687</v>
      </c>
      <c r="U13" s="2035">
        <f t="shared" si="8"/>
        <v>1439591</v>
      </c>
      <c r="V13" s="2035">
        <f t="shared" si="8"/>
        <v>1331592</v>
      </c>
      <c r="W13" s="2035">
        <f t="shared" si="8"/>
        <v>1299583</v>
      </c>
      <c r="X13" s="2035">
        <f t="shared" si="8"/>
        <v>12988128</v>
      </c>
      <c r="Y13" s="2023"/>
      <c r="Z13" s="2005"/>
    </row>
    <row r="14" spans="1:27" ht="12.75" hidden="1" customHeight="1">
      <c r="A14" s="1506"/>
      <c r="B14" s="2036" t="s">
        <v>25</v>
      </c>
      <c r="C14" s="2034"/>
      <c r="D14" s="2037">
        <f t="shared" ref="D14:W14" si="9">D57+D71+D119+D131+D179+D38+D95+D83+D167</f>
        <v>0</v>
      </c>
      <c r="E14" s="2037">
        <f t="shared" si="9"/>
        <v>0</v>
      </c>
      <c r="F14" s="2037">
        <f t="shared" si="9"/>
        <v>0</v>
      </c>
      <c r="G14" s="2037">
        <f t="shared" si="9"/>
        <v>0</v>
      </c>
      <c r="H14" s="2037">
        <f t="shared" si="9"/>
        <v>0</v>
      </c>
      <c r="I14" s="2037">
        <f t="shared" si="9"/>
        <v>0</v>
      </c>
      <c r="J14" s="2037">
        <f t="shared" si="9"/>
        <v>0</v>
      </c>
      <c r="K14" s="2037">
        <f t="shared" si="9"/>
        <v>0</v>
      </c>
      <c r="L14" s="2037">
        <f t="shared" si="9"/>
        <v>0</v>
      </c>
      <c r="M14" s="2037">
        <f t="shared" si="9"/>
        <v>0</v>
      </c>
      <c r="N14" s="2037">
        <f t="shared" si="9"/>
        <v>0</v>
      </c>
      <c r="O14" s="2037">
        <f t="shared" si="9"/>
        <v>0</v>
      </c>
      <c r="P14" s="2037">
        <f t="shared" si="9"/>
        <v>0</v>
      </c>
      <c r="Q14" s="2037">
        <f t="shared" si="9"/>
        <v>0</v>
      </c>
      <c r="R14" s="2037">
        <f t="shared" si="9"/>
        <v>0</v>
      </c>
      <c r="S14" s="2037">
        <f t="shared" si="9"/>
        <v>0</v>
      </c>
      <c r="T14" s="2037">
        <f t="shared" si="9"/>
        <v>0</v>
      </c>
      <c r="U14" s="2037">
        <f t="shared" si="9"/>
        <v>0</v>
      </c>
      <c r="V14" s="2037">
        <f t="shared" si="9"/>
        <v>0</v>
      </c>
      <c r="W14" s="2037">
        <f t="shared" si="9"/>
        <v>0</v>
      </c>
      <c r="X14" s="2038">
        <f>SUM(P14:T14)</f>
        <v>0</v>
      </c>
      <c r="Y14" s="2023"/>
      <c r="Z14" s="2005"/>
    </row>
    <row r="15" spans="1:27" s="1340" customFormat="1" ht="12.75" customHeight="1">
      <c r="A15" s="1506"/>
      <c r="B15" s="2039" t="s">
        <v>30</v>
      </c>
      <c r="C15" s="2039"/>
      <c r="D15" s="2032">
        <f>D17+D16</f>
        <v>73767805</v>
      </c>
      <c r="E15" s="2032">
        <f t="shared" ref="E15:N15" si="10">E17</f>
        <v>0</v>
      </c>
      <c r="F15" s="2032">
        <f t="shared" si="10"/>
        <v>0</v>
      </c>
      <c r="G15" s="2032">
        <f t="shared" si="10"/>
        <v>0</v>
      </c>
      <c r="H15" s="2032">
        <f t="shared" si="10"/>
        <v>0</v>
      </c>
      <c r="I15" s="2032">
        <f t="shared" si="10"/>
        <v>0</v>
      </c>
      <c r="J15" s="2032">
        <f t="shared" si="10"/>
        <v>0</v>
      </c>
      <c r="K15" s="2032">
        <f t="shared" si="10"/>
        <v>0</v>
      </c>
      <c r="L15" s="2032">
        <f t="shared" si="10"/>
        <v>0</v>
      </c>
      <c r="M15" s="2032">
        <f t="shared" si="10"/>
        <v>0</v>
      </c>
      <c r="N15" s="2032">
        <f t="shared" si="10"/>
        <v>0</v>
      </c>
      <c r="O15" s="2032">
        <f t="shared" ref="O15:X15" si="11">O17+O16</f>
        <v>637703</v>
      </c>
      <c r="P15" s="2032">
        <f t="shared" si="11"/>
        <v>9037307</v>
      </c>
      <c r="Q15" s="2032">
        <f t="shared" si="11"/>
        <v>10861114</v>
      </c>
      <c r="R15" s="2032">
        <f t="shared" si="11"/>
        <v>9814986</v>
      </c>
      <c r="S15" s="2032">
        <f t="shared" si="11"/>
        <v>10189876</v>
      </c>
      <c r="T15" s="2032">
        <f t="shared" si="11"/>
        <v>10159152</v>
      </c>
      <c r="U15" s="2032">
        <f t="shared" si="11"/>
        <v>8157684</v>
      </c>
      <c r="V15" s="2032">
        <f t="shared" si="11"/>
        <v>7545683</v>
      </c>
      <c r="W15" s="2032">
        <f t="shared" si="11"/>
        <v>7364300</v>
      </c>
      <c r="X15" s="2033">
        <f t="shared" si="11"/>
        <v>73080020</v>
      </c>
      <c r="Y15" s="2023"/>
      <c r="Z15" s="2006"/>
    </row>
    <row r="16" spans="1:27" s="1781" customFormat="1" ht="12.75" customHeight="1">
      <c r="A16" s="1506"/>
      <c r="B16" s="2040" t="s">
        <v>32</v>
      </c>
      <c r="C16" s="2039"/>
      <c r="D16" s="2041">
        <f>+D40</f>
        <v>420817</v>
      </c>
      <c r="E16" s="2041"/>
      <c r="F16" s="2041"/>
      <c r="G16" s="2041"/>
      <c r="H16" s="2041"/>
      <c r="I16" s="2041"/>
      <c r="J16" s="2041"/>
      <c r="K16" s="2041"/>
      <c r="L16" s="2041"/>
      <c r="M16" s="2041"/>
      <c r="N16" s="2041"/>
      <c r="O16" s="2041">
        <f t="shared" ref="O16:W16" si="12">+O40</f>
        <v>0</v>
      </c>
      <c r="P16" s="2041">
        <f t="shared" si="12"/>
        <v>88766</v>
      </c>
      <c r="Q16" s="2041">
        <f t="shared" si="12"/>
        <v>154696</v>
      </c>
      <c r="R16" s="2041">
        <f t="shared" si="12"/>
        <v>103495</v>
      </c>
      <c r="S16" s="2041">
        <f t="shared" si="12"/>
        <v>60792</v>
      </c>
      <c r="T16" s="2041">
        <f>+T40</f>
        <v>13068</v>
      </c>
      <c r="U16" s="2041">
        <f t="shared" si="12"/>
        <v>0</v>
      </c>
      <c r="V16" s="2041">
        <f t="shared" si="12"/>
        <v>0</v>
      </c>
      <c r="W16" s="2041">
        <f t="shared" si="12"/>
        <v>0</v>
      </c>
      <c r="X16" s="2042">
        <f>+W16+V16+U16+T16+S16+R16+Q16+P16+O16</f>
        <v>420817</v>
      </c>
      <c r="Y16" s="2023"/>
      <c r="Z16" s="2006"/>
    </row>
    <row r="17" spans="1:27" ht="12.75" customHeight="1">
      <c r="A17" s="1506"/>
      <c r="B17" s="2043" t="s">
        <v>33</v>
      </c>
      <c r="C17" s="2034"/>
      <c r="D17" s="2044">
        <f>+D59+D73+D121+D133+D181+D44+D193+D205+D27+D145+D97+D85+D217+D109+D157+D169+D229</f>
        <v>73346988</v>
      </c>
      <c r="E17" s="2044">
        <f t="shared" ref="E17:N17" si="13">+E59+E73+E121+E133+E181+E44+E193+E205+E27+E145+E97+E85+E217+E109+E157+E169</f>
        <v>0</v>
      </c>
      <c r="F17" s="2044">
        <f t="shared" si="13"/>
        <v>0</v>
      </c>
      <c r="G17" s="2044">
        <f t="shared" si="13"/>
        <v>0</v>
      </c>
      <c r="H17" s="2044">
        <f t="shared" si="13"/>
        <v>0</v>
      </c>
      <c r="I17" s="2044">
        <f t="shared" si="13"/>
        <v>0</v>
      </c>
      <c r="J17" s="2044">
        <f t="shared" si="13"/>
        <v>0</v>
      </c>
      <c r="K17" s="2044">
        <f t="shared" si="13"/>
        <v>0</v>
      </c>
      <c r="L17" s="2044">
        <f t="shared" si="13"/>
        <v>0</v>
      </c>
      <c r="M17" s="2044">
        <f>+M59+M73+M121+M133+M181+M44+M193+M205+M27+M145+M97+M85+M217+M109+M157+M169+M229</f>
        <v>0</v>
      </c>
      <c r="N17" s="2044">
        <f t="shared" si="13"/>
        <v>0</v>
      </c>
      <c r="O17" s="2044">
        <f t="shared" ref="O17:W17" si="14">+O59+O73+O121+O133+O181+O44+O193+O205+O27+O145+O97+O85+O217+O109+O157+O169+O229</f>
        <v>637703</v>
      </c>
      <c r="P17" s="2044">
        <f t="shared" si="14"/>
        <v>8948541</v>
      </c>
      <c r="Q17" s="2044">
        <f t="shared" si="14"/>
        <v>10706418</v>
      </c>
      <c r="R17" s="2044">
        <f t="shared" si="14"/>
        <v>9711491</v>
      </c>
      <c r="S17" s="2044">
        <f t="shared" si="14"/>
        <v>10129084</v>
      </c>
      <c r="T17" s="2044">
        <f t="shared" si="14"/>
        <v>10146084</v>
      </c>
      <c r="U17" s="2044">
        <f t="shared" si="14"/>
        <v>8157684</v>
      </c>
      <c r="V17" s="2044">
        <f t="shared" si="14"/>
        <v>7545683</v>
      </c>
      <c r="W17" s="2044">
        <f t="shared" si="14"/>
        <v>7364300</v>
      </c>
      <c r="X17" s="2038">
        <f>+X59+X73+X121+X133+X181+X44+X193+X205+X27+X145+X97+X85+X217+X109+X157</f>
        <v>72659203</v>
      </c>
      <c r="Y17" s="2030"/>
      <c r="Z17" s="2005"/>
    </row>
    <row r="18" spans="1:27" ht="13.5" customHeight="1">
      <c r="A18" s="1506"/>
      <c r="B18" s="2045" t="s">
        <v>34</v>
      </c>
      <c r="C18" s="2027"/>
      <c r="D18" s="2028">
        <f>D19+D21</f>
        <v>73767805</v>
      </c>
      <c r="E18" s="2028">
        <f t="shared" ref="E18:P18" si="15">E19+E21</f>
        <v>0</v>
      </c>
      <c r="F18" s="2028">
        <f t="shared" si="15"/>
        <v>0</v>
      </c>
      <c r="G18" s="2028">
        <f t="shared" si="15"/>
        <v>0</v>
      </c>
      <c r="H18" s="2028">
        <f t="shared" si="15"/>
        <v>0</v>
      </c>
      <c r="I18" s="2028">
        <f t="shared" si="15"/>
        <v>0</v>
      </c>
      <c r="J18" s="2028">
        <f t="shared" si="15"/>
        <v>0</v>
      </c>
      <c r="K18" s="2028">
        <f t="shared" si="15"/>
        <v>0</v>
      </c>
      <c r="L18" s="2028">
        <f t="shared" si="15"/>
        <v>0</v>
      </c>
      <c r="M18" s="2028">
        <f t="shared" si="15"/>
        <v>0</v>
      </c>
      <c r="N18" s="2028">
        <f t="shared" si="15"/>
        <v>0</v>
      </c>
      <c r="O18" s="2028">
        <f t="shared" si="15"/>
        <v>378288</v>
      </c>
      <c r="P18" s="2028">
        <f t="shared" si="15"/>
        <v>9207956</v>
      </c>
      <c r="Q18" s="2028">
        <f t="shared" ref="Q18:W18" si="16">Q19+Q21</f>
        <v>10795184</v>
      </c>
      <c r="R18" s="2028">
        <f t="shared" si="16"/>
        <v>9866187</v>
      </c>
      <c r="S18" s="2028">
        <f t="shared" si="16"/>
        <v>10232579</v>
      </c>
      <c r="T18" s="2028">
        <f t="shared" si="16"/>
        <v>10206876</v>
      </c>
      <c r="U18" s="2028">
        <f t="shared" si="16"/>
        <v>8170752</v>
      </c>
      <c r="V18" s="2028">
        <f t="shared" si="16"/>
        <v>7545683</v>
      </c>
      <c r="W18" s="2028">
        <f t="shared" si="16"/>
        <v>7364300</v>
      </c>
      <c r="X18" s="2797" t="s">
        <v>77</v>
      </c>
      <c r="Y18" s="2023"/>
      <c r="Z18" s="2007">
        <f>+D8-D11</f>
        <v>0</v>
      </c>
    </row>
    <row r="19" spans="1:27" ht="13.5" hidden="1" customHeight="1">
      <c r="A19" s="1506"/>
      <c r="B19" s="2046" t="s">
        <v>36</v>
      </c>
      <c r="C19" s="2047"/>
      <c r="D19" s="2048">
        <f>D20</f>
        <v>0</v>
      </c>
      <c r="E19" s="2048">
        <f t="shared" ref="E19:T19" si="17">E20</f>
        <v>0</v>
      </c>
      <c r="F19" s="2048">
        <f t="shared" si="17"/>
        <v>0</v>
      </c>
      <c r="G19" s="2048">
        <f t="shared" si="17"/>
        <v>0</v>
      </c>
      <c r="H19" s="2048">
        <f t="shared" si="17"/>
        <v>0</v>
      </c>
      <c r="I19" s="2048">
        <f t="shared" si="17"/>
        <v>0</v>
      </c>
      <c r="J19" s="2048">
        <f t="shared" si="17"/>
        <v>0</v>
      </c>
      <c r="K19" s="2048">
        <f t="shared" si="17"/>
        <v>0</v>
      </c>
      <c r="L19" s="2048">
        <f t="shared" si="17"/>
        <v>0</v>
      </c>
      <c r="M19" s="2048">
        <f t="shared" si="17"/>
        <v>0</v>
      </c>
      <c r="N19" s="2048">
        <f t="shared" si="17"/>
        <v>0</v>
      </c>
      <c r="O19" s="2048">
        <f t="shared" si="17"/>
        <v>0</v>
      </c>
      <c r="P19" s="2048">
        <f t="shared" si="17"/>
        <v>0</v>
      </c>
      <c r="Q19" s="2048">
        <f t="shared" si="17"/>
        <v>0</v>
      </c>
      <c r="R19" s="2048">
        <f t="shared" si="17"/>
        <v>0</v>
      </c>
      <c r="S19" s="2048">
        <f t="shared" si="17"/>
        <v>0</v>
      </c>
      <c r="T19" s="2048">
        <f t="shared" si="17"/>
        <v>0</v>
      </c>
      <c r="U19" s="2048">
        <f>U20</f>
        <v>0</v>
      </c>
      <c r="V19" s="2048">
        <f>V20</f>
        <v>0</v>
      </c>
      <c r="W19" s="2048">
        <f>W20</f>
        <v>0</v>
      </c>
      <c r="X19" s="2797"/>
      <c r="Y19" s="2023"/>
      <c r="Z19" s="2004"/>
    </row>
    <row r="20" spans="1:27" ht="13.5" hidden="1" customHeight="1">
      <c r="A20" s="1506"/>
      <c r="B20" s="2049" t="s">
        <v>25</v>
      </c>
      <c r="C20" s="2050"/>
      <c r="D20" s="2044">
        <f>+D64+D76+D124+D136+D184+D47+D100+D88+D172</f>
        <v>0</v>
      </c>
      <c r="E20" s="2044">
        <f t="shared" ref="E20:W20" si="18">+E64+E76+E124+E136+E184+E47+E100+E88+E172</f>
        <v>0</v>
      </c>
      <c r="F20" s="2044">
        <f t="shared" si="18"/>
        <v>0</v>
      </c>
      <c r="G20" s="2044">
        <f t="shared" si="18"/>
        <v>0</v>
      </c>
      <c r="H20" s="2044">
        <f t="shared" si="18"/>
        <v>0</v>
      </c>
      <c r="I20" s="2044">
        <f t="shared" si="18"/>
        <v>0</v>
      </c>
      <c r="J20" s="2044">
        <f t="shared" si="18"/>
        <v>0</v>
      </c>
      <c r="K20" s="2044">
        <f t="shared" si="18"/>
        <v>0</v>
      </c>
      <c r="L20" s="2044">
        <f t="shared" si="18"/>
        <v>0</v>
      </c>
      <c r="M20" s="2044">
        <f t="shared" si="18"/>
        <v>0</v>
      </c>
      <c r="N20" s="2044">
        <f t="shared" si="18"/>
        <v>0</v>
      </c>
      <c r="O20" s="2044">
        <f t="shared" si="18"/>
        <v>0</v>
      </c>
      <c r="P20" s="2044">
        <f t="shared" si="18"/>
        <v>0</v>
      </c>
      <c r="Q20" s="2044">
        <f t="shared" si="18"/>
        <v>0</v>
      </c>
      <c r="R20" s="2044">
        <f t="shared" si="18"/>
        <v>0</v>
      </c>
      <c r="S20" s="2044">
        <f t="shared" si="18"/>
        <v>0</v>
      </c>
      <c r="T20" s="2044">
        <f t="shared" si="18"/>
        <v>0</v>
      </c>
      <c r="U20" s="2044">
        <f t="shared" si="18"/>
        <v>0</v>
      </c>
      <c r="V20" s="2044">
        <f t="shared" si="18"/>
        <v>0</v>
      </c>
      <c r="W20" s="2044">
        <f t="shared" si="18"/>
        <v>0</v>
      </c>
      <c r="X20" s="2797"/>
      <c r="Y20" s="2023"/>
      <c r="Z20" s="2004"/>
    </row>
    <row r="21" spans="1:27" s="1348" customFormat="1" ht="15" customHeight="1">
      <c r="A21" s="1711"/>
      <c r="B21" s="2051" t="s">
        <v>30</v>
      </c>
      <c r="C21" s="2052"/>
      <c r="D21" s="2048">
        <f>D23+D22</f>
        <v>73767805</v>
      </c>
      <c r="E21" s="2048">
        <f t="shared" ref="E21:N21" si="19">E23</f>
        <v>0</v>
      </c>
      <c r="F21" s="2048">
        <f t="shared" si="19"/>
        <v>0</v>
      </c>
      <c r="G21" s="2048">
        <f t="shared" si="19"/>
        <v>0</v>
      </c>
      <c r="H21" s="2048">
        <f t="shared" si="19"/>
        <v>0</v>
      </c>
      <c r="I21" s="2048">
        <f t="shared" si="19"/>
        <v>0</v>
      </c>
      <c r="J21" s="2048">
        <f t="shared" si="19"/>
        <v>0</v>
      </c>
      <c r="K21" s="2048">
        <f t="shared" si="19"/>
        <v>0</v>
      </c>
      <c r="L21" s="2048">
        <f t="shared" si="19"/>
        <v>0</v>
      </c>
      <c r="M21" s="2048">
        <f t="shared" si="19"/>
        <v>0</v>
      </c>
      <c r="N21" s="2048">
        <f t="shared" si="19"/>
        <v>0</v>
      </c>
      <c r="O21" s="2048">
        <f t="shared" ref="O21:W21" si="20">O23+O22</f>
        <v>378288</v>
      </c>
      <c r="P21" s="2048">
        <f t="shared" si="20"/>
        <v>9207956</v>
      </c>
      <c r="Q21" s="2048">
        <f t="shared" si="20"/>
        <v>10795184</v>
      </c>
      <c r="R21" s="2048">
        <f t="shared" si="20"/>
        <v>9866187</v>
      </c>
      <c r="S21" s="2048">
        <f t="shared" si="20"/>
        <v>10232579</v>
      </c>
      <c r="T21" s="2048">
        <f t="shared" si="20"/>
        <v>10206876</v>
      </c>
      <c r="U21" s="2048">
        <f t="shared" si="20"/>
        <v>8170752</v>
      </c>
      <c r="V21" s="2048">
        <f t="shared" si="20"/>
        <v>7545683</v>
      </c>
      <c r="W21" s="2048">
        <f t="shared" si="20"/>
        <v>7364300</v>
      </c>
      <c r="X21" s="2797"/>
      <c r="Y21" s="2053"/>
      <c r="Z21" s="2008"/>
    </row>
    <row r="22" spans="1:27" s="1780" customFormat="1" ht="15" customHeight="1">
      <c r="A22" s="1711"/>
      <c r="B22" s="2040" t="s">
        <v>32</v>
      </c>
      <c r="C22" s="2052"/>
      <c r="D22" s="2054">
        <f>+D49</f>
        <v>420817</v>
      </c>
      <c r="E22" s="2055"/>
      <c r="F22" s="2055"/>
      <c r="G22" s="2055"/>
      <c r="H22" s="2055"/>
      <c r="I22" s="2055"/>
      <c r="J22" s="2055"/>
      <c r="K22" s="2055"/>
      <c r="L22" s="2055"/>
      <c r="M22" s="2055">
        <v>0</v>
      </c>
      <c r="N22" s="2055"/>
      <c r="O22" s="2054">
        <f t="shared" ref="O22:W22" si="21">+O49</f>
        <v>0</v>
      </c>
      <c r="P22" s="2054">
        <f t="shared" si="21"/>
        <v>0</v>
      </c>
      <c r="Q22" s="2054">
        <f t="shared" si="21"/>
        <v>88766</v>
      </c>
      <c r="R22" s="2054">
        <f t="shared" si="21"/>
        <v>154696</v>
      </c>
      <c r="S22" s="2054">
        <f t="shared" si="21"/>
        <v>103495</v>
      </c>
      <c r="T22" s="2054">
        <f t="shared" si="21"/>
        <v>60792</v>
      </c>
      <c r="U22" s="2054">
        <f t="shared" si="21"/>
        <v>13068</v>
      </c>
      <c r="V22" s="2054">
        <f t="shared" si="21"/>
        <v>0</v>
      </c>
      <c r="W22" s="2054">
        <f t="shared" si="21"/>
        <v>0</v>
      </c>
      <c r="X22" s="2798"/>
      <c r="Y22" s="2056"/>
      <c r="Z22" s="2008"/>
    </row>
    <row r="23" spans="1:27" ht="13.5" customHeight="1" thickBot="1">
      <c r="A23" s="1712"/>
      <c r="B23" s="2057" t="s">
        <v>33</v>
      </c>
      <c r="C23" s="2057"/>
      <c r="D23" s="2058">
        <f>+D66+D78+D126+D138+D186+D50+D198+D210+D30+D150+D102+D90+D222+D114+D162+D174+D234</f>
        <v>73346988</v>
      </c>
      <c r="E23" s="2058">
        <f t="shared" ref="E23:N23" si="22">+E66+E78+E126+E138+E186+E50+E198+E210+E30+E150+E102+E90+E222+E114+E162+E174</f>
        <v>0</v>
      </c>
      <c r="F23" s="2058">
        <f t="shared" si="22"/>
        <v>0</v>
      </c>
      <c r="G23" s="2058">
        <f t="shared" si="22"/>
        <v>0</v>
      </c>
      <c r="H23" s="2058">
        <f t="shared" si="22"/>
        <v>0</v>
      </c>
      <c r="I23" s="2058">
        <f t="shared" si="22"/>
        <v>0</v>
      </c>
      <c r="J23" s="2058">
        <f t="shared" si="22"/>
        <v>0</v>
      </c>
      <c r="K23" s="2058">
        <f t="shared" si="22"/>
        <v>0</v>
      </c>
      <c r="L23" s="2058">
        <f t="shared" si="22"/>
        <v>0</v>
      </c>
      <c r="M23" s="2058">
        <f>+M66+M78+M126+M138+M186+M50+M198+M210+M30+M150+M102+M90+M222+M114+M162+M174+M234</f>
        <v>0</v>
      </c>
      <c r="N23" s="2058">
        <f t="shared" si="22"/>
        <v>0</v>
      </c>
      <c r="O23" s="2058">
        <f t="shared" ref="O23:W23" si="23">+O66+O78+O126+O138+O186+O50+O198+O210+O30+O150+O102+O90+O222+O114+O162+O174+O234</f>
        <v>378288</v>
      </c>
      <c r="P23" s="2058">
        <f t="shared" si="23"/>
        <v>9207956</v>
      </c>
      <c r="Q23" s="2058">
        <f t="shared" si="23"/>
        <v>10706418</v>
      </c>
      <c r="R23" s="2058">
        <f t="shared" si="23"/>
        <v>9711491</v>
      </c>
      <c r="S23" s="2058">
        <f t="shared" si="23"/>
        <v>10129084</v>
      </c>
      <c r="T23" s="2058">
        <f t="shared" si="23"/>
        <v>10146084</v>
      </c>
      <c r="U23" s="2058">
        <f t="shared" si="23"/>
        <v>8157684</v>
      </c>
      <c r="V23" s="2058">
        <f t="shared" si="23"/>
        <v>7545683</v>
      </c>
      <c r="W23" s="2058">
        <f t="shared" si="23"/>
        <v>7364300</v>
      </c>
      <c r="X23" s="2799"/>
      <c r="Y23" s="2059"/>
      <c r="Z23" s="2005">
        <f>D23-D17</f>
        <v>0</v>
      </c>
    </row>
    <row r="24" spans="1:27" ht="24.75" hidden="1" customHeight="1">
      <c r="A24" s="2816"/>
      <c r="B24" s="1888"/>
      <c r="C24" s="1889" t="s">
        <v>128</v>
      </c>
      <c r="D24" s="1890"/>
      <c r="E24" s="508"/>
      <c r="F24" s="508"/>
      <c r="G24" s="508"/>
      <c r="H24" s="508"/>
      <c r="I24" s="508"/>
      <c r="J24" s="508"/>
      <c r="K24" s="508"/>
      <c r="L24" s="508"/>
      <c r="M24" s="508"/>
      <c r="N24" s="508"/>
      <c r="O24" s="508"/>
      <c r="P24" s="508"/>
      <c r="Q24" s="508"/>
      <c r="R24" s="508"/>
      <c r="S24" s="508"/>
      <c r="T24" s="508"/>
      <c r="U24" s="508"/>
      <c r="V24" s="508"/>
      <c r="W24" s="508"/>
      <c r="X24" s="1891"/>
      <c r="Y24" s="2772" t="s">
        <v>147</v>
      </c>
      <c r="Z24" s="2004"/>
    </row>
    <row r="25" spans="1:27" ht="13.5" hidden="1" customHeight="1">
      <c r="A25" s="2770"/>
      <c r="B25" s="2060" t="s">
        <v>22</v>
      </c>
      <c r="C25" s="2027"/>
      <c r="D25" s="2061">
        <f>+D26</f>
        <v>0</v>
      </c>
      <c r="E25" s="2061">
        <f t="shared" ref="E25:T25" si="24">+E26</f>
        <v>0</v>
      </c>
      <c r="F25" s="2061">
        <f t="shared" si="24"/>
        <v>0</v>
      </c>
      <c r="G25" s="2061">
        <f t="shared" si="24"/>
        <v>0</v>
      </c>
      <c r="H25" s="2061">
        <f t="shared" si="24"/>
        <v>0</v>
      </c>
      <c r="I25" s="2061">
        <f t="shared" si="24"/>
        <v>0</v>
      </c>
      <c r="J25" s="2061">
        <f t="shared" si="24"/>
        <v>0</v>
      </c>
      <c r="K25" s="2061">
        <f t="shared" si="24"/>
        <v>0</v>
      </c>
      <c r="L25" s="2061">
        <f t="shared" si="24"/>
        <v>0</v>
      </c>
      <c r="M25" s="2061">
        <f t="shared" si="24"/>
        <v>0</v>
      </c>
      <c r="N25" s="2061">
        <f t="shared" si="24"/>
        <v>0</v>
      </c>
      <c r="O25" s="2061">
        <f t="shared" si="24"/>
        <v>0</v>
      </c>
      <c r="P25" s="2061">
        <f t="shared" si="24"/>
        <v>0</v>
      </c>
      <c r="Q25" s="2061">
        <f t="shared" si="24"/>
        <v>0</v>
      </c>
      <c r="R25" s="2061">
        <f t="shared" si="24"/>
        <v>0</v>
      </c>
      <c r="S25" s="2061">
        <f t="shared" si="24"/>
        <v>0</v>
      </c>
      <c r="T25" s="2061">
        <f t="shared" si="24"/>
        <v>0</v>
      </c>
      <c r="U25" s="2061"/>
      <c r="V25" s="2061"/>
      <c r="W25" s="2061"/>
      <c r="X25" s="2062">
        <f>+X26</f>
        <v>0</v>
      </c>
      <c r="Y25" s="2773"/>
      <c r="Z25" s="2005">
        <f>+O25+P25+Q25+R25</f>
        <v>0</v>
      </c>
      <c r="AA25" s="1339"/>
    </row>
    <row r="26" spans="1:27" ht="11.25" hidden="1" customHeight="1">
      <c r="A26" s="2770"/>
      <c r="B26" s="2063" t="s">
        <v>30</v>
      </c>
      <c r="C26" s="2817" t="s">
        <v>421</v>
      </c>
      <c r="D26" s="2064">
        <f t="shared" ref="D26:X26" si="25">+D27</f>
        <v>0</v>
      </c>
      <c r="E26" s="2064">
        <f t="shared" si="25"/>
        <v>0</v>
      </c>
      <c r="F26" s="2064">
        <f t="shared" si="25"/>
        <v>0</v>
      </c>
      <c r="G26" s="2065">
        <f t="shared" si="25"/>
        <v>0</v>
      </c>
      <c r="H26" s="2065">
        <f t="shared" si="25"/>
        <v>0</v>
      </c>
      <c r="I26" s="2065">
        <f t="shared" si="25"/>
        <v>0</v>
      </c>
      <c r="J26" s="2064">
        <f t="shared" si="25"/>
        <v>0</v>
      </c>
      <c r="K26" s="2064">
        <f t="shared" si="25"/>
        <v>0</v>
      </c>
      <c r="L26" s="2065">
        <f t="shared" si="25"/>
        <v>0</v>
      </c>
      <c r="M26" s="2065">
        <f t="shared" si="25"/>
        <v>0</v>
      </c>
      <c r="N26" s="2066">
        <f t="shared" si="25"/>
        <v>0</v>
      </c>
      <c r="O26" s="2066">
        <f t="shared" si="25"/>
        <v>0</v>
      </c>
      <c r="P26" s="2065">
        <f t="shared" si="25"/>
        <v>0</v>
      </c>
      <c r="Q26" s="2065">
        <f t="shared" si="25"/>
        <v>0</v>
      </c>
      <c r="R26" s="2065">
        <f t="shared" si="25"/>
        <v>0</v>
      </c>
      <c r="S26" s="2065">
        <f t="shared" si="25"/>
        <v>0</v>
      </c>
      <c r="T26" s="2065">
        <f t="shared" si="25"/>
        <v>0</v>
      </c>
      <c r="U26" s="2065"/>
      <c r="V26" s="2065"/>
      <c r="W26" s="2065"/>
      <c r="X26" s="2067">
        <f t="shared" si="25"/>
        <v>0</v>
      </c>
      <c r="Y26" s="2773"/>
      <c r="Z26" s="2004"/>
    </row>
    <row r="27" spans="1:27" ht="13.5" hidden="1" customHeight="1">
      <c r="A27" s="2770"/>
      <c r="B27" s="2068" t="s">
        <v>33</v>
      </c>
      <c r="C27" s="2817"/>
      <c r="D27" s="2069">
        <f>M27+O27+P27+Q27+R27+S27+T27+U27+V27+W27</f>
        <v>0</v>
      </c>
      <c r="E27" s="2070">
        <f>+F27+G27+H27</f>
        <v>0</v>
      </c>
      <c r="F27" s="2070">
        <v>0</v>
      </c>
      <c r="G27" s="2070">
        <v>0</v>
      </c>
      <c r="H27" s="2070">
        <v>0</v>
      </c>
      <c r="I27" s="2070">
        <v>0</v>
      </c>
      <c r="J27" s="2070">
        <v>0</v>
      </c>
      <c r="K27" s="2070"/>
      <c r="L27" s="2070"/>
      <c r="M27" s="2070"/>
      <c r="N27" s="2070"/>
      <c r="O27" s="2070"/>
      <c r="P27" s="2070">
        <v>0</v>
      </c>
      <c r="Q27" s="2070">
        <v>0</v>
      </c>
      <c r="R27" s="2070">
        <v>0</v>
      </c>
      <c r="S27" s="2070">
        <v>0</v>
      </c>
      <c r="T27" s="2070">
        <v>0</v>
      </c>
      <c r="U27" s="2070"/>
      <c r="V27" s="2070"/>
      <c r="W27" s="2070"/>
      <c r="X27" s="2071">
        <f>SUM(P27:T27)</f>
        <v>0</v>
      </c>
      <c r="Y27" s="2773"/>
      <c r="Z27" s="2004"/>
    </row>
    <row r="28" spans="1:27" ht="13.5" hidden="1" customHeight="1">
      <c r="A28" s="2800"/>
      <c r="B28" s="2060" t="s">
        <v>34</v>
      </c>
      <c r="C28" s="2027"/>
      <c r="D28" s="2061">
        <f>+D29</f>
        <v>0</v>
      </c>
      <c r="E28" s="2061">
        <f t="shared" ref="E28:T29" si="26">+E29</f>
        <v>0</v>
      </c>
      <c r="F28" s="2061">
        <f t="shared" si="26"/>
        <v>0</v>
      </c>
      <c r="G28" s="2061">
        <f t="shared" si="26"/>
        <v>0</v>
      </c>
      <c r="H28" s="2061">
        <f t="shared" si="26"/>
        <v>0</v>
      </c>
      <c r="I28" s="2061">
        <f t="shared" si="26"/>
        <v>0</v>
      </c>
      <c r="J28" s="2061">
        <f t="shared" si="26"/>
        <v>0</v>
      </c>
      <c r="K28" s="2061">
        <f t="shared" si="26"/>
        <v>0</v>
      </c>
      <c r="L28" s="2061">
        <f t="shared" si="26"/>
        <v>0</v>
      </c>
      <c r="M28" s="2061">
        <f t="shared" si="26"/>
        <v>0</v>
      </c>
      <c r="N28" s="2061">
        <f t="shared" si="26"/>
        <v>0</v>
      </c>
      <c r="O28" s="2061">
        <f t="shared" si="26"/>
        <v>0</v>
      </c>
      <c r="P28" s="2061">
        <f t="shared" si="26"/>
        <v>0</v>
      </c>
      <c r="Q28" s="2061">
        <f t="shared" si="26"/>
        <v>0</v>
      </c>
      <c r="R28" s="2061">
        <f t="shared" si="26"/>
        <v>0</v>
      </c>
      <c r="S28" s="2061">
        <f t="shared" si="26"/>
        <v>0</v>
      </c>
      <c r="T28" s="2061">
        <f t="shared" si="26"/>
        <v>0</v>
      </c>
      <c r="U28" s="2061"/>
      <c r="V28" s="2061"/>
      <c r="W28" s="2061"/>
      <c r="X28" s="2072" t="s">
        <v>77</v>
      </c>
      <c r="Y28" s="2801"/>
      <c r="Z28" s="2004"/>
    </row>
    <row r="29" spans="1:27" ht="11.25" hidden="1" customHeight="1">
      <c r="A29" s="2800"/>
      <c r="B29" s="2063" t="s">
        <v>30</v>
      </c>
      <c r="C29" s="2818" t="s">
        <v>323</v>
      </c>
      <c r="D29" s="2064">
        <f>+D30</f>
        <v>0</v>
      </c>
      <c r="E29" s="2064">
        <f t="shared" si="26"/>
        <v>0</v>
      </c>
      <c r="F29" s="2064">
        <f t="shared" si="26"/>
        <v>0</v>
      </c>
      <c r="G29" s="2064">
        <f t="shared" si="26"/>
        <v>0</v>
      </c>
      <c r="H29" s="2064">
        <f t="shared" si="26"/>
        <v>0</v>
      </c>
      <c r="I29" s="2064">
        <f t="shared" si="26"/>
        <v>0</v>
      </c>
      <c r="J29" s="2064">
        <f t="shared" si="26"/>
        <v>0</v>
      </c>
      <c r="K29" s="2064">
        <f t="shared" si="26"/>
        <v>0</v>
      </c>
      <c r="L29" s="2064">
        <f t="shared" si="26"/>
        <v>0</v>
      </c>
      <c r="M29" s="2064">
        <f t="shared" si="26"/>
        <v>0</v>
      </c>
      <c r="N29" s="2064">
        <f t="shared" si="26"/>
        <v>0</v>
      </c>
      <c r="O29" s="2064">
        <f t="shared" si="26"/>
        <v>0</v>
      </c>
      <c r="P29" s="2064">
        <f t="shared" si="26"/>
        <v>0</v>
      </c>
      <c r="Q29" s="2064">
        <f t="shared" si="26"/>
        <v>0</v>
      </c>
      <c r="R29" s="2064">
        <f t="shared" si="26"/>
        <v>0</v>
      </c>
      <c r="S29" s="2064">
        <f t="shared" si="26"/>
        <v>0</v>
      </c>
      <c r="T29" s="2064">
        <f t="shared" si="26"/>
        <v>0</v>
      </c>
      <c r="U29" s="2064"/>
      <c r="V29" s="2064"/>
      <c r="W29" s="2064"/>
      <c r="X29" s="2073"/>
      <c r="Y29" s="2801"/>
      <c r="Z29" s="2004"/>
    </row>
    <row r="30" spans="1:27" ht="13.5" hidden="1" customHeight="1">
      <c r="A30" s="2800"/>
      <c r="B30" s="2074" t="s">
        <v>33</v>
      </c>
      <c r="C30" s="2818"/>
      <c r="D30" s="2069">
        <f>M30+O30+P30+Q30+R30+S30+T30+U30+V30+W30</f>
        <v>0</v>
      </c>
      <c r="E30" s="2070">
        <f>+F30+G30+H30</f>
        <v>0</v>
      </c>
      <c r="F30" s="2070"/>
      <c r="G30" s="2070">
        <v>0</v>
      </c>
      <c r="H30" s="2070">
        <v>0</v>
      </c>
      <c r="I30" s="2070">
        <v>0</v>
      </c>
      <c r="J30" s="2070">
        <v>0</v>
      </c>
      <c r="K30" s="2070"/>
      <c r="L30" s="2070"/>
      <c r="M30" s="2070"/>
      <c r="N30" s="2070"/>
      <c r="O30" s="2070"/>
      <c r="P30" s="2070">
        <v>0</v>
      </c>
      <c r="Q30" s="2070">
        <v>0</v>
      </c>
      <c r="R30" s="2070">
        <v>0</v>
      </c>
      <c r="S30" s="2070">
        <v>0</v>
      </c>
      <c r="T30" s="2070">
        <v>0</v>
      </c>
      <c r="U30" s="2070"/>
      <c r="V30" s="2070"/>
      <c r="W30" s="2070"/>
      <c r="X30" s="2071"/>
      <c r="Y30" s="2801"/>
      <c r="Z30" s="2004"/>
    </row>
    <row r="31" spans="1:27" ht="39" customHeight="1">
      <c r="A31" s="2807" t="s">
        <v>79</v>
      </c>
      <c r="B31" s="2075" t="s">
        <v>453</v>
      </c>
      <c r="C31" s="2076" t="s">
        <v>128</v>
      </c>
      <c r="D31" s="2037"/>
      <c r="E31" s="2037"/>
      <c r="F31" s="2037"/>
      <c r="G31" s="2037"/>
      <c r="H31" s="2037"/>
      <c r="I31" s="2077"/>
      <c r="J31" s="2077"/>
      <c r="K31" s="2077"/>
      <c r="L31" s="2077"/>
      <c r="M31" s="2077"/>
      <c r="N31" s="2077"/>
      <c r="O31" s="2077"/>
      <c r="P31" s="2077"/>
      <c r="Q31" s="2077"/>
      <c r="R31" s="2077"/>
      <c r="S31" s="2077"/>
      <c r="T31" s="2077"/>
      <c r="U31" s="2077"/>
      <c r="V31" s="2077"/>
      <c r="W31" s="2077"/>
      <c r="X31" s="2029"/>
      <c r="Y31" s="2773" t="s">
        <v>469</v>
      </c>
      <c r="Z31" s="2004"/>
    </row>
    <row r="32" spans="1:27" ht="13.5" customHeight="1">
      <c r="A32" s="2808"/>
      <c r="B32" s="2060" t="s">
        <v>22</v>
      </c>
      <c r="C32" s="2027"/>
      <c r="D32" s="2078">
        <f t="shared" ref="D32:U32" si="27">+D33+D39</f>
        <v>499079</v>
      </c>
      <c r="E32" s="2078">
        <f t="shared" si="27"/>
        <v>0</v>
      </c>
      <c r="F32" s="2078">
        <f t="shared" si="27"/>
        <v>0</v>
      </c>
      <c r="G32" s="2078">
        <f t="shared" si="27"/>
        <v>0</v>
      </c>
      <c r="H32" s="2078">
        <f t="shared" si="27"/>
        <v>0</v>
      </c>
      <c r="I32" s="2078">
        <f t="shared" si="27"/>
        <v>0</v>
      </c>
      <c r="J32" s="2078">
        <f t="shared" si="27"/>
        <v>0</v>
      </c>
      <c r="K32" s="2078">
        <f t="shared" si="27"/>
        <v>0</v>
      </c>
      <c r="L32" s="2078">
        <f t="shared" si="27"/>
        <v>0</v>
      </c>
      <c r="M32" s="2078">
        <f>+M33+M39</f>
        <v>0</v>
      </c>
      <c r="N32" s="2078">
        <f t="shared" si="27"/>
        <v>0</v>
      </c>
      <c r="O32" s="2078">
        <f t="shared" si="27"/>
        <v>0</v>
      </c>
      <c r="P32" s="2078">
        <f t="shared" si="27"/>
        <v>105231</v>
      </c>
      <c r="Q32" s="2078">
        <f t="shared" si="27"/>
        <v>182795</v>
      </c>
      <c r="R32" s="2078">
        <f t="shared" si="27"/>
        <v>122559</v>
      </c>
      <c r="S32" s="2078">
        <f t="shared" si="27"/>
        <v>72320</v>
      </c>
      <c r="T32" s="2078">
        <f t="shared" si="27"/>
        <v>16174</v>
      </c>
      <c r="U32" s="2078">
        <f t="shared" si="27"/>
        <v>0</v>
      </c>
      <c r="V32" s="2078">
        <v>0</v>
      </c>
      <c r="W32" s="2078">
        <v>0</v>
      </c>
      <c r="X32" s="2062">
        <f>+X33+X39</f>
        <v>499079</v>
      </c>
      <c r="Y32" s="2773"/>
      <c r="Z32" s="2005">
        <f>+O32+P32+Q32+R32</f>
        <v>410585</v>
      </c>
      <c r="AA32" s="1339"/>
    </row>
    <row r="33" spans="1:26" ht="13.5" customHeight="1">
      <c r="A33" s="2808"/>
      <c r="B33" s="2079" t="s">
        <v>36</v>
      </c>
      <c r="C33" s="2802" t="s">
        <v>561</v>
      </c>
      <c r="D33" s="2065">
        <f t="shared" ref="D33:N33" si="28">+D34+D38</f>
        <v>78262</v>
      </c>
      <c r="E33" s="2065">
        <f t="shared" si="28"/>
        <v>0</v>
      </c>
      <c r="F33" s="2065">
        <f t="shared" si="28"/>
        <v>0</v>
      </c>
      <c r="G33" s="2065">
        <f t="shared" si="28"/>
        <v>0</v>
      </c>
      <c r="H33" s="2065">
        <f t="shared" si="28"/>
        <v>0</v>
      </c>
      <c r="I33" s="2065">
        <f t="shared" si="28"/>
        <v>0</v>
      </c>
      <c r="J33" s="2065">
        <f t="shared" si="28"/>
        <v>0</v>
      </c>
      <c r="K33" s="2065">
        <f t="shared" si="28"/>
        <v>0</v>
      </c>
      <c r="L33" s="2065">
        <f t="shared" si="28"/>
        <v>0</v>
      </c>
      <c r="M33" s="2065">
        <f>+M34+M38</f>
        <v>0</v>
      </c>
      <c r="N33" s="2065">
        <f t="shared" si="28"/>
        <v>0</v>
      </c>
      <c r="O33" s="2065">
        <f>+O34+O38</f>
        <v>0</v>
      </c>
      <c r="P33" s="2065">
        <f>+P34+P38</f>
        <v>16465</v>
      </c>
      <c r="Q33" s="2065">
        <f>+Q34+Q38</f>
        <v>28099</v>
      </c>
      <c r="R33" s="2065">
        <f>+R34+R38</f>
        <v>19064</v>
      </c>
      <c r="S33" s="2065">
        <f>+S34+S38</f>
        <v>11528</v>
      </c>
      <c r="T33" s="2065">
        <f>+T34</f>
        <v>3106</v>
      </c>
      <c r="U33" s="2065">
        <f>+U34</f>
        <v>0</v>
      </c>
      <c r="V33" s="2065">
        <v>0</v>
      </c>
      <c r="W33" s="2065">
        <v>0</v>
      </c>
      <c r="X33" s="2067">
        <f>+X34+X38</f>
        <v>78262</v>
      </c>
      <c r="Y33" s="2773"/>
      <c r="Z33" s="2004"/>
    </row>
    <row r="34" spans="1:26" ht="13.5" customHeight="1">
      <c r="A34" s="2808"/>
      <c r="B34" s="2068" t="s">
        <v>24</v>
      </c>
      <c r="C34" s="2803"/>
      <c r="D34" s="2069">
        <f>M34+O34+P34+Q34+R34+S34+T34+U34+V34+W34</f>
        <v>78262</v>
      </c>
      <c r="E34" s="2070">
        <f>+F34+G34+H34</f>
        <v>0</v>
      </c>
      <c r="F34" s="2070">
        <v>0</v>
      </c>
      <c r="G34" s="2080"/>
      <c r="H34" s="2080"/>
      <c r="I34" s="2080"/>
      <c r="J34" s="2080">
        <v>0</v>
      </c>
      <c r="K34" s="2070">
        <v>0</v>
      </c>
      <c r="L34" s="2070">
        <v>0</v>
      </c>
      <c r="M34" s="2070">
        <f>+L34+K34+J34+I34+E34+N34</f>
        <v>0</v>
      </c>
      <c r="N34" s="2070"/>
      <c r="O34" s="2070">
        <v>0</v>
      </c>
      <c r="P34" s="2070">
        <f>SUM(P36:P37)</f>
        <v>16465</v>
      </c>
      <c r="Q34" s="2070">
        <f>SUM(Q36:Q37)</f>
        <v>28099</v>
      </c>
      <c r="R34" s="2070">
        <f>SUM(R36:R37)</f>
        <v>19064</v>
      </c>
      <c r="S34" s="2070">
        <f>SUM(S36:S37)</f>
        <v>11528</v>
      </c>
      <c r="T34" s="2070">
        <f>SUM(T36:T37)</f>
        <v>3106</v>
      </c>
      <c r="U34" s="2070">
        <v>0</v>
      </c>
      <c r="V34" s="2070">
        <v>0</v>
      </c>
      <c r="W34" s="2070">
        <v>0</v>
      </c>
      <c r="X34" s="2071">
        <f>+S34+R34+Q34+P34+O34+T34</f>
        <v>78262</v>
      </c>
      <c r="Y34" s="2773"/>
      <c r="Z34" s="2004"/>
    </row>
    <row r="35" spans="1:26" s="1826" customFormat="1" ht="13.5" hidden="1" customHeight="1">
      <c r="A35" s="2809"/>
      <c r="B35" s="2081" t="s">
        <v>186</v>
      </c>
      <c r="C35" s="2813"/>
      <c r="D35" s="2069"/>
      <c r="E35" s="2070"/>
      <c r="F35" s="2070"/>
      <c r="G35" s="2080"/>
      <c r="H35" s="2080"/>
      <c r="I35" s="2080"/>
      <c r="J35" s="2080"/>
      <c r="K35" s="2070"/>
      <c r="L35" s="2070"/>
      <c r="M35" s="2082"/>
      <c r="N35" s="2082"/>
      <c r="O35" s="2082"/>
      <c r="P35" s="2082"/>
      <c r="Q35" s="2082"/>
      <c r="R35" s="2082"/>
      <c r="S35" s="2082"/>
      <c r="T35" s="2082"/>
      <c r="U35" s="2082"/>
      <c r="V35" s="2082"/>
      <c r="W35" s="2070"/>
      <c r="X35" s="2071"/>
      <c r="Y35" s="2773"/>
      <c r="Z35" s="2004"/>
    </row>
    <row r="36" spans="1:26" s="1826" customFormat="1" ht="13.5" hidden="1" customHeight="1">
      <c r="A36" s="2809"/>
      <c r="B36" s="2081" t="s">
        <v>129</v>
      </c>
      <c r="C36" s="2813"/>
      <c r="D36" s="2069"/>
      <c r="E36" s="2070"/>
      <c r="F36" s="2070"/>
      <c r="G36" s="2080"/>
      <c r="H36" s="2080"/>
      <c r="I36" s="2080"/>
      <c r="J36" s="2080"/>
      <c r="K36" s="2070"/>
      <c r="L36" s="2070"/>
      <c r="M36" s="2082"/>
      <c r="N36" s="2082"/>
      <c r="O36" s="2082"/>
      <c r="P36" s="2082">
        <v>12069</v>
      </c>
      <c r="Q36" s="2082">
        <v>21813</v>
      </c>
      <c r="R36" s="2082">
        <v>12591</v>
      </c>
      <c r="S36" s="2082">
        <v>10929</v>
      </c>
      <c r="T36" s="2082">
        <v>2920</v>
      </c>
      <c r="U36" s="2082"/>
      <c r="V36" s="2082"/>
      <c r="W36" s="2070"/>
      <c r="X36" s="2083">
        <f>+S36+R36+Q36+P36+O36+T36</f>
        <v>60322</v>
      </c>
      <c r="Y36" s="2773"/>
      <c r="Z36" s="2004"/>
    </row>
    <row r="37" spans="1:26" s="1826" customFormat="1" ht="13.5" hidden="1" customHeight="1">
      <c r="A37" s="2809"/>
      <c r="B37" s="2081" t="s">
        <v>405</v>
      </c>
      <c r="C37" s="2813"/>
      <c r="D37" s="2069"/>
      <c r="E37" s="2070"/>
      <c r="F37" s="2070"/>
      <c r="G37" s="2080"/>
      <c r="H37" s="2080"/>
      <c r="I37" s="2080"/>
      <c r="J37" s="2080"/>
      <c r="K37" s="2070"/>
      <c r="L37" s="2070"/>
      <c r="M37" s="2082"/>
      <c r="N37" s="2082"/>
      <c r="O37" s="2082"/>
      <c r="P37" s="2082">
        <v>4396</v>
      </c>
      <c r="Q37" s="2082">
        <v>6286</v>
      </c>
      <c r="R37" s="2082">
        <v>6473</v>
      </c>
      <c r="S37" s="2082">
        <v>599</v>
      </c>
      <c r="T37" s="2082">
        <v>186</v>
      </c>
      <c r="U37" s="2082"/>
      <c r="V37" s="2082"/>
      <c r="W37" s="2070"/>
      <c r="X37" s="2083">
        <f>+S37+R37+Q37+P37+O37+T37</f>
        <v>17940</v>
      </c>
      <c r="Y37" s="2773"/>
      <c r="Z37" s="2004"/>
    </row>
    <row r="38" spans="1:26" ht="14.25" hidden="1" customHeight="1">
      <c r="A38" s="2808"/>
      <c r="B38" s="2068" t="s">
        <v>25</v>
      </c>
      <c r="C38" s="2803"/>
      <c r="D38" s="2069">
        <f>M38+O38+P38+Q38+R38+S38+T38+U38+V38+W38</f>
        <v>0</v>
      </c>
      <c r="E38" s="2070">
        <v>0</v>
      </c>
      <c r="F38" s="2070"/>
      <c r="G38" s="2070"/>
      <c r="H38" s="2080"/>
      <c r="I38" s="2080">
        <v>0</v>
      </c>
      <c r="J38" s="2070">
        <v>0</v>
      </c>
      <c r="K38" s="2070"/>
      <c r="L38" s="2070"/>
      <c r="M38" s="2070">
        <f>+L38+K38+J38+I38+E38+N38</f>
        <v>0</v>
      </c>
      <c r="N38" s="2070"/>
      <c r="O38" s="2070"/>
      <c r="P38" s="2070"/>
      <c r="Q38" s="2070"/>
      <c r="R38" s="2070"/>
      <c r="S38" s="2070"/>
      <c r="T38" s="2070"/>
      <c r="U38" s="2070"/>
      <c r="V38" s="2070"/>
      <c r="W38" s="2070"/>
      <c r="X38" s="2071">
        <f>SUM(P38:T38)</f>
        <v>0</v>
      </c>
      <c r="Y38" s="2773"/>
      <c r="Z38" s="2004"/>
    </row>
    <row r="39" spans="1:26" ht="13.5" customHeight="1">
      <c r="A39" s="2808"/>
      <c r="B39" s="2063" t="s">
        <v>30</v>
      </c>
      <c r="C39" s="2803"/>
      <c r="D39" s="2064">
        <f>+D44+D40</f>
        <v>420817</v>
      </c>
      <c r="E39" s="2064">
        <f t="shared" ref="E39:N39" si="29">+E44</f>
        <v>0</v>
      </c>
      <c r="F39" s="2064">
        <f t="shared" si="29"/>
        <v>0</v>
      </c>
      <c r="G39" s="2064">
        <f t="shared" si="29"/>
        <v>0</v>
      </c>
      <c r="H39" s="2064">
        <f t="shared" si="29"/>
        <v>0</v>
      </c>
      <c r="I39" s="2064">
        <f t="shared" si="29"/>
        <v>0</v>
      </c>
      <c r="J39" s="2064">
        <f t="shared" si="29"/>
        <v>0</v>
      </c>
      <c r="K39" s="2064">
        <f t="shared" si="29"/>
        <v>0</v>
      </c>
      <c r="L39" s="2064">
        <f t="shared" si="29"/>
        <v>0</v>
      </c>
      <c r="M39" s="2064">
        <f t="shared" si="29"/>
        <v>0</v>
      </c>
      <c r="N39" s="2064">
        <f t="shared" si="29"/>
        <v>0</v>
      </c>
      <c r="O39" s="2064">
        <f>+O44+O40</f>
        <v>0</v>
      </c>
      <c r="P39" s="2064">
        <f>+P44+P40</f>
        <v>88766</v>
      </c>
      <c r="Q39" s="2064">
        <f>+Q44+Q40</f>
        <v>154696</v>
      </c>
      <c r="R39" s="2064">
        <f>+R44+R40</f>
        <v>103495</v>
      </c>
      <c r="S39" s="2064">
        <f>+S44+S40</f>
        <v>60792</v>
      </c>
      <c r="T39" s="2064">
        <f>+T40</f>
        <v>13068</v>
      </c>
      <c r="U39" s="2064">
        <v>0</v>
      </c>
      <c r="V39" s="2064">
        <v>0</v>
      </c>
      <c r="W39" s="2064">
        <v>0</v>
      </c>
      <c r="X39" s="2073">
        <f>+X44+X40</f>
        <v>420817</v>
      </c>
      <c r="Y39" s="2773"/>
      <c r="Z39" s="2004"/>
    </row>
    <row r="40" spans="1:26" s="1893" customFormat="1" ht="13.5" customHeight="1">
      <c r="A40" s="2808"/>
      <c r="B40" s="2068" t="s">
        <v>32</v>
      </c>
      <c r="C40" s="2803"/>
      <c r="D40" s="2069">
        <f>+O40+P40+Q40+R40+S40+T40</f>
        <v>420817</v>
      </c>
      <c r="E40" s="2070"/>
      <c r="F40" s="2070"/>
      <c r="G40" s="2080"/>
      <c r="H40" s="2080"/>
      <c r="I40" s="2080"/>
      <c r="J40" s="2080"/>
      <c r="K40" s="2070"/>
      <c r="L40" s="2070"/>
      <c r="M40" s="2070">
        <v>0</v>
      </c>
      <c r="N40" s="2070"/>
      <c r="O40" s="2070">
        <v>0</v>
      </c>
      <c r="P40" s="2070">
        <v>88766</v>
      </c>
      <c r="Q40" s="2070">
        <v>154696</v>
      </c>
      <c r="R40" s="2070">
        <v>103495</v>
      </c>
      <c r="S40" s="2070">
        <v>60792</v>
      </c>
      <c r="T40" s="2070">
        <v>13068</v>
      </c>
      <c r="U40" s="2070">
        <v>0</v>
      </c>
      <c r="V40" s="2070">
        <v>0</v>
      </c>
      <c r="W40" s="2070">
        <v>0</v>
      </c>
      <c r="X40" s="2071">
        <f>+S40+R40+Q40+P40+O40+T40</f>
        <v>420817</v>
      </c>
      <c r="Y40" s="2773"/>
      <c r="Z40" s="2004"/>
    </row>
    <row r="41" spans="1:26" s="1826" customFormat="1" ht="13.5" hidden="1" customHeight="1">
      <c r="A41" s="2808"/>
      <c r="B41" s="2081" t="s">
        <v>186</v>
      </c>
      <c r="C41" s="2803"/>
      <c r="D41" s="2069"/>
      <c r="E41" s="2070"/>
      <c r="F41" s="2070"/>
      <c r="G41" s="2080"/>
      <c r="H41" s="2080"/>
      <c r="I41" s="2080"/>
      <c r="J41" s="2080"/>
      <c r="K41" s="2070"/>
      <c r="L41" s="2070"/>
      <c r="M41" s="2070"/>
      <c r="N41" s="2070"/>
      <c r="O41" s="2082"/>
      <c r="P41" s="2082"/>
      <c r="Q41" s="2082"/>
      <c r="R41" s="2082"/>
      <c r="S41" s="2082"/>
      <c r="T41" s="2082"/>
      <c r="U41" s="2082"/>
      <c r="V41" s="2082"/>
      <c r="W41" s="2082"/>
      <c r="X41" s="2083"/>
      <c r="Y41" s="2773"/>
      <c r="Z41" s="2004"/>
    </row>
    <row r="42" spans="1:26" s="1826" customFormat="1" ht="13.5" hidden="1" customHeight="1">
      <c r="A42" s="2808"/>
      <c r="B42" s="2081" t="s">
        <v>129</v>
      </c>
      <c r="C42" s="2803"/>
      <c r="D42" s="2069"/>
      <c r="E42" s="2070"/>
      <c r="F42" s="2070"/>
      <c r="G42" s="2080"/>
      <c r="H42" s="2080"/>
      <c r="I42" s="2080"/>
      <c r="J42" s="2080"/>
      <c r="K42" s="2070"/>
      <c r="L42" s="2070"/>
      <c r="M42" s="2070"/>
      <c r="N42" s="2070"/>
      <c r="O42" s="2082"/>
      <c r="P42" s="2082">
        <f>1482+22607+1482+35502+2780</f>
        <v>63853</v>
      </c>
      <c r="Q42" s="2082">
        <f>1482+28167+1112+84605+3706</f>
        <v>119072</v>
      </c>
      <c r="R42" s="2082">
        <f>1482+13343+1112+47172+3706</f>
        <v>66815</v>
      </c>
      <c r="S42" s="2082">
        <f>1482+15195+1853+32381+6486</f>
        <v>57397</v>
      </c>
      <c r="T42" s="2082">
        <f>3706+371+6085+1853</f>
        <v>12015</v>
      </c>
      <c r="U42" s="2082"/>
      <c r="V42" s="2082"/>
      <c r="W42" s="2082"/>
      <c r="X42" s="2083">
        <f>+S42+R42+Q42+P42+O42+T42</f>
        <v>319152</v>
      </c>
      <c r="Y42" s="2773"/>
      <c r="Z42" s="2004"/>
    </row>
    <row r="43" spans="1:26" s="1826" customFormat="1" ht="13.5" hidden="1" customHeight="1">
      <c r="A43" s="2808"/>
      <c r="B43" s="2081" t="s">
        <v>405</v>
      </c>
      <c r="C43" s="2803"/>
      <c r="D43" s="2069"/>
      <c r="E43" s="2070"/>
      <c r="F43" s="2070"/>
      <c r="G43" s="2080"/>
      <c r="H43" s="2080"/>
      <c r="I43" s="2080"/>
      <c r="J43" s="2080"/>
      <c r="K43" s="2070"/>
      <c r="L43" s="2070"/>
      <c r="M43" s="2070"/>
      <c r="N43" s="2070"/>
      <c r="O43" s="2082"/>
      <c r="P43" s="2082">
        <f>21067+3349+497</f>
        <v>24913</v>
      </c>
      <c r="Q43" s="2082">
        <f>28369+1756+4789+710</f>
        <v>35624</v>
      </c>
      <c r="R43" s="2082">
        <f>28654+2364+4931+731</f>
        <v>36680</v>
      </c>
      <c r="S43" s="2082">
        <f>2663+220+445+67</f>
        <v>3395</v>
      </c>
      <c r="T43" s="2082">
        <f>672+222+138+21</f>
        <v>1053</v>
      </c>
      <c r="U43" s="2082"/>
      <c r="V43" s="2082"/>
      <c r="W43" s="2082"/>
      <c r="X43" s="2083">
        <f>+S43+R43+Q43+P43+O43+T43</f>
        <v>101665</v>
      </c>
      <c r="Y43" s="2773"/>
      <c r="Z43" s="2004"/>
    </row>
    <row r="44" spans="1:26" ht="13.5" hidden="1" customHeight="1" collapsed="1">
      <c r="A44" s="2808"/>
      <c r="B44" s="2068" t="s">
        <v>33</v>
      </c>
      <c r="C44" s="2803"/>
      <c r="D44" s="2069">
        <f>M44+O44+P44+Q44+R44+S44+T44+U44+V44+W44</f>
        <v>0</v>
      </c>
      <c r="E44" s="2070">
        <v>0</v>
      </c>
      <c r="F44" s="2070"/>
      <c r="G44" s="2080"/>
      <c r="H44" s="2080"/>
      <c r="I44" s="2080">
        <v>0</v>
      </c>
      <c r="J44" s="2080">
        <v>0</v>
      </c>
      <c r="K44" s="2080"/>
      <c r="L44" s="2070"/>
      <c r="M44" s="2070">
        <f>+L44+K44+J44+I44+E44+N44</f>
        <v>0</v>
      </c>
      <c r="N44" s="2070"/>
      <c r="O44" s="2070"/>
      <c r="P44" s="2070"/>
      <c r="Q44" s="2070"/>
      <c r="R44" s="2070"/>
      <c r="S44" s="2070"/>
      <c r="T44" s="2070"/>
      <c r="U44" s="2070"/>
      <c r="V44" s="2070"/>
      <c r="W44" s="2070"/>
      <c r="X44" s="2071">
        <f>SUM(P44:T44)</f>
        <v>0</v>
      </c>
      <c r="Y44" s="2773"/>
      <c r="Z44" s="2005"/>
    </row>
    <row r="45" spans="1:26" ht="12.75" customHeight="1">
      <c r="A45" s="2810"/>
      <c r="B45" s="2060" t="s">
        <v>34</v>
      </c>
      <c r="C45" s="2027"/>
      <c r="D45" s="2061">
        <f>+D46+D48</f>
        <v>420817</v>
      </c>
      <c r="E45" s="2061">
        <f t="shared" ref="E45:U45" si="30">+E46+E48</f>
        <v>0</v>
      </c>
      <c r="F45" s="2061">
        <f t="shared" si="30"/>
        <v>0</v>
      </c>
      <c r="G45" s="2061">
        <f t="shared" si="30"/>
        <v>0</v>
      </c>
      <c r="H45" s="2061">
        <f t="shared" si="30"/>
        <v>0</v>
      </c>
      <c r="I45" s="2061">
        <f t="shared" si="30"/>
        <v>0</v>
      </c>
      <c r="J45" s="2061">
        <f t="shared" si="30"/>
        <v>0</v>
      </c>
      <c r="K45" s="2061">
        <f t="shared" si="30"/>
        <v>0</v>
      </c>
      <c r="L45" s="2061">
        <f t="shared" si="30"/>
        <v>0</v>
      </c>
      <c r="M45" s="2061">
        <f t="shared" si="30"/>
        <v>0</v>
      </c>
      <c r="N45" s="2061">
        <f t="shared" si="30"/>
        <v>0</v>
      </c>
      <c r="O45" s="2061">
        <f t="shared" si="30"/>
        <v>0</v>
      </c>
      <c r="P45" s="2061">
        <f t="shared" si="30"/>
        <v>0</v>
      </c>
      <c r="Q45" s="2061">
        <f t="shared" si="30"/>
        <v>88766</v>
      </c>
      <c r="R45" s="2061">
        <f t="shared" si="30"/>
        <v>154696</v>
      </c>
      <c r="S45" s="2061">
        <f t="shared" si="30"/>
        <v>103495</v>
      </c>
      <c r="T45" s="2061">
        <f t="shared" si="30"/>
        <v>60792</v>
      </c>
      <c r="U45" s="2061">
        <f t="shared" si="30"/>
        <v>13068</v>
      </c>
      <c r="V45" s="2061">
        <v>0</v>
      </c>
      <c r="W45" s="2061">
        <v>0</v>
      </c>
      <c r="X45" s="2806" t="s">
        <v>77</v>
      </c>
      <c r="Y45" s="2801"/>
      <c r="Z45" s="2005"/>
    </row>
    <row r="46" spans="1:26" ht="13.5" hidden="1" customHeight="1">
      <c r="A46" s="2810"/>
      <c r="B46" s="2079" t="s">
        <v>36</v>
      </c>
      <c r="C46" s="2804" t="s">
        <v>454</v>
      </c>
      <c r="D46" s="2064">
        <f>+D47</f>
        <v>0</v>
      </c>
      <c r="E46" s="2064">
        <f t="shared" ref="E46:O46" si="31">+E47</f>
        <v>0</v>
      </c>
      <c r="F46" s="2064">
        <f t="shared" si="31"/>
        <v>0</v>
      </c>
      <c r="G46" s="2064">
        <f t="shared" si="31"/>
        <v>0</v>
      </c>
      <c r="H46" s="2064">
        <f t="shared" si="31"/>
        <v>0</v>
      </c>
      <c r="I46" s="2064">
        <f t="shared" si="31"/>
        <v>0</v>
      </c>
      <c r="J46" s="2064">
        <f t="shared" si="31"/>
        <v>0</v>
      </c>
      <c r="K46" s="2064">
        <f t="shared" si="31"/>
        <v>0</v>
      </c>
      <c r="L46" s="2064">
        <f t="shared" si="31"/>
        <v>0</v>
      </c>
      <c r="M46" s="2064">
        <f t="shared" si="31"/>
        <v>0</v>
      </c>
      <c r="N46" s="2064">
        <f t="shared" si="31"/>
        <v>0</v>
      </c>
      <c r="O46" s="2064">
        <f t="shared" si="31"/>
        <v>0</v>
      </c>
      <c r="P46" s="2064"/>
      <c r="Q46" s="2064"/>
      <c r="R46" s="2064"/>
      <c r="S46" s="2064"/>
      <c r="T46" s="2064"/>
      <c r="U46" s="2064"/>
      <c r="V46" s="2064"/>
      <c r="W46" s="2064"/>
      <c r="X46" s="2806"/>
      <c r="Y46" s="2801"/>
      <c r="Z46" s="2004"/>
    </row>
    <row r="47" spans="1:26" ht="13.5" hidden="1" customHeight="1">
      <c r="A47" s="2810"/>
      <c r="B47" s="2068" t="s">
        <v>25</v>
      </c>
      <c r="C47" s="2803"/>
      <c r="D47" s="2069">
        <f>M47+O47+P47+Q47+R47+S47+T47+U47+V47+W47</f>
        <v>0</v>
      </c>
      <c r="E47" s="2070">
        <v>0</v>
      </c>
      <c r="F47" s="2070"/>
      <c r="G47" s="2070"/>
      <c r="H47" s="2080"/>
      <c r="I47" s="2080">
        <v>0</v>
      </c>
      <c r="J47" s="2069">
        <v>0</v>
      </c>
      <c r="K47" s="2069"/>
      <c r="L47" s="2069"/>
      <c r="M47" s="2070">
        <f>+L47+K47+J47+I47+E47+N47</f>
        <v>0</v>
      </c>
      <c r="N47" s="2069"/>
      <c r="O47" s="2069"/>
      <c r="P47" s="2069"/>
      <c r="Q47" s="2069"/>
      <c r="R47" s="2069"/>
      <c r="S47" s="2069"/>
      <c r="T47" s="2069"/>
      <c r="U47" s="2069"/>
      <c r="V47" s="2069"/>
      <c r="W47" s="2069"/>
      <c r="X47" s="2806"/>
      <c r="Y47" s="2801"/>
      <c r="Z47" s="2004"/>
    </row>
    <row r="48" spans="1:26" ht="12" customHeight="1">
      <c r="A48" s="2810"/>
      <c r="B48" s="2063" t="s">
        <v>30</v>
      </c>
      <c r="C48" s="2805"/>
      <c r="D48" s="2064">
        <f>+D50+D49</f>
        <v>420817</v>
      </c>
      <c r="E48" s="2064">
        <f t="shared" ref="E48:N48" si="32">+E50</f>
        <v>0</v>
      </c>
      <c r="F48" s="2064">
        <f t="shared" si="32"/>
        <v>0</v>
      </c>
      <c r="G48" s="2064">
        <f t="shared" si="32"/>
        <v>0</v>
      </c>
      <c r="H48" s="2064">
        <f t="shared" si="32"/>
        <v>0</v>
      </c>
      <c r="I48" s="2064">
        <f t="shared" si="32"/>
        <v>0</v>
      </c>
      <c r="J48" s="2064">
        <f t="shared" si="32"/>
        <v>0</v>
      </c>
      <c r="K48" s="2064">
        <f t="shared" si="32"/>
        <v>0</v>
      </c>
      <c r="L48" s="2064">
        <f t="shared" si="32"/>
        <v>0</v>
      </c>
      <c r="M48" s="2064">
        <f t="shared" si="32"/>
        <v>0</v>
      </c>
      <c r="N48" s="2064">
        <f t="shared" si="32"/>
        <v>0</v>
      </c>
      <c r="O48" s="2064">
        <f>+O50+O49</f>
        <v>0</v>
      </c>
      <c r="P48" s="2064">
        <f t="shared" ref="P48:U48" si="33">+P50+P49</f>
        <v>0</v>
      </c>
      <c r="Q48" s="2064">
        <f t="shared" si="33"/>
        <v>88766</v>
      </c>
      <c r="R48" s="2064">
        <f t="shared" si="33"/>
        <v>154696</v>
      </c>
      <c r="S48" s="2064">
        <f>+S50+S49</f>
        <v>103495</v>
      </c>
      <c r="T48" s="2064">
        <f t="shared" si="33"/>
        <v>60792</v>
      </c>
      <c r="U48" s="2064">
        <f t="shared" si="33"/>
        <v>13068</v>
      </c>
      <c r="V48" s="2064">
        <v>0</v>
      </c>
      <c r="W48" s="2064">
        <v>0</v>
      </c>
      <c r="X48" s="2806"/>
      <c r="Y48" s="2801"/>
      <c r="Z48" s="2004"/>
    </row>
    <row r="49" spans="1:26" s="1893" customFormat="1" ht="15.75" customHeight="1" thickBot="1">
      <c r="A49" s="2810"/>
      <c r="B49" s="2074" t="s">
        <v>32</v>
      </c>
      <c r="C49" s="2805"/>
      <c r="D49" s="2069">
        <f>+P49+Q49+R49+S49+T49+U49</f>
        <v>420817</v>
      </c>
      <c r="E49" s="2070"/>
      <c r="F49" s="2070"/>
      <c r="G49" s="2080"/>
      <c r="H49" s="2080"/>
      <c r="I49" s="2080"/>
      <c r="J49" s="2080"/>
      <c r="K49" s="2070"/>
      <c r="L49" s="2070"/>
      <c r="M49" s="2070">
        <v>0</v>
      </c>
      <c r="N49" s="2070"/>
      <c r="O49" s="2070">
        <v>0</v>
      </c>
      <c r="P49" s="2070">
        <v>0</v>
      </c>
      <c r="Q49" s="2070">
        <v>88766</v>
      </c>
      <c r="R49" s="2070">
        <v>154696</v>
      </c>
      <c r="S49" s="2070">
        <v>103495</v>
      </c>
      <c r="T49" s="2070">
        <v>60792</v>
      </c>
      <c r="U49" s="2070">
        <v>13068</v>
      </c>
      <c r="V49" s="2070">
        <v>0</v>
      </c>
      <c r="W49" s="2070">
        <v>0</v>
      </c>
      <c r="X49" s="2806"/>
      <c r="Y49" s="2801"/>
      <c r="Z49" s="2004"/>
    </row>
    <row r="50" spans="1:26" ht="13.5" hidden="1" customHeight="1" thickBot="1">
      <c r="A50" s="2811"/>
      <c r="B50" s="1894" t="s">
        <v>33</v>
      </c>
      <c r="C50" s="2814"/>
      <c r="D50" s="1895">
        <f>M50+O50+P50+Q50+R50+S50+T50+U50+V50+W50</f>
        <v>0</v>
      </c>
      <c r="E50" s="1896">
        <v>0</v>
      </c>
      <c r="F50" s="1896"/>
      <c r="G50" s="1897"/>
      <c r="H50" s="1897"/>
      <c r="I50" s="1897">
        <v>0</v>
      </c>
      <c r="J50" s="1896">
        <v>0</v>
      </c>
      <c r="K50" s="1896"/>
      <c r="L50" s="1896"/>
      <c r="M50" s="1896">
        <f>+L50+K50+J50+I50+E50+N50</f>
        <v>0</v>
      </c>
      <c r="N50" s="1896"/>
      <c r="O50" s="1896">
        <v>0</v>
      </c>
      <c r="P50" s="1896"/>
      <c r="Q50" s="1896"/>
      <c r="R50" s="1896"/>
      <c r="S50" s="1896"/>
      <c r="T50" s="1896"/>
      <c r="U50" s="1896"/>
      <c r="V50" s="1896"/>
      <c r="W50" s="1896"/>
      <c r="X50" s="2815"/>
      <c r="Y50" s="2812"/>
      <c r="Z50" s="2004"/>
    </row>
    <row r="51" spans="1:26" ht="28.15" customHeight="1">
      <c r="A51" s="3097" t="s">
        <v>458</v>
      </c>
      <c r="B51" s="3098" t="s">
        <v>489</v>
      </c>
      <c r="C51" s="3099" t="s">
        <v>128</v>
      </c>
      <c r="D51" s="459"/>
      <c r="E51" s="460"/>
      <c r="F51" s="460"/>
      <c r="G51" s="460"/>
      <c r="H51" s="46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3100"/>
      <c r="Y51" s="3101" t="s">
        <v>470</v>
      </c>
      <c r="Z51" s="2004"/>
    </row>
    <row r="52" spans="1:26" ht="13.5" customHeight="1">
      <c r="A52" s="2808"/>
      <c r="B52" s="2060" t="s">
        <v>22</v>
      </c>
      <c r="C52" s="3102"/>
      <c r="D52" s="2028">
        <f t="shared" ref="D52:M52" si="34">+D53+D58</f>
        <v>1439977</v>
      </c>
      <c r="E52" s="2078">
        <f t="shared" si="34"/>
        <v>0</v>
      </c>
      <c r="F52" s="2078">
        <f t="shared" si="34"/>
        <v>0</v>
      </c>
      <c r="G52" s="2078">
        <f t="shared" si="34"/>
        <v>0</v>
      </c>
      <c r="H52" s="2078">
        <f t="shared" si="34"/>
        <v>0</v>
      </c>
      <c r="I52" s="2078">
        <f t="shared" si="34"/>
        <v>0</v>
      </c>
      <c r="J52" s="2078">
        <f t="shared" si="34"/>
        <v>0</v>
      </c>
      <c r="K52" s="2078">
        <f t="shared" si="34"/>
        <v>0</v>
      </c>
      <c r="L52" s="2078">
        <f t="shared" si="34"/>
        <v>0</v>
      </c>
      <c r="M52" s="2078">
        <f t="shared" si="34"/>
        <v>0</v>
      </c>
      <c r="N52" s="2078">
        <f t="shared" ref="N52:W52" si="35">+N53+N58</f>
        <v>0</v>
      </c>
      <c r="O52" s="2078">
        <f t="shared" si="35"/>
        <v>0</v>
      </c>
      <c r="P52" s="2078">
        <f t="shared" si="35"/>
        <v>472000</v>
      </c>
      <c r="Q52" s="2078">
        <f t="shared" si="35"/>
        <v>967977</v>
      </c>
      <c r="R52" s="2078">
        <f t="shared" si="35"/>
        <v>0</v>
      </c>
      <c r="S52" s="2078">
        <f t="shared" si="35"/>
        <v>0</v>
      </c>
      <c r="T52" s="2078">
        <f t="shared" si="35"/>
        <v>0</v>
      </c>
      <c r="U52" s="2078">
        <f t="shared" si="35"/>
        <v>0</v>
      </c>
      <c r="V52" s="2078">
        <f t="shared" si="35"/>
        <v>0</v>
      </c>
      <c r="W52" s="2078">
        <f t="shared" si="35"/>
        <v>0</v>
      </c>
      <c r="X52" s="2062">
        <f>+X53+X58</f>
        <v>1439977</v>
      </c>
      <c r="Y52" s="2773"/>
      <c r="Z52" s="2005">
        <f>+O52+P52+Q52+R52</f>
        <v>1439977</v>
      </c>
    </row>
    <row r="53" spans="1:26" ht="13.5" customHeight="1">
      <c r="A53" s="2808"/>
      <c r="B53" s="2079" t="s">
        <v>36</v>
      </c>
      <c r="C53" s="3103" t="s">
        <v>461</v>
      </c>
      <c r="D53" s="2065">
        <f t="shared" ref="D53:X53" si="36">+D54+D57</f>
        <v>215997</v>
      </c>
      <c r="E53" s="2065">
        <f t="shared" si="36"/>
        <v>0</v>
      </c>
      <c r="F53" s="2065">
        <f t="shared" si="36"/>
        <v>0</v>
      </c>
      <c r="G53" s="2065">
        <f t="shared" si="36"/>
        <v>0</v>
      </c>
      <c r="H53" s="2065">
        <f t="shared" si="36"/>
        <v>0</v>
      </c>
      <c r="I53" s="2065">
        <f t="shared" si="36"/>
        <v>0</v>
      </c>
      <c r="J53" s="2065">
        <f t="shared" si="36"/>
        <v>0</v>
      </c>
      <c r="K53" s="2065">
        <f t="shared" si="36"/>
        <v>0</v>
      </c>
      <c r="L53" s="2065">
        <f t="shared" si="36"/>
        <v>0</v>
      </c>
      <c r="M53" s="2065">
        <f t="shared" si="36"/>
        <v>0</v>
      </c>
      <c r="N53" s="2065">
        <f t="shared" si="36"/>
        <v>0</v>
      </c>
      <c r="O53" s="2065">
        <f t="shared" si="36"/>
        <v>0</v>
      </c>
      <c r="P53" s="2065">
        <f t="shared" si="36"/>
        <v>70800</v>
      </c>
      <c r="Q53" s="2065">
        <f t="shared" si="36"/>
        <v>145197</v>
      </c>
      <c r="R53" s="2065">
        <f t="shared" si="36"/>
        <v>0</v>
      </c>
      <c r="S53" s="2065">
        <f t="shared" si="36"/>
        <v>0</v>
      </c>
      <c r="T53" s="2065">
        <f t="shared" si="36"/>
        <v>0</v>
      </c>
      <c r="U53" s="2065">
        <f t="shared" si="36"/>
        <v>0</v>
      </c>
      <c r="V53" s="2065">
        <f t="shared" si="36"/>
        <v>0</v>
      </c>
      <c r="W53" s="2065">
        <f t="shared" si="36"/>
        <v>0</v>
      </c>
      <c r="X53" s="2067">
        <f t="shared" si="36"/>
        <v>215997</v>
      </c>
      <c r="Y53" s="2773"/>
      <c r="Z53" s="2004"/>
    </row>
    <row r="54" spans="1:26" ht="13.5" customHeight="1">
      <c r="A54" s="2808"/>
      <c r="B54" s="2068" t="s">
        <v>24</v>
      </c>
      <c r="C54" s="3104"/>
      <c r="D54" s="2069">
        <f>SUM(M54:W54)</f>
        <v>215997</v>
      </c>
      <c r="E54" s="2070">
        <f>+F54+G54+H54</f>
        <v>0</v>
      </c>
      <c r="F54" s="2070"/>
      <c r="G54" s="2080"/>
      <c r="H54" s="2080"/>
      <c r="I54" s="2080"/>
      <c r="J54" s="2080">
        <v>0</v>
      </c>
      <c r="K54" s="2070">
        <v>0</v>
      </c>
      <c r="L54" s="2070">
        <v>0</v>
      </c>
      <c r="M54" s="2070">
        <f>+L54+K54+J54+I54+E54</f>
        <v>0</v>
      </c>
      <c r="N54" s="2070"/>
      <c r="O54" s="2070">
        <f>+O55+O56</f>
        <v>0</v>
      </c>
      <c r="P54" s="2080">
        <f t="shared" ref="P54:W54" si="37">+P55+P56</f>
        <v>70800</v>
      </c>
      <c r="Q54" s="2080">
        <f t="shared" si="37"/>
        <v>145197</v>
      </c>
      <c r="R54" s="2070">
        <f t="shared" si="37"/>
        <v>0</v>
      </c>
      <c r="S54" s="2070">
        <f t="shared" si="37"/>
        <v>0</v>
      </c>
      <c r="T54" s="2070">
        <f t="shared" si="37"/>
        <v>0</v>
      </c>
      <c r="U54" s="2070">
        <f t="shared" si="37"/>
        <v>0</v>
      </c>
      <c r="V54" s="2070">
        <f t="shared" si="37"/>
        <v>0</v>
      </c>
      <c r="W54" s="2070">
        <f t="shared" si="37"/>
        <v>0</v>
      </c>
      <c r="X54" s="2071">
        <f>SUM(P54:W54)</f>
        <v>215997</v>
      </c>
      <c r="Y54" s="2773"/>
      <c r="Z54" s="2004"/>
    </row>
    <row r="55" spans="1:26" s="1782" customFormat="1" ht="13.5" hidden="1" customHeight="1">
      <c r="A55" s="2808"/>
      <c r="B55" s="2068" t="s">
        <v>405</v>
      </c>
      <c r="C55" s="3104"/>
      <c r="D55" s="2069">
        <f>SUM(M55:W55)</f>
        <v>103940</v>
      </c>
      <c r="E55" s="2070"/>
      <c r="F55" s="2070"/>
      <c r="G55" s="2080"/>
      <c r="H55" s="2080"/>
      <c r="I55" s="2080"/>
      <c r="J55" s="2080"/>
      <c r="K55" s="2070"/>
      <c r="L55" s="2070"/>
      <c r="M55" s="2070">
        <v>0</v>
      </c>
      <c r="N55" s="2070"/>
      <c r="O55" s="2070">
        <v>0</v>
      </c>
      <c r="P55" s="2070">
        <f>52520-5905</f>
        <v>46615</v>
      </c>
      <c r="Q55" s="2070">
        <v>57325</v>
      </c>
      <c r="R55" s="2070"/>
      <c r="S55" s="2070"/>
      <c r="T55" s="2070"/>
      <c r="U55" s="2070"/>
      <c r="V55" s="2070"/>
      <c r="W55" s="2070"/>
      <c r="X55" s="2071"/>
      <c r="Y55" s="2773"/>
      <c r="Z55" s="2004"/>
    </row>
    <row r="56" spans="1:26" s="1782" customFormat="1" ht="13.5" hidden="1" customHeight="1">
      <c r="A56" s="2808"/>
      <c r="B56" s="2068" t="s">
        <v>459</v>
      </c>
      <c r="C56" s="3104"/>
      <c r="D56" s="2069">
        <f>SUM(M56:W56)</f>
        <v>112057</v>
      </c>
      <c r="E56" s="2070"/>
      <c r="F56" s="2070"/>
      <c r="G56" s="2080"/>
      <c r="H56" s="2080"/>
      <c r="I56" s="2080"/>
      <c r="J56" s="2080"/>
      <c r="K56" s="2070"/>
      <c r="L56" s="2070"/>
      <c r="M56" s="2070">
        <v>0</v>
      </c>
      <c r="N56" s="2070"/>
      <c r="O56" s="2070">
        <v>0</v>
      </c>
      <c r="P56" s="2070">
        <f>50784-26599</f>
        <v>24185</v>
      </c>
      <c r="Q56" s="2070">
        <f>55368+32504</f>
        <v>87872</v>
      </c>
      <c r="R56" s="2070"/>
      <c r="S56" s="2070"/>
      <c r="T56" s="2070"/>
      <c r="U56" s="2070"/>
      <c r="V56" s="2070"/>
      <c r="W56" s="2070"/>
      <c r="X56" s="2071"/>
      <c r="Y56" s="2773"/>
      <c r="Z56" s="2004"/>
    </row>
    <row r="57" spans="1:26" ht="12.75" hidden="1" customHeight="1">
      <c r="A57" s="2808"/>
      <c r="B57" s="2068" t="s">
        <v>25</v>
      </c>
      <c r="C57" s="3104"/>
      <c r="D57" s="2069">
        <f>SUM(M57:R57)</f>
        <v>0</v>
      </c>
      <c r="E57" s="2070"/>
      <c r="F57" s="2070"/>
      <c r="G57" s="2070"/>
      <c r="H57" s="2070"/>
      <c r="I57" s="2080"/>
      <c r="J57" s="2070"/>
      <c r="K57" s="2070"/>
      <c r="L57" s="2070"/>
      <c r="M57" s="2070">
        <f>+L57+K57+J57+I57+E57</f>
        <v>0</v>
      </c>
      <c r="N57" s="2070"/>
      <c r="O57" s="2070">
        <v>0</v>
      </c>
      <c r="P57" s="2070"/>
      <c r="Q57" s="2070"/>
      <c r="R57" s="2070"/>
      <c r="S57" s="2070"/>
      <c r="T57" s="2070"/>
      <c r="U57" s="2070"/>
      <c r="V57" s="2070"/>
      <c r="W57" s="2070"/>
      <c r="X57" s="2071">
        <f>SUM(P57:W57)</f>
        <v>0</v>
      </c>
      <c r="Y57" s="2773"/>
      <c r="Z57" s="2004"/>
    </row>
    <row r="58" spans="1:26" ht="13.5" customHeight="1">
      <c r="A58" s="2808"/>
      <c r="B58" s="2079" t="s">
        <v>30</v>
      </c>
      <c r="C58" s="3104"/>
      <c r="D58" s="2064">
        <f>+D59</f>
        <v>1223980</v>
      </c>
      <c r="E58" s="2064">
        <f t="shared" ref="E58:W58" si="38">+E59</f>
        <v>0</v>
      </c>
      <c r="F58" s="2064">
        <f t="shared" si="38"/>
        <v>0</v>
      </c>
      <c r="G58" s="2064">
        <f t="shared" si="38"/>
        <v>0</v>
      </c>
      <c r="H58" s="2064">
        <f t="shared" si="38"/>
        <v>0</v>
      </c>
      <c r="I58" s="2064">
        <f t="shared" si="38"/>
        <v>0</v>
      </c>
      <c r="J58" s="2064">
        <f t="shared" si="38"/>
        <v>0</v>
      </c>
      <c r="K58" s="2064">
        <f t="shared" si="38"/>
        <v>0</v>
      </c>
      <c r="L58" s="2064">
        <f t="shared" si="38"/>
        <v>0</v>
      </c>
      <c r="M58" s="2064">
        <f t="shared" si="38"/>
        <v>0</v>
      </c>
      <c r="N58" s="2064">
        <f t="shared" si="38"/>
        <v>0</v>
      </c>
      <c r="O58" s="2064">
        <f t="shared" si="38"/>
        <v>0</v>
      </c>
      <c r="P58" s="2064">
        <f t="shared" si="38"/>
        <v>401200</v>
      </c>
      <c r="Q58" s="2064">
        <f t="shared" si="38"/>
        <v>822780</v>
      </c>
      <c r="R58" s="2064">
        <f t="shared" si="38"/>
        <v>0</v>
      </c>
      <c r="S58" s="2064">
        <f t="shared" si="38"/>
        <v>0</v>
      </c>
      <c r="T58" s="2064">
        <f t="shared" si="38"/>
        <v>0</v>
      </c>
      <c r="U58" s="2064">
        <f t="shared" si="38"/>
        <v>0</v>
      </c>
      <c r="V58" s="2064">
        <f t="shared" si="38"/>
        <v>0</v>
      </c>
      <c r="W58" s="2064">
        <f t="shared" si="38"/>
        <v>0</v>
      </c>
      <c r="X58" s="2073">
        <f>+X59</f>
        <v>1223980</v>
      </c>
      <c r="Y58" s="2773"/>
      <c r="Z58" s="2004"/>
    </row>
    <row r="59" spans="1:26" ht="13.5" customHeight="1" collapsed="1">
      <c r="A59" s="2808"/>
      <c r="B59" s="2068" t="s">
        <v>33</v>
      </c>
      <c r="C59" s="3104"/>
      <c r="D59" s="2069">
        <f>SUM(M59:W59)</f>
        <v>1223980</v>
      </c>
      <c r="E59" s="2070"/>
      <c r="F59" s="2070"/>
      <c r="G59" s="2070"/>
      <c r="H59" s="2070"/>
      <c r="I59" s="2080"/>
      <c r="J59" s="2080"/>
      <c r="K59" s="2070"/>
      <c r="L59" s="2070"/>
      <c r="M59" s="2070">
        <f>+M60+M61</f>
        <v>0</v>
      </c>
      <c r="N59" s="2070"/>
      <c r="O59" s="2070">
        <v>0</v>
      </c>
      <c r="P59" s="2070">
        <f>+P60+P61</f>
        <v>401200</v>
      </c>
      <c r="Q59" s="2070">
        <f t="shared" ref="Q59:W59" si="39">+Q60+Q61</f>
        <v>822780</v>
      </c>
      <c r="R59" s="2070">
        <f t="shared" si="39"/>
        <v>0</v>
      </c>
      <c r="S59" s="2070">
        <f t="shared" si="39"/>
        <v>0</v>
      </c>
      <c r="T59" s="2070">
        <f t="shared" si="39"/>
        <v>0</v>
      </c>
      <c r="U59" s="2070">
        <f t="shared" si="39"/>
        <v>0</v>
      </c>
      <c r="V59" s="2070">
        <f t="shared" si="39"/>
        <v>0</v>
      </c>
      <c r="W59" s="2070">
        <f t="shared" si="39"/>
        <v>0</v>
      </c>
      <c r="X59" s="2071">
        <f>SUM(P59:W59)</f>
        <v>1223980</v>
      </c>
      <c r="Y59" s="2773"/>
      <c r="Z59" s="2004"/>
    </row>
    <row r="60" spans="1:26" s="1782" customFormat="1" ht="13.5" hidden="1" customHeight="1">
      <c r="A60" s="2808"/>
      <c r="B60" s="2068" t="s">
        <v>405</v>
      </c>
      <c r="C60" s="3105"/>
      <c r="D60" s="2069">
        <f>SUM(M60:W60)</f>
        <v>588989</v>
      </c>
      <c r="E60" s="2070"/>
      <c r="F60" s="2070"/>
      <c r="G60" s="2070"/>
      <c r="H60" s="2070"/>
      <c r="I60" s="2080"/>
      <c r="J60" s="2080"/>
      <c r="K60" s="2070"/>
      <c r="L60" s="2070"/>
      <c r="M60" s="2070"/>
      <c r="N60" s="2070"/>
      <c r="O60" s="2070">
        <v>0</v>
      </c>
      <c r="P60" s="2070">
        <f>297619-33471</f>
        <v>264148</v>
      </c>
      <c r="Q60" s="2070">
        <v>324841</v>
      </c>
      <c r="R60" s="2070"/>
      <c r="S60" s="2070"/>
      <c r="T60" s="2070"/>
      <c r="U60" s="2070"/>
      <c r="V60" s="2070"/>
      <c r="W60" s="2070"/>
      <c r="X60" s="2071"/>
      <c r="Y60" s="2773"/>
      <c r="Z60" s="2004"/>
    </row>
    <row r="61" spans="1:26" s="1782" customFormat="1" ht="13.5" hidden="1" customHeight="1">
      <c r="A61" s="2808"/>
      <c r="B61" s="2068" t="s">
        <v>459</v>
      </c>
      <c r="C61" s="3105"/>
      <c r="D61" s="2069">
        <f>SUM(M61:W61)</f>
        <v>634991</v>
      </c>
      <c r="E61" s="2070"/>
      <c r="F61" s="2070"/>
      <c r="G61" s="2070"/>
      <c r="H61" s="2070"/>
      <c r="I61" s="2080"/>
      <c r="J61" s="2080"/>
      <c r="K61" s="2070"/>
      <c r="L61" s="2070"/>
      <c r="M61" s="2070"/>
      <c r="N61" s="2070"/>
      <c r="O61" s="2070">
        <v>0</v>
      </c>
      <c r="P61" s="2070">
        <f>287770-150718</f>
        <v>137052</v>
      </c>
      <c r="Q61" s="2070">
        <f>313750+184189</f>
        <v>497939</v>
      </c>
      <c r="R61" s="2070"/>
      <c r="S61" s="2070"/>
      <c r="T61" s="2070"/>
      <c r="U61" s="2070"/>
      <c r="V61" s="2070"/>
      <c r="W61" s="2070"/>
      <c r="X61" s="2071"/>
      <c r="Y61" s="2773"/>
      <c r="Z61" s="2004"/>
    </row>
    <row r="62" spans="1:26" ht="13.5" customHeight="1">
      <c r="A62" s="2810"/>
      <c r="B62" s="2060" t="s">
        <v>34</v>
      </c>
      <c r="C62" s="2027"/>
      <c r="D62" s="2061">
        <f t="shared" ref="D62:W62" si="40">+D63+D65</f>
        <v>1223980</v>
      </c>
      <c r="E62" s="2061">
        <f t="shared" si="40"/>
        <v>0</v>
      </c>
      <c r="F62" s="2061">
        <f t="shared" si="40"/>
        <v>0</v>
      </c>
      <c r="G62" s="2061">
        <f t="shared" si="40"/>
        <v>0</v>
      </c>
      <c r="H62" s="2061">
        <f t="shared" si="40"/>
        <v>0</v>
      </c>
      <c r="I62" s="2061">
        <f t="shared" si="40"/>
        <v>0</v>
      </c>
      <c r="J62" s="2061">
        <f t="shared" si="40"/>
        <v>0</v>
      </c>
      <c r="K62" s="2061">
        <f t="shared" si="40"/>
        <v>0</v>
      </c>
      <c r="L62" s="2061">
        <f t="shared" si="40"/>
        <v>0</v>
      </c>
      <c r="M62" s="2061">
        <f t="shared" si="40"/>
        <v>0</v>
      </c>
      <c r="N62" s="2061">
        <f t="shared" si="40"/>
        <v>0</v>
      </c>
      <c r="O62" s="2061">
        <f t="shared" si="40"/>
        <v>0</v>
      </c>
      <c r="P62" s="2061">
        <f t="shared" si="40"/>
        <v>401200</v>
      </c>
      <c r="Q62" s="2061">
        <f t="shared" si="40"/>
        <v>822780</v>
      </c>
      <c r="R62" s="2061">
        <f t="shared" si="40"/>
        <v>0</v>
      </c>
      <c r="S62" s="2061">
        <f t="shared" si="40"/>
        <v>0</v>
      </c>
      <c r="T62" s="2061">
        <f t="shared" si="40"/>
        <v>0</v>
      </c>
      <c r="U62" s="2061">
        <f t="shared" si="40"/>
        <v>0</v>
      </c>
      <c r="V62" s="2061">
        <f t="shared" si="40"/>
        <v>0</v>
      </c>
      <c r="W62" s="2061">
        <f t="shared" si="40"/>
        <v>0</v>
      </c>
      <c r="X62" s="2806" t="s">
        <v>77</v>
      </c>
      <c r="Y62" s="2801"/>
      <c r="Z62" s="2004"/>
    </row>
    <row r="63" spans="1:26" ht="13.5" hidden="1" customHeight="1">
      <c r="A63" s="2810"/>
      <c r="B63" s="2079" t="s">
        <v>36</v>
      </c>
      <c r="C63" s="3106" t="s">
        <v>460</v>
      </c>
      <c r="D63" s="2064">
        <f>+D64</f>
        <v>0</v>
      </c>
      <c r="E63" s="2064">
        <f t="shared" ref="E63:W63" si="41">+E64</f>
        <v>0</v>
      </c>
      <c r="F63" s="2064">
        <f t="shared" si="41"/>
        <v>0</v>
      </c>
      <c r="G63" s="2064">
        <f t="shared" si="41"/>
        <v>0</v>
      </c>
      <c r="H63" s="2064">
        <f t="shared" si="41"/>
        <v>0</v>
      </c>
      <c r="I63" s="2064">
        <f t="shared" si="41"/>
        <v>0</v>
      </c>
      <c r="J63" s="2064">
        <f t="shared" si="41"/>
        <v>0</v>
      </c>
      <c r="K63" s="2064">
        <f t="shared" si="41"/>
        <v>0</v>
      </c>
      <c r="L63" s="2064">
        <f t="shared" si="41"/>
        <v>0</v>
      </c>
      <c r="M63" s="2064">
        <f t="shared" si="41"/>
        <v>0</v>
      </c>
      <c r="N63" s="2064">
        <f t="shared" si="41"/>
        <v>0</v>
      </c>
      <c r="O63" s="2064">
        <f t="shared" si="41"/>
        <v>0</v>
      </c>
      <c r="P63" s="2064">
        <f t="shared" si="41"/>
        <v>0</v>
      </c>
      <c r="Q63" s="2064">
        <f t="shared" si="41"/>
        <v>0</v>
      </c>
      <c r="R63" s="2064">
        <f t="shared" si="41"/>
        <v>0</v>
      </c>
      <c r="S63" s="2064">
        <f t="shared" si="41"/>
        <v>0</v>
      </c>
      <c r="T63" s="2064">
        <f t="shared" si="41"/>
        <v>0</v>
      </c>
      <c r="U63" s="2064">
        <f t="shared" si="41"/>
        <v>0</v>
      </c>
      <c r="V63" s="2064">
        <f t="shared" si="41"/>
        <v>0</v>
      </c>
      <c r="W63" s="2064">
        <f t="shared" si="41"/>
        <v>0</v>
      </c>
      <c r="X63" s="2806"/>
      <c r="Y63" s="2801"/>
      <c r="Z63" s="2004"/>
    </row>
    <row r="64" spans="1:26" ht="13.5" hidden="1" customHeight="1">
      <c r="A64" s="2810"/>
      <c r="B64" s="2068" t="s">
        <v>25</v>
      </c>
      <c r="C64" s="3107"/>
      <c r="D64" s="2069">
        <f>SUM(M64:R64)</f>
        <v>0</v>
      </c>
      <c r="E64" s="2070"/>
      <c r="F64" s="2070"/>
      <c r="G64" s="2070"/>
      <c r="H64" s="2080"/>
      <c r="I64" s="2080"/>
      <c r="J64" s="2069"/>
      <c r="K64" s="2069"/>
      <c r="L64" s="2069"/>
      <c r="M64" s="2070">
        <f>+L64+K64+J64+I64+E64</f>
        <v>0</v>
      </c>
      <c r="N64" s="2070"/>
      <c r="O64" s="2069">
        <v>0</v>
      </c>
      <c r="P64" s="2069"/>
      <c r="Q64" s="2069"/>
      <c r="R64" s="2069"/>
      <c r="S64" s="2069"/>
      <c r="T64" s="2069"/>
      <c r="U64" s="2069"/>
      <c r="V64" s="2069"/>
      <c r="W64" s="2069"/>
      <c r="X64" s="2806"/>
      <c r="Y64" s="2801"/>
      <c r="Z64" s="2004"/>
    </row>
    <row r="65" spans="1:29" ht="13.9" customHeight="1">
      <c r="A65" s="2810"/>
      <c r="B65" s="2079" t="s">
        <v>30</v>
      </c>
      <c r="C65" s="3107"/>
      <c r="D65" s="2064">
        <f t="shared" ref="D65:W65" si="42">+D66</f>
        <v>1223980</v>
      </c>
      <c r="E65" s="2064">
        <f t="shared" si="42"/>
        <v>0</v>
      </c>
      <c r="F65" s="2064">
        <f t="shared" si="42"/>
        <v>0</v>
      </c>
      <c r="G65" s="2064">
        <f t="shared" si="42"/>
        <v>0</v>
      </c>
      <c r="H65" s="2064">
        <f t="shared" si="42"/>
        <v>0</v>
      </c>
      <c r="I65" s="2064">
        <f t="shared" si="42"/>
        <v>0</v>
      </c>
      <c r="J65" s="2064">
        <f t="shared" si="42"/>
        <v>0</v>
      </c>
      <c r="K65" s="2064">
        <f t="shared" si="42"/>
        <v>0</v>
      </c>
      <c r="L65" s="2064">
        <f t="shared" si="42"/>
        <v>0</v>
      </c>
      <c r="M65" s="2064">
        <f t="shared" si="42"/>
        <v>0</v>
      </c>
      <c r="N65" s="2064">
        <f t="shared" si="42"/>
        <v>0</v>
      </c>
      <c r="O65" s="2064">
        <f t="shared" si="42"/>
        <v>0</v>
      </c>
      <c r="P65" s="2064">
        <f t="shared" si="42"/>
        <v>401200</v>
      </c>
      <c r="Q65" s="2064">
        <f t="shared" si="42"/>
        <v>822780</v>
      </c>
      <c r="R65" s="2064">
        <f t="shared" si="42"/>
        <v>0</v>
      </c>
      <c r="S65" s="2064">
        <f t="shared" si="42"/>
        <v>0</v>
      </c>
      <c r="T65" s="2064">
        <f t="shared" si="42"/>
        <v>0</v>
      </c>
      <c r="U65" s="2064">
        <f t="shared" si="42"/>
        <v>0</v>
      </c>
      <c r="V65" s="2064">
        <f t="shared" si="42"/>
        <v>0</v>
      </c>
      <c r="W65" s="2064">
        <f t="shared" si="42"/>
        <v>0</v>
      </c>
      <c r="X65" s="2806"/>
      <c r="Y65" s="2801"/>
      <c r="Z65" s="2004"/>
    </row>
    <row r="66" spans="1:29" ht="13.5" customHeight="1" thickBot="1">
      <c r="A66" s="2811"/>
      <c r="B66" s="3108" t="s">
        <v>33</v>
      </c>
      <c r="C66" s="3109"/>
      <c r="D66" s="1895">
        <f>SUM(M66:R66)</f>
        <v>1223980</v>
      </c>
      <c r="E66" s="1896"/>
      <c r="F66" s="1896"/>
      <c r="G66" s="1897"/>
      <c r="H66" s="1897"/>
      <c r="I66" s="1897"/>
      <c r="J66" s="1896"/>
      <c r="K66" s="1896"/>
      <c r="L66" s="1896"/>
      <c r="M66" s="1896">
        <f>+L66+K66+J66+I66+E66</f>
        <v>0</v>
      </c>
      <c r="N66" s="1896"/>
      <c r="O66" s="1896">
        <v>0</v>
      </c>
      <c r="P66" s="1896">
        <f>585389-184189</f>
        <v>401200</v>
      </c>
      <c r="Q66" s="1896">
        <f>638591+184189</f>
        <v>822780</v>
      </c>
      <c r="R66" s="1896">
        <v>0</v>
      </c>
      <c r="S66" s="1896">
        <v>0</v>
      </c>
      <c r="T66" s="1896">
        <v>0</v>
      </c>
      <c r="U66" s="1896">
        <v>0</v>
      </c>
      <c r="V66" s="1896">
        <v>0</v>
      </c>
      <c r="W66" s="1896">
        <v>0</v>
      </c>
      <c r="X66" s="2815"/>
      <c r="Y66" s="2812"/>
      <c r="Z66" s="2004"/>
    </row>
    <row r="67" spans="1:29" hidden="1">
      <c r="A67" s="2769"/>
      <c r="B67" s="1888"/>
      <c r="C67" s="1889" t="s">
        <v>128</v>
      </c>
      <c r="D67" s="507"/>
      <c r="E67" s="507"/>
      <c r="F67" s="507"/>
      <c r="G67" s="507"/>
      <c r="H67" s="507"/>
      <c r="I67" s="508"/>
      <c r="J67" s="508"/>
      <c r="K67" s="508"/>
      <c r="L67" s="508"/>
      <c r="M67" s="508"/>
      <c r="N67" s="508"/>
      <c r="O67" s="508"/>
      <c r="P67" s="508"/>
      <c r="Q67" s="508"/>
      <c r="R67" s="508"/>
      <c r="S67" s="508"/>
      <c r="T67" s="508"/>
      <c r="U67" s="508"/>
      <c r="V67" s="508"/>
      <c r="W67" s="508"/>
      <c r="X67" s="1891"/>
      <c r="Y67" s="2772" t="s">
        <v>147</v>
      </c>
      <c r="Z67" s="2005"/>
    </row>
    <row r="68" spans="1:29" ht="13.5" hidden="1" customHeight="1">
      <c r="A68" s="2770"/>
      <c r="B68" s="2060" t="s">
        <v>22</v>
      </c>
      <c r="C68" s="2027"/>
      <c r="D68" s="2078">
        <f t="shared" ref="D68:P68" si="43">+D69+D72</f>
        <v>0</v>
      </c>
      <c r="E68" s="2078">
        <f t="shared" si="43"/>
        <v>0</v>
      </c>
      <c r="F68" s="2078">
        <f t="shared" si="43"/>
        <v>0</v>
      </c>
      <c r="G68" s="2078">
        <f t="shared" si="43"/>
        <v>0</v>
      </c>
      <c r="H68" s="2078">
        <f t="shared" si="43"/>
        <v>0</v>
      </c>
      <c r="I68" s="2078">
        <f t="shared" si="43"/>
        <v>0</v>
      </c>
      <c r="J68" s="2078">
        <f t="shared" si="43"/>
        <v>0</v>
      </c>
      <c r="K68" s="2078">
        <f t="shared" si="43"/>
        <v>0</v>
      </c>
      <c r="L68" s="2078">
        <f t="shared" si="43"/>
        <v>0</v>
      </c>
      <c r="M68" s="2078">
        <f>+M69+M72</f>
        <v>0</v>
      </c>
      <c r="N68" s="2078">
        <f t="shared" si="43"/>
        <v>0</v>
      </c>
      <c r="O68" s="2078">
        <f t="shared" si="43"/>
        <v>0</v>
      </c>
      <c r="P68" s="2078">
        <f t="shared" si="43"/>
        <v>0</v>
      </c>
      <c r="Q68" s="2078"/>
      <c r="R68" s="2078"/>
      <c r="S68" s="2078"/>
      <c r="T68" s="2078"/>
      <c r="U68" s="2078"/>
      <c r="V68" s="2078"/>
      <c r="W68" s="2078"/>
      <c r="X68" s="2062">
        <f>+X69+X72</f>
        <v>0</v>
      </c>
      <c r="Y68" s="2773"/>
      <c r="Z68" s="2005">
        <f>+O68+P68+Q68+R68</f>
        <v>0</v>
      </c>
      <c r="AA68" s="1339"/>
    </row>
    <row r="69" spans="1:29" ht="13.5" hidden="1" customHeight="1">
      <c r="A69" s="2770"/>
      <c r="B69" s="2079" t="s">
        <v>36</v>
      </c>
      <c r="C69" s="2802" t="s">
        <v>323</v>
      </c>
      <c r="D69" s="2065">
        <f t="shared" ref="D69:P69" si="44">+D70+D71</f>
        <v>0</v>
      </c>
      <c r="E69" s="2065">
        <f t="shared" si="44"/>
        <v>0</v>
      </c>
      <c r="F69" s="2065">
        <f t="shared" si="44"/>
        <v>0</v>
      </c>
      <c r="G69" s="2065">
        <f t="shared" si="44"/>
        <v>0</v>
      </c>
      <c r="H69" s="2065">
        <f t="shared" si="44"/>
        <v>0</v>
      </c>
      <c r="I69" s="2065">
        <f t="shared" si="44"/>
        <v>0</v>
      </c>
      <c r="J69" s="2065">
        <f t="shared" si="44"/>
        <v>0</v>
      </c>
      <c r="K69" s="2065">
        <f t="shared" si="44"/>
        <v>0</v>
      </c>
      <c r="L69" s="2065">
        <f t="shared" si="44"/>
        <v>0</v>
      </c>
      <c r="M69" s="2065">
        <f>+M70+M71</f>
        <v>0</v>
      </c>
      <c r="N69" s="2065">
        <f t="shared" si="44"/>
        <v>0</v>
      </c>
      <c r="O69" s="2065">
        <f t="shared" si="44"/>
        <v>0</v>
      </c>
      <c r="P69" s="2065">
        <f t="shared" si="44"/>
        <v>0</v>
      </c>
      <c r="Q69" s="2065"/>
      <c r="R69" s="2065"/>
      <c r="S69" s="2065"/>
      <c r="T69" s="2065"/>
      <c r="U69" s="2065"/>
      <c r="V69" s="2065"/>
      <c r="W69" s="2065"/>
      <c r="X69" s="2084">
        <f>+X70+X71</f>
        <v>0</v>
      </c>
      <c r="Y69" s="2773"/>
      <c r="Z69" s="2004"/>
    </row>
    <row r="70" spans="1:29" ht="13.5" hidden="1" customHeight="1">
      <c r="A70" s="2770"/>
      <c r="B70" s="2068" t="s">
        <v>24</v>
      </c>
      <c r="C70" s="2803"/>
      <c r="D70" s="2069">
        <f>SUM(M70:R70)</f>
        <v>0</v>
      </c>
      <c r="E70" s="2070">
        <f>+F70+G70+H70</f>
        <v>0</v>
      </c>
      <c r="F70" s="2070">
        <v>0</v>
      </c>
      <c r="G70" s="2070"/>
      <c r="H70" s="2080"/>
      <c r="I70" s="2080"/>
      <c r="J70" s="2080"/>
      <c r="K70" s="2070"/>
      <c r="L70" s="2070"/>
      <c r="M70" s="2070">
        <f>+L70+K70+J70+I70+E70</f>
        <v>0</v>
      </c>
      <c r="N70" s="2070"/>
      <c r="O70" s="2070">
        <v>0</v>
      </c>
      <c r="P70" s="2070">
        <v>0</v>
      </c>
      <c r="Q70" s="2070"/>
      <c r="R70" s="2070"/>
      <c r="S70" s="2070"/>
      <c r="T70" s="2070"/>
      <c r="U70" s="2070"/>
      <c r="V70" s="2070"/>
      <c r="W70" s="2070"/>
      <c r="X70" s="2071">
        <f>SUM(P70:W70)</f>
        <v>0</v>
      </c>
      <c r="Y70" s="2773"/>
      <c r="Z70" s="2004"/>
    </row>
    <row r="71" spans="1:29" ht="13.5" hidden="1" customHeight="1">
      <c r="A71" s="2770"/>
      <c r="B71" s="2068" t="s">
        <v>25</v>
      </c>
      <c r="C71" s="2803"/>
      <c r="D71" s="2069">
        <f>SUM(M71:R71)</f>
        <v>0</v>
      </c>
      <c r="E71" s="2070">
        <f>+F71+G71+H71</f>
        <v>0</v>
      </c>
      <c r="F71" s="2070"/>
      <c r="G71" s="2070"/>
      <c r="H71" s="2080"/>
      <c r="I71" s="2080"/>
      <c r="J71" s="2080"/>
      <c r="K71" s="2070"/>
      <c r="L71" s="2070"/>
      <c r="M71" s="2070">
        <f>+L71+K71+J71+I71+E71</f>
        <v>0</v>
      </c>
      <c r="N71" s="2070"/>
      <c r="O71" s="2070">
        <v>0</v>
      </c>
      <c r="P71" s="2070">
        <v>0</v>
      </c>
      <c r="Q71" s="2070"/>
      <c r="R71" s="2070"/>
      <c r="S71" s="2070"/>
      <c r="T71" s="2070"/>
      <c r="U71" s="2070"/>
      <c r="V71" s="2070"/>
      <c r="W71" s="2070"/>
      <c r="X71" s="2071">
        <f>SUM(P71:W71)</f>
        <v>0</v>
      </c>
      <c r="Y71" s="2773"/>
      <c r="Z71" s="2004"/>
    </row>
    <row r="72" spans="1:29" ht="12.75" hidden="1" customHeight="1">
      <c r="A72" s="2770"/>
      <c r="B72" s="2063" t="s">
        <v>30</v>
      </c>
      <c r="C72" s="2803"/>
      <c r="D72" s="2064">
        <f>+D73</f>
        <v>0</v>
      </c>
      <c r="E72" s="2064">
        <f t="shared" ref="E72:X72" si="45">+E73</f>
        <v>0</v>
      </c>
      <c r="F72" s="2064">
        <f t="shared" si="45"/>
        <v>0</v>
      </c>
      <c r="G72" s="2064">
        <f t="shared" si="45"/>
        <v>0</v>
      </c>
      <c r="H72" s="2064">
        <f t="shared" si="45"/>
        <v>0</v>
      </c>
      <c r="I72" s="2064">
        <f t="shared" si="45"/>
        <v>0</v>
      </c>
      <c r="J72" s="2064">
        <f t="shared" si="45"/>
        <v>0</v>
      </c>
      <c r="K72" s="2064">
        <f t="shared" si="45"/>
        <v>0</v>
      </c>
      <c r="L72" s="2064">
        <f t="shared" si="45"/>
        <v>0</v>
      </c>
      <c r="M72" s="2064">
        <f t="shared" si="45"/>
        <v>0</v>
      </c>
      <c r="N72" s="2064">
        <f t="shared" si="45"/>
        <v>0</v>
      </c>
      <c r="O72" s="2064">
        <f t="shared" si="45"/>
        <v>0</v>
      </c>
      <c r="P72" s="2064">
        <f t="shared" si="45"/>
        <v>0</v>
      </c>
      <c r="Q72" s="2064"/>
      <c r="R72" s="2064"/>
      <c r="S72" s="2064"/>
      <c r="T72" s="2064"/>
      <c r="U72" s="2064"/>
      <c r="V72" s="2064"/>
      <c r="W72" s="2064"/>
      <c r="X72" s="2085">
        <f t="shared" si="45"/>
        <v>0</v>
      </c>
      <c r="Y72" s="2773"/>
      <c r="Z72" s="2004"/>
    </row>
    <row r="73" spans="1:29" ht="13.5" hidden="1" customHeight="1">
      <c r="A73" s="2770"/>
      <c r="B73" s="2068" t="s">
        <v>33</v>
      </c>
      <c r="C73" s="2803"/>
      <c r="D73" s="2069">
        <f>SUM(M73:R73)</f>
        <v>0</v>
      </c>
      <c r="E73" s="2070">
        <f>+F73+G73+H73</f>
        <v>0</v>
      </c>
      <c r="F73" s="2070"/>
      <c r="G73" s="2070"/>
      <c r="H73" s="2080"/>
      <c r="I73" s="2080"/>
      <c r="J73" s="2080"/>
      <c r="K73" s="2070"/>
      <c r="L73" s="2070"/>
      <c r="M73" s="2070">
        <f>+L73+K73+J73+I73+E73</f>
        <v>0</v>
      </c>
      <c r="N73" s="2070"/>
      <c r="O73" s="2070">
        <v>0</v>
      </c>
      <c r="P73" s="2070">
        <v>0</v>
      </c>
      <c r="Q73" s="2070"/>
      <c r="R73" s="2070"/>
      <c r="S73" s="2070"/>
      <c r="T73" s="2070"/>
      <c r="U73" s="2070"/>
      <c r="V73" s="2070"/>
      <c r="W73" s="2070"/>
      <c r="X73" s="2071">
        <f>SUM(P73:W73)</f>
        <v>0</v>
      </c>
      <c r="Y73" s="2773"/>
      <c r="Z73" s="2004"/>
    </row>
    <row r="74" spans="1:29" ht="13.5" hidden="1" customHeight="1">
      <c r="A74" s="2800"/>
      <c r="B74" s="2060" t="s">
        <v>34</v>
      </c>
      <c r="C74" s="2027"/>
      <c r="D74" s="2061">
        <f t="shared" ref="D74:L74" si="46">+D75+D77</f>
        <v>0</v>
      </c>
      <c r="E74" s="2061">
        <f t="shared" si="46"/>
        <v>0</v>
      </c>
      <c r="F74" s="2061">
        <f t="shared" si="46"/>
        <v>0</v>
      </c>
      <c r="G74" s="2061">
        <f t="shared" si="46"/>
        <v>0</v>
      </c>
      <c r="H74" s="2061">
        <f t="shared" si="46"/>
        <v>0</v>
      </c>
      <c r="I74" s="2061">
        <f t="shared" si="46"/>
        <v>0</v>
      </c>
      <c r="J74" s="2061">
        <f t="shared" si="46"/>
        <v>0</v>
      </c>
      <c r="K74" s="2061">
        <f t="shared" si="46"/>
        <v>0</v>
      </c>
      <c r="L74" s="2061">
        <f t="shared" si="46"/>
        <v>0</v>
      </c>
      <c r="M74" s="2061">
        <f>+M75+M77</f>
        <v>0</v>
      </c>
      <c r="N74" s="2061">
        <f>+N75+N77</f>
        <v>0</v>
      </c>
      <c r="O74" s="2061">
        <f>+O75+O77</f>
        <v>0</v>
      </c>
      <c r="P74" s="2061">
        <f>+P75+P77</f>
        <v>0</v>
      </c>
      <c r="Q74" s="2061"/>
      <c r="R74" s="2061"/>
      <c r="S74" s="2061"/>
      <c r="T74" s="2061"/>
      <c r="U74" s="2061"/>
      <c r="V74" s="2061"/>
      <c r="W74" s="2061"/>
      <c r="X74" s="2806" t="s">
        <v>77</v>
      </c>
      <c r="Y74" s="2801"/>
      <c r="Z74" s="2004"/>
    </row>
    <row r="75" spans="1:29" ht="13.5" hidden="1" customHeight="1">
      <c r="A75" s="2800"/>
      <c r="B75" s="2079" t="s">
        <v>36</v>
      </c>
      <c r="C75" s="2804" t="s">
        <v>323</v>
      </c>
      <c r="D75" s="2064">
        <f t="shared" ref="D75:P75" si="47">+D76</f>
        <v>0</v>
      </c>
      <c r="E75" s="2064">
        <f t="shared" si="47"/>
        <v>0</v>
      </c>
      <c r="F75" s="2064">
        <f t="shared" si="47"/>
        <v>0</v>
      </c>
      <c r="G75" s="2064">
        <f t="shared" si="47"/>
        <v>0</v>
      </c>
      <c r="H75" s="2064">
        <f t="shared" si="47"/>
        <v>0</v>
      </c>
      <c r="I75" s="2064">
        <f t="shared" si="47"/>
        <v>0</v>
      </c>
      <c r="J75" s="2064">
        <f t="shared" si="47"/>
        <v>0</v>
      </c>
      <c r="K75" s="2064">
        <f t="shared" si="47"/>
        <v>0</v>
      </c>
      <c r="L75" s="2064">
        <f t="shared" si="47"/>
        <v>0</v>
      </c>
      <c r="M75" s="2064">
        <f t="shared" si="47"/>
        <v>0</v>
      </c>
      <c r="N75" s="2064">
        <f t="shared" si="47"/>
        <v>0</v>
      </c>
      <c r="O75" s="2064">
        <f t="shared" si="47"/>
        <v>0</v>
      </c>
      <c r="P75" s="2064">
        <f t="shared" si="47"/>
        <v>0</v>
      </c>
      <c r="Q75" s="2064"/>
      <c r="R75" s="2064"/>
      <c r="S75" s="2064"/>
      <c r="T75" s="2064"/>
      <c r="U75" s="2064"/>
      <c r="V75" s="2064"/>
      <c r="W75" s="2064"/>
      <c r="X75" s="2806"/>
      <c r="Y75" s="2801"/>
      <c r="Z75" s="2004"/>
    </row>
    <row r="76" spans="1:29" ht="13.5" hidden="1" customHeight="1">
      <c r="A76" s="2800"/>
      <c r="B76" s="2068" t="s">
        <v>25</v>
      </c>
      <c r="C76" s="2803"/>
      <c r="D76" s="2069">
        <f>SUM(M76:R76)</f>
        <v>0</v>
      </c>
      <c r="E76" s="2070">
        <f>+F76+G76+H76</f>
        <v>0</v>
      </c>
      <c r="F76" s="2069"/>
      <c r="G76" s="2069"/>
      <c r="H76" s="2069"/>
      <c r="I76" s="2069"/>
      <c r="J76" s="2069"/>
      <c r="K76" s="2069"/>
      <c r="L76" s="2069"/>
      <c r="M76" s="2070">
        <f>+L76+K76+J76+I76+E76</f>
        <v>0</v>
      </c>
      <c r="N76" s="2069"/>
      <c r="O76" s="2069">
        <v>0</v>
      </c>
      <c r="P76" s="2069">
        <v>0</v>
      </c>
      <c r="Q76" s="2069"/>
      <c r="R76" s="2069"/>
      <c r="S76" s="2069"/>
      <c r="T76" s="2069"/>
      <c r="U76" s="2069"/>
      <c r="V76" s="2069"/>
      <c r="W76" s="2069"/>
      <c r="X76" s="2806"/>
      <c r="Y76" s="2801"/>
      <c r="Z76" s="2004"/>
    </row>
    <row r="77" spans="1:29" ht="12" hidden="1" customHeight="1">
      <c r="A77" s="2800"/>
      <c r="B77" s="2063" t="s">
        <v>30</v>
      </c>
      <c r="C77" s="2805"/>
      <c r="D77" s="2064">
        <f t="shared" ref="D77:P77" si="48">+D78</f>
        <v>0</v>
      </c>
      <c r="E77" s="2064">
        <f t="shared" si="48"/>
        <v>0</v>
      </c>
      <c r="F77" s="2064">
        <f t="shared" si="48"/>
        <v>0</v>
      </c>
      <c r="G77" s="2064">
        <f t="shared" si="48"/>
        <v>0</v>
      </c>
      <c r="H77" s="2064">
        <f t="shared" si="48"/>
        <v>0</v>
      </c>
      <c r="I77" s="2064">
        <f t="shared" si="48"/>
        <v>0</v>
      </c>
      <c r="J77" s="2064">
        <f t="shared" si="48"/>
        <v>0</v>
      </c>
      <c r="K77" s="2064">
        <f t="shared" si="48"/>
        <v>0</v>
      </c>
      <c r="L77" s="2064">
        <f t="shared" si="48"/>
        <v>0</v>
      </c>
      <c r="M77" s="2064">
        <f t="shared" si="48"/>
        <v>0</v>
      </c>
      <c r="N77" s="2064">
        <f t="shared" si="48"/>
        <v>0</v>
      </c>
      <c r="O77" s="2064">
        <f t="shared" si="48"/>
        <v>0</v>
      </c>
      <c r="P77" s="2064">
        <f t="shared" si="48"/>
        <v>0</v>
      </c>
      <c r="Q77" s="2064"/>
      <c r="R77" s="2064"/>
      <c r="S77" s="2064"/>
      <c r="T77" s="2064"/>
      <c r="U77" s="2064"/>
      <c r="V77" s="2064"/>
      <c r="W77" s="2064"/>
      <c r="X77" s="2806"/>
      <c r="Y77" s="2801"/>
      <c r="Z77" s="2004"/>
    </row>
    <row r="78" spans="1:29" ht="13.5" hidden="1" customHeight="1">
      <c r="A78" s="2800"/>
      <c r="B78" s="2074" t="s">
        <v>33</v>
      </c>
      <c r="C78" s="2805"/>
      <c r="D78" s="2069">
        <f>SUM(M78:R78)</f>
        <v>0</v>
      </c>
      <c r="E78" s="2070">
        <f>+F78+G78+H78</f>
        <v>0</v>
      </c>
      <c r="F78" s="2070"/>
      <c r="G78" s="2070"/>
      <c r="H78" s="2070"/>
      <c r="I78" s="2070"/>
      <c r="J78" s="2070"/>
      <c r="K78" s="2070"/>
      <c r="L78" s="2070"/>
      <c r="M78" s="2070">
        <f>+L78+K78+J78+I78+E78</f>
        <v>0</v>
      </c>
      <c r="N78" s="2070">
        <f>18449-18449</f>
        <v>0</v>
      </c>
      <c r="O78" s="2070">
        <v>0</v>
      </c>
      <c r="P78" s="2070">
        <v>0</v>
      </c>
      <c r="Q78" s="2070"/>
      <c r="R78" s="2070"/>
      <c r="S78" s="2070"/>
      <c r="T78" s="2070"/>
      <c r="U78" s="2070"/>
      <c r="V78" s="2070"/>
      <c r="W78" s="2070"/>
      <c r="X78" s="2806"/>
      <c r="Y78" s="2801"/>
      <c r="Z78" s="2004"/>
    </row>
    <row r="79" spans="1:29" ht="26.25" hidden="1" customHeight="1">
      <c r="A79" s="2770" t="s">
        <v>81</v>
      </c>
      <c r="B79" s="2075"/>
      <c r="C79" s="2076" t="s">
        <v>128</v>
      </c>
      <c r="D79" s="2037"/>
      <c r="E79" s="2037"/>
      <c r="F79" s="2037"/>
      <c r="G79" s="2037"/>
      <c r="H79" s="2037"/>
      <c r="I79" s="2077"/>
      <c r="J79" s="2077"/>
      <c r="K79" s="2077"/>
      <c r="L79" s="2077"/>
      <c r="M79" s="2077"/>
      <c r="N79" s="2077"/>
      <c r="O79" s="2077"/>
      <c r="P79" s="2077"/>
      <c r="Q79" s="2077"/>
      <c r="R79" s="2077"/>
      <c r="S79" s="2077"/>
      <c r="T79" s="2077"/>
      <c r="U79" s="2077"/>
      <c r="V79" s="2077"/>
      <c r="W79" s="2077"/>
      <c r="X79" s="2029"/>
      <c r="Y79" s="2773" t="s">
        <v>147</v>
      </c>
      <c r="Z79" s="2004"/>
      <c r="AC79" s="1347"/>
    </row>
    <row r="80" spans="1:29" ht="13.5" hidden="1" customHeight="1">
      <c r="A80" s="2770"/>
      <c r="B80" s="2060" t="s">
        <v>22</v>
      </c>
      <c r="C80" s="2027"/>
      <c r="D80" s="2078">
        <f t="shared" ref="D80:P80" si="49">+D81+D84</f>
        <v>0</v>
      </c>
      <c r="E80" s="2078">
        <f t="shared" si="49"/>
        <v>0</v>
      </c>
      <c r="F80" s="2078">
        <f t="shared" si="49"/>
        <v>0</v>
      </c>
      <c r="G80" s="2078">
        <f t="shared" si="49"/>
        <v>0</v>
      </c>
      <c r="H80" s="2078">
        <f t="shared" si="49"/>
        <v>0</v>
      </c>
      <c r="I80" s="2078">
        <f t="shared" si="49"/>
        <v>0</v>
      </c>
      <c r="J80" s="2078">
        <f t="shared" si="49"/>
        <v>0</v>
      </c>
      <c r="K80" s="2078">
        <f t="shared" si="49"/>
        <v>0</v>
      </c>
      <c r="L80" s="2078">
        <f t="shared" si="49"/>
        <v>0</v>
      </c>
      <c r="M80" s="2078">
        <f>+M81+M84</f>
        <v>0</v>
      </c>
      <c r="N80" s="2078">
        <f t="shared" si="49"/>
        <v>0</v>
      </c>
      <c r="O80" s="2078">
        <f t="shared" si="49"/>
        <v>0</v>
      </c>
      <c r="P80" s="2078">
        <f t="shared" si="49"/>
        <v>0</v>
      </c>
      <c r="Q80" s="2078"/>
      <c r="R80" s="2078"/>
      <c r="S80" s="2078"/>
      <c r="T80" s="2078"/>
      <c r="U80" s="2078"/>
      <c r="V80" s="2078"/>
      <c r="W80" s="2078"/>
      <c r="X80" s="2062">
        <f>+X81+X84</f>
        <v>0</v>
      </c>
      <c r="Y80" s="2773"/>
      <c r="Z80" s="2005">
        <f>+O80+P80+Q80+R80</f>
        <v>0</v>
      </c>
      <c r="AA80" s="1339"/>
      <c r="AB80" s="1339"/>
      <c r="AC80" s="1339"/>
    </row>
    <row r="81" spans="1:26" ht="13.5" hidden="1" customHeight="1">
      <c r="A81" s="2770"/>
      <c r="B81" s="2079" t="s">
        <v>36</v>
      </c>
      <c r="C81" s="2802" t="s">
        <v>323</v>
      </c>
      <c r="D81" s="2065">
        <f t="shared" ref="D81:P81" si="50">+D82+D83</f>
        <v>0</v>
      </c>
      <c r="E81" s="2065">
        <f t="shared" si="50"/>
        <v>0</v>
      </c>
      <c r="F81" s="2065">
        <f t="shared" si="50"/>
        <v>0</v>
      </c>
      <c r="G81" s="2065">
        <f t="shared" si="50"/>
        <v>0</v>
      </c>
      <c r="H81" s="2065">
        <f t="shared" si="50"/>
        <v>0</v>
      </c>
      <c r="I81" s="2065">
        <f t="shared" si="50"/>
        <v>0</v>
      </c>
      <c r="J81" s="2065">
        <f t="shared" si="50"/>
        <v>0</v>
      </c>
      <c r="K81" s="2065">
        <f t="shared" si="50"/>
        <v>0</v>
      </c>
      <c r="L81" s="2065">
        <f t="shared" si="50"/>
        <v>0</v>
      </c>
      <c r="M81" s="2065">
        <f>+M82+M83</f>
        <v>0</v>
      </c>
      <c r="N81" s="2065">
        <f t="shared" si="50"/>
        <v>0</v>
      </c>
      <c r="O81" s="2065">
        <f t="shared" si="50"/>
        <v>0</v>
      </c>
      <c r="P81" s="2065">
        <f t="shared" si="50"/>
        <v>0</v>
      </c>
      <c r="Q81" s="2065"/>
      <c r="R81" s="2065"/>
      <c r="S81" s="2065"/>
      <c r="T81" s="2065"/>
      <c r="U81" s="2065"/>
      <c r="V81" s="2065"/>
      <c r="W81" s="2065"/>
      <c r="X81" s="2084">
        <f>+X82+X83</f>
        <v>0</v>
      </c>
      <c r="Y81" s="2773"/>
      <c r="Z81" s="2004"/>
    </row>
    <row r="82" spans="1:26" ht="13.5" hidden="1" customHeight="1">
      <c r="A82" s="2770"/>
      <c r="B82" s="2068" t="s">
        <v>24</v>
      </c>
      <c r="C82" s="2803"/>
      <c r="D82" s="2069">
        <f>M82+O82+P82+Q82+R82+S82+T82+U82+V82+W82</f>
        <v>0</v>
      </c>
      <c r="E82" s="2070"/>
      <c r="F82" s="2070"/>
      <c r="G82" s="2070"/>
      <c r="H82" s="2080"/>
      <c r="I82" s="2080"/>
      <c r="J82" s="2080"/>
      <c r="K82" s="2070"/>
      <c r="L82" s="2070"/>
      <c r="M82" s="2070"/>
      <c r="N82" s="2070"/>
      <c r="O82" s="2070"/>
      <c r="P82" s="2070">
        <v>0</v>
      </c>
      <c r="Q82" s="2070"/>
      <c r="R82" s="2070"/>
      <c r="S82" s="2070"/>
      <c r="T82" s="2070"/>
      <c r="U82" s="2070"/>
      <c r="V82" s="2070"/>
      <c r="W82" s="2070"/>
      <c r="X82" s="2071">
        <f>SUM(P82:T82)</f>
        <v>0</v>
      </c>
      <c r="Y82" s="2773"/>
      <c r="Z82" s="2004"/>
    </row>
    <row r="83" spans="1:26" ht="12" hidden="1" customHeight="1">
      <c r="A83" s="2770"/>
      <c r="B83" s="2068" t="s">
        <v>25</v>
      </c>
      <c r="C83" s="2803"/>
      <c r="D83" s="2069">
        <f>M83+O83+P83+Q83+R83+S83+T83+U83+V83+W83</f>
        <v>0</v>
      </c>
      <c r="E83" s="2070"/>
      <c r="F83" s="2070"/>
      <c r="G83" s="2070"/>
      <c r="H83" s="2080"/>
      <c r="I83" s="2080"/>
      <c r="J83" s="2080"/>
      <c r="K83" s="2070"/>
      <c r="L83" s="2070"/>
      <c r="M83" s="2070"/>
      <c r="N83" s="2070"/>
      <c r="O83" s="2070"/>
      <c r="P83" s="2070">
        <v>0</v>
      </c>
      <c r="Q83" s="2070"/>
      <c r="R83" s="2070"/>
      <c r="S83" s="2070"/>
      <c r="T83" s="2070"/>
      <c r="U83" s="2070"/>
      <c r="V83" s="2070"/>
      <c r="W83" s="2070"/>
      <c r="X83" s="2071">
        <f>SUM(P83:T83)</f>
        <v>0</v>
      </c>
      <c r="Y83" s="2773"/>
      <c r="Z83" s="2004"/>
    </row>
    <row r="84" spans="1:26" ht="13.5" hidden="1" customHeight="1">
      <c r="A84" s="2770"/>
      <c r="B84" s="2063" t="s">
        <v>30</v>
      </c>
      <c r="C84" s="2803"/>
      <c r="D84" s="2064">
        <f>+D85</f>
        <v>0</v>
      </c>
      <c r="E84" s="2064">
        <f t="shared" ref="E84:X84" si="51">+E85</f>
        <v>0</v>
      </c>
      <c r="F84" s="2064">
        <f t="shared" si="51"/>
        <v>0</v>
      </c>
      <c r="G84" s="2064">
        <f t="shared" si="51"/>
        <v>0</v>
      </c>
      <c r="H84" s="2064">
        <f t="shared" si="51"/>
        <v>0</v>
      </c>
      <c r="I84" s="2064">
        <f t="shared" si="51"/>
        <v>0</v>
      </c>
      <c r="J84" s="2064">
        <f t="shared" si="51"/>
        <v>0</v>
      </c>
      <c r="K84" s="2064">
        <f t="shared" si="51"/>
        <v>0</v>
      </c>
      <c r="L84" s="2064">
        <f t="shared" si="51"/>
        <v>0</v>
      </c>
      <c r="M84" s="2064">
        <f t="shared" si="51"/>
        <v>0</v>
      </c>
      <c r="N84" s="2064">
        <f t="shared" si="51"/>
        <v>0</v>
      </c>
      <c r="O84" s="2064">
        <f t="shared" si="51"/>
        <v>0</v>
      </c>
      <c r="P84" s="2064">
        <f t="shared" si="51"/>
        <v>0</v>
      </c>
      <c r="Q84" s="2064"/>
      <c r="R84" s="2064"/>
      <c r="S84" s="2064"/>
      <c r="T84" s="2064"/>
      <c r="U84" s="2064"/>
      <c r="V84" s="2064"/>
      <c r="W84" s="2064"/>
      <c r="X84" s="2085">
        <f t="shared" si="51"/>
        <v>0</v>
      </c>
      <c r="Y84" s="2773"/>
      <c r="Z84" s="2004"/>
    </row>
    <row r="85" spans="1:26" ht="12.75" hidden="1" customHeight="1">
      <c r="A85" s="2770"/>
      <c r="B85" s="2068" t="s">
        <v>33</v>
      </c>
      <c r="C85" s="2803"/>
      <c r="D85" s="2069">
        <f>M85+O85+P85+Q85+R85+S85+T85+U85+V85+W85</f>
        <v>0</v>
      </c>
      <c r="E85" s="2070"/>
      <c r="F85" s="2070"/>
      <c r="G85" s="2070"/>
      <c r="H85" s="2080"/>
      <c r="I85" s="2080"/>
      <c r="J85" s="2080"/>
      <c r="K85" s="2070"/>
      <c r="L85" s="2070"/>
      <c r="M85" s="2070"/>
      <c r="N85" s="2070"/>
      <c r="O85" s="2070"/>
      <c r="P85" s="2070"/>
      <c r="Q85" s="2070"/>
      <c r="R85" s="2070"/>
      <c r="S85" s="2070"/>
      <c r="T85" s="2070"/>
      <c r="U85" s="2070"/>
      <c r="V85" s="2070"/>
      <c r="W85" s="2070"/>
      <c r="X85" s="2071">
        <f>SUM(P85:T85)</f>
        <v>0</v>
      </c>
      <c r="Y85" s="2773"/>
      <c r="Z85" s="2004"/>
    </row>
    <row r="86" spans="1:26" ht="13.5" hidden="1" customHeight="1">
      <c r="A86" s="2800"/>
      <c r="B86" s="2060" t="s">
        <v>34</v>
      </c>
      <c r="C86" s="2027"/>
      <c r="D86" s="2061">
        <f t="shared" ref="D86:L86" si="52">+D87+D89</f>
        <v>0</v>
      </c>
      <c r="E86" s="2061">
        <f t="shared" si="52"/>
        <v>0</v>
      </c>
      <c r="F86" s="2061">
        <f t="shared" si="52"/>
        <v>0</v>
      </c>
      <c r="G86" s="2061">
        <f t="shared" si="52"/>
        <v>0</v>
      </c>
      <c r="H86" s="2061">
        <f t="shared" si="52"/>
        <v>0</v>
      </c>
      <c r="I86" s="2061">
        <f t="shared" si="52"/>
        <v>0</v>
      </c>
      <c r="J86" s="2061">
        <f t="shared" si="52"/>
        <v>0</v>
      </c>
      <c r="K86" s="2061">
        <f t="shared" si="52"/>
        <v>0</v>
      </c>
      <c r="L86" s="2061">
        <f t="shared" si="52"/>
        <v>0</v>
      </c>
      <c r="M86" s="2061">
        <f>+M87+M89</f>
        <v>0</v>
      </c>
      <c r="N86" s="2061">
        <f>+N87+N89</f>
        <v>0</v>
      </c>
      <c r="O86" s="2061">
        <f>+O87+O89</f>
        <v>0</v>
      </c>
      <c r="P86" s="2061">
        <f>+P87+P89</f>
        <v>0</v>
      </c>
      <c r="Q86" s="2061"/>
      <c r="R86" s="2061"/>
      <c r="S86" s="2061"/>
      <c r="T86" s="2061"/>
      <c r="U86" s="2061"/>
      <c r="V86" s="2061"/>
      <c r="W86" s="2061"/>
      <c r="X86" s="2806" t="s">
        <v>77</v>
      </c>
      <c r="Y86" s="2801"/>
      <c r="Z86" s="2004"/>
    </row>
    <row r="87" spans="1:26" ht="13.5" hidden="1" customHeight="1">
      <c r="A87" s="2800"/>
      <c r="B87" s="2079" t="s">
        <v>36</v>
      </c>
      <c r="C87" s="2804" t="s">
        <v>323</v>
      </c>
      <c r="D87" s="2064">
        <f t="shared" ref="D87:P87" si="53">+D88</f>
        <v>0</v>
      </c>
      <c r="E87" s="2064">
        <f t="shared" si="53"/>
        <v>0</v>
      </c>
      <c r="F87" s="2064">
        <f t="shared" si="53"/>
        <v>0</v>
      </c>
      <c r="G87" s="2064">
        <f t="shared" si="53"/>
        <v>0</v>
      </c>
      <c r="H87" s="2064">
        <f t="shared" si="53"/>
        <v>0</v>
      </c>
      <c r="I87" s="2064">
        <f t="shared" si="53"/>
        <v>0</v>
      </c>
      <c r="J87" s="2064">
        <f t="shared" si="53"/>
        <v>0</v>
      </c>
      <c r="K87" s="2064">
        <f t="shared" si="53"/>
        <v>0</v>
      </c>
      <c r="L87" s="2064">
        <f t="shared" si="53"/>
        <v>0</v>
      </c>
      <c r="M87" s="2064">
        <f t="shared" si="53"/>
        <v>0</v>
      </c>
      <c r="N87" s="2064">
        <f t="shared" si="53"/>
        <v>0</v>
      </c>
      <c r="O87" s="2064">
        <f t="shared" si="53"/>
        <v>0</v>
      </c>
      <c r="P87" s="2064">
        <f t="shared" si="53"/>
        <v>0</v>
      </c>
      <c r="Q87" s="2064"/>
      <c r="R87" s="2064"/>
      <c r="S87" s="2064"/>
      <c r="T87" s="2064"/>
      <c r="U87" s="2064"/>
      <c r="V87" s="2064"/>
      <c r="W87" s="2064"/>
      <c r="X87" s="2806"/>
      <c r="Y87" s="2801"/>
      <c r="Z87" s="2004"/>
    </row>
    <row r="88" spans="1:26" ht="13.5" hidden="1" customHeight="1">
      <c r="A88" s="2800"/>
      <c r="B88" s="2068" t="s">
        <v>25</v>
      </c>
      <c r="C88" s="2803"/>
      <c r="D88" s="2069">
        <f>M88+O88+P88+Q88+R88+S88+T88+U88+V88+W88</f>
        <v>0</v>
      </c>
      <c r="E88" s="2070"/>
      <c r="F88" s="2069"/>
      <c r="G88" s="2069"/>
      <c r="H88" s="2069"/>
      <c r="I88" s="2069"/>
      <c r="J88" s="2069"/>
      <c r="K88" s="2069"/>
      <c r="L88" s="2069"/>
      <c r="M88" s="2070"/>
      <c r="N88" s="2069"/>
      <c r="O88" s="2069"/>
      <c r="P88" s="2069"/>
      <c r="Q88" s="2069"/>
      <c r="R88" s="2069"/>
      <c r="S88" s="2069"/>
      <c r="T88" s="2069"/>
      <c r="U88" s="2069"/>
      <c r="V88" s="2069"/>
      <c r="W88" s="2069"/>
      <c r="X88" s="2806"/>
      <c r="Y88" s="2801"/>
      <c r="Z88" s="2004"/>
    </row>
    <row r="89" spans="1:26" ht="12" hidden="1" customHeight="1">
      <c r="A89" s="2800"/>
      <c r="B89" s="2063" t="s">
        <v>30</v>
      </c>
      <c r="C89" s="2805"/>
      <c r="D89" s="2064">
        <f t="shared" ref="D89:P89" si="54">+D90</f>
        <v>0</v>
      </c>
      <c r="E89" s="2064">
        <f t="shared" si="54"/>
        <v>0</v>
      </c>
      <c r="F89" s="2064">
        <f t="shared" si="54"/>
        <v>0</v>
      </c>
      <c r="G89" s="2064">
        <f t="shared" si="54"/>
        <v>0</v>
      </c>
      <c r="H89" s="2064">
        <f t="shared" si="54"/>
        <v>0</v>
      </c>
      <c r="I89" s="2064">
        <f t="shared" si="54"/>
        <v>0</v>
      </c>
      <c r="J89" s="2064">
        <f t="shared" si="54"/>
        <v>0</v>
      </c>
      <c r="K89" s="2064">
        <f t="shared" si="54"/>
        <v>0</v>
      </c>
      <c r="L89" s="2064">
        <f t="shared" si="54"/>
        <v>0</v>
      </c>
      <c r="M89" s="2064">
        <f t="shared" si="54"/>
        <v>0</v>
      </c>
      <c r="N89" s="2064">
        <f t="shared" si="54"/>
        <v>0</v>
      </c>
      <c r="O89" s="2064">
        <f t="shared" si="54"/>
        <v>0</v>
      </c>
      <c r="P89" s="2064">
        <f t="shared" si="54"/>
        <v>0</v>
      </c>
      <c r="Q89" s="2064"/>
      <c r="R89" s="2064"/>
      <c r="S89" s="2064"/>
      <c r="T89" s="2064"/>
      <c r="U89" s="2064"/>
      <c r="V89" s="2064"/>
      <c r="W89" s="2064"/>
      <c r="X89" s="2806"/>
      <c r="Y89" s="2801"/>
      <c r="Z89" s="2004"/>
    </row>
    <row r="90" spans="1:26" ht="13.5" hidden="1" customHeight="1" thickBot="1">
      <c r="A90" s="2819"/>
      <c r="B90" s="1894" t="s">
        <v>33</v>
      </c>
      <c r="C90" s="2814"/>
      <c r="D90" s="1895">
        <f>M90+O90+P90+Q90+R90+S90+T90+U90+V90+W90</f>
        <v>0</v>
      </c>
      <c r="E90" s="1896"/>
      <c r="F90" s="1896"/>
      <c r="G90" s="1896"/>
      <c r="H90" s="1896"/>
      <c r="I90" s="1896"/>
      <c r="J90" s="1896"/>
      <c r="K90" s="1896"/>
      <c r="L90" s="1896"/>
      <c r="M90" s="1896"/>
      <c r="N90" s="1896"/>
      <c r="O90" s="1896"/>
      <c r="P90" s="1896"/>
      <c r="Q90" s="1896"/>
      <c r="R90" s="1896"/>
      <c r="S90" s="1896"/>
      <c r="T90" s="1896"/>
      <c r="U90" s="1896"/>
      <c r="V90" s="1896"/>
      <c r="W90" s="1896"/>
      <c r="X90" s="2815"/>
      <c r="Y90" s="2812"/>
      <c r="Z90" s="2004"/>
    </row>
    <row r="91" spans="1:26" ht="25.5" hidden="1" customHeight="1">
      <c r="A91" s="2769" t="s">
        <v>82</v>
      </c>
      <c r="B91" s="1888"/>
      <c r="C91" s="1889" t="s">
        <v>128</v>
      </c>
      <c r="D91" s="507"/>
      <c r="E91" s="507"/>
      <c r="F91" s="507"/>
      <c r="G91" s="507"/>
      <c r="H91" s="507"/>
      <c r="I91" s="508"/>
      <c r="J91" s="508"/>
      <c r="K91" s="508"/>
      <c r="L91" s="508"/>
      <c r="M91" s="508"/>
      <c r="N91" s="508"/>
      <c r="O91" s="508"/>
      <c r="P91" s="508"/>
      <c r="Q91" s="508"/>
      <c r="R91" s="508"/>
      <c r="S91" s="508"/>
      <c r="T91" s="508"/>
      <c r="U91" s="508"/>
      <c r="V91" s="508"/>
      <c r="W91" s="508"/>
      <c r="X91" s="1891"/>
      <c r="Y91" s="2772" t="s">
        <v>147</v>
      </c>
      <c r="Z91" s="2004"/>
    </row>
    <row r="92" spans="1:26" ht="13.5" hidden="1" customHeight="1">
      <c r="A92" s="2770"/>
      <c r="B92" s="2060" t="s">
        <v>22</v>
      </c>
      <c r="C92" s="2027"/>
      <c r="D92" s="2078">
        <f>+D93+D96</f>
        <v>0</v>
      </c>
      <c r="E92" s="2078"/>
      <c r="F92" s="2078"/>
      <c r="G92" s="2078"/>
      <c r="H92" s="2078"/>
      <c r="I92" s="2078"/>
      <c r="J92" s="2078"/>
      <c r="K92" s="2078"/>
      <c r="L92" s="2078">
        <f t="shared" ref="L92:Q92" si="55">+L93+L96</f>
        <v>0</v>
      </c>
      <c r="M92" s="2078">
        <f t="shared" si="55"/>
        <v>0</v>
      </c>
      <c r="N92" s="2078">
        <f t="shared" si="55"/>
        <v>0</v>
      </c>
      <c r="O92" s="2078">
        <f t="shared" si="55"/>
        <v>0</v>
      </c>
      <c r="P92" s="2078">
        <f t="shared" si="55"/>
        <v>0</v>
      </c>
      <c r="Q92" s="2078">
        <f t="shared" si="55"/>
        <v>0</v>
      </c>
      <c r="R92" s="2078"/>
      <c r="S92" s="2078"/>
      <c r="T92" s="2078"/>
      <c r="U92" s="2078"/>
      <c r="V92" s="2078"/>
      <c r="W92" s="2078"/>
      <c r="X92" s="2062">
        <f>+X93+X96</f>
        <v>0</v>
      </c>
      <c r="Y92" s="2773"/>
      <c r="Z92" s="2005">
        <f>+O92+P92+Q92+R92</f>
        <v>0</v>
      </c>
    </row>
    <row r="93" spans="1:26" ht="13.5" hidden="1" customHeight="1">
      <c r="A93" s="2770"/>
      <c r="B93" s="2079" t="s">
        <v>36</v>
      </c>
      <c r="C93" s="2802" t="s">
        <v>323</v>
      </c>
      <c r="D93" s="2065">
        <f>+D94+D95</f>
        <v>0</v>
      </c>
      <c r="E93" s="2065"/>
      <c r="F93" s="2065"/>
      <c r="G93" s="2065"/>
      <c r="H93" s="2065"/>
      <c r="I93" s="2065"/>
      <c r="J93" s="2065"/>
      <c r="K93" s="2065"/>
      <c r="L93" s="2065">
        <f t="shared" ref="L93:Q93" si="56">+L94+L95</f>
        <v>0</v>
      </c>
      <c r="M93" s="2065">
        <f t="shared" si="56"/>
        <v>0</v>
      </c>
      <c r="N93" s="2065">
        <f t="shared" si="56"/>
        <v>0</v>
      </c>
      <c r="O93" s="2065">
        <f t="shared" si="56"/>
        <v>0</v>
      </c>
      <c r="P93" s="2065">
        <f t="shared" si="56"/>
        <v>0</v>
      </c>
      <c r="Q93" s="2065">
        <f t="shared" si="56"/>
        <v>0</v>
      </c>
      <c r="R93" s="2065"/>
      <c r="S93" s="2065"/>
      <c r="T93" s="2065"/>
      <c r="U93" s="2065"/>
      <c r="V93" s="2065"/>
      <c r="W93" s="2065"/>
      <c r="X93" s="2084">
        <f>+X94+X95</f>
        <v>0</v>
      </c>
      <c r="Y93" s="2773"/>
      <c r="Z93" s="2004"/>
    </row>
    <row r="94" spans="1:26" ht="11.25" hidden="1" customHeight="1">
      <c r="A94" s="2770"/>
      <c r="B94" s="2068" t="s">
        <v>24</v>
      </c>
      <c r="C94" s="2803"/>
      <c r="D94" s="2069">
        <f>M94+O94+P94+Q94+R94+S94+T94+U94+V94+W94</f>
        <v>0</v>
      </c>
      <c r="E94" s="2070"/>
      <c r="F94" s="2070"/>
      <c r="G94" s="2070"/>
      <c r="H94" s="2080"/>
      <c r="I94" s="2080"/>
      <c r="J94" s="2080"/>
      <c r="K94" s="2070"/>
      <c r="L94" s="2070"/>
      <c r="M94" s="2070"/>
      <c r="N94" s="2070"/>
      <c r="O94" s="2070"/>
      <c r="P94" s="2070"/>
      <c r="Q94" s="2070">
        <v>0</v>
      </c>
      <c r="R94" s="2070"/>
      <c r="S94" s="2070"/>
      <c r="T94" s="2070"/>
      <c r="U94" s="2070"/>
      <c r="V94" s="2070"/>
      <c r="W94" s="2070"/>
      <c r="X94" s="2071">
        <f>SUM(P94:T94)</f>
        <v>0</v>
      </c>
      <c r="Y94" s="2773"/>
      <c r="Z94" s="2004"/>
    </row>
    <row r="95" spans="1:26" hidden="1">
      <c r="A95" s="2770"/>
      <c r="B95" s="2068" t="s">
        <v>25</v>
      </c>
      <c r="C95" s="2803"/>
      <c r="D95" s="2069">
        <f>M95+O95+P95+Q95+R95+S95+T95+U95+V95+W95</f>
        <v>0</v>
      </c>
      <c r="E95" s="2070"/>
      <c r="F95" s="2070"/>
      <c r="G95" s="2070"/>
      <c r="H95" s="2080"/>
      <c r="I95" s="2080"/>
      <c r="J95" s="2080"/>
      <c r="K95" s="2070"/>
      <c r="L95" s="2070"/>
      <c r="M95" s="2070"/>
      <c r="N95" s="2070"/>
      <c r="O95" s="2070"/>
      <c r="P95" s="2070"/>
      <c r="Q95" s="2070">
        <v>0</v>
      </c>
      <c r="R95" s="2070"/>
      <c r="S95" s="2070"/>
      <c r="T95" s="2070"/>
      <c r="U95" s="2070"/>
      <c r="V95" s="2070"/>
      <c r="W95" s="2070"/>
      <c r="X95" s="2071">
        <f>SUM(P95:T95)</f>
        <v>0</v>
      </c>
      <c r="Y95" s="2773"/>
      <c r="Z95" s="2004"/>
    </row>
    <row r="96" spans="1:26" ht="12.75" hidden="1" customHeight="1">
      <c r="A96" s="2770"/>
      <c r="B96" s="2063" t="s">
        <v>30</v>
      </c>
      <c r="C96" s="2803"/>
      <c r="D96" s="2064">
        <f>+D97</f>
        <v>0</v>
      </c>
      <c r="E96" s="2064"/>
      <c r="F96" s="2064"/>
      <c r="G96" s="2064"/>
      <c r="H96" s="2064"/>
      <c r="I96" s="2064"/>
      <c r="J96" s="2064"/>
      <c r="K96" s="2064"/>
      <c r="L96" s="2064">
        <f t="shared" ref="L96:Q96" si="57">+L97</f>
        <v>0</v>
      </c>
      <c r="M96" s="2064">
        <f t="shared" si="57"/>
        <v>0</v>
      </c>
      <c r="N96" s="2064">
        <f t="shared" si="57"/>
        <v>0</v>
      </c>
      <c r="O96" s="2064">
        <f t="shared" si="57"/>
        <v>0</v>
      </c>
      <c r="P96" s="2064">
        <f t="shared" si="57"/>
        <v>0</v>
      </c>
      <c r="Q96" s="2064">
        <f t="shared" si="57"/>
        <v>0</v>
      </c>
      <c r="R96" s="2064"/>
      <c r="S96" s="2064"/>
      <c r="T96" s="2064"/>
      <c r="U96" s="2064"/>
      <c r="V96" s="2064"/>
      <c r="W96" s="2064"/>
      <c r="X96" s="2085">
        <f>+X97</f>
        <v>0</v>
      </c>
      <c r="Y96" s="2773"/>
      <c r="Z96" s="2004"/>
    </row>
    <row r="97" spans="1:29" hidden="1">
      <c r="A97" s="2770"/>
      <c r="B97" s="2068" t="s">
        <v>33</v>
      </c>
      <c r="C97" s="2803"/>
      <c r="D97" s="2069">
        <f>M97+O97+P97+Q97+R97+S97+T97+U97+V97+W97</f>
        <v>0</v>
      </c>
      <c r="E97" s="2070"/>
      <c r="F97" s="2070"/>
      <c r="G97" s="2070"/>
      <c r="H97" s="2080"/>
      <c r="I97" s="2080"/>
      <c r="J97" s="2080"/>
      <c r="K97" s="2070"/>
      <c r="L97" s="2070"/>
      <c r="M97" s="2070"/>
      <c r="N97" s="2070"/>
      <c r="O97" s="2070"/>
      <c r="P97" s="2070"/>
      <c r="Q97" s="2070">
        <v>0</v>
      </c>
      <c r="R97" s="2070"/>
      <c r="S97" s="2070"/>
      <c r="T97" s="2070"/>
      <c r="U97" s="2070"/>
      <c r="V97" s="2070"/>
      <c r="W97" s="2070"/>
      <c r="X97" s="2071">
        <f>SUM(P97:T97)</f>
        <v>0</v>
      </c>
      <c r="Y97" s="2773"/>
      <c r="Z97" s="2004"/>
    </row>
    <row r="98" spans="1:29" ht="13.5" hidden="1" customHeight="1">
      <c r="A98" s="2770"/>
      <c r="B98" s="2060" t="s">
        <v>34</v>
      </c>
      <c r="C98" s="2027"/>
      <c r="D98" s="2061">
        <f>+D99+D101</f>
        <v>0</v>
      </c>
      <c r="E98" s="2061"/>
      <c r="F98" s="2061"/>
      <c r="G98" s="2061"/>
      <c r="H98" s="2061"/>
      <c r="I98" s="2061"/>
      <c r="J98" s="2061"/>
      <c r="K98" s="2061"/>
      <c r="L98" s="2061">
        <f t="shared" ref="L98:Q98" si="58">+L99+L101</f>
        <v>0</v>
      </c>
      <c r="M98" s="2061">
        <f t="shared" si="58"/>
        <v>0</v>
      </c>
      <c r="N98" s="2061">
        <f t="shared" si="58"/>
        <v>0</v>
      </c>
      <c r="O98" s="2061">
        <f t="shared" si="58"/>
        <v>0</v>
      </c>
      <c r="P98" s="2061">
        <f t="shared" si="58"/>
        <v>0</v>
      </c>
      <c r="Q98" s="2061">
        <f t="shared" si="58"/>
        <v>0</v>
      </c>
      <c r="R98" s="2061"/>
      <c r="S98" s="2061"/>
      <c r="T98" s="2061"/>
      <c r="U98" s="2061"/>
      <c r="V98" s="2061"/>
      <c r="W98" s="2061"/>
      <c r="X98" s="2806" t="s">
        <v>77</v>
      </c>
      <c r="Y98" s="2801"/>
      <c r="Z98" s="2004"/>
    </row>
    <row r="99" spans="1:29" ht="11.25" hidden="1" customHeight="1">
      <c r="A99" s="2770"/>
      <c r="B99" s="2079" t="s">
        <v>36</v>
      </c>
      <c r="C99" s="2804" t="s">
        <v>322</v>
      </c>
      <c r="D99" s="2064">
        <f>+D100</f>
        <v>0</v>
      </c>
      <c r="E99" s="2064"/>
      <c r="F99" s="2064"/>
      <c r="G99" s="2064"/>
      <c r="H99" s="2064"/>
      <c r="I99" s="2064"/>
      <c r="J99" s="2064"/>
      <c r="K99" s="2064"/>
      <c r="L99" s="2064">
        <f t="shared" ref="L99:Q99" si="59">+L100</f>
        <v>0</v>
      </c>
      <c r="M99" s="2064">
        <f t="shared" si="59"/>
        <v>0</v>
      </c>
      <c r="N99" s="2064">
        <f t="shared" si="59"/>
        <v>0</v>
      </c>
      <c r="O99" s="2064">
        <f t="shared" si="59"/>
        <v>0</v>
      </c>
      <c r="P99" s="2064">
        <f t="shared" si="59"/>
        <v>0</v>
      </c>
      <c r="Q99" s="2064">
        <f t="shared" si="59"/>
        <v>0</v>
      </c>
      <c r="R99" s="2064"/>
      <c r="S99" s="2064"/>
      <c r="T99" s="2064"/>
      <c r="U99" s="2064"/>
      <c r="V99" s="2064"/>
      <c r="W99" s="2064"/>
      <c r="X99" s="2806"/>
      <c r="Y99" s="2801"/>
      <c r="Z99" s="2004"/>
    </row>
    <row r="100" spans="1:29" ht="11.25" hidden="1" customHeight="1">
      <c r="A100" s="2770"/>
      <c r="B100" s="2068" t="s">
        <v>25</v>
      </c>
      <c r="C100" s="2803"/>
      <c r="D100" s="2069">
        <f>M100+O100+P100+Q100+R100+S100+T100+U100+V100+W100</f>
        <v>0</v>
      </c>
      <c r="E100" s="2070"/>
      <c r="F100" s="2069"/>
      <c r="G100" s="2069"/>
      <c r="H100" s="2069"/>
      <c r="I100" s="2069"/>
      <c r="J100" s="2069"/>
      <c r="K100" s="2069"/>
      <c r="L100" s="2069"/>
      <c r="M100" s="2070"/>
      <c r="N100" s="2069"/>
      <c r="O100" s="2069"/>
      <c r="P100" s="2069"/>
      <c r="Q100" s="2069"/>
      <c r="R100" s="2069"/>
      <c r="S100" s="2069"/>
      <c r="T100" s="2069"/>
      <c r="U100" s="2069"/>
      <c r="V100" s="2069"/>
      <c r="W100" s="2069"/>
      <c r="X100" s="2806"/>
      <c r="Y100" s="2801"/>
      <c r="Z100" s="2004"/>
    </row>
    <row r="101" spans="1:29" ht="12" hidden="1" customHeight="1">
      <c r="A101" s="2770"/>
      <c r="B101" s="2063" t="s">
        <v>30</v>
      </c>
      <c r="C101" s="2805"/>
      <c r="D101" s="2064">
        <f>+D102</f>
        <v>0</v>
      </c>
      <c r="E101" s="2064"/>
      <c r="F101" s="2064"/>
      <c r="G101" s="2064"/>
      <c r="H101" s="2064"/>
      <c r="I101" s="2064"/>
      <c r="J101" s="2064"/>
      <c r="K101" s="2064"/>
      <c r="L101" s="2064">
        <f t="shared" ref="L101:Q101" si="60">+L102</f>
        <v>0</v>
      </c>
      <c r="M101" s="2064">
        <f t="shared" si="60"/>
        <v>0</v>
      </c>
      <c r="N101" s="2064">
        <f t="shared" si="60"/>
        <v>0</v>
      </c>
      <c r="O101" s="2064">
        <f t="shared" si="60"/>
        <v>0</v>
      </c>
      <c r="P101" s="2064">
        <f t="shared" si="60"/>
        <v>0</v>
      </c>
      <c r="Q101" s="2064">
        <f t="shared" si="60"/>
        <v>0</v>
      </c>
      <c r="R101" s="2064"/>
      <c r="S101" s="2064"/>
      <c r="T101" s="2064"/>
      <c r="U101" s="2064"/>
      <c r="V101" s="2064"/>
      <c r="W101" s="2064"/>
      <c r="X101" s="2806"/>
      <c r="Y101" s="2801"/>
      <c r="Z101" s="2004"/>
    </row>
    <row r="102" spans="1:29" ht="11.25" hidden="1" customHeight="1">
      <c r="A102" s="2770"/>
      <c r="B102" s="2074" t="s">
        <v>33</v>
      </c>
      <c r="C102" s="2805"/>
      <c r="D102" s="2069">
        <f>M102+O102+P102+Q102+R102+S102+T102+U102+V102+W102</f>
        <v>0</v>
      </c>
      <c r="E102" s="2070"/>
      <c r="F102" s="2070"/>
      <c r="G102" s="2070"/>
      <c r="H102" s="2070"/>
      <c r="I102" s="2070"/>
      <c r="J102" s="2070"/>
      <c r="K102" s="2070"/>
      <c r="L102" s="2070"/>
      <c r="M102" s="2070"/>
      <c r="N102" s="2070"/>
      <c r="O102" s="2070"/>
      <c r="P102" s="2070"/>
      <c r="Q102" s="2070"/>
      <c r="R102" s="2070"/>
      <c r="S102" s="2070"/>
      <c r="T102" s="2070"/>
      <c r="U102" s="2070"/>
      <c r="V102" s="2070"/>
      <c r="W102" s="2070"/>
      <c r="X102" s="2806"/>
      <c r="Y102" s="2801"/>
      <c r="Z102" s="2004"/>
    </row>
    <row r="103" spans="1:29" ht="18" hidden="1" customHeight="1">
      <c r="A103" s="2770" t="s">
        <v>83</v>
      </c>
      <c r="B103" s="2075"/>
      <c r="C103" s="2076" t="s">
        <v>128</v>
      </c>
      <c r="D103" s="2037"/>
      <c r="E103" s="2037"/>
      <c r="F103" s="2037"/>
      <c r="G103" s="2037"/>
      <c r="H103" s="2037"/>
      <c r="I103" s="2077"/>
      <c r="J103" s="2077"/>
      <c r="K103" s="2077"/>
      <c r="L103" s="2077"/>
      <c r="M103" s="2077"/>
      <c r="N103" s="2077"/>
      <c r="O103" s="2077"/>
      <c r="P103" s="2077"/>
      <c r="Q103" s="2077"/>
      <c r="R103" s="2077"/>
      <c r="S103" s="2077"/>
      <c r="T103" s="2077"/>
      <c r="U103" s="2077"/>
      <c r="V103" s="2077"/>
      <c r="W103" s="2077"/>
      <c r="X103" s="2029"/>
      <c r="Y103" s="2773" t="s">
        <v>147</v>
      </c>
      <c r="Z103" s="2004"/>
      <c r="AC103" s="1347"/>
    </row>
    <row r="104" spans="1:29" ht="13.5" hidden="1" customHeight="1">
      <c r="A104" s="2770"/>
      <c r="B104" s="2060" t="s">
        <v>22</v>
      </c>
      <c r="C104" s="2027"/>
      <c r="D104" s="2078">
        <f>+D105+D108</f>
        <v>0</v>
      </c>
      <c r="E104" s="2078"/>
      <c r="F104" s="2078"/>
      <c r="G104" s="2078"/>
      <c r="H104" s="2078"/>
      <c r="I104" s="2078"/>
      <c r="J104" s="2078"/>
      <c r="K104" s="2078"/>
      <c r="L104" s="2078">
        <f t="shared" ref="L104:Q104" si="61">+L105+L108</f>
        <v>0</v>
      </c>
      <c r="M104" s="2078">
        <f t="shared" si="61"/>
        <v>0</v>
      </c>
      <c r="N104" s="2078">
        <f t="shared" si="61"/>
        <v>0</v>
      </c>
      <c r="O104" s="2078">
        <f t="shared" si="61"/>
        <v>0</v>
      </c>
      <c r="P104" s="2078">
        <f t="shared" si="61"/>
        <v>0</v>
      </c>
      <c r="Q104" s="2078">
        <f t="shared" si="61"/>
        <v>0</v>
      </c>
      <c r="R104" s="2078"/>
      <c r="S104" s="2078"/>
      <c r="T104" s="2078"/>
      <c r="U104" s="2078"/>
      <c r="V104" s="2078"/>
      <c r="W104" s="2078"/>
      <c r="X104" s="2062">
        <f>+X105+X108</f>
        <v>0</v>
      </c>
      <c r="Y104" s="2773"/>
      <c r="Z104" s="2005">
        <f>+O104+P104+Q104+R104</f>
        <v>0</v>
      </c>
      <c r="AA104" s="1339"/>
      <c r="AB104" s="1339"/>
      <c r="AC104" s="1339"/>
    </row>
    <row r="105" spans="1:29" ht="14.25" hidden="1" customHeight="1">
      <c r="A105" s="2770"/>
      <c r="B105" s="2079" t="s">
        <v>36</v>
      </c>
      <c r="C105" s="2802" t="s">
        <v>323</v>
      </c>
      <c r="D105" s="2065">
        <f>+D106+D107</f>
        <v>0</v>
      </c>
      <c r="E105" s="2065"/>
      <c r="F105" s="2065"/>
      <c r="G105" s="2065"/>
      <c r="H105" s="2065"/>
      <c r="I105" s="2065"/>
      <c r="J105" s="2065"/>
      <c r="K105" s="2065"/>
      <c r="L105" s="2065">
        <f t="shared" ref="L105:Q105" si="62">+L106+L107</f>
        <v>0</v>
      </c>
      <c r="M105" s="2065">
        <f t="shared" si="62"/>
        <v>0</v>
      </c>
      <c r="N105" s="2065">
        <f t="shared" si="62"/>
        <v>0</v>
      </c>
      <c r="O105" s="2065">
        <f t="shared" si="62"/>
        <v>0</v>
      </c>
      <c r="P105" s="2065">
        <f t="shared" si="62"/>
        <v>0</v>
      </c>
      <c r="Q105" s="2065">
        <f t="shared" si="62"/>
        <v>0</v>
      </c>
      <c r="R105" s="2065"/>
      <c r="S105" s="2065"/>
      <c r="T105" s="2065"/>
      <c r="U105" s="2065"/>
      <c r="V105" s="2065"/>
      <c r="W105" s="2065"/>
      <c r="X105" s="2084">
        <f>+X106+X107</f>
        <v>0</v>
      </c>
      <c r="Y105" s="2773"/>
      <c r="Z105" s="2004"/>
    </row>
    <row r="106" spans="1:29" ht="13.5" hidden="1" customHeight="1">
      <c r="A106" s="2770"/>
      <c r="B106" s="2068" t="s">
        <v>24</v>
      </c>
      <c r="C106" s="2803"/>
      <c r="D106" s="2069">
        <f>M106+O106+P106+Q106+R106+S106+T106+U106+V106+W106</f>
        <v>0</v>
      </c>
      <c r="E106" s="2070"/>
      <c r="F106" s="2070"/>
      <c r="G106" s="2070"/>
      <c r="H106" s="2080"/>
      <c r="I106" s="2080"/>
      <c r="J106" s="2080"/>
      <c r="K106" s="2070"/>
      <c r="L106" s="2070"/>
      <c r="M106" s="2070"/>
      <c r="N106" s="2070"/>
      <c r="O106" s="2070"/>
      <c r="P106" s="2070"/>
      <c r="Q106" s="2070">
        <v>0</v>
      </c>
      <c r="R106" s="2070"/>
      <c r="S106" s="2070"/>
      <c r="T106" s="2070"/>
      <c r="U106" s="2070"/>
      <c r="V106" s="2070"/>
      <c r="W106" s="2070"/>
      <c r="X106" s="2071">
        <f>SUM(P106:T106)</f>
        <v>0</v>
      </c>
      <c r="Y106" s="2773"/>
      <c r="Z106" s="2004"/>
    </row>
    <row r="107" spans="1:29" ht="11.25" hidden="1" customHeight="1">
      <c r="A107" s="2770"/>
      <c r="B107" s="2068" t="s">
        <v>25</v>
      </c>
      <c r="C107" s="2803"/>
      <c r="D107" s="2069">
        <f>SUM(L107:Q107)</f>
        <v>0</v>
      </c>
      <c r="E107" s="2070"/>
      <c r="F107" s="2070"/>
      <c r="G107" s="2070"/>
      <c r="H107" s="2080"/>
      <c r="I107" s="2080"/>
      <c r="J107" s="2080"/>
      <c r="K107" s="2070"/>
      <c r="L107" s="2070"/>
      <c r="M107" s="2070"/>
      <c r="N107" s="2070"/>
      <c r="O107" s="2070"/>
      <c r="P107" s="2070"/>
      <c r="Q107" s="2070"/>
      <c r="R107" s="2070"/>
      <c r="S107" s="2070"/>
      <c r="T107" s="2070"/>
      <c r="U107" s="2070"/>
      <c r="V107" s="2070"/>
      <c r="W107" s="2070"/>
      <c r="X107" s="2071">
        <f>SUM(P107:S107)</f>
        <v>0</v>
      </c>
      <c r="Y107" s="2773"/>
      <c r="Z107" s="2004"/>
    </row>
    <row r="108" spans="1:29" ht="13.5" hidden="1" customHeight="1">
      <c r="A108" s="2770"/>
      <c r="B108" s="2063" t="s">
        <v>30</v>
      </c>
      <c r="C108" s="2803"/>
      <c r="D108" s="2064">
        <f>+D109</f>
        <v>0</v>
      </c>
      <c r="E108" s="2064"/>
      <c r="F108" s="2064"/>
      <c r="G108" s="2064"/>
      <c r="H108" s="2064"/>
      <c r="I108" s="2064"/>
      <c r="J108" s="2064"/>
      <c r="K108" s="2064"/>
      <c r="L108" s="2064">
        <f t="shared" ref="L108:Q108" si="63">+L109</f>
        <v>0</v>
      </c>
      <c r="M108" s="2064">
        <f t="shared" si="63"/>
        <v>0</v>
      </c>
      <c r="N108" s="2064">
        <f t="shared" si="63"/>
        <v>0</v>
      </c>
      <c r="O108" s="2064">
        <f t="shared" si="63"/>
        <v>0</v>
      </c>
      <c r="P108" s="2064">
        <f t="shared" si="63"/>
        <v>0</v>
      </c>
      <c r="Q108" s="2064">
        <f t="shared" si="63"/>
        <v>0</v>
      </c>
      <c r="R108" s="2064"/>
      <c r="S108" s="2064"/>
      <c r="T108" s="2064"/>
      <c r="U108" s="2064"/>
      <c r="V108" s="2064"/>
      <c r="W108" s="2064"/>
      <c r="X108" s="2085">
        <f>+X109</f>
        <v>0</v>
      </c>
      <c r="Y108" s="2773"/>
      <c r="Z108" s="2004"/>
    </row>
    <row r="109" spans="1:29" s="1348" customFormat="1" ht="15" hidden="1" customHeight="1">
      <c r="A109" s="2770"/>
      <c r="B109" s="2074" t="s">
        <v>33</v>
      </c>
      <c r="C109" s="2803"/>
      <c r="D109" s="2069">
        <f>M109+O109+P109+Q109+R109+S109+T109+U109+V109+W109</f>
        <v>0</v>
      </c>
      <c r="E109" s="2070"/>
      <c r="F109" s="2070"/>
      <c r="G109" s="2070"/>
      <c r="H109" s="2080"/>
      <c r="I109" s="2080"/>
      <c r="J109" s="2080"/>
      <c r="K109" s="2070"/>
      <c r="L109" s="2070"/>
      <c r="M109" s="2070"/>
      <c r="N109" s="2070"/>
      <c r="O109" s="2070"/>
      <c r="P109" s="2070">
        <v>0</v>
      </c>
      <c r="Q109" s="2070">
        <v>0</v>
      </c>
      <c r="R109" s="2070"/>
      <c r="S109" s="2070"/>
      <c r="T109" s="2070"/>
      <c r="U109" s="2070"/>
      <c r="V109" s="2070"/>
      <c r="W109" s="2070"/>
      <c r="X109" s="2071">
        <f>SUM(P109:T109)</f>
        <v>0</v>
      </c>
      <c r="Y109" s="2773"/>
      <c r="Z109" s="2008"/>
    </row>
    <row r="110" spans="1:29" ht="13.5" hidden="1" customHeight="1">
      <c r="A110" s="2770"/>
      <c r="B110" s="2060" t="s">
        <v>34</v>
      </c>
      <c r="C110" s="2027"/>
      <c r="D110" s="2061">
        <f>+D111+D113</f>
        <v>0</v>
      </c>
      <c r="E110" s="2061"/>
      <c r="F110" s="2061"/>
      <c r="G110" s="2061"/>
      <c r="H110" s="2061"/>
      <c r="I110" s="2061"/>
      <c r="J110" s="2061"/>
      <c r="K110" s="2061"/>
      <c r="L110" s="2061">
        <f t="shared" ref="L110:Q110" si="64">+L111+L113</f>
        <v>0</v>
      </c>
      <c r="M110" s="2061">
        <f t="shared" si="64"/>
        <v>0</v>
      </c>
      <c r="N110" s="2061">
        <f t="shared" si="64"/>
        <v>0</v>
      </c>
      <c r="O110" s="2061">
        <f t="shared" si="64"/>
        <v>0</v>
      </c>
      <c r="P110" s="2061">
        <f t="shared" si="64"/>
        <v>0</v>
      </c>
      <c r="Q110" s="2061">
        <f t="shared" si="64"/>
        <v>0</v>
      </c>
      <c r="R110" s="2061"/>
      <c r="S110" s="2061"/>
      <c r="T110" s="2061"/>
      <c r="U110" s="2061"/>
      <c r="V110" s="2061"/>
      <c r="W110" s="2061"/>
      <c r="X110" s="2806" t="s">
        <v>77</v>
      </c>
      <c r="Y110" s="2801"/>
      <c r="Z110" s="2004"/>
    </row>
    <row r="111" spans="1:29" ht="13.5" hidden="1" customHeight="1">
      <c r="A111" s="2770"/>
      <c r="B111" s="2079" t="s">
        <v>36</v>
      </c>
      <c r="C111" s="2804" t="s">
        <v>421</v>
      </c>
      <c r="D111" s="2064">
        <f>+D112</f>
        <v>0</v>
      </c>
      <c r="E111" s="2064"/>
      <c r="F111" s="2064"/>
      <c r="G111" s="2064"/>
      <c r="H111" s="2064"/>
      <c r="I111" s="2064"/>
      <c r="J111" s="2064"/>
      <c r="K111" s="2064"/>
      <c r="L111" s="2064">
        <f t="shared" ref="L111:Q111" si="65">+L112</f>
        <v>0</v>
      </c>
      <c r="M111" s="2064">
        <f t="shared" si="65"/>
        <v>0</v>
      </c>
      <c r="N111" s="2064">
        <f t="shared" si="65"/>
        <v>0</v>
      </c>
      <c r="O111" s="2064">
        <f t="shared" si="65"/>
        <v>0</v>
      </c>
      <c r="P111" s="2064">
        <f t="shared" si="65"/>
        <v>0</v>
      </c>
      <c r="Q111" s="2064">
        <f t="shared" si="65"/>
        <v>0</v>
      </c>
      <c r="R111" s="2064"/>
      <c r="S111" s="2064"/>
      <c r="T111" s="2064"/>
      <c r="U111" s="2064"/>
      <c r="V111" s="2064"/>
      <c r="W111" s="2064"/>
      <c r="X111" s="2806"/>
      <c r="Y111" s="2801"/>
      <c r="Z111" s="2004"/>
    </row>
    <row r="112" spans="1:29" ht="11.25" hidden="1" customHeight="1">
      <c r="A112" s="2770"/>
      <c r="B112" s="2068" t="s">
        <v>25</v>
      </c>
      <c r="C112" s="2803"/>
      <c r="D112" s="2069">
        <f>SUM(L112:Q112)</f>
        <v>0</v>
      </c>
      <c r="E112" s="2070"/>
      <c r="F112" s="2069"/>
      <c r="G112" s="2069"/>
      <c r="H112" s="2069"/>
      <c r="I112" s="2069"/>
      <c r="J112" s="2069"/>
      <c r="K112" s="2069"/>
      <c r="L112" s="2069"/>
      <c r="M112" s="2070">
        <f>+L112+K112+J112+I112+E112+N112</f>
        <v>0</v>
      </c>
      <c r="N112" s="2069"/>
      <c r="O112" s="2069"/>
      <c r="P112" s="2069"/>
      <c r="Q112" s="2069"/>
      <c r="R112" s="2069"/>
      <c r="S112" s="2069"/>
      <c r="T112" s="2069"/>
      <c r="U112" s="2069"/>
      <c r="V112" s="2069"/>
      <c r="W112" s="2069"/>
      <c r="X112" s="2806"/>
      <c r="Y112" s="2801"/>
      <c r="Z112" s="2004"/>
    </row>
    <row r="113" spans="1:35" s="1348" customFormat="1" ht="15" hidden="1" customHeight="1">
      <c r="A113" s="2770"/>
      <c r="B113" s="2086" t="s">
        <v>30</v>
      </c>
      <c r="C113" s="2805"/>
      <c r="D113" s="2064">
        <f>+D114</f>
        <v>0</v>
      </c>
      <c r="E113" s="2064"/>
      <c r="F113" s="2064"/>
      <c r="G113" s="2064"/>
      <c r="H113" s="2064"/>
      <c r="I113" s="2064"/>
      <c r="J113" s="2064"/>
      <c r="K113" s="2064"/>
      <c r="L113" s="2064">
        <f t="shared" ref="L113:Q113" si="66">+L114</f>
        <v>0</v>
      </c>
      <c r="M113" s="2064">
        <f t="shared" si="66"/>
        <v>0</v>
      </c>
      <c r="N113" s="2064">
        <f t="shared" si="66"/>
        <v>0</v>
      </c>
      <c r="O113" s="2064">
        <f t="shared" si="66"/>
        <v>0</v>
      </c>
      <c r="P113" s="2064">
        <f t="shared" si="66"/>
        <v>0</v>
      </c>
      <c r="Q113" s="2064">
        <f t="shared" si="66"/>
        <v>0</v>
      </c>
      <c r="R113" s="2064"/>
      <c r="S113" s="2064"/>
      <c r="T113" s="2064"/>
      <c r="U113" s="2064"/>
      <c r="V113" s="2064"/>
      <c r="W113" s="2064"/>
      <c r="X113" s="2806"/>
      <c r="Y113" s="2801"/>
      <c r="Z113" s="2008"/>
    </row>
    <row r="114" spans="1:35" ht="13.5" hidden="1" customHeight="1">
      <c r="A114" s="2770"/>
      <c r="B114" s="2074" t="s">
        <v>33</v>
      </c>
      <c r="C114" s="2805"/>
      <c r="D114" s="2069">
        <f>M114+O114+P114+Q114+R114+S114+T114+U114+V114+W114</f>
        <v>0</v>
      </c>
      <c r="E114" s="2070"/>
      <c r="F114" s="2070"/>
      <c r="G114" s="2070"/>
      <c r="H114" s="2070"/>
      <c r="I114" s="2070"/>
      <c r="J114" s="2070"/>
      <c r="K114" s="2070"/>
      <c r="L114" s="2070"/>
      <c r="M114" s="2070"/>
      <c r="N114" s="2070"/>
      <c r="O114" s="2070"/>
      <c r="P114" s="2070"/>
      <c r="Q114" s="2070">
        <v>0</v>
      </c>
      <c r="R114" s="2070"/>
      <c r="S114" s="2070"/>
      <c r="T114" s="2070"/>
      <c r="U114" s="2070"/>
      <c r="V114" s="2070"/>
      <c r="W114" s="2070"/>
      <c r="X114" s="2806"/>
      <c r="Y114" s="2801"/>
      <c r="Z114" s="2004"/>
    </row>
    <row r="115" spans="1:35" hidden="1">
      <c r="A115" s="2770" t="s">
        <v>105</v>
      </c>
      <c r="B115" s="2075"/>
      <c r="C115" s="2076" t="s">
        <v>128</v>
      </c>
      <c r="D115" s="2037"/>
      <c r="E115" s="2037"/>
      <c r="F115" s="2037"/>
      <c r="G115" s="2037"/>
      <c r="H115" s="2037"/>
      <c r="I115" s="2077"/>
      <c r="J115" s="2077"/>
      <c r="K115" s="2077"/>
      <c r="L115" s="2077"/>
      <c r="M115" s="2077"/>
      <c r="N115" s="2077"/>
      <c r="O115" s="2077"/>
      <c r="P115" s="2077"/>
      <c r="Q115" s="2077"/>
      <c r="R115" s="2077"/>
      <c r="S115" s="2077"/>
      <c r="T115" s="2077"/>
      <c r="U115" s="2077"/>
      <c r="V115" s="2077"/>
      <c r="W115" s="2077"/>
      <c r="X115" s="2029"/>
      <c r="Y115" s="2773" t="s">
        <v>147</v>
      </c>
      <c r="Z115" s="2005"/>
      <c r="AA115" s="1339"/>
      <c r="AB115" s="1339"/>
      <c r="AC115" s="1339"/>
      <c r="AD115" s="1339"/>
      <c r="AE115" s="1339"/>
      <c r="AF115" s="1339"/>
      <c r="AG115" s="1339"/>
      <c r="AH115" s="1339"/>
      <c r="AI115" s="1339"/>
    </row>
    <row r="116" spans="1:35" ht="13.5" hidden="1" customHeight="1">
      <c r="A116" s="2770"/>
      <c r="B116" s="2060" t="s">
        <v>22</v>
      </c>
      <c r="C116" s="2027"/>
      <c r="D116" s="2078">
        <f t="shared" ref="D116:L116" si="67">+D117+D120</f>
        <v>0</v>
      </c>
      <c r="E116" s="2078">
        <f>+E117+E120</f>
        <v>0</v>
      </c>
      <c r="F116" s="2078">
        <f t="shared" si="67"/>
        <v>0</v>
      </c>
      <c r="G116" s="2078">
        <f t="shared" si="67"/>
        <v>0</v>
      </c>
      <c r="H116" s="2078">
        <f t="shared" si="67"/>
        <v>0</v>
      </c>
      <c r="I116" s="2078">
        <f t="shared" si="67"/>
        <v>0</v>
      </c>
      <c r="J116" s="2078">
        <f t="shared" si="67"/>
        <v>0</v>
      </c>
      <c r="K116" s="2078">
        <f t="shared" si="67"/>
        <v>0</v>
      </c>
      <c r="L116" s="2078">
        <f t="shared" si="67"/>
        <v>0</v>
      </c>
      <c r="M116" s="2078">
        <f>+M117+M120</f>
        <v>0</v>
      </c>
      <c r="N116" s="2078">
        <f>+N117+N120</f>
        <v>0</v>
      </c>
      <c r="O116" s="2078">
        <f>+O117+O120</f>
        <v>0</v>
      </c>
      <c r="P116" s="2078">
        <f>+P117+P120</f>
        <v>0</v>
      </c>
      <c r="Q116" s="2078"/>
      <c r="R116" s="2078"/>
      <c r="S116" s="2078"/>
      <c r="T116" s="2078"/>
      <c r="U116" s="2078"/>
      <c r="V116" s="2078"/>
      <c r="W116" s="2078"/>
      <c r="X116" s="2062">
        <f>+X117+X120</f>
        <v>0</v>
      </c>
      <c r="Y116" s="2773"/>
      <c r="Z116" s="2005">
        <f>+O116+P116+Q116+R116</f>
        <v>0</v>
      </c>
    </row>
    <row r="117" spans="1:35" ht="12.75" hidden="1" customHeight="1">
      <c r="A117" s="2770"/>
      <c r="B117" s="2079" t="s">
        <v>36</v>
      </c>
      <c r="C117" s="2802" t="s">
        <v>324</v>
      </c>
      <c r="D117" s="2065">
        <f t="shared" ref="D117:L117" si="68">+D118+D119</f>
        <v>0</v>
      </c>
      <c r="E117" s="2065">
        <f t="shared" si="68"/>
        <v>0</v>
      </c>
      <c r="F117" s="2065">
        <f t="shared" si="68"/>
        <v>0</v>
      </c>
      <c r="G117" s="2065">
        <f t="shared" si="68"/>
        <v>0</v>
      </c>
      <c r="H117" s="2065">
        <f t="shared" si="68"/>
        <v>0</v>
      </c>
      <c r="I117" s="2065">
        <f t="shared" si="68"/>
        <v>0</v>
      </c>
      <c r="J117" s="2065">
        <f t="shared" si="68"/>
        <v>0</v>
      </c>
      <c r="K117" s="2065">
        <f t="shared" si="68"/>
        <v>0</v>
      </c>
      <c r="L117" s="2065">
        <f t="shared" si="68"/>
        <v>0</v>
      </c>
      <c r="M117" s="2065">
        <f>+M118+M119</f>
        <v>0</v>
      </c>
      <c r="N117" s="2065">
        <f>+N118+N119</f>
        <v>0</v>
      </c>
      <c r="O117" s="2065">
        <f>+O118+O119</f>
        <v>0</v>
      </c>
      <c r="P117" s="2065">
        <f>+P118+P119</f>
        <v>0</v>
      </c>
      <c r="Q117" s="2065"/>
      <c r="R117" s="2065"/>
      <c r="S117" s="2065"/>
      <c r="T117" s="2065"/>
      <c r="U117" s="2065"/>
      <c r="V117" s="2065"/>
      <c r="W117" s="2065"/>
      <c r="X117" s="2084">
        <f>+X118+X119</f>
        <v>0</v>
      </c>
      <c r="Y117" s="2773"/>
      <c r="Z117" s="2004"/>
    </row>
    <row r="118" spans="1:35" ht="13.5" hidden="1" customHeight="1">
      <c r="A118" s="2770"/>
      <c r="B118" s="2068" t="s">
        <v>24</v>
      </c>
      <c r="C118" s="2803"/>
      <c r="D118" s="2069">
        <f>+E118+I118+J118+K118+L118</f>
        <v>0</v>
      </c>
      <c r="E118" s="2070">
        <f>+F118+G118+H118</f>
        <v>0</v>
      </c>
      <c r="F118" s="2070">
        <v>0</v>
      </c>
      <c r="G118" s="2070"/>
      <c r="H118" s="2080"/>
      <c r="I118" s="2080"/>
      <c r="J118" s="2080"/>
      <c r="K118" s="2070">
        <v>0</v>
      </c>
      <c r="L118" s="2070">
        <v>0</v>
      </c>
      <c r="M118" s="2070"/>
      <c r="N118" s="2070"/>
      <c r="O118" s="2070"/>
      <c r="P118" s="2070"/>
      <c r="Q118" s="2070"/>
      <c r="R118" s="2070"/>
      <c r="S118" s="2070"/>
      <c r="T118" s="2070"/>
      <c r="U118" s="2070"/>
      <c r="V118" s="2070"/>
      <c r="W118" s="2070"/>
      <c r="X118" s="2071"/>
      <c r="Y118" s="2773"/>
      <c r="Z118" s="2004"/>
    </row>
    <row r="119" spans="1:35" ht="13.5" hidden="1" customHeight="1">
      <c r="A119" s="2770"/>
      <c r="B119" s="2068" t="s">
        <v>25</v>
      </c>
      <c r="C119" s="2803"/>
      <c r="D119" s="2069">
        <f>SUM(M119:R119)</f>
        <v>0</v>
      </c>
      <c r="E119" s="2070">
        <f>+F119+G119+H119</f>
        <v>0</v>
      </c>
      <c r="F119" s="2070"/>
      <c r="G119" s="2070"/>
      <c r="H119" s="2080"/>
      <c r="I119" s="2080"/>
      <c r="J119" s="2080"/>
      <c r="K119" s="2070"/>
      <c r="L119" s="2070"/>
      <c r="M119" s="2070">
        <f>+L119+K119+J119+I119+E119</f>
        <v>0</v>
      </c>
      <c r="N119" s="2070"/>
      <c r="O119" s="2070">
        <v>0</v>
      </c>
      <c r="P119" s="2070">
        <v>0</v>
      </c>
      <c r="Q119" s="2070"/>
      <c r="R119" s="2070"/>
      <c r="S119" s="2070"/>
      <c r="T119" s="2070"/>
      <c r="U119" s="2070"/>
      <c r="V119" s="2070"/>
      <c r="W119" s="2070"/>
      <c r="X119" s="2071">
        <f>SUM(P119:S119)</f>
        <v>0</v>
      </c>
      <c r="Y119" s="2773"/>
      <c r="Z119" s="2004"/>
    </row>
    <row r="120" spans="1:35" ht="12.75" hidden="1" customHeight="1">
      <c r="A120" s="2770"/>
      <c r="B120" s="2063" t="s">
        <v>30</v>
      </c>
      <c r="C120" s="2803"/>
      <c r="D120" s="2064">
        <f>+D121</f>
        <v>0</v>
      </c>
      <c r="E120" s="2064">
        <f t="shared" ref="E120:X120" si="69">+E121</f>
        <v>0</v>
      </c>
      <c r="F120" s="2064">
        <f t="shared" si="69"/>
        <v>0</v>
      </c>
      <c r="G120" s="2064">
        <f t="shared" si="69"/>
        <v>0</v>
      </c>
      <c r="H120" s="2064">
        <f t="shared" si="69"/>
        <v>0</v>
      </c>
      <c r="I120" s="2064">
        <f t="shared" si="69"/>
        <v>0</v>
      </c>
      <c r="J120" s="2064">
        <f t="shared" si="69"/>
        <v>0</v>
      </c>
      <c r="K120" s="2064">
        <f t="shared" si="69"/>
        <v>0</v>
      </c>
      <c r="L120" s="2064">
        <f t="shared" si="69"/>
        <v>0</v>
      </c>
      <c r="M120" s="2064">
        <f t="shared" si="69"/>
        <v>0</v>
      </c>
      <c r="N120" s="2064">
        <f t="shared" si="69"/>
        <v>0</v>
      </c>
      <c r="O120" s="2064">
        <f t="shared" si="69"/>
        <v>0</v>
      </c>
      <c r="P120" s="2064">
        <f t="shared" si="69"/>
        <v>0</v>
      </c>
      <c r="Q120" s="2064"/>
      <c r="R120" s="2064"/>
      <c r="S120" s="2064"/>
      <c r="T120" s="2064"/>
      <c r="U120" s="2064"/>
      <c r="V120" s="2064"/>
      <c r="W120" s="2064"/>
      <c r="X120" s="2085">
        <f t="shared" si="69"/>
        <v>0</v>
      </c>
      <c r="Y120" s="2773"/>
      <c r="Z120" s="2004"/>
    </row>
    <row r="121" spans="1:35" ht="12" hidden="1" customHeight="1">
      <c r="A121" s="2770"/>
      <c r="B121" s="2068" t="s">
        <v>33</v>
      </c>
      <c r="C121" s="2803"/>
      <c r="D121" s="2069">
        <f>SUM(M121:R121)</f>
        <v>0</v>
      </c>
      <c r="E121" s="2070">
        <f>+F121+G121+H121</f>
        <v>0</v>
      </c>
      <c r="F121" s="2070">
        <v>0</v>
      </c>
      <c r="G121" s="2070"/>
      <c r="H121" s="2080"/>
      <c r="I121" s="2080"/>
      <c r="J121" s="2080"/>
      <c r="K121" s="2070"/>
      <c r="L121" s="2070"/>
      <c r="M121" s="2070">
        <f>+L121+K121+J121+I121+E121</f>
        <v>0</v>
      </c>
      <c r="N121" s="2070"/>
      <c r="O121" s="2070">
        <v>0</v>
      </c>
      <c r="P121" s="2070">
        <v>0</v>
      </c>
      <c r="Q121" s="2070"/>
      <c r="R121" s="2070"/>
      <c r="S121" s="2070"/>
      <c r="T121" s="2070"/>
      <c r="U121" s="2070"/>
      <c r="V121" s="2070"/>
      <c r="W121" s="2070"/>
      <c r="X121" s="2071">
        <f>SUM(P121:S121)</f>
        <v>0</v>
      </c>
      <c r="Y121" s="2773"/>
      <c r="Z121" s="2004"/>
    </row>
    <row r="122" spans="1:35" ht="10.5" hidden="1" customHeight="1">
      <c r="A122" s="2770"/>
      <c r="B122" s="2060" t="s">
        <v>34</v>
      </c>
      <c r="C122" s="2027"/>
      <c r="D122" s="2061">
        <f t="shared" ref="D122:L122" si="70">+D123+D125</f>
        <v>0</v>
      </c>
      <c r="E122" s="2061">
        <f t="shared" si="70"/>
        <v>0</v>
      </c>
      <c r="F122" s="2061">
        <f t="shared" si="70"/>
        <v>0</v>
      </c>
      <c r="G122" s="2061">
        <f t="shared" si="70"/>
        <v>0</v>
      </c>
      <c r="H122" s="2061">
        <f t="shared" si="70"/>
        <v>0</v>
      </c>
      <c r="I122" s="2061">
        <f t="shared" si="70"/>
        <v>0</v>
      </c>
      <c r="J122" s="2061">
        <f t="shared" si="70"/>
        <v>0</v>
      </c>
      <c r="K122" s="2061">
        <f t="shared" si="70"/>
        <v>0</v>
      </c>
      <c r="L122" s="2061">
        <f t="shared" si="70"/>
        <v>0</v>
      </c>
      <c r="M122" s="2061">
        <f>+M123+M125</f>
        <v>0</v>
      </c>
      <c r="N122" s="2061">
        <f>+N123+N125</f>
        <v>0</v>
      </c>
      <c r="O122" s="2061">
        <f>+O123+O125</f>
        <v>0</v>
      </c>
      <c r="P122" s="2061">
        <f>+P123+P125</f>
        <v>0</v>
      </c>
      <c r="Q122" s="2061"/>
      <c r="R122" s="2061"/>
      <c r="S122" s="2061"/>
      <c r="T122" s="2061"/>
      <c r="U122" s="2061"/>
      <c r="V122" s="2061"/>
      <c r="W122" s="2061"/>
      <c r="X122" s="2806" t="s">
        <v>77</v>
      </c>
      <c r="Y122" s="2773"/>
      <c r="Z122" s="2004"/>
    </row>
    <row r="123" spans="1:35" ht="13.5" hidden="1" customHeight="1">
      <c r="A123" s="2770"/>
      <c r="B123" s="2079" t="s">
        <v>36</v>
      </c>
      <c r="C123" s="2804" t="s">
        <v>323</v>
      </c>
      <c r="D123" s="2064">
        <f t="shared" ref="D123:P123" si="71">+D124</f>
        <v>0</v>
      </c>
      <c r="E123" s="2064">
        <f t="shared" si="71"/>
        <v>0</v>
      </c>
      <c r="F123" s="2064">
        <f t="shared" si="71"/>
        <v>0</v>
      </c>
      <c r="G123" s="2064">
        <f t="shared" si="71"/>
        <v>0</v>
      </c>
      <c r="H123" s="2064">
        <f t="shared" si="71"/>
        <v>0</v>
      </c>
      <c r="I123" s="2064">
        <f t="shared" si="71"/>
        <v>0</v>
      </c>
      <c r="J123" s="2064">
        <f t="shared" si="71"/>
        <v>0</v>
      </c>
      <c r="K123" s="2064">
        <f t="shared" si="71"/>
        <v>0</v>
      </c>
      <c r="L123" s="2064">
        <f t="shared" si="71"/>
        <v>0</v>
      </c>
      <c r="M123" s="2064">
        <f t="shared" si="71"/>
        <v>0</v>
      </c>
      <c r="N123" s="2064">
        <f t="shared" si="71"/>
        <v>0</v>
      </c>
      <c r="O123" s="2064">
        <f t="shared" si="71"/>
        <v>0</v>
      </c>
      <c r="P123" s="2064">
        <f t="shared" si="71"/>
        <v>0</v>
      </c>
      <c r="Q123" s="2064"/>
      <c r="R123" s="2064"/>
      <c r="S123" s="2064"/>
      <c r="T123" s="2064"/>
      <c r="U123" s="2064"/>
      <c r="V123" s="2064"/>
      <c r="W123" s="2064"/>
      <c r="X123" s="2806"/>
      <c r="Y123" s="2773"/>
      <c r="Z123" s="2004"/>
    </row>
    <row r="124" spans="1:35" ht="11.25" hidden="1" customHeight="1">
      <c r="A124" s="2770"/>
      <c r="B124" s="2068" t="s">
        <v>25</v>
      </c>
      <c r="C124" s="2803"/>
      <c r="D124" s="2069">
        <f>SUM(M124:R124)</f>
        <v>0</v>
      </c>
      <c r="E124" s="2070">
        <f>+F124+G124+H124</f>
        <v>0</v>
      </c>
      <c r="F124" s="2069"/>
      <c r="G124" s="2069"/>
      <c r="H124" s="2069"/>
      <c r="I124" s="2069"/>
      <c r="J124" s="2069"/>
      <c r="K124" s="2069"/>
      <c r="L124" s="2069"/>
      <c r="M124" s="2070">
        <f>+L124+K124+J124+I124+E124</f>
        <v>0</v>
      </c>
      <c r="N124" s="2069"/>
      <c r="O124" s="2069">
        <v>0</v>
      </c>
      <c r="P124" s="2069">
        <v>0</v>
      </c>
      <c r="Q124" s="2069"/>
      <c r="R124" s="2069"/>
      <c r="S124" s="2069"/>
      <c r="T124" s="2069"/>
      <c r="U124" s="2069"/>
      <c r="V124" s="2069"/>
      <c r="W124" s="2069"/>
      <c r="X124" s="2806"/>
      <c r="Y124" s="2773"/>
      <c r="Z124" s="2004"/>
    </row>
    <row r="125" spans="1:35" ht="12" hidden="1" customHeight="1">
      <c r="A125" s="2770"/>
      <c r="B125" s="2063" t="s">
        <v>30</v>
      </c>
      <c r="C125" s="2805"/>
      <c r="D125" s="2064">
        <f t="shared" ref="D125:P125" si="72">+D126</f>
        <v>0</v>
      </c>
      <c r="E125" s="2064">
        <f t="shared" si="72"/>
        <v>0</v>
      </c>
      <c r="F125" s="2064">
        <f t="shared" si="72"/>
        <v>0</v>
      </c>
      <c r="G125" s="2064">
        <f t="shared" si="72"/>
        <v>0</v>
      </c>
      <c r="H125" s="2064">
        <f t="shared" si="72"/>
        <v>0</v>
      </c>
      <c r="I125" s="2064">
        <f t="shared" si="72"/>
        <v>0</v>
      </c>
      <c r="J125" s="2064">
        <f t="shared" si="72"/>
        <v>0</v>
      </c>
      <c r="K125" s="2064">
        <f t="shared" si="72"/>
        <v>0</v>
      </c>
      <c r="L125" s="2064">
        <f t="shared" si="72"/>
        <v>0</v>
      </c>
      <c r="M125" s="2064">
        <f t="shared" si="72"/>
        <v>0</v>
      </c>
      <c r="N125" s="2064">
        <f t="shared" si="72"/>
        <v>0</v>
      </c>
      <c r="O125" s="2064">
        <f t="shared" si="72"/>
        <v>0</v>
      </c>
      <c r="P125" s="2064">
        <f t="shared" si="72"/>
        <v>0</v>
      </c>
      <c r="Q125" s="2064"/>
      <c r="R125" s="2064"/>
      <c r="S125" s="2064"/>
      <c r="T125" s="2064"/>
      <c r="U125" s="2064"/>
      <c r="V125" s="2064"/>
      <c r="W125" s="2064"/>
      <c r="X125" s="2806"/>
      <c r="Y125" s="2773"/>
      <c r="Z125" s="2004"/>
    </row>
    <row r="126" spans="1:35" ht="12.75" hidden="1" customHeight="1">
      <c r="A126" s="2770"/>
      <c r="B126" s="2087" t="s">
        <v>33</v>
      </c>
      <c r="C126" s="2805"/>
      <c r="D126" s="2069">
        <f>SUM(M126:R126)</f>
        <v>0</v>
      </c>
      <c r="E126" s="2070">
        <f>+F126+G126+H126</f>
        <v>0</v>
      </c>
      <c r="F126" s="2070"/>
      <c r="G126" s="2070"/>
      <c r="H126" s="2070"/>
      <c r="I126" s="2070"/>
      <c r="J126" s="2070"/>
      <c r="K126" s="2070"/>
      <c r="L126" s="2070"/>
      <c r="M126" s="2070">
        <f>+L126+K126+J126+I126+E126</f>
        <v>0</v>
      </c>
      <c r="N126" s="2070"/>
      <c r="O126" s="2070">
        <v>0</v>
      </c>
      <c r="P126" s="2070">
        <v>0</v>
      </c>
      <c r="Q126" s="2070"/>
      <c r="R126" s="2070"/>
      <c r="S126" s="2070"/>
      <c r="T126" s="2070"/>
      <c r="U126" s="2070"/>
      <c r="V126" s="2070"/>
      <c r="W126" s="2070"/>
      <c r="X126" s="2806"/>
      <c r="Y126" s="2773"/>
      <c r="Z126" s="2004"/>
    </row>
    <row r="127" spans="1:35" ht="22.9" hidden="1" customHeight="1">
      <c r="A127" s="2770" t="s">
        <v>136</v>
      </c>
      <c r="B127" s="2075"/>
      <c r="C127" s="2076" t="s">
        <v>128</v>
      </c>
      <c r="D127" s="2037"/>
      <c r="E127" s="2037"/>
      <c r="F127" s="2037"/>
      <c r="G127" s="2037"/>
      <c r="H127" s="2037"/>
      <c r="I127" s="2077"/>
      <c r="J127" s="2077"/>
      <c r="K127" s="2077"/>
      <c r="L127" s="2077"/>
      <c r="M127" s="2077"/>
      <c r="N127" s="2077"/>
      <c r="O127" s="2077"/>
      <c r="P127" s="2077"/>
      <c r="Q127" s="2077"/>
      <c r="R127" s="2077"/>
      <c r="S127" s="2077"/>
      <c r="T127" s="2077"/>
      <c r="U127" s="2077"/>
      <c r="V127" s="2077"/>
      <c r="W127" s="2077"/>
      <c r="X127" s="2029"/>
      <c r="Y127" s="2773" t="s">
        <v>147</v>
      </c>
      <c r="Z127" s="2005"/>
      <c r="AA127" s="1339"/>
    </row>
    <row r="128" spans="1:35" ht="23.45" hidden="1" customHeight="1">
      <c r="A128" s="2770"/>
      <c r="B128" s="2060" t="s">
        <v>22</v>
      </c>
      <c r="C128" s="2027"/>
      <c r="D128" s="2078">
        <f t="shared" ref="D128:L128" si="73">+D129+D132</f>
        <v>0</v>
      </c>
      <c r="E128" s="2078">
        <f t="shared" si="73"/>
        <v>0</v>
      </c>
      <c r="F128" s="2078">
        <f t="shared" si="73"/>
        <v>0</v>
      </c>
      <c r="G128" s="2078">
        <f t="shared" si="73"/>
        <v>0</v>
      </c>
      <c r="H128" s="2078">
        <f t="shared" si="73"/>
        <v>0</v>
      </c>
      <c r="I128" s="2078">
        <f t="shared" si="73"/>
        <v>0</v>
      </c>
      <c r="J128" s="2078">
        <f t="shared" si="73"/>
        <v>0</v>
      </c>
      <c r="K128" s="2078">
        <f t="shared" si="73"/>
        <v>0</v>
      </c>
      <c r="L128" s="2078">
        <f t="shared" si="73"/>
        <v>0</v>
      </c>
      <c r="M128" s="2078">
        <f>+M129+M132</f>
        <v>0</v>
      </c>
      <c r="N128" s="2078">
        <f>+N129+N132</f>
        <v>0</v>
      </c>
      <c r="O128" s="2078">
        <f>+O129+O132</f>
        <v>0</v>
      </c>
      <c r="P128" s="2078">
        <f>+P129+P132</f>
        <v>0</v>
      </c>
      <c r="Q128" s="2078"/>
      <c r="R128" s="2078"/>
      <c r="S128" s="2078"/>
      <c r="T128" s="2078"/>
      <c r="U128" s="2078"/>
      <c r="V128" s="2078"/>
      <c r="W128" s="2078"/>
      <c r="X128" s="2062">
        <f>+X129+X132</f>
        <v>0</v>
      </c>
      <c r="Y128" s="2773"/>
      <c r="Z128" s="2005">
        <f>+O128+P128+Q128+R128</f>
        <v>0</v>
      </c>
    </row>
    <row r="129" spans="1:26" ht="23.45" hidden="1" customHeight="1">
      <c r="A129" s="2770"/>
      <c r="B129" s="2079" t="s">
        <v>36</v>
      </c>
      <c r="C129" s="2802" t="s">
        <v>323</v>
      </c>
      <c r="D129" s="2065">
        <f t="shared" ref="D129:L129" si="74">+D130+D131</f>
        <v>0</v>
      </c>
      <c r="E129" s="2065">
        <f t="shared" si="74"/>
        <v>0</v>
      </c>
      <c r="F129" s="2065">
        <f t="shared" si="74"/>
        <v>0</v>
      </c>
      <c r="G129" s="2065">
        <f t="shared" si="74"/>
        <v>0</v>
      </c>
      <c r="H129" s="2065">
        <f t="shared" si="74"/>
        <v>0</v>
      </c>
      <c r="I129" s="2065">
        <f t="shared" si="74"/>
        <v>0</v>
      </c>
      <c r="J129" s="2065">
        <f t="shared" si="74"/>
        <v>0</v>
      </c>
      <c r="K129" s="2065">
        <f t="shared" si="74"/>
        <v>0</v>
      </c>
      <c r="L129" s="2065">
        <f t="shared" si="74"/>
        <v>0</v>
      </c>
      <c r="M129" s="2065">
        <f>+M130+M131</f>
        <v>0</v>
      </c>
      <c r="N129" s="2065">
        <f>+N130+N131</f>
        <v>0</v>
      </c>
      <c r="O129" s="2065">
        <f>+O130+O131</f>
        <v>0</v>
      </c>
      <c r="P129" s="2065">
        <f>+P130+P131</f>
        <v>0</v>
      </c>
      <c r="Q129" s="2065"/>
      <c r="R129" s="2065"/>
      <c r="S129" s="2065"/>
      <c r="T129" s="2065"/>
      <c r="U129" s="2065"/>
      <c r="V129" s="2065"/>
      <c r="W129" s="2065"/>
      <c r="X129" s="2084">
        <f>+X130+X131</f>
        <v>0</v>
      </c>
      <c r="Y129" s="2773"/>
      <c r="Z129" s="2004"/>
    </row>
    <row r="130" spans="1:26" ht="22.9" hidden="1" customHeight="1">
      <c r="A130" s="2770"/>
      <c r="B130" s="2068" t="s">
        <v>24</v>
      </c>
      <c r="C130" s="2803"/>
      <c r="D130" s="2069">
        <f>M130+O130+P130+Q130+R130+S130+T130+U130+V130+W130</f>
        <v>0</v>
      </c>
      <c r="E130" s="2070"/>
      <c r="F130" s="2070"/>
      <c r="G130" s="2070"/>
      <c r="H130" s="2080"/>
      <c r="I130" s="2080"/>
      <c r="J130" s="2080"/>
      <c r="K130" s="2070"/>
      <c r="L130" s="2070"/>
      <c r="M130" s="2070"/>
      <c r="N130" s="2080"/>
      <c r="O130" s="2070"/>
      <c r="P130" s="2070">
        <v>0</v>
      </c>
      <c r="Q130" s="2070"/>
      <c r="R130" s="2070"/>
      <c r="S130" s="2070"/>
      <c r="T130" s="2070"/>
      <c r="U130" s="2070"/>
      <c r="V130" s="2070"/>
      <c r="W130" s="2070"/>
      <c r="X130" s="2071">
        <f>SUM(P130:T130)</f>
        <v>0</v>
      </c>
      <c r="Y130" s="2773"/>
      <c r="Z130" s="2004"/>
    </row>
    <row r="131" spans="1:26" ht="22.9" hidden="1" customHeight="1">
      <c r="A131" s="2770"/>
      <c r="B131" s="2068" t="s">
        <v>25</v>
      </c>
      <c r="C131" s="2803"/>
      <c r="D131" s="2069">
        <f>M131+O131+P131+Q131+R131+S131+T131+U131+V131+W131</f>
        <v>0</v>
      </c>
      <c r="E131" s="2070"/>
      <c r="F131" s="2070"/>
      <c r="G131" s="2070"/>
      <c r="H131" s="2080"/>
      <c r="I131" s="2080"/>
      <c r="J131" s="2080"/>
      <c r="K131" s="2070"/>
      <c r="L131" s="2070"/>
      <c r="M131" s="2070"/>
      <c r="N131" s="2070"/>
      <c r="O131" s="2070"/>
      <c r="P131" s="2070">
        <v>0</v>
      </c>
      <c r="Q131" s="2070"/>
      <c r="R131" s="2070"/>
      <c r="S131" s="2070"/>
      <c r="T131" s="2070"/>
      <c r="U131" s="2070"/>
      <c r="V131" s="2070"/>
      <c r="W131" s="2070"/>
      <c r="X131" s="2071">
        <f>SUM(O131:R131)</f>
        <v>0</v>
      </c>
      <c r="Y131" s="2773"/>
      <c r="Z131" s="2005"/>
    </row>
    <row r="132" spans="1:26" ht="22.9" hidden="1" customHeight="1">
      <c r="A132" s="2770"/>
      <c r="B132" s="2063" t="s">
        <v>30</v>
      </c>
      <c r="C132" s="2803"/>
      <c r="D132" s="2064">
        <f>+D133</f>
        <v>0</v>
      </c>
      <c r="E132" s="2064">
        <f t="shared" ref="E132:X132" si="75">+E133</f>
        <v>0</v>
      </c>
      <c r="F132" s="2064">
        <f t="shared" si="75"/>
        <v>0</v>
      </c>
      <c r="G132" s="2064">
        <f t="shared" si="75"/>
        <v>0</v>
      </c>
      <c r="H132" s="2064">
        <f t="shared" si="75"/>
        <v>0</v>
      </c>
      <c r="I132" s="2064">
        <f t="shared" si="75"/>
        <v>0</v>
      </c>
      <c r="J132" s="2064">
        <f t="shared" si="75"/>
        <v>0</v>
      </c>
      <c r="K132" s="2064">
        <f t="shared" si="75"/>
        <v>0</v>
      </c>
      <c r="L132" s="2064">
        <f t="shared" si="75"/>
        <v>0</v>
      </c>
      <c r="M132" s="2064">
        <f t="shared" si="75"/>
        <v>0</v>
      </c>
      <c r="N132" s="2064">
        <f t="shared" si="75"/>
        <v>0</v>
      </c>
      <c r="O132" s="2064">
        <f t="shared" si="75"/>
        <v>0</v>
      </c>
      <c r="P132" s="2064">
        <f t="shared" si="75"/>
        <v>0</v>
      </c>
      <c r="Q132" s="2064"/>
      <c r="R132" s="2064"/>
      <c r="S132" s="2064"/>
      <c r="T132" s="2064"/>
      <c r="U132" s="2064"/>
      <c r="V132" s="2064"/>
      <c r="W132" s="2064"/>
      <c r="X132" s="2085">
        <f t="shared" si="75"/>
        <v>0</v>
      </c>
      <c r="Y132" s="2773"/>
      <c r="Z132" s="2004"/>
    </row>
    <row r="133" spans="1:26" ht="22.15" hidden="1" customHeight="1">
      <c r="A133" s="2770"/>
      <c r="B133" s="2068" t="s">
        <v>33</v>
      </c>
      <c r="C133" s="2803"/>
      <c r="D133" s="2069">
        <f>M133+O133+P133+Q133+R133+S133+T133+U133+V133+W133</f>
        <v>0</v>
      </c>
      <c r="E133" s="2070"/>
      <c r="F133" s="2070"/>
      <c r="G133" s="2070"/>
      <c r="H133" s="2080"/>
      <c r="I133" s="2080"/>
      <c r="J133" s="2080"/>
      <c r="K133" s="2070"/>
      <c r="L133" s="2070"/>
      <c r="M133" s="2070"/>
      <c r="N133" s="2070"/>
      <c r="O133" s="2070"/>
      <c r="P133" s="2070">
        <v>0</v>
      </c>
      <c r="Q133" s="2070"/>
      <c r="R133" s="2070"/>
      <c r="S133" s="2070"/>
      <c r="T133" s="2070"/>
      <c r="U133" s="2070"/>
      <c r="V133" s="2070"/>
      <c r="W133" s="2070"/>
      <c r="X133" s="2071">
        <f>SUM(P133:T133)</f>
        <v>0</v>
      </c>
      <c r="Y133" s="2773"/>
      <c r="Z133" s="2004"/>
    </row>
    <row r="134" spans="1:26" ht="21.6" hidden="1" customHeight="1">
      <c r="A134" s="2770"/>
      <c r="B134" s="2060" t="s">
        <v>34</v>
      </c>
      <c r="C134" s="2027"/>
      <c r="D134" s="2061">
        <f t="shared" ref="D134:L134" si="76">+D135+D137</f>
        <v>0</v>
      </c>
      <c r="E134" s="2061">
        <f t="shared" si="76"/>
        <v>0</v>
      </c>
      <c r="F134" s="2061">
        <f t="shared" si="76"/>
        <v>0</v>
      </c>
      <c r="G134" s="2061">
        <f t="shared" si="76"/>
        <v>0</v>
      </c>
      <c r="H134" s="2061">
        <f t="shared" si="76"/>
        <v>0</v>
      </c>
      <c r="I134" s="2061">
        <f t="shared" si="76"/>
        <v>0</v>
      </c>
      <c r="J134" s="2061">
        <f t="shared" si="76"/>
        <v>0</v>
      </c>
      <c r="K134" s="2061">
        <f t="shared" si="76"/>
        <v>0</v>
      </c>
      <c r="L134" s="2061">
        <f t="shared" si="76"/>
        <v>0</v>
      </c>
      <c r="M134" s="2061">
        <f>+M135+M137</f>
        <v>0</v>
      </c>
      <c r="N134" s="2061">
        <f>+N135+N137</f>
        <v>0</v>
      </c>
      <c r="O134" s="2061">
        <f>+O135+O137</f>
        <v>0</v>
      </c>
      <c r="P134" s="2061">
        <f>+P135+P137</f>
        <v>0</v>
      </c>
      <c r="Q134" s="2061"/>
      <c r="R134" s="2061"/>
      <c r="S134" s="2061"/>
      <c r="T134" s="2061"/>
      <c r="U134" s="2061"/>
      <c r="V134" s="2061"/>
      <c r="W134" s="2061"/>
      <c r="X134" s="2806" t="s">
        <v>77</v>
      </c>
      <c r="Y134" s="2774"/>
      <c r="Z134" s="2004"/>
    </row>
    <row r="135" spans="1:26" ht="21" hidden="1" customHeight="1">
      <c r="A135" s="2770"/>
      <c r="B135" s="2079" t="s">
        <v>36</v>
      </c>
      <c r="C135" s="2804" t="s">
        <v>323</v>
      </c>
      <c r="D135" s="2064">
        <f t="shared" ref="D135:P135" si="77">+D136</f>
        <v>0</v>
      </c>
      <c r="E135" s="2064">
        <f t="shared" si="77"/>
        <v>0</v>
      </c>
      <c r="F135" s="2064">
        <f t="shared" si="77"/>
        <v>0</v>
      </c>
      <c r="G135" s="2064">
        <f t="shared" si="77"/>
        <v>0</v>
      </c>
      <c r="H135" s="2064">
        <f t="shared" si="77"/>
        <v>0</v>
      </c>
      <c r="I135" s="2064">
        <f t="shared" si="77"/>
        <v>0</v>
      </c>
      <c r="J135" s="2064">
        <f t="shared" si="77"/>
        <v>0</v>
      </c>
      <c r="K135" s="2064">
        <f t="shared" si="77"/>
        <v>0</v>
      </c>
      <c r="L135" s="2064">
        <f t="shared" si="77"/>
        <v>0</v>
      </c>
      <c r="M135" s="2064">
        <f t="shared" si="77"/>
        <v>0</v>
      </c>
      <c r="N135" s="2064">
        <f t="shared" si="77"/>
        <v>0</v>
      </c>
      <c r="O135" s="2064">
        <f t="shared" si="77"/>
        <v>0</v>
      </c>
      <c r="P135" s="2064">
        <f t="shared" si="77"/>
        <v>0</v>
      </c>
      <c r="Q135" s="2064"/>
      <c r="R135" s="2064"/>
      <c r="S135" s="2064"/>
      <c r="T135" s="2064"/>
      <c r="U135" s="2064"/>
      <c r="V135" s="2064"/>
      <c r="W135" s="2064"/>
      <c r="X135" s="2806"/>
      <c r="Y135" s="2774"/>
      <c r="Z135" s="2004"/>
    </row>
    <row r="136" spans="1:26" ht="21" hidden="1" customHeight="1">
      <c r="A136" s="2770"/>
      <c r="B136" s="2068" t="s">
        <v>25</v>
      </c>
      <c r="C136" s="2803"/>
      <c r="D136" s="2069">
        <f>M136+O136+P136+Q136+R136+S136+T136+U136+V136+W136</f>
        <v>0</v>
      </c>
      <c r="E136" s="2070"/>
      <c r="F136" s="2069"/>
      <c r="G136" s="2069"/>
      <c r="H136" s="2069"/>
      <c r="I136" s="2069"/>
      <c r="J136" s="2069"/>
      <c r="K136" s="2069"/>
      <c r="L136" s="2069"/>
      <c r="M136" s="2070"/>
      <c r="N136" s="2069"/>
      <c r="O136" s="2069"/>
      <c r="P136" s="2069"/>
      <c r="Q136" s="2069"/>
      <c r="R136" s="2069"/>
      <c r="S136" s="2069"/>
      <c r="T136" s="2069"/>
      <c r="U136" s="2069"/>
      <c r="V136" s="2069"/>
      <c r="W136" s="2069"/>
      <c r="X136" s="2806"/>
      <c r="Y136" s="2774"/>
      <c r="Z136" s="2004"/>
    </row>
    <row r="137" spans="1:26" ht="36.6" hidden="1" customHeight="1">
      <c r="A137" s="2770"/>
      <c r="B137" s="2063" t="s">
        <v>30</v>
      </c>
      <c r="C137" s="2805"/>
      <c r="D137" s="2064">
        <f t="shared" ref="D137:P137" si="78">+D138</f>
        <v>0</v>
      </c>
      <c r="E137" s="2064">
        <f t="shared" si="78"/>
        <v>0</v>
      </c>
      <c r="F137" s="2064">
        <f t="shared" si="78"/>
        <v>0</v>
      </c>
      <c r="G137" s="2064">
        <f t="shared" si="78"/>
        <v>0</v>
      </c>
      <c r="H137" s="2064">
        <f t="shared" si="78"/>
        <v>0</v>
      </c>
      <c r="I137" s="2064">
        <f t="shared" si="78"/>
        <v>0</v>
      </c>
      <c r="J137" s="2064">
        <f t="shared" si="78"/>
        <v>0</v>
      </c>
      <c r="K137" s="2064">
        <f t="shared" si="78"/>
        <v>0</v>
      </c>
      <c r="L137" s="2064">
        <f t="shared" si="78"/>
        <v>0</v>
      </c>
      <c r="M137" s="2064">
        <f t="shared" si="78"/>
        <v>0</v>
      </c>
      <c r="N137" s="2064">
        <f t="shared" si="78"/>
        <v>0</v>
      </c>
      <c r="O137" s="2064">
        <f t="shared" si="78"/>
        <v>0</v>
      </c>
      <c r="P137" s="2064">
        <f t="shared" si="78"/>
        <v>0</v>
      </c>
      <c r="Q137" s="2064"/>
      <c r="R137" s="2064"/>
      <c r="S137" s="2064"/>
      <c r="T137" s="2064"/>
      <c r="U137" s="2064"/>
      <c r="V137" s="2064"/>
      <c r="W137" s="2064"/>
      <c r="X137" s="2806"/>
      <c r="Y137" s="2774"/>
      <c r="Z137" s="2004"/>
    </row>
    <row r="138" spans="1:26" ht="18" hidden="1" customHeight="1">
      <c r="A138" s="2770"/>
      <c r="B138" s="2088" t="s">
        <v>33</v>
      </c>
      <c r="C138" s="2805"/>
      <c r="D138" s="2069">
        <f>M138+O138+P138+Q138+R138+S138+T138+U138+V138+W138</f>
        <v>0</v>
      </c>
      <c r="E138" s="2070"/>
      <c r="F138" s="2070"/>
      <c r="G138" s="2070"/>
      <c r="H138" s="2070"/>
      <c r="I138" s="2070"/>
      <c r="J138" s="2070"/>
      <c r="K138" s="2070"/>
      <c r="L138" s="2070"/>
      <c r="M138" s="2070"/>
      <c r="N138" s="2070"/>
      <c r="O138" s="2070"/>
      <c r="P138" s="2070"/>
      <c r="Q138" s="2070"/>
      <c r="R138" s="2070"/>
      <c r="S138" s="2070"/>
      <c r="T138" s="2070"/>
      <c r="U138" s="2070"/>
      <c r="V138" s="2070"/>
      <c r="W138" s="2070"/>
      <c r="X138" s="2806"/>
      <c r="Y138" s="2774"/>
      <c r="Z138" s="2004"/>
    </row>
    <row r="139" spans="1:26" ht="18" hidden="1" customHeight="1">
      <c r="A139" s="2770" t="s">
        <v>107</v>
      </c>
      <c r="B139" s="2075"/>
      <c r="C139" s="2076"/>
      <c r="D139" s="2037"/>
      <c r="E139" s="2037"/>
      <c r="F139" s="2037"/>
      <c r="G139" s="2037"/>
      <c r="H139" s="2037"/>
      <c r="I139" s="2077"/>
      <c r="J139" s="2077"/>
      <c r="K139" s="2077"/>
      <c r="L139" s="2077"/>
      <c r="M139" s="2077"/>
      <c r="N139" s="2077"/>
      <c r="O139" s="2077"/>
      <c r="P139" s="2077"/>
      <c r="Q139" s="2077"/>
      <c r="R139" s="2077"/>
      <c r="S139" s="2077"/>
      <c r="T139" s="2077"/>
      <c r="U139" s="2077"/>
      <c r="V139" s="2077"/>
      <c r="W139" s="2077"/>
      <c r="X139" s="2029"/>
      <c r="Y139" s="2773" t="s">
        <v>147</v>
      </c>
      <c r="Z139" s="2004"/>
    </row>
    <row r="140" spans="1:26" ht="19.149999999999999" hidden="1" customHeight="1">
      <c r="A140" s="2770"/>
      <c r="B140" s="2060" t="s">
        <v>22</v>
      </c>
      <c r="C140" s="2027"/>
      <c r="D140" s="2078">
        <f t="shared" ref="D140:P140" si="79">+D141+D144</f>
        <v>0</v>
      </c>
      <c r="E140" s="2078">
        <f t="shared" si="79"/>
        <v>0</v>
      </c>
      <c r="F140" s="2078">
        <f t="shared" si="79"/>
        <v>0</v>
      </c>
      <c r="G140" s="2078">
        <f t="shared" si="79"/>
        <v>0</v>
      </c>
      <c r="H140" s="2078">
        <f t="shared" si="79"/>
        <v>0</v>
      </c>
      <c r="I140" s="2078">
        <f t="shared" si="79"/>
        <v>0</v>
      </c>
      <c r="J140" s="2078">
        <f t="shared" si="79"/>
        <v>0</v>
      </c>
      <c r="K140" s="2078">
        <f t="shared" si="79"/>
        <v>0</v>
      </c>
      <c r="L140" s="2078">
        <f t="shared" si="79"/>
        <v>0</v>
      </c>
      <c r="M140" s="2078">
        <f>+M141+M144</f>
        <v>0</v>
      </c>
      <c r="N140" s="2078">
        <f t="shared" si="79"/>
        <v>0</v>
      </c>
      <c r="O140" s="2078">
        <f t="shared" si="79"/>
        <v>0</v>
      </c>
      <c r="P140" s="2078">
        <f t="shared" si="79"/>
        <v>0</v>
      </c>
      <c r="Q140" s="2078"/>
      <c r="R140" s="2078"/>
      <c r="S140" s="2078"/>
      <c r="T140" s="2078"/>
      <c r="U140" s="2078"/>
      <c r="V140" s="2078"/>
      <c r="W140" s="2078"/>
      <c r="X140" s="2062">
        <f>+X141+X144</f>
        <v>0</v>
      </c>
      <c r="Y140" s="2773"/>
      <c r="Z140" s="2005">
        <f>+O140+P140+Q140+R140</f>
        <v>0</v>
      </c>
    </row>
    <row r="141" spans="1:26" ht="19.149999999999999" hidden="1" customHeight="1">
      <c r="A141" s="2770"/>
      <c r="B141" s="2079" t="s">
        <v>36</v>
      </c>
      <c r="C141" s="2802" t="s">
        <v>323</v>
      </c>
      <c r="D141" s="2065">
        <f t="shared" ref="D141:P141" si="80">+D142+D143</f>
        <v>0</v>
      </c>
      <c r="E141" s="2065">
        <f t="shared" si="80"/>
        <v>0</v>
      </c>
      <c r="F141" s="2065">
        <f t="shared" si="80"/>
        <v>0</v>
      </c>
      <c r="G141" s="2065">
        <f t="shared" si="80"/>
        <v>0</v>
      </c>
      <c r="H141" s="2065">
        <f t="shared" si="80"/>
        <v>0</v>
      </c>
      <c r="I141" s="2065">
        <f t="shared" si="80"/>
        <v>0</v>
      </c>
      <c r="J141" s="2065">
        <f t="shared" si="80"/>
        <v>0</v>
      </c>
      <c r="K141" s="2065">
        <f t="shared" si="80"/>
        <v>0</v>
      </c>
      <c r="L141" s="2065">
        <f t="shared" si="80"/>
        <v>0</v>
      </c>
      <c r="M141" s="2065">
        <f>+M142+M143</f>
        <v>0</v>
      </c>
      <c r="N141" s="2065">
        <f t="shared" si="80"/>
        <v>0</v>
      </c>
      <c r="O141" s="2065">
        <f t="shared" si="80"/>
        <v>0</v>
      </c>
      <c r="P141" s="2065">
        <f t="shared" si="80"/>
        <v>0</v>
      </c>
      <c r="Q141" s="2065"/>
      <c r="R141" s="2065"/>
      <c r="S141" s="2065"/>
      <c r="T141" s="2065"/>
      <c r="U141" s="2065"/>
      <c r="V141" s="2065"/>
      <c r="W141" s="2065"/>
      <c r="X141" s="2084">
        <f>+X142+X143</f>
        <v>0</v>
      </c>
      <c r="Y141" s="2773"/>
      <c r="Z141" s="2004"/>
    </row>
    <row r="142" spans="1:26" ht="20.45" hidden="1" customHeight="1">
      <c r="A142" s="2770"/>
      <c r="B142" s="2068" t="s">
        <v>24</v>
      </c>
      <c r="C142" s="2803"/>
      <c r="D142" s="2069">
        <f>SUM(M142:R142)</f>
        <v>0</v>
      </c>
      <c r="E142" s="2070">
        <f>+F142+G142+H142</f>
        <v>0</v>
      </c>
      <c r="F142" s="2070"/>
      <c r="G142" s="2070"/>
      <c r="H142" s="2070"/>
      <c r="I142" s="2080"/>
      <c r="J142" s="2080"/>
      <c r="K142" s="2070"/>
      <c r="L142" s="2070"/>
      <c r="M142" s="2070">
        <f>+L142+K142+J142+I142+E142</f>
        <v>0</v>
      </c>
      <c r="N142" s="2070"/>
      <c r="O142" s="2070"/>
      <c r="P142" s="2070">
        <v>0</v>
      </c>
      <c r="Q142" s="2070"/>
      <c r="R142" s="2070"/>
      <c r="S142" s="2070"/>
      <c r="T142" s="2070"/>
      <c r="U142" s="2070"/>
      <c r="V142" s="2070"/>
      <c r="W142" s="2070"/>
      <c r="X142" s="2071">
        <f>SUM(P142:S142)</f>
        <v>0</v>
      </c>
      <c r="Y142" s="2773"/>
      <c r="Z142" s="2004"/>
    </row>
    <row r="143" spans="1:26" ht="18.600000000000001" hidden="1" customHeight="1">
      <c r="A143" s="2770"/>
      <c r="B143" s="2068" t="s">
        <v>25</v>
      </c>
      <c r="C143" s="2803"/>
      <c r="D143" s="2069">
        <f>+E143+I143+J143+K143+L143+N143+O143</f>
        <v>0</v>
      </c>
      <c r="E143" s="2070">
        <f>+F143+G143+H143</f>
        <v>0</v>
      </c>
      <c r="F143" s="2070"/>
      <c r="G143" s="2070">
        <v>0</v>
      </c>
      <c r="H143" s="2080"/>
      <c r="I143" s="2080"/>
      <c r="J143" s="2080"/>
      <c r="K143" s="2070">
        <v>0</v>
      </c>
      <c r="L143" s="2070">
        <v>0</v>
      </c>
      <c r="M143" s="2070"/>
      <c r="N143" s="2070">
        <v>0</v>
      </c>
      <c r="O143" s="2070">
        <v>0</v>
      </c>
      <c r="P143" s="2070">
        <v>0</v>
      </c>
      <c r="Q143" s="2070"/>
      <c r="R143" s="2070"/>
      <c r="S143" s="2070"/>
      <c r="T143" s="2070"/>
      <c r="U143" s="2070"/>
      <c r="V143" s="2070"/>
      <c r="W143" s="2070"/>
      <c r="X143" s="2071">
        <f>SUM(O143:R143)</f>
        <v>0</v>
      </c>
      <c r="Y143" s="2773"/>
      <c r="Z143" s="2004"/>
    </row>
    <row r="144" spans="1:26" ht="18" hidden="1" customHeight="1">
      <c r="A144" s="2770"/>
      <c r="B144" s="2063" t="s">
        <v>30</v>
      </c>
      <c r="C144" s="2803"/>
      <c r="D144" s="2064">
        <f>+D145</f>
        <v>0</v>
      </c>
      <c r="E144" s="2064">
        <f t="shared" ref="E144:X144" si="81">+E145</f>
        <v>0</v>
      </c>
      <c r="F144" s="2064">
        <f t="shared" si="81"/>
        <v>0</v>
      </c>
      <c r="G144" s="2064">
        <f t="shared" si="81"/>
        <v>0</v>
      </c>
      <c r="H144" s="2064">
        <f t="shared" si="81"/>
        <v>0</v>
      </c>
      <c r="I144" s="2064">
        <f t="shared" si="81"/>
        <v>0</v>
      </c>
      <c r="J144" s="2064">
        <f t="shared" si="81"/>
        <v>0</v>
      </c>
      <c r="K144" s="2064">
        <f t="shared" si="81"/>
        <v>0</v>
      </c>
      <c r="L144" s="2064">
        <f t="shared" si="81"/>
        <v>0</v>
      </c>
      <c r="M144" s="2064">
        <f t="shared" si="81"/>
        <v>0</v>
      </c>
      <c r="N144" s="2064">
        <f t="shared" si="81"/>
        <v>0</v>
      </c>
      <c r="O144" s="2064">
        <f t="shared" si="81"/>
        <v>0</v>
      </c>
      <c r="P144" s="2064">
        <f t="shared" si="81"/>
        <v>0</v>
      </c>
      <c r="Q144" s="2064"/>
      <c r="R144" s="2064"/>
      <c r="S144" s="2064"/>
      <c r="T144" s="2064"/>
      <c r="U144" s="2064"/>
      <c r="V144" s="2064"/>
      <c r="W144" s="2064"/>
      <c r="X144" s="2085">
        <f t="shared" si="81"/>
        <v>0</v>
      </c>
      <c r="Y144" s="2773"/>
      <c r="Z144" s="2004"/>
    </row>
    <row r="145" spans="1:26" ht="16.149999999999999" hidden="1" customHeight="1">
      <c r="A145" s="2770"/>
      <c r="B145" s="2068" t="s">
        <v>33</v>
      </c>
      <c r="C145" s="2803"/>
      <c r="D145" s="2069">
        <f>SUM(M145:R145)</f>
        <v>0</v>
      </c>
      <c r="E145" s="2070">
        <f>+F145+G145+H145</f>
        <v>0</v>
      </c>
      <c r="F145" s="2070"/>
      <c r="G145" s="2070"/>
      <c r="H145" s="2070"/>
      <c r="I145" s="2080"/>
      <c r="J145" s="2080"/>
      <c r="K145" s="2070"/>
      <c r="L145" s="2070"/>
      <c r="M145" s="2070">
        <f>+L145+K145+J145+I145+E145</f>
        <v>0</v>
      </c>
      <c r="N145" s="2070"/>
      <c r="O145" s="2070"/>
      <c r="P145" s="2070">
        <v>0</v>
      </c>
      <c r="Q145" s="2070"/>
      <c r="R145" s="2070"/>
      <c r="S145" s="2070"/>
      <c r="T145" s="2070"/>
      <c r="U145" s="2070"/>
      <c r="V145" s="2070"/>
      <c r="W145" s="2070"/>
      <c r="X145" s="2071">
        <f>SUM(P145:S145)</f>
        <v>0</v>
      </c>
      <c r="Y145" s="2773"/>
      <c r="Z145" s="2004"/>
    </row>
    <row r="146" spans="1:26" ht="22.15" hidden="1" customHeight="1">
      <c r="A146" s="2770"/>
      <c r="B146" s="2060" t="s">
        <v>34</v>
      </c>
      <c r="C146" s="2027"/>
      <c r="D146" s="2061">
        <f t="shared" ref="D146:L146" si="82">+D147+D149</f>
        <v>0</v>
      </c>
      <c r="E146" s="2061">
        <f t="shared" si="82"/>
        <v>0</v>
      </c>
      <c r="F146" s="2061">
        <f t="shared" si="82"/>
        <v>0</v>
      </c>
      <c r="G146" s="2061">
        <f t="shared" si="82"/>
        <v>0</v>
      </c>
      <c r="H146" s="2061">
        <f t="shared" si="82"/>
        <v>0</v>
      </c>
      <c r="I146" s="2061">
        <f t="shared" si="82"/>
        <v>0</v>
      </c>
      <c r="J146" s="2061">
        <f t="shared" si="82"/>
        <v>0</v>
      </c>
      <c r="K146" s="2061">
        <f t="shared" si="82"/>
        <v>0</v>
      </c>
      <c r="L146" s="2061">
        <f t="shared" si="82"/>
        <v>0</v>
      </c>
      <c r="M146" s="2061">
        <f>+M147+M149</f>
        <v>0</v>
      </c>
      <c r="N146" s="2061">
        <f>+N147+N149</f>
        <v>0</v>
      </c>
      <c r="O146" s="2061">
        <f>+O147+O149</f>
        <v>0</v>
      </c>
      <c r="P146" s="2061">
        <f>+P147+P149</f>
        <v>0</v>
      </c>
      <c r="Q146" s="2061"/>
      <c r="R146" s="2061"/>
      <c r="S146" s="2061"/>
      <c r="T146" s="2061"/>
      <c r="U146" s="2061"/>
      <c r="V146" s="2061"/>
      <c r="W146" s="2061"/>
      <c r="X146" s="2806" t="s">
        <v>77</v>
      </c>
      <c r="Y146" s="2774"/>
      <c r="Z146" s="2004"/>
    </row>
    <row r="147" spans="1:26" ht="22.15" hidden="1" customHeight="1">
      <c r="A147" s="2770"/>
      <c r="B147" s="2079" t="s">
        <v>36</v>
      </c>
      <c r="C147" s="2804" t="s">
        <v>324</v>
      </c>
      <c r="D147" s="2064">
        <f t="shared" ref="D147:P147" si="83">+D148</f>
        <v>0</v>
      </c>
      <c r="E147" s="2064">
        <f t="shared" si="83"/>
        <v>0</v>
      </c>
      <c r="F147" s="2064">
        <f t="shared" si="83"/>
        <v>0</v>
      </c>
      <c r="G147" s="2064">
        <f t="shared" si="83"/>
        <v>0</v>
      </c>
      <c r="H147" s="2064">
        <f t="shared" si="83"/>
        <v>0</v>
      </c>
      <c r="I147" s="2064">
        <f t="shared" si="83"/>
        <v>0</v>
      </c>
      <c r="J147" s="2064">
        <f t="shared" si="83"/>
        <v>0</v>
      </c>
      <c r="K147" s="2064">
        <f t="shared" si="83"/>
        <v>0</v>
      </c>
      <c r="L147" s="2064">
        <f t="shared" si="83"/>
        <v>0</v>
      </c>
      <c r="M147" s="2064">
        <f t="shared" si="83"/>
        <v>0</v>
      </c>
      <c r="N147" s="2064">
        <f t="shared" si="83"/>
        <v>0</v>
      </c>
      <c r="O147" s="2064">
        <f t="shared" si="83"/>
        <v>0</v>
      </c>
      <c r="P147" s="2064">
        <f t="shared" si="83"/>
        <v>0</v>
      </c>
      <c r="Q147" s="2064"/>
      <c r="R147" s="2064"/>
      <c r="S147" s="2064"/>
      <c r="T147" s="2064"/>
      <c r="U147" s="2064"/>
      <c r="V147" s="2064"/>
      <c r="W147" s="2064"/>
      <c r="X147" s="2806"/>
      <c r="Y147" s="2774"/>
      <c r="Z147" s="2004"/>
    </row>
    <row r="148" spans="1:26" ht="21" hidden="1" customHeight="1">
      <c r="A148" s="2770"/>
      <c r="B148" s="2068" t="s">
        <v>25</v>
      </c>
      <c r="C148" s="2803"/>
      <c r="D148" s="2069">
        <f>+E148+I148+J148+K148+L148+N148+O148</f>
        <v>0</v>
      </c>
      <c r="E148" s="2070">
        <f>+F148+G148+H148</f>
        <v>0</v>
      </c>
      <c r="F148" s="2069"/>
      <c r="G148" s="2069"/>
      <c r="H148" s="2069"/>
      <c r="I148" s="2069"/>
      <c r="J148" s="2069"/>
      <c r="K148" s="2069">
        <v>0</v>
      </c>
      <c r="L148" s="2069">
        <v>0</v>
      </c>
      <c r="M148" s="2069">
        <v>0</v>
      </c>
      <c r="N148" s="2069">
        <v>0</v>
      </c>
      <c r="O148" s="2069">
        <v>0</v>
      </c>
      <c r="P148" s="2069">
        <v>0</v>
      </c>
      <c r="Q148" s="2069"/>
      <c r="R148" s="2069"/>
      <c r="S148" s="2069"/>
      <c r="T148" s="2069"/>
      <c r="U148" s="2069"/>
      <c r="V148" s="2069"/>
      <c r="W148" s="2069"/>
      <c r="X148" s="2806"/>
      <c r="Y148" s="2774"/>
      <c r="Z148" s="2004"/>
    </row>
    <row r="149" spans="1:26" ht="20.45" hidden="1" customHeight="1">
      <c r="A149" s="2770"/>
      <c r="B149" s="2063" t="s">
        <v>30</v>
      </c>
      <c r="C149" s="2805"/>
      <c r="D149" s="2064">
        <f t="shared" ref="D149:P149" si="84">+D150</f>
        <v>0</v>
      </c>
      <c r="E149" s="2064">
        <f t="shared" si="84"/>
        <v>0</v>
      </c>
      <c r="F149" s="2064">
        <f t="shared" si="84"/>
        <v>0</v>
      </c>
      <c r="G149" s="2064">
        <f t="shared" si="84"/>
        <v>0</v>
      </c>
      <c r="H149" s="2064">
        <f t="shared" si="84"/>
        <v>0</v>
      </c>
      <c r="I149" s="2064">
        <f t="shared" si="84"/>
        <v>0</v>
      </c>
      <c r="J149" s="2064">
        <f t="shared" si="84"/>
        <v>0</v>
      </c>
      <c r="K149" s="2064">
        <f t="shared" si="84"/>
        <v>0</v>
      </c>
      <c r="L149" s="2064">
        <f t="shared" si="84"/>
        <v>0</v>
      </c>
      <c r="M149" s="2064">
        <f t="shared" si="84"/>
        <v>0</v>
      </c>
      <c r="N149" s="2064">
        <f t="shared" si="84"/>
        <v>0</v>
      </c>
      <c r="O149" s="2064">
        <f t="shared" si="84"/>
        <v>0</v>
      </c>
      <c r="P149" s="2064">
        <f t="shared" si="84"/>
        <v>0</v>
      </c>
      <c r="Q149" s="2064"/>
      <c r="R149" s="2064"/>
      <c r="S149" s="2064"/>
      <c r="T149" s="2064"/>
      <c r="U149" s="2064"/>
      <c r="V149" s="2064"/>
      <c r="W149" s="2064"/>
      <c r="X149" s="2806"/>
      <c r="Y149" s="2774"/>
      <c r="Z149" s="2004"/>
    </row>
    <row r="150" spans="1:26" ht="21.6" hidden="1" customHeight="1">
      <c r="A150" s="2770"/>
      <c r="B150" s="2074" t="s">
        <v>33</v>
      </c>
      <c r="C150" s="2805"/>
      <c r="D150" s="2069">
        <f>SUM(M150:R150)</f>
        <v>0</v>
      </c>
      <c r="E150" s="2070">
        <f>+F150+G150+H150</f>
        <v>0</v>
      </c>
      <c r="F150" s="2070"/>
      <c r="G150" s="2070"/>
      <c r="H150" s="2070"/>
      <c r="I150" s="2070"/>
      <c r="J150" s="2070"/>
      <c r="K150" s="2070">
        <v>0</v>
      </c>
      <c r="L150" s="2070"/>
      <c r="M150" s="2070">
        <f>+L150+K150+J150+I150+E150</f>
        <v>0</v>
      </c>
      <c r="N150" s="2070"/>
      <c r="O150" s="2070">
        <v>0</v>
      </c>
      <c r="P150" s="2070">
        <v>0</v>
      </c>
      <c r="Q150" s="2070"/>
      <c r="R150" s="2070"/>
      <c r="S150" s="2070"/>
      <c r="T150" s="2070"/>
      <c r="U150" s="2070"/>
      <c r="V150" s="2070"/>
      <c r="W150" s="2070"/>
      <c r="X150" s="2806"/>
      <c r="Y150" s="2774"/>
      <c r="Z150" s="2004"/>
    </row>
    <row r="151" spans="1:26" ht="27" customHeight="1">
      <c r="A151" s="2770" t="s">
        <v>81</v>
      </c>
      <c r="B151" s="2075" t="s">
        <v>552</v>
      </c>
      <c r="C151" s="2076" t="s">
        <v>128</v>
      </c>
      <c r="D151" s="2037"/>
      <c r="E151" s="2037"/>
      <c r="F151" s="2037"/>
      <c r="G151" s="2037"/>
      <c r="H151" s="2037"/>
      <c r="I151" s="2077"/>
      <c r="J151" s="2077"/>
      <c r="K151" s="2077"/>
      <c r="L151" s="2077"/>
      <c r="M151" s="2077"/>
      <c r="N151" s="2077"/>
      <c r="O151" s="2077"/>
      <c r="P151" s="2077"/>
      <c r="Q151" s="2077"/>
      <c r="R151" s="2077"/>
      <c r="S151" s="2077"/>
      <c r="T151" s="2077"/>
      <c r="U151" s="2077"/>
      <c r="V151" s="2077"/>
      <c r="W151" s="2077"/>
      <c r="X151" s="2029"/>
      <c r="Y151" s="2773" t="s">
        <v>471</v>
      </c>
      <c r="Z151" s="2004"/>
    </row>
    <row r="152" spans="1:26" ht="12" customHeight="1">
      <c r="A152" s="2770"/>
      <c r="B152" s="2060" t="s">
        <v>22</v>
      </c>
      <c r="C152" s="2027"/>
      <c r="D152" s="2078">
        <f t="shared" ref="D152:T152" si="85">+D153+D156</f>
        <v>9714233</v>
      </c>
      <c r="E152" s="2078">
        <f t="shared" si="85"/>
        <v>0</v>
      </c>
      <c r="F152" s="2078">
        <f t="shared" si="85"/>
        <v>0</v>
      </c>
      <c r="G152" s="2078">
        <f t="shared" si="85"/>
        <v>0</v>
      </c>
      <c r="H152" s="2078">
        <f t="shared" si="85"/>
        <v>0</v>
      </c>
      <c r="I152" s="2078">
        <f t="shared" si="85"/>
        <v>0</v>
      </c>
      <c r="J152" s="2078">
        <f t="shared" si="85"/>
        <v>0</v>
      </c>
      <c r="K152" s="2078">
        <f t="shared" si="85"/>
        <v>0</v>
      </c>
      <c r="L152" s="2078">
        <f t="shared" si="85"/>
        <v>0</v>
      </c>
      <c r="M152" s="2078">
        <f t="shared" si="85"/>
        <v>0</v>
      </c>
      <c r="N152" s="2078">
        <f t="shared" si="85"/>
        <v>0</v>
      </c>
      <c r="O152" s="2078">
        <f t="shared" si="85"/>
        <v>448847</v>
      </c>
      <c r="P152" s="2078">
        <f t="shared" si="85"/>
        <v>1460264</v>
      </c>
      <c r="Q152" s="2078">
        <f t="shared" si="85"/>
        <v>1643332</v>
      </c>
      <c r="R152" s="2078">
        <f t="shared" si="85"/>
        <v>1653010</v>
      </c>
      <c r="S152" s="2078">
        <f t="shared" si="85"/>
        <v>2254390</v>
      </c>
      <c r="T152" s="2078">
        <f t="shared" si="85"/>
        <v>2254390</v>
      </c>
      <c r="U152" s="2078"/>
      <c r="V152" s="2078"/>
      <c r="W152" s="2078"/>
      <c r="X152" s="2062">
        <f>+X153+X156</f>
        <v>9265386</v>
      </c>
      <c r="Y152" s="2773"/>
      <c r="Z152" s="2004"/>
    </row>
    <row r="153" spans="1:26" ht="12" customHeight="1">
      <c r="A153" s="2770"/>
      <c r="B153" s="2079" t="s">
        <v>36</v>
      </c>
      <c r="C153" s="2802" t="s">
        <v>148</v>
      </c>
      <c r="D153" s="2065">
        <f t="shared" ref="D153:T153" si="86">+D154+D155</f>
        <v>1527077</v>
      </c>
      <c r="E153" s="2065">
        <f t="shared" si="86"/>
        <v>0</v>
      </c>
      <c r="F153" s="2065">
        <f t="shared" si="86"/>
        <v>0</v>
      </c>
      <c r="G153" s="2065">
        <f t="shared" si="86"/>
        <v>0</v>
      </c>
      <c r="H153" s="2065">
        <f t="shared" si="86"/>
        <v>0</v>
      </c>
      <c r="I153" s="2065">
        <f t="shared" si="86"/>
        <v>0</v>
      </c>
      <c r="J153" s="2065">
        <f t="shared" si="86"/>
        <v>0</v>
      </c>
      <c r="K153" s="2065">
        <f t="shared" si="86"/>
        <v>0</v>
      </c>
      <c r="L153" s="2065">
        <f t="shared" si="86"/>
        <v>0</v>
      </c>
      <c r="M153" s="2065">
        <f t="shared" si="86"/>
        <v>0</v>
      </c>
      <c r="N153" s="2065">
        <f t="shared" si="86"/>
        <v>0</v>
      </c>
      <c r="O153" s="2065">
        <f t="shared" si="86"/>
        <v>70559</v>
      </c>
      <c r="P153" s="2065">
        <f t="shared" si="86"/>
        <v>229553</v>
      </c>
      <c r="Q153" s="2065">
        <f t="shared" si="86"/>
        <v>258332</v>
      </c>
      <c r="R153" s="2065">
        <f t="shared" si="86"/>
        <v>259853</v>
      </c>
      <c r="S153" s="2065">
        <f t="shared" si="86"/>
        <v>354390</v>
      </c>
      <c r="T153" s="2065">
        <f t="shared" si="86"/>
        <v>354390</v>
      </c>
      <c r="U153" s="2065"/>
      <c r="V153" s="2065"/>
      <c r="W153" s="2065"/>
      <c r="X153" s="2084">
        <f>+X154+X155</f>
        <v>1456518</v>
      </c>
      <c r="Y153" s="2773"/>
      <c r="Z153" s="2004"/>
    </row>
    <row r="154" spans="1:26" ht="12" customHeight="1">
      <c r="A154" s="2770"/>
      <c r="B154" s="2068" t="s">
        <v>24</v>
      </c>
      <c r="C154" s="2803"/>
      <c r="D154" s="2069">
        <f>M154+O154+P154+Q154+R154+S154+T154+U154+V154+W154</f>
        <v>1527077</v>
      </c>
      <c r="E154" s="2070"/>
      <c r="F154" s="2070"/>
      <c r="G154" s="2070"/>
      <c r="H154" s="2080"/>
      <c r="I154" s="2080"/>
      <c r="J154" s="2080"/>
      <c r="K154" s="2070"/>
      <c r="L154" s="2070"/>
      <c r="M154" s="2070">
        <f>+L154+K154+J154+I154+E154</f>
        <v>0</v>
      </c>
      <c r="N154" s="2080"/>
      <c r="O154" s="2070">
        <f>257772-123006-64207</f>
        <v>70559</v>
      </c>
      <c r="P154" s="2070">
        <f>219137+50946-10-202-40318</f>
        <v>229553</v>
      </c>
      <c r="Q154" s="2070">
        <f>219137+39195</f>
        <v>258332</v>
      </c>
      <c r="R154" s="2070">
        <f>219137+40716</f>
        <v>259853</v>
      </c>
      <c r="S154" s="2070">
        <v>354390</v>
      </c>
      <c r="T154" s="2070">
        <v>354390</v>
      </c>
      <c r="U154" s="2070"/>
      <c r="V154" s="2070"/>
      <c r="W154" s="2070"/>
      <c r="X154" s="2071">
        <f>SUM(P154:T154)</f>
        <v>1456518</v>
      </c>
      <c r="Y154" s="2773"/>
      <c r="Z154" s="2004"/>
    </row>
    <row r="155" spans="1:26" ht="12" hidden="1" customHeight="1">
      <c r="A155" s="2770"/>
      <c r="B155" s="2068" t="s">
        <v>25</v>
      </c>
      <c r="C155" s="2803"/>
      <c r="D155" s="2069"/>
      <c r="E155" s="2070"/>
      <c r="F155" s="2070"/>
      <c r="G155" s="2070"/>
      <c r="H155" s="2080"/>
      <c r="I155" s="2080"/>
      <c r="J155" s="2080"/>
      <c r="K155" s="2070"/>
      <c r="L155" s="2070"/>
      <c r="M155" s="2070"/>
      <c r="N155" s="2070"/>
      <c r="O155" s="2070">
        <v>0</v>
      </c>
      <c r="P155" s="2070">
        <v>0</v>
      </c>
      <c r="Q155" s="2070"/>
      <c r="R155" s="2070"/>
      <c r="S155" s="2070"/>
      <c r="T155" s="2070"/>
      <c r="U155" s="2070"/>
      <c r="V155" s="2070"/>
      <c r="W155" s="2070"/>
      <c r="X155" s="2071">
        <f>SUM(O155:R155)</f>
        <v>0</v>
      </c>
      <c r="Y155" s="2773"/>
      <c r="Z155" s="2004"/>
    </row>
    <row r="156" spans="1:26" ht="12" customHeight="1">
      <c r="A156" s="2770"/>
      <c r="B156" s="2063" t="s">
        <v>30</v>
      </c>
      <c r="C156" s="2803"/>
      <c r="D156" s="2064">
        <f>+D157</f>
        <v>8187156</v>
      </c>
      <c r="E156" s="2064">
        <f t="shared" ref="E156:T156" si="87">+E157</f>
        <v>0</v>
      </c>
      <c r="F156" s="2064">
        <f t="shared" si="87"/>
        <v>0</v>
      </c>
      <c r="G156" s="2064">
        <f t="shared" si="87"/>
        <v>0</v>
      </c>
      <c r="H156" s="2064">
        <f t="shared" si="87"/>
        <v>0</v>
      </c>
      <c r="I156" s="2064">
        <f t="shared" si="87"/>
        <v>0</v>
      </c>
      <c r="J156" s="2064">
        <f t="shared" si="87"/>
        <v>0</v>
      </c>
      <c r="K156" s="2064">
        <f t="shared" si="87"/>
        <v>0</v>
      </c>
      <c r="L156" s="2064">
        <f t="shared" si="87"/>
        <v>0</v>
      </c>
      <c r="M156" s="2064">
        <f t="shared" si="87"/>
        <v>0</v>
      </c>
      <c r="N156" s="2064">
        <f t="shared" si="87"/>
        <v>0</v>
      </c>
      <c r="O156" s="2064">
        <f t="shared" si="87"/>
        <v>378288</v>
      </c>
      <c r="P156" s="2064">
        <f t="shared" si="87"/>
        <v>1230711</v>
      </c>
      <c r="Q156" s="2064">
        <f t="shared" si="87"/>
        <v>1385000</v>
      </c>
      <c r="R156" s="2064">
        <f t="shared" si="87"/>
        <v>1393157</v>
      </c>
      <c r="S156" s="2064">
        <f t="shared" si="87"/>
        <v>1900000</v>
      </c>
      <c r="T156" s="2064">
        <f t="shared" si="87"/>
        <v>1900000</v>
      </c>
      <c r="U156" s="2064"/>
      <c r="V156" s="2064"/>
      <c r="W156" s="2064"/>
      <c r="X156" s="2085">
        <f>+X157</f>
        <v>7808868</v>
      </c>
      <c r="Y156" s="2773"/>
      <c r="Z156" s="2004"/>
    </row>
    <row r="157" spans="1:26" ht="11.25" customHeight="1">
      <c r="A157" s="2770"/>
      <c r="B157" s="2068" t="s">
        <v>33</v>
      </c>
      <c r="C157" s="2803"/>
      <c r="D157" s="2069">
        <f>M157+O157+P157+Q157+R157+S157+T157+U157+V157+W157</f>
        <v>8187156</v>
      </c>
      <c r="E157" s="2070"/>
      <c r="F157" s="2070"/>
      <c r="G157" s="2070"/>
      <c r="H157" s="2080"/>
      <c r="I157" s="2080"/>
      <c r="J157" s="2080"/>
      <c r="K157" s="2070"/>
      <c r="L157" s="2070"/>
      <c r="M157" s="2070">
        <f>+L157+K157+J157+I157+E157</f>
        <v>0</v>
      </c>
      <c r="N157" s="2070"/>
      <c r="O157" s="2070">
        <f>1382000-659477-344235</f>
        <v>378288</v>
      </c>
      <c r="P157" s="2070">
        <f>1174863+273137-52-1082-216155</f>
        <v>1230711</v>
      </c>
      <c r="Q157" s="2070">
        <f>1174863+210137</f>
        <v>1385000</v>
      </c>
      <c r="R157" s="2070">
        <f>1174863+218294</f>
        <v>1393157</v>
      </c>
      <c r="S157" s="2070">
        <v>1900000</v>
      </c>
      <c r="T157" s="2070">
        <v>1900000</v>
      </c>
      <c r="U157" s="2070"/>
      <c r="V157" s="2070"/>
      <c r="W157" s="2070"/>
      <c r="X157" s="2071">
        <f>SUM(P157:T157)</f>
        <v>7808868</v>
      </c>
      <c r="Y157" s="2773"/>
      <c r="Z157" s="2004"/>
    </row>
    <row r="158" spans="1:26" ht="12" customHeight="1">
      <c r="A158" s="2770"/>
      <c r="B158" s="2060" t="s">
        <v>34</v>
      </c>
      <c r="C158" s="2027"/>
      <c r="D158" s="2061">
        <f t="shared" ref="D158:M158" si="88">+D159+D161</f>
        <v>8187156</v>
      </c>
      <c r="E158" s="2061">
        <f t="shared" si="88"/>
        <v>0</v>
      </c>
      <c r="F158" s="2061">
        <f t="shared" si="88"/>
        <v>0</v>
      </c>
      <c r="G158" s="2061">
        <f t="shared" si="88"/>
        <v>0</v>
      </c>
      <c r="H158" s="2061">
        <f t="shared" si="88"/>
        <v>0</v>
      </c>
      <c r="I158" s="2061">
        <f t="shared" si="88"/>
        <v>0</v>
      </c>
      <c r="J158" s="2061">
        <f t="shared" si="88"/>
        <v>0</v>
      </c>
      <c r="K158" s="2061">
        <f t="shared" si="88"/>
        <v>0</v>
      </c>
      <c r="L158" s="2061">
        <f t="shared" si="88"/>
        <v>0</v>
      </c>
      <c r="M158" s="2061">
        <f t="shared" si="88"/>
        <v>0</v>
      </c>
      <c r="N158" s="2061">
        <f>+N159+N161</f>
        <v>0</v>
      </c>
      <c r="O158" s="2061">
        <f>+O159+O161</f>
        <v>378288</v>
      </c>
      <c r="P158" s="2061">
        <f>+P159+P161</f>
        <v>1230711</v>
      </c>
      <c r="Q158" s="2061">
        <f>+Q159+Q161</f>
        <v>1385000</v>
      </c>
      <c r="R158" s="2061">
        <f>+R159+R161</f>
        <v>1393157</v>
      </c>
      <c r="S158" s="2061">
        <f t="shared" ref="S158:T158" si="89">+S159+S161</f>
        <v>1900000</v>
      </c>
      <c r="T158" s="2061">
        <f t="shared" si="89"/>
        <v>1900000</v>
      </c>
      <c r="U158" s="2061"/>
      <c r="V158" s="2061"/>
      <c r="W158" s="2061"/>
      <c r="X158" s="2806" t="s">
        <v>77</v>
      </c>
      <c r="Y158" s="2774"/>
      <c r="Z158" s="2004"/>
    </row>
    <row r="159" spans="1:26" ht="12" hidden="1" customHeight="1">
      <c r="A159" s="2770"/>
      <c r="B159" s="2079" t="s">
        <v>36</v>
      </c>
      <c r="C159" s="2804" t="s">
        <v>148</v>
      </c>
      <c r="D159" s="2064">
        <f t="shared" ref="D159:R159" si="90">+D160</f>
        <v>0</v>
      </c>
      <c r="E159" s="2064">
        <f t="shared" si="90"/>
        <v>0</v>
      </c>
      <c r="F159" s="2064">
        <f t="shared" si="90"/>
        <v>0</v>
      </c>
      <c r="G159" s="2064">
        <f t="shared" si="90"/>
        <v>0</v>
      </c>
      <c r="H159" s="2064">
        <f t="shared" si="90"/>
        <v>0</v>
      </c>
      <c r="I159" s="2064">
        <f t="shared" si="90"/>
        <v>0</v>
      </c>
      <c r="J159" s="2064">
        <f t="shared" si="90"/>
        <v>0</v>
      </c>
      <c r="K159" s="2064">
        <f t="shared" si="90"/>
        <v>0</v>
      </c>
      <c r="L159" s="2064">
        <f t="shared" si="90"/>
        <v>0</v>
      </c>
      <c r="M159" s="2064">
        <f t="shared" si="90"/>
        <v>0</v>
      </c>
      <c r="N159" s="2064">
        <f t="shared" si="90"/>
        <v>0</v>
      </c>
      <c r="O159" s="2064">
        <f t="shared" si="90"/>
        <v>0</v>
      </c>
      <c r="P159" s="2064">
        <f t="shared" si="90"/>
        <v>0</v>
      </c>
      <c r="Q159" s="2064">
        <f t="shared" si="90"/>
        <v>0</v>
      </c>
      <c r="R159" s="2064">
        <f t="shared" si="90"/>
        <v>0</v>
      </c>
      <c r="S159" s="2064"/>
      <c r="T159" s="2064"/>
      <c r="U159" s="2064"/>
      <c r="V159" s="2064"/>
      <c r="W159" s="2064"/>
      <c r="X159" s="2806"/>
      <c r="Y159" s="2774"/>
      <c r="Z159" s="2004"/>
    </row>
    <row r="160" spans="1:26" ht="12" hidden="1" customHeight="1">
      <c r="A160" s="2770"/>
      <c r="B160" s="2068" t="s">
        <v>25</v>
      </c>
      <c r="C160" s="2803"/>
      <c r="D160" s="2069"/>
      <c r="E160" s="2070"/>
      <c r="F160" s="2069"/>
      <c r="G160" s="2069"/>
      <c r="H160" s="2069"/>
      <c r="I160" s="2069"/>
      <c r="J160" s="2069"/>
      <c r="K160" s="2069"/>
      <c r="L160" s="2069">
        <v>0</v>
      </c>
      <c r="M160" s="2069">
        <v>0</v>
      </c>
      <c r="N160" s="2069">
        <v>0</v>
      </c>
      <c r="O160" s="2069">
        <v>0</v>
      </c>
      <c r="P160" s="2069">
        <v>0</v>
      </c>
      <c r="Q160" s="2069"/>
      <c r="R160" s="2069"/>
      <c r="S160" s="2069"/>
      <c r="T160" s="2069"/>
      <c r="U160" s="2069"/>
      <c r="V160" s="2069"/>
      <c r="W160" s="2069"/>
      <c r="X160" s="2806"/>
      <c r="Y160" s="2774"/>
      <c r="Z160" s="2004"/>
    </row>
    <row r="161" spans="1:27" ht="12" customHeight="1">
      <c r="A161" s="2770"/>
      <c r="B161" s="2063" t="s">
        <v>30</v>
      </c>
      <c r="C161" s="2805"/>
      <c r="D161" s="2064">
        <f t="shared" ref="D161:T161" si="91">+D162</f>
        <v>8187156</v>
      </c>
      <c r="E161" s="2064">
        <f t="shared" si="91"/>
        <v>0</v>
      </c>
      <c r="F161" s="2064">
        <f t="shared" si="91"/>
        <v>0</v>
      </c>
      <c r="G161" s="2064">
        <f t="shared" si="91"/>
        <v>0</v>
      </c>
      <c r="H161" s="2064">
        <f t="shared" si="91"/>
        <v>0</v>
      </c>
      <c r="I161" s="2064">
        <f t="shared" si="91"/>
        <v>0</v>
      </c>
      <c r="J161" s="2064">
        <f t="shared" si="91"/>
        <v>0</v>
      </c>
      <c r="K161" s="2064">
        <f t="shared" si="91"/>
        <v>0</v>
      </c>
      <c r="L161" s="2064">
        <f t="shared" si="91"/>
        <v>0</v>
      </c>
      <c r="M161" s="2064">
        <f t="shared" si="91"/>
        <v>0</v>
      </c>
      <c r="N161" s="2064">
        <f t="shared" si="91"/>
        <v>0</v>
      </c>
      <c r="O161" s="2064">
        <f t="shared" si="91"/>
        <v>378288</v>
      </c>
      <c r="P161" s="2064">
        <f t="shared" si="91"/>
        <v>1230711</v>
      </c>
      <c r="Q161" s="2064">
        <f t="shared" si="91"/>
        <v>1385000</v>
      </c>
      <c r="R161" s="2064">
        <f t="shared" si="91"/>
        <v>1393157</v>
      </c>
      <c r="S161" s="2064">
        <f t="shared" si="91"/>
        <v>1900000</v>
      </c>
      <c r="T161" s="2064">
        <f t="shared" si="91"/>
        <v>1900000</v>
      </c>
      <c r="U161" s="2064"/>
      <c r="V161" s="2064"/>
      <c r="W161" s="2064"/>
      <c r="X161" s="2806"/>
      <c r="Y161" s="2774"/>
      <c r="Z161" s="2004"/>
    </row>
    <row r="162" spans="1:27" ht="12" customHeight="1" thickBot="1">
      <c r="A162" s="2771"/>
      <c r="B162" s="3110" t="s">
        <v>33</v>
      </c>
      <c r="C162" s="2814"/>
      <c r="D162" s="1895">
        <f>M162+O162+P162+Q162+R162+S162+T162+U162+V162+W162</f>
        <v>8187156</v>
      </c>
      <c r="E162" s="1896">
        <v>0</v>
      </c>
      <c r="F162" s="1896"/>
      <c r="G162" s="1896"/>
      <c r="H162" s="1896"/>
      <c r="I162" s="1896">
        <v>0</v>
      </c>
      <c r="J162" s="1896">
        <v>0</v>
      </c>
      <c r="K162" s="1896">
        <v>0</v>
      </c>
      <c r="L162" s="1896">
        <v>0</v>
      </c>
      <c r="M162" s="1896">
        <f>+L162+K162+J162+I162+E162</f>
        <v>0</v>
      </c>
      <c r="N162" s="1896">
        <v>0</v>
      </c>
      <c r="O162" s="1896">
        <f>1382000-659477-344235</f>
        <v>378288</v>
      </c>
      <c r="P162" s="1896">
        <f>1174863+273137-52-1082-216155</f>
        <v>1230711</v>
      </c>
      <c r="Q162" s="1896">
        <f>1174863+210137</f>
        <v>1385000</v>
      </c>
      <c r="R162" s="1896">
        <f>1174863+218294</f>
        <v>1393157</v>
      </c>
      <c r="S162" s="1896">
        <v>1900000</v>
      </c>
      <c r="T162" s="1896">
        <v>1900000</v>
      </c>
      <c r="U162" s="1896"/>
      <c r="V162" s="1896"/>
      <c r="W162" s="1896"/>
      <c r="X162" s="2815"/>
      <c r="Y162" s="2775"/>
      <c r="Z162" s="2004"/>
    </row>
    <row r="163" spans="1:27" ht="28.5" customHeight="1">
      <c r="A163" s="2769" t="s">
        <v>82</v>
      </c>
      <c r="B163" s="1888" t="s">
        <v>553</v>
      </c>
      <c r="C163" s="1889" t="s">
        <v>97</v>
      </c>
      <c r="D163" s="507"/>
      <c r="E163" s="507"/>
      <c r="F163" s="507"/>
      <c r="G163" s="507"/>
      <c r="H163" s="507"/>
      <c r="I163" s="508"/>
      <c r="J163" s="508"/>
      <c r="K163" s="508"/>
      <c r="L163" s="508"/>
      <c r="M163" s="508"/>
      <c r="N163" s="508"/>
      <c r="O163" s="508"/>
      <c r="P163" s="508"/>
      <c r="Q163" s="508"/>
      <c r="R163" s="508"/>
      <c r="S163" s="508"/>
      <c r="T163" s="508"/>
      <c r="U163" s="508"/>
      <c r="V163" s="508"/>
      <c r="W163" s="508"/>
      <c r="X163" s="1891"/>
      <c r="Y163" s="2772" t="s">
        <v>472</v>
      </c>
      <c r="Z163" s="2004"/>
    </row>
    <row r="164" spans="1:27" ht="12" customHeight="1">
      <c r="A164" s="2770"/>
      <c r="B164" s="2060" t="s">
        <v>22</v>
      </c>
      <c r="C164" s="2027"/>
      <c r="D164" s="2078">
        <f t="shared" ref="D164:Q164" si="92">+D165+D168</f>
        <v>39253</v>
      </c>
      <c r="E164" s="2078">
        <f t="shared" si="92"/>
        <v>0</v>
      </c>
      <c r="F164" s="2078">
        <f t="shared" si="92"/>
        <v>0</v>
      </c>
      <c r="G164" s="2078">
        <f t="shared" si="92"/>
        <v>0</v>
      </c>
      <c r="H164" s="2078">
        <f t="shared" si="92"/>
        <v>0</v>
      </c>
      <c r="I164" s="2078">
        <f t="shared" si="92"/>
        <v>0</v>
      </c>
      <c r="J164" s="2078">
        <f t="shared" si="92"/>
        <v>0</v>
      </c>
      <c r="K164" s="2078">
        <f t="shared" si="92"/>
        <v>0</v>
      </c>
      <c r="L164" s="2078">
        <f t="shared" si="92"/>
        <v>0</v>
      </c>
      <c r="M164" s="2078">
        <f t="shared" si="92"/>
        <v>0</v>
      </c>
      <c r="N164" s="2078">
        <f t="shared" si="92"/>
        <v>0</v>
      </c>
      <c r="O164" s="2078">
        <f t="shared" si="92"/>
        <v>0</v>
      </c>
      <c r="P164" s="2078">
        <f t="shared" si="92"/>
        <v>21455</v>
      </c>
      <c r="Q164" s="2078">
        <f t="shared" si="92"/>
        <v>17798</v>
      </c>
      <c r="R164" s="2078"/>
      <c r="S164" s="2078"/>
      <c r="T164" s="2078"/>
      <c r="U164" s="2078"/>
      <c r="V164" s="2078"/>
      <c r="W164" s="2078"/>
      <c r="X164" s="2062">
        <f>+X165+X168</f>
        <v>39253</v>
      </c>
      <c r="Y164" s="2773"/>
      <c r="Z164" s="2004"/>
    </row>
    <row r="165" spans="1:27" ht="12" customHeight="1">
      <c r="A165" s="2770"/>
      <c r="B165" s="2079" t="s">
        <v>36</v>
      </c>
      <c r="C165" s="2802" t="s">
        <v>148</v>
      </c>
      <c r="D165" s="2065">
        <f t="shared" ref="D165:Q165" si="93">+D166+D167</f>
        <v>6171</v>
      </c>
      <c r="E165" s="2065">
        <f t="shared" si="93"/>
        <v>0</v>
      </c>
      <c r="F165" s="2065">
        <f t="shared" si="93"/>
        <v>0</v>
      </c>
      <c r="G165" s="2065">
        <f t="shared" si="93"/>
        <v>0</v>
      </c>
      <c r="H165" s="2065">
        <f t="shared" si="93"/>
        <v>0</v>
      </c>
      <c r="I165" s="2065">
        <f t="shared" si="93"/>
        <v>0</v>
      </c>
      <c r="J165" s="2065">
        <f t="shared" si="93"/>
        <v>0</v>
      </c>
      <c r="K165" s="2065">
        <f t="shared" si="93"/>
        <v>0</v>
      </c>
      <c r="L165" s="2065">
        <f t="shared" si="93"/>
        <v>0</v>
      </c>
      <c r="M165" s="2065">
        <f t="shared" si="93"/>
        <v>0</v>
      </c>
      <c r="N165" s="2065">
        <f t="shared" si="93"/>
        <v>0</v>
      </c>
      <c r="O165" s="2065">
        <f t="shared" si="93"/>
        <v>0</v>
      </c>
      <c r="P165" s="2065">
        <f t="shared" si="93"/>
        <v>3373</v>
      </c>
      <c r="Q165" s="2065">
        <f t="shared" si="93"/>
        <v>2798</v>
      </c>
      <c r="R165" s="2065"/>
      <c r="S165" s="2065"/>
      <c r="T165" s="2065"/>
      <c r="U165" s="2065"/>
      <c r="V165" s="2065"/>
      <c r="W165" s="2065"/>
      <c r="X165" s="2084">
        <f>+X166+X167</f>
        <v>6171</v>
      </c>
      <c r="Y165" s="2773"/>
      <c r="Z165" s="2004"/>
    </row>
    <row r="166" spans="1:27" ht="12" customHeight="1">
      <c r="A166" s="2770"/>
      <c r="B166" s="2068" t="s">
        <v>24</v>
      </c>
      <c r="C166" s="2803"/>
      <c r="D166" s="2069">
        <f>M166+O166+P166+Q166+R166+S166+T166+U166+V166+W166</f>
        <v>6171</v>
      </c>
      <c r="E166" s="2070"/>
      <c r="F166" s="2070"/>
      <c r="G166" s="2070"/>
      <c r="H166" s="2080"/>
      <c r="I166" s="2080"/>
      <c r="J166" s="2080"/>
      <c r="K166" s="2070"/>
      <c r="L166" s="2070"/>
      <c r="M166" s="2070">
        <f>+L166+K166+J166+I166+E166</f>
        <v>0</v>
      </c>
      <c r="N166" s="2080"/>
      <c r="O166" s="2070"/>
      <c r="P166" s="2070">
        <f>3171+202</f>
        <v>3373</v>
      </c>
      <c r="Q166" s="2070">
        <v>2798</v>
      </c>
      <c r="R166" s="2070"/>
      <c r="S166" s="2070"/>
      <c r="T166" s="2070"/>
      <c r="U166" s="2070"/>
      <c r="V166" s="2070"/>
      <c r="W166" s="2070"/>
      <c r="X166" s="2071">
        <f>SUM(P166:T166)</f>
        <v>6171</v>
      </c>
      <c r="Y166" s="2773"/>
      <c r="Z166" s="2004"/>
    </row>
    <row r="167" spans="1:27" ht="12" hidden="1" customHeight="1">
      <c r="A167" s="2770"/>
      <c r="B167" s="2068" t="s">
        <v>25</v>
      </c>
      <c r="C167" s="2803"/>
      <c r="D167" s="2069"/>
      <c r="E167" s="2070"/>
      <c r="F167" s="2070"/>
      <c r="G167" s="2070"/>
      <c r="H167" s="2080"/>
      <c r="I167" s="2080"/>
      <c r="J167" s="2080"/>
      <c r="K167" s="2070"/>
      <c r="L167" s="2070"/>
      <c r="M167" s="2070"/>
      <c r="N167" s="2070"/>
      <c r="O167" s="2070">
        <v>0</v>
      </c>
      <c r="P167" s="2070">
        <v>0</v>
      </c>
      <c r="Q167" s="2070"/>
      <c r="R167" s="2070"/>
      <c r="S167" s="2070"/>
      <c r="T167" s="2070"/>
      <c r="U167" s="2070"/>
      <c r="V167" s="2070"/>
      <c r="W167" s="2070"/>
      <c r="X167" s="2071">
        <f>SUM(O167:R167)</f>
        <v>0</v>
      </c>
      <c r="Y167" s="2773"/>
      <c r="Z167" s="2004"/>
    </row>
    <row r="168" spans="1:27" ht="12" customHeight="1">
      <c r="A168" s="2770"/>
      <c r="B168" s="2063" t="s">
        <v>30</v>
      </c>
      <c r="C168" s="2803"/>
      <c r="D168" s="2064">
        <f>+D169</f>
        <v>33082</v>
      </c>
      <c r="E168" s="2064">
        <f t="shared" ref="E168:Q168" si="94">+E169</f>
        <v>0</v>
      </c>
      <c r="F168" s="2064">
        <f t="shared" si="94"/>
        <v>0</v>
      </c>
      <c r="G168" s="2064">
        <f t="shared" si="94"/>
        <v>0</v>
      </c>
      <c r="H168" s="2064">
        <f t="shared" si="94"/>
        <v>0</v>
      </c>
      <c r="I168" s="2064">
        <f t="shared" si="94"/>
        <v>0</v>
      </c>
      <c r="J168" s="2064">
        <f t="shared" si="94"/>
        <v>0</v>
      </c>
      <c r="K168" s="2064">
        <f t="shared" si="94"/>
        <v>0</v>
      </c>
      <c r="L168" s="2064">
        <f t="shared" si="94"/>
        <v>0</v>
      </c>
      <c r="M168" s="2064">
        <f t="shared" si="94"/>
        <v>0</v>
      </c>
      <c r="N168" s="2064">
        <f t="shared" si="94"/>
        <v>0</v>
      </c>
      <c r="O168" s="2064">
        <f t="shared" si="94"/>
        <v>0</v>
      </c>
      <c r="P168" s="2064">
        <f t="shared" si="94"/>
        <v>18082</v>
      </c>
      <c r="Q168" s="2064">
        <f t="shared" si="94"/>
        <v>15000</v>
      </c>
      <c r="R168" s="2064"/>
      <c r="S168" s="2064"/>
      <c r="T168" s="2064"/>
      <c r="U168" s="2064"/>
      <c r="V168" s="2064"/>
      <c r="W168" s="2064"/>
      <c r="X168" s="2085">
        <f>+X169</f>
        <v>33082</v>
      </c>
      <c r="Y168" s="2773"/>
      <c r="Z168" s="2004"/>
    </row>
    <row r="169" spans="1:27" ht="12" customHeight="1">
      <c r="A169" s="2770"/>
      <c r="B169" s="2068" t="s">
        <v>33</v>
      </c>
      <c r="C169" s="2803"/>
      <c r="D169" s="2069">
        <f>M169+O169+P169+Q169+R169+S169+T169+U169+V169+W169</f>
        <v>33082</v>
      </c>
      <c r="E169" s="2070"/>
      <c r="F169" s="2070"/>
      <c r="G169" s="2070"/>
      <c r="H169" s="2080"/>
      <c r="I169" s="2080"/>
      <c r="J169" s="2080"/>
      <c r="K169" s="2070"/>
      <c r="L169" s="2070"/>
      <c r="M169" s="2070">
        <f>+L169+K169+J169+I169+E169</f>
        <v>0</v>
      </c>
      <c r="N169" s="2070"/>
      <c r="O169" s="2070"/>
      <c r="P169" s="2070">
        <f>17000+1082</f>
        <v>18082</v>
      </c>
      <c r="Q169" s="2070">
        <v>15000</v>
      </c>
      <c r="R169" s="2070"/>
      <c r="S169" s="2070"/>
      <c r="T169" s="2070"/>
      <c r="U169" s="2070"/>
      <c r="V169" s="2070"/>
      <c r="W169" s="2070"/>
      <c r="X169" s="2071">
        <f>SUM(P169:T169)</f>
        <v>33082</v>
      </c>
      <c r="Y169" s="2773"/>
      <c r="Z169" s="2004"/>
    </row>
    <row r="170" spans="1:27" ht="12" customHeight="1">
      <c r="A170" s="2770"/>
      <c r="B170" s="2060" t="s">
        <v>34</v>
      </c>
      <c r="C170" s="2027"/>
      <c r="D170" s="2061">
        <f t="shared" ref="D170:M170" si="95">+D171+D173</f>
        <v>33082</v>
      </c>
      <c r="E170" s="2061">
        <f t="shared" si="95"/>
        <v>0</v>
      </c>
      <c r="F170" s="2061">
        <f t="shared" si="95"/>
        <v>0</v>
      </c>
      <c r="G170" s="2061">
        <f t="shared" si="95"/>
        <v>0</v>
      </c>
      <c r="H170" s="2061">
        <f t="shared" si="95"/>
        <v>0</v>
      </c>
      <c r="I170" s="2061">
        <f t="shared" si="95"/>
        <v>0</v>
      </c>
      <c r="J170" s="2061">
        <f t="shared" si="95"/>
        <v>0</v>
      </c>
      <c r="K170" s="2061">
        <f t="shared" si="95"/>
        <v>0</v>
      </c>
      <c r="L170" s="2061">
        <f t="shared" si="95"/>
        <v>0</v>
      </c>
      <c r="M170" s="2061">
        <f t="shared" si="95"/>
        <v>0</v>
      </c>
      <c r="N170" s="2061">
        <f>+N171+N173</f>
        <v>0</v>
      </c>
      <c r="O170" s="2061">
        <f>+O171+O173</f>
        <v>0</v>
      </c>
      <c r="P170" s="2061">
        <f>+P171+P173</f>
        <v>18082</v>
      </c>
      <c r="Q170" s="2061">
        <f>+Q171+Q173</f>
        <v>15000</v>
      </c>
      <c r="R170" s="2061"/>
      <c r="S170" s="2061"/>
      <c r="T170" s="2061"/>
      <c r="U170" s="2061"/>
      <c r="V170" s="2061"/>
      <c r="W170" s="2061"/>
      <c r="X170" s="2806" t="s">
        <v>77</v>
      </c>
      <c r="Y170" s="2774"/>
      <c r="Z170" s="2004"/>
    </row>
    <row r="171" spans="1:27" ht="12" hidden="1" customHeight="1">
      <c r="A171" s="2770"/>
      <c r="B171" s="2079" t="s">
        <v>36</v>
      </c>
      <c r="C171" s="2804" t="s">
        <v>148</v>
      </c>
      <c r="D171" s="2064">
        <f t="shared" ref="D171:P171" si="96">+D172</f>
        <v>0</v>
      </c>
      <c r="E171" s="2064">
        <f t="shared" si="96"/>
        <v>0</v>
      </c>
      <c r="F171" s="2064">
        <f t="shared" si="96"/>
        <v>0</v>
      </c>
      <c r="G171" s="2064">
        <f t="shared" si="96"/>
        <v>0</v>
      </c>
      <c r="H171" s="2064">
        <f t="shared" si="96"/>
        <v>0</v>
      </c>
      <c r="I171" s="2064">
        <f t="shared" si="96"/>
        <v>0</v>
      </c>
      <c r="J171" s="2064">
        <f t="shared" si="96"/>
        <v>0</v>
      </c>
      <c r="K171" s="2064">
        <f t="shared" si="96"/>
        <v>0</v>
      </c>
      <c r="L171" s="2064">
        <f t="shared" si="96"/>
        <v>0</v>
      </c>
      <c r="M171" s="2064">
        <f t="shared" si="96"/>
        <v>0</v>
      </c>
      <c r="N171" s="2064">
        <f t="shared" si="96"/>
        <v>0</v>
      </c>
      <c r="O171" s="2064">
        <f t="shared" si="96"/>
        <v>0</v>
      </c>
      <c r="P171" s="2064">
        <f t="shared" si="96"/>
        <v>0</v>
      </c>
      <c r="Q171" s="2064"/>
      <c r="R171" s="2064"/>
      <c r="S171" s="2064"/>
      <c r="T171" s="2064"/>
      <c r="U171" s="2064"/>
      <c r="V171" s="2064"/>
      <c r="W171" s="2064"/>
      <c r="X171" s="2806"/>
      <c r="Y171" s="2774"/>
      <c r="Z171" s="2004"/>
    </row>
    <row r="172" spans="1:27" ht="12" hidden="1" customHeight="1">
      <c r="A172" s="2770"/>
      <c r="B172" s="2068" t="s">
        <v>25</v>
      </c>
      <c r="C172" s="2803"/>
      <c r="D172" s="2069"/>
      <c r="E172" s="2070"/>
      <c r="F172" s="2069"/>
      <c r="G172" s="2069"/>
      <c r="H172" s="2069"/>
      <c r="I172" s="2069"/>
      <c r="J172" s="2069"/>
      <c r="K172" s="2069"/>
      <c r="L172" s="2069">
        <v>0</v>
      </c>
      <c r="M172" s="2069">
        <v>0</v>
      </c>
      <c r="N172" s="2069">
        <v>0</v>
      </c>
      <c r="O172" s="2069">
        <v>0</v>
      </c>
      <c r="P172" s="2069">
        <v>0</v>
      </c>
      <c r="Q172" s="2069"/>
      <c r="R172" s="2069"/>
      <c r="S172" s="2069"/>
      <c r="T172" s="2069"/>
      <c r="U172" s="2069"/>
      <c r="V172" s="2069"/>
      <c r="W172" s="2069"/>
      <c r="X172" s="2806"/>
      <c r="Y172" s="2774"/>
      <c r="Z172" s="2004"/>
    </row>
    <row r="173" spans="1:27" ht="12" customHeight="1">
      <c r="A173" s="2770"/>
      <c r="B173" s="2063" t="s">
        <v>30</v>
      </c>
      <c r="C173" s="2805"/>
      <c r="D173" s="2064">
        <f t="shared" ref="D173:Q173" si="97">+D174</f>
        <v>33082</v>
      </c>
      <c r="E173" s="2064">
        <f t="shared" si="97"/>
        <v>0</v>
      </c>
      <c r="F173" s="2064">
        <f t="shared" si="97"/>
        <v>0</v>
      </c>
      <c r="G173" s="2064">
        <f t="shared" si="97"/>
        <v>0</v>
      </c>
      <c r="H173" s="2064">
        <f t="shared" si="97"/>
        <v>0</v>
      </c>
      <c r="I173" s="2064">
        <f t="shared" si="97"/>
        <v>0</v>
      </c>
      <c r="J173" s="2064">
        <f t="shared" si="97"/>
        <v>0</v>
      </c>
      <c r="K173" s="2064">
        <f t="shared" si="97"/>
        <v>0</v>
      </c>
      <c r="L173" s="2064">
        <f t="shared" si="97"/>
        <v>0</v>
      </c>
      <c r="M173" s="2064">
        <f t="shared" si="97"/>
        <v>0</v>
      </c>
      <c r="N173" s="2064">
        <f t="shared" si="97"/>
        <v>0</v>
      </c>
      <c r="O173" s="2064">
        <f t="shared" si="97"/>
        <v>0</v>
      </c>
      <c r="P173" s="2064">
        <f t="shared" si="97"/>
        <v>18082</v>
      </c>
      <c r="Q173" s="2064">
        <f t="shared" si="97"/>
        <v>15000</v>
      </c>
      <c r="R173" s="2064"/>
      <c r="S173" s="2064"/>
      <c r="T173" s="2064"/>
      <c r="U173" s="2064"/>
      <c r="V173" s="2064"/>
      <c r="W173" s="2064"/>
      <c r="X173" s="2806"/>
      <c r="Y173" s="2774"/>
      <c r="Z173" s="2004"/>
    </row>
    <row r="174" spans="1:27" ht="15.75" customHeight="1" thickBot="1">
      <c r="A174" s="2771"/>
      <c r="B174" s="2166" t="s">
        <v>33</v>
      </c>
      <c r="C174" s="2814"/>
      <c r="D174" s="1895">
        <f>M174+O174+P174+Q174+R174+S174+T174+U174+V174+W174</f>
        <v>33082</v>
      </c>
      <c r="E174" s="1896">
        <v>0</v>
      </c>
      <c r="F174" s="1896"/>
      <c r="G174" s="1896"/>
      <c r="H174" s="1896"/>
      <c r="I174" s="1896">
        <v>0</v>
      </c>
      <c r="J174" s="1896">
        <v>0</v>
      </c>
      <c r="K174" s="1896">
        <v>0</v>
      </c>
      <c r="L174" s="1896">
        <v>0</v>
      </c>
      <c r="M174" s="1896">
        <f>+L174+K174+J174+I174+E174</f>
        <v>0</v>
      </c>
      <c r="N174" s="1896">
        <v>0</v>
      </c>
      <c r="O174" s="1896"/>
      <c r="P174" s="1896">
        <f>17000+1082</f>
        <v>18082</v>
      </c>
      <c r="Q174" s="1896">
        <v>15000</v>
      </c>
      <c r="R174" s="1896"/>
      <c r="S174" s="1896"/>
      <c r="T174" s="1896"/>
      <c r="U174" s="1896"/>
      <c r="V174" s="1896"/>
      <c r="W174" s="1896"/>
      <c r="X174" s="2815"/>
      <c r="Y174" s="2775"/>
      <c r="Z174" s="2004"/>
    </row>
    <row r="175" spans="1:27" ht="36" hidden="1" customHeight="1">
      <c r="A175" s="2769" t="s">
        <v>106</v>
      </c>
      <c r="B175" s="1888"/>
      <c r="C175" s="1889" t="s">
        <v>128</v>
      </c>
      <c r="D175" s="507"/>
      <c r="E175" s="507"/>
      <c r="F175" s="507"/>
      <c r="G175" s="507"/>
      <c r="H175" s="507"/>
      <c r="I175" s="508"/>
      <c r="J175" s="508"/>
      <c r="K175" s="508"/>
      <c r="L175" s="508"/>
      <c r="M175" s="508"/>
      <c r="N175" s="508"/>
      <c r="O175" s="508"/>
      <c r="P175" s="508"/>
      <c r="Q175" s="508"/>
      <c r="R175" s="508"/>
      <c r="S175" s="508"/>
      <c r="T175" s="508"/>
      <c r="U175" s="508"/>
      <c r="V175" s="508"/>
      <c r="W175" s="508"/>
      <c r="X175" s="1891"/>
      <c r="Y175" s="2772" t="s">
        <v>149</v>
      </c>
      <c r="Z175" s="2004"/>
    </row>
    <row r="176" spans="1:27" ht="10.5" hidden="1" customHeight="1">
      <c r="A176" s="2770"/>
      <c r="B176" s="2060" t="s">
        <v>22</v>
      </c>
      <c r="C176" s="2027"/>
      <c r="D176" s="2078">
        <f t="shared" ref="D176:O176" si="98">+D177+D180</f>
        <v>0</v>
      </c>
      <c r="E176" s="2078">
        <f t="shared" si="98"/>
        <v>0</v>
      </c>
      <c r="F176" s="2078">
        <f t="shared" si="98"/>
        <v>0</v>
      </c>
      <c r="G176" s="2078">
        <f t="shared" si="98"/>
        <v>0</v>
      </c>
      <c r="H176" s="2078">
        <f t="shared" si="98"/>
        <v>0</v>
      </c>
      <c r="I176" s="2078">
        <f t="shared" si="98"/>
        <v>0</v>
      </c>
      <c r="J176" s="2078">
        <f t="shared" si="98"/>
        <v>0</v>
      </c>
      <c r="K176" s="2078">
        <f t="shared" si="98"/>
        <v>0</v>
      </c>
      <c r="L176" s="2078">
        <f t="shared" si="98"/>
        <v>0</v>
      </c>
      <c r="M176" s="2078">
        <f t="shared" si="98"/>
        <v>0</v>
      </c>
      <c r="N176" s="2078">
        <f t="shared" si="98"/>
        <v>0</v>
      </c>
      <c r="O176" s="2078">
        <f t="shared" si="98"/>
        <v>0</v>
      </c>
      <c r="P176" s="2078">
        <f>+P177+P180</f>
        <v>0</v>
      </c>
      <c r="Q176" s="2078"/>
      <c r="R176" s="2078"/>
      <c r="S176" s="2078"/>
      <c r="T176" s="2078"/>
      <c r="U176" s="2078"/>
      <c r="V176" s="2078"/>
      <c r="W176" s="2078"/>
      <c r="X176" s="2062">
        <f>+X177+X180</f>
        <v>0</v>
      </c>
      <c r="Y176" s="2773"/>
      <c r="Z176" s="2005">
        <f>+O176+P176+Q176+R176</f>
        <v>0</v>
      </c>
      <c r="AA176" s="1339"/>
    </row>
    <row r="177" spans="1:27" ht="13.5" hidden="1" customHeight="1">
      <c r="A177" s="2770"/>
      <c r="B177" s="2079" t="s">
        <v>36</v>
      </c>
      <c r="C177" s="2802" t="s">
        <v>323</v>
      </c>
      <c r="D177" s="2065">
        <f t="shared" ref="D177:O177" si="99">+D178+D179</f>
        <v>0</v>
      </c>
      <c r="E177" s="2065">
        <f t="shared" si="99"/>
        <v>0</v>
      </c>
      <c r="F177" s="2065">
        <f t="shared" si="99"/>
        <v>0</v>
      </c>
      <c r="G177" s="2065">
        <f t="shared" si="99"/>
        <v>0</v>
      </c>
      <c r="H177" s="2065">
        <f t="shared" si="99"/>
        <v>0</v>
      </c>
      <c r="I177" s="2065">
        <f t="shared" si="99"/>
        <v>0</v>
      </c>
      <c r="J177" s="2065">
        <f t="shared" si="99"/>
        <v>0</v>
      </c>
      <c r="K177" s="2065">
        <f t="shared" si="99"/>
        <v>0</v>
      </c>
      <c r="L177" s="2065">
        <f t="shared" si="99"/>
        <v>0</v>
      </c>
      <c r="M177" s="2065">
        <f t="shared" si="99"/>
        <v>0</v>
      </c>
      <c r="N177" s="2065">
        <f t="shared" si="99"/>
        <v>0</v>
      </c>
      <c r="O177" s="2065">
        <f t="shared" si="99"/>
        <v>0</v>
      </c>
      <c r="P177" s="2065">
        <f>+P178+P179</f>
        <v>0</v>
      </c>
      <c r="Q177" s="2065"/>
      <c r="R177" s="2065"/>
      <c r="S177" s="2065"/>
      <c r="T177" s="2065"/>
      <c r="U177" s="2065"/>
      <c r="V177" s="2065"/>
      <c r="W177" s="2065"/>
      <c r="X177" s="2084">
        <f>+X178+X179</f>
        <v>0</v>
      </c>
      <c r="Y177" s="2773"/>
      <c r="Z177" s="2004"/>
    </row>
    <row r="178" spans="1:27" ht="13.5" hidden="1" customHeight="1">
      <c r="A178" s="2770"/>
      <c r="B178" s="2068" t="s">
        <v>24</v>
      </c>
      <c r="C178" s="2803"/>
      <c r="D178" s="2080">
        <f>+E178+I178+J178+K178+L178</f>
        <v>0</v>
      </c>
      <c r="E178" s="2080">
        <f>+F178+G178+H178</f>
        <v>0</v>
      </c>
      <c r="F178" s="2070"/>
      <c r="G178" s="2070"/>
      <c r="H178" s="2080"/>
      <c r="I178" s="2080"/>
      <c r="J178" s="2080"/>
      <c r="K178" s="2070"/>
      <c r="L178" s="2070"/>
      <c r="M178" s="2070"/>
      <c r="N178" s="2070"/>
      <c r="O178" s="2070"/>
      <c r="P178" s="2070">
        <v>0</v>
      </c>
      <c r="Q178" s="2070"/>
      <c r="R178" s="2070"/>
      <c r="S178" s="2070"/>
      <c r="T178" s="2070"/>
      <c r="U178" s="2070"/>
      <c r="V178" s="2070"/>
      <c r="W178" s="2070"/>
      <c r="X178" s="2071">
        <f>SUM(P178:T178)</f>
        <v>0</v>
      </c>
      <c r="Y178" s="2773"/>
      <c r="Z178" s="2004"/>
    </row>
    <row r="179" spans="1:27" hidden="1">
      <c r="A179" s="2770"/>
      <c r="B179" s="2068" t="s">
        <v>25</v>
      </c>
      <c r="C179" s="2803"/>
      <c r="D179" s="2069">
        <f>M179+O179+P179+Q179+R179+S179+T179+U179+V179+W179</f>
        <v>0</v>
      </c>
      <c r="E179" s="2080">
        <f>+F179+G179+H179</f>
        <v>0</v>
      </c>
      <c r="F179" s="2070"/>
      <c r="G179" s="2070">
        <v>0</v>
      </c>
      <c r="H179" s="2080"/>
      <c r="I179" s="2080"/>
      <c r="J179" s="2080"/>
      <c r="K179" s="2070"/>
      <c r="L179" s="2070"/>
      <c r="M179" s="2070"/>
      <c r="N179" s="2070"/>
      <c r="O179" s="2070"/>
      <c r="P179" s="2070">
        <v>0</v>
      </c>
      <c r="Q179" s="2070"/>
      <c r="R179" s="2070"/>
      <c r="S179" s="2070"/>
      <c r="T179" s="2070"/>
      <c r="U179" s="2070"/>
      <c r="V179" s="2070"/>
      <c r="W179" s="2070"/>
      <c r="X179" s="2071">
        <f>SUM(P179:T179)</f>
        <v>0</v>
      </c>
      <c r="Y179" s="2773"/>
      <c r="Z179" s="2004"/>
    </row>
    <row r="180" spans="1:27" ht="12.75" hidden="1" customHeight="1">
      <c r="A180" s="2770"/>
      <c r="B180" s="2063" t="s">
        <v>30</v>
      </c>
      <c r="C180" s="2803"/>
      <c r="D180" s="2064">
        <f>+D181</f>
        <v>0</v>
      </c>
      <c r="E180" s="2064">
        <f t="shared" ref="E180:O180" si="100">+E181</f>
        <v>0</v>
      </c>
      <c r="F180" s="2064">
        <f t="shared" si="100"/>
        <v>0</v>
      </c>
      <c r="G180" s="2064">
        <f t="shared" si="100"/>
        <v>0</v>
      </c>
      <c r="H180" s="2064">
        <f t="shared" si="100"/>
        <v>0</v>
      </c>
      <c r="I180" s="2064">
        <f t="shared" si="100"/>
        <v>0</v>
      </c>
      <c r="J180" s="2064">
        <f t="shared" si="100"/>
        <v>0</v>
      </c>
      <c r="K180" s="2064">
        <f t="shared" si="100"/>
        <v>0</v>
      </c>
      <c r="L180" s="2064">
        <f t="shared" si="100"/>
        <v>0</v>
      </c>
      <c r="M180" s="2064">
        <f t="shared" si="100"/>
        <v>0</v>
      </c>
      <c r="N180" s="2064">
        <f t="shared" si="100"/>
        <v>0</v>
      </c>
      <c r="O180" s="2064">
        <f t="shared" si="100"/>
        <v>0</v>
      </c>
      <c r="P180" s="2064">
        <f>+P181</f>
        <v>0</v>
      </c>
      <c r="Q180" s="2064"/>
      <c r="R180" s="2064"/>
      <c r="S180" s="2064"/>
      <c r="T180" s="2064"/>
      <c r="U180" s="2064"/>
      <c r="V180" s="2064"/>
      <c r="W180" s="2064"/>
      <c r="X180" s="2085">
        <f>+X181</f>
        <v>0</v>
      </c>
      <c r="Y180" s="2773"/>
      <c r="Z180" s="2004"/>
    </row>
    <row r="181" spans="1:27" ht="11.25" hidden="1" customHeight="1">
      <c r="A181" s="2770"/>
      <c r="B181" s="2068" t="s">
        <v>33</v>
      </c>
      <c r="C181" s="2803"/>
      <c r="D181" s="2069">
        <f>M181+O181+P181+Q181+R181+S181+T181+U181+V181+W181</f>
        <v>0</v>
      </c>
      <c r="E181" s="2080">
        <f>+F181+G181+H181</f>
        <v>0</v>
      </c>
      <c r="F181" s="2070"/>
      <c r="G181" s="2070"/>
      <c r="H181" s="2080"/>
      <c r="I181" s="2080"/>
      <c r="J181" s="2080"/>
      <c r="K181" s="2070"/>
      <c r="L181" s="2070"/>
      <c r="M181" s="2070"/>
      <c r="N181" s="2070"/>
      <c r="O181" s="2070"/>
      <c r="P181" s="2070">
        <v>0</v>
      </c>
      <c r="Q181" s="2070">
        <v>0</v>
      </c>
      <c r="R181" s="2070"/>
      <c r="S181" s="2070"/>
      <c r="T181" s="2070"/>
      <c r="U181" s="2070"/>
      <c r="V181" s="2070"/>
      <c r="W181" s="2070"/>
      <c r="X181" s="2071">
        <f>SUM(P181:T181)</f>
        <v>0</v>
      </c>
      <c r="Y181" s="2773"/>
      <c r="Z181" s="2004"/>
    </row>
    <row r="182" spans="1:27" ht="13.5" hidden="1" customHeight="1">
      <c r="A182" s="2770"/>
      <c r="B182" s="2060" t="s">
        <v>34</v>
      </c>
      <c r="C182" s="2027"/>
      <c r="D182" s="2061">
        <f t="shared" ref="D182:M182" si="101">+D183+D185</f>
        <v>0</v>
      </c>
      <c r="E182" s="2061">
        <f t="shared" si="101"/>
        <v>0</v>
      </c>
      <c r="F182" s="2061">
        <f t="shared" si="101"/>
        <v>0</v>
      </c>
      <c r="G182" s="2061">
        <f t="shared" si="101"/>
        <v>0</v>
      </c>
      <c r="H182" s="2061">
        <f t="shared" si="101"/>
        <v>0</v>
      </c>
      <c r="I182" s="2061">
        <f t="shared" si="101"/>
        <v>0</v>
      </c>
      <c r="J182" s="2061">
        <f t="shared" si="101"/>
        <v>0</v>
      </c>
      <c r="K182" s="2061">
        <f t="shared" si="101"/>
        <v>0</v>
      </c>
      <c r="L182" s="2061">
        <f t="shared" si="101"/>
        <v>0</v>
      </c>
      <c r="M182" s="2061">
        <f t="shared" si="101"/>
        <v>0</v>
      </c>
      <c r="N182" s="2061">
        <f>+N183+N185</f>
        <v>0</v>
      </c>
      <c r="O182" s="2061">
        <f>+O183+O185</f>
        <v>0</v>
      </c>
      <c r="P182" s="2061">
        <f>+P183+P185</f>
        <v>0</v>
      </c>
      <c r="Q182" s="2061">
        <f>+Q183+Q185</f>
        <v>0</v>
      </c>
      <c r="R182" s="2061"/>
      <c r="S182" s="2061"/>
      <c r="T182" s="2061"/>
      <c r="U182" s="2061"/>
      <c r="V182" s="2061"/>
      <c r="W182" s="2061"/>
      <c r="X182" s="2820" t="s">
        <v>77</v>
      </c>
      <c r="Y182" s="2774"/>
      <c r="Z182" s="2004"/>
    </row>
    <row r="183" spans="1:27" ht="13.5" hidden="1" customHeight="1">
      <c r="A183" s="2770"/>
      <c r="B183" s="2079" t="s">
        <v>36</v>
      </c>
      <c r="C183" s="2804" t="s">
        <v>323</v>
      </c>
      <c r="D183" s="2064">
        <f t="shared" ref="D183:O183" si="102">+D184</f>
        <v>0</v>
      </c>
      <c r="E183" s="2064">
        <f t="shared" si="102"/>
        <v>0</v>
      </c>
      <c r="F183" s="2064">
        <f t="shared" si="102"/>
        <v>0</v>
      </c>
      <c r="G183" s="2064">
        <f t="shared" si="102"/>
        <v>0</v>
      </c>
      <c r="H183" s="2064">
        <f t="shared" si="102"/>
        <v>0</v>
      </c>
      <c r="I183" s="2064">
        <f t="shared" si="102"/>
        <v>0</v>
      </c>
      <c r="J183" s="2064">
        <f t="shared" si="102"/>
        <v>0</v>
      </c>
      <c r="K183" s="2064">
        <f t="shared" si="102"/>
        <v>0</v>
      </c>
      <c r="L183" s="2064">
        <f t="shared" si="102"/>
        <v>0</v>
      </c>
      <c r="M183" s="2064">
        <f t="shared" si="102"/>
        <v>0</v>
      </c>
      <c r="N183" s="2064">
        <f t="shared" si="102"/>
        <v>0</v>
      </c>
      <c r="O183" s="2064">
        <f t="shared" si="102"/>
        <v>0</v>
      </c>
      <c r="P183" s="2064">
        <f>+P184</f>
        <v>0</v>
      </c>
      <c r="Q183" s="2064">
        <f>+Q184</f>
        <v>0</v>
      </c>
      <c r="R183" s="2064"/>
      <c r="S183" s="2064"/>
      <c r="T183" s="2064"/>
      <c r="U183" s="2064"/>
      <c r="V183" s="2064"/>
      <c r="W183" s="2064"/>
      <c r="X183" s="2820"/>
      <c r="Y183" s="2774"/>
      <c r="Z183" s="2004"/>
    </row>
    <row r="184" spans="1:27" ht="11.25" hidden="1" customHeight="1">
      <c r="A184" s="2770"/>
      <c r="B184" s="2068" t="s">
        <v>25</v>
      </c>
      <c r="C184" s="2803"/>
      <c r="D184" s="2069">
        <f>M184+O184+P184+Q184+R184+S184+T184+U184+V184+W184</f>
        <v>0</v>
      </c>
      <c r="E184" s="2069">
        <f>+F184+G184+H184</f>
        <v>0</v>
      </c>
      <c r="F184" s="2069"/>
      <c r="G184" s="2069"/>
      <c r="H184" s="2069"/>
      <c r="I184" s="2069"/>
      <c r="J184" s="2069"/>
      <c r="K184" s="2069"/>
      <c r="L184" s="2069"/>
      <c r="M184" s="2070"/>
      <c r="N184" s="2069"/>
      <c r="O184" s="2069"/>
      <c r="P184" s="2069">
        <v>0</v>
      </c>
      <c r="Q184" s="2069">
        <v>0</v>
      </c>
      <c r="R184" s="2069"/>
      <c r="S184" s="2069"/>
      <c r="T184" s="2069"/>
      <c r="U184" s="2069"/>
      <c r="V184" s="2069"/>
      <c r="W184" s="2069"/>
      <c r="X184" s="2820"/>
      <c r="Y184" s="2774"/>
      <c r="Z184" s="2004"/>
    </row>
    <row r="185" spans="1:27" ht="12" hidden="1" customHeight="1">
      <c r="A185" s="2770"/>
      <c r="B185" s="2063" t="s">
        <v>30</v>
      </c>
      <c r="C185" s="2805"/>
      <c r="D185" s="2064">
        <f t="shared" ref="D185:O185" si="103">+D186</f>
        <v>0</v>
      </c>
      <c r="E185" s="2064">
        <f t="shared" si="103"/>
        <v>0</v>
      </c>
      <c r="F185" s="2064">
        <f t="shared" si="103"/>
        <v>0</v>
      </c>
      <c r="G185" s="2064">
        <f t="shared" si="103"/>
        <v>0</v>
      </c>
      <c r="H185" s="2064">
        <f t="shared" si="103"/>
        <v>0</v>
      </c>
      <c r="I185" s="2064">
        <f t="shared" si="103"/>
        <v>0</v>
      </c>
      <c r="J185" s="2064">
        <f t="shared" si="103"/>
        <v>0</v>
      </c>
      <c r="K185" s="2064">
        <f t="shared" si="103"/>
        <v>0</v>
      </c>
      <c r="L185" s="2064">
        <f t="shared" si="103"/>
        <v>0</v>
      </c>
      <c r="M185" s="2064">
        <f t="shared" si="103"/>
        <v>0</v>
      </c>
      <c r="N185" s="2064">
        <f t="shared" si="103"/>
        <v>0</v>
      </c>
      <c r="O185" s="2064">
        <f t="shared" si="103"/>
        <v>0</v>
      </c>
      <c r="P185" s="2064">
        <f>+P186</f>
        <v>0</v>
      </c>
      <c r="Q185" s="2064">
        <f>+Q186</f>
        <v>0</v>
      </c>
      <c r="R185" s="2064"/>
      <c r="S185" s="2064"/>
      <c r="T185" s="2064"/>
      <c r="U185" s="2064"/>
      <c r="V185" s="2064"/>
      <c r="W185" s="2064"/>
      <c r="X185" s="2820"/>
      <c r="Y185" s="2774"/>
      <c r="Z185" s="2004"/>
    </row>
    <row r="186" spans="1:27" ht="12.75" hidden="1" customHeight="1">
      <c r="A186" s="2770"/>
      <c r="B186" s="2068" t="s">
        <v>33</v>
      </c>
      <c r="C186" s="2805"/>
      <c r="D186" s="2069">
        <f>M186+O186+P186+Q186+R186+S186+T186+U186+V186+W186</f>
        <v>0</v>
      </c>
      <c r="E186" s="2070">
        <f>+F186+G186+H186</f>
        <v>0</v>
      </c>
      <c r="F186" s="2070"/>
      <c r="G186" s="2070"/>
      <c r="H186" s="2070"/>
      <c r="I186" s="2070"/>
      <c r="J186" s="2070"/>
      <c r="K186" s="2070"/>
      <c r="L186" s="2070"/>
      <c r="M186" s="2070"/>
      <c r="N186" s="2070"/>
      <c r="O186" s="2070"/>
      <c r="P186" s="2070">
        <v>0</v>
      </c>
      <c r="Q186" s="2070">
        <v>0</v>
      </c>
      <c r="R186" s="2070"/>
      <c r="S186" s="2070"/>
      <c r="T186" s="2070"/>
      <c r="U186" s="2070"/>
      <c r="V186" s="2070"/>
      <c r="W186" s="2070"/>
      <c r="X186" s="2820"/>
      <c r="Y186" s="2774"/>
      <c r="Z186" s="2004"/>
    </row>
    <row r="187" spans="1:27" ht="65.25" hidden="1" customHeight="1">
      <c r="A187" s="2770" t="s">
        <v>107</v>
      </c>
      <c r="B187" s="2075"/>
      <c r="C187" s="2076" t="s">
        <v>128</v>
      </c>
      <c r="D187" s="2037"/>
      <c r="E187" s="2037"/>
      <c r="F187" s="2037"/>
      <c r="G187" s="2037"/>
      <c r="H187" s="2037"/>
      <c r="I187" s="2077"/>
      <c r="J187" s="2077"/>
      <c r="K187" s="2077"/>
      <c r="L187" s="2077"/>
      <c r="M187" s="2077"/>
      <c r="N187" s="2077"/>
      <c r="O187" s="2077"/>
      <c r="P187" s="2077"/>
      <c r="Q187" s="2077"/>
      <c r="R187" s="2037"/>
      <c r="S187" s="2037"/>
      <c r="T187" s="2037"/>
      <c r="U187" s="2037"/>
      <c r="V187" s="2037"/>
      <c r="W187" s="2037"/>
      <c r="X187" s="2029"/>
      <c r="Y187" s="2773" t="s">
        <v>149</v>
      </c>
      <c r="Z187" s="2004"/>
    </row>
    <row r="188" spans="1:27" ht="11.25" hidden="1" customHeight="1">
      <c r="A188" s="2770"/>
      <c r="B188" s="2060" t="s">
        <v>22</v>
      </c>
      <c r="C188" s="2027"/>
      <c r="D188" s="2078">
        <f t="shared" ref="D188:O188" si="104">+D189+D192</f>
        <v>0</v>
      </c>
      <c r="E188" s="2078">
        <f t="shared" si="104"/>
        <v>0</v>
      </c>
      <c r="F188" s="2078">
        <f t="shared" si="104"/>
        <v>0</v>
      </c>
      <c r="G188" s="2078">
        <f t="shared" si="104"/>
        <v>0</v>
      </c>
      <c r="H188" s="2078">
        <f t="shared" si="104"/>
        <v>0</v>
      </c>
      <c r="I188" s="2078">
        <f t="shared" si="104"/>
        <v>0</v>
      </c>
      <c r="J188" s="2078">
        <f t="shared" si="104"/>
        <v>0</v>
      </c>
      <c r="K188" s="2078">
        <f t="shared" si="104"/>
        <v>0</v>
      </c>
      <c r="L188" s="2078">
        <f t="shared" si="104"/>
        <v>0</v>
      </c>
      <c r="M188" s="2078">
        <f t="shared" si="104"/>
        <v>0</v>
      </c>
      <c r="N188" s="2078">
        <f t="shared" si="104"/>
        <v>0</v>
      </c>
      <c r="O188" s="2078">
        <f t="shared" si="104"/>
        <v>0</v>
      </c>
      <c r="P188" s="2078">
        <f>+P189+P192</f>
        <v>0</v>
      </c>
      <c r="Q188" s="2078">
        <f>+Q189+Q192</f>
        <v>0</v>
      </c>
      <c r="R188" s="2078">
        <f>+R189+R192</f>
        <v>0</v>
      </c>
      <c r="S188" s="2078">
        <f>+S189+S192</f>
        <v>0</v>
      </c>
      <c r="T188" s="2078">
        <f>+T189+T192</f>
        <v>0</v>
      </c>
      <c r="U188" s="2078"/>
      <c r="V188" s="2078"/>
      <c r="W188" s="2078"/>
      <c r="X188" s="2062">
        <f>+X189+X192</f>
        <v>0</v>
      </c>
      <c r="Y188" s="2773"/>
      <c r="Z188" s="2005">
        <f>+O188+P188+Q188+R188</f>
        <v>0</v>
      </c>
      <c r="AA188" s="1339"/>
    </row>
    <row r="189" spans="1:27" ht="11.25" hidden="1" customHeight="1">
      <c r="A189" s="2770"/>
      <c r="B189" s="2079" t="s">
        <v>36</v>
      </c>
      <c r="C189" s="2802" t="s">
        <v>323</v>
      </c>
      <c r="D189" s="2065">
        <f t="shared" ref="D189:O189" si="105">+D190+D191</f>
        <v>0</v>
      </c>
      <c r="E189" s="2065">
        <f t="shared" si="105"/>
        <v>0</v>
      </c>
      <c r="F189" s="2065">
        <f t="shared" si="105"/>
        <v>0</v>
      </c>
      <c r="G189" s="2065">
        <f t="shared" si="105"/>
        <v>0</v>
      </c>
      <c r="H189" s="2065">
        <f t="shared" si="105"/>
        <v>0</v>
      </c>
      <c r="I189" s="2065">
        <f t="shared" si="105"/>
        <v>0</v>
      </c>
      <c r="J189" s="2065">
        <f t="shared" si="105"/>
        <v>0</v>
      </c>
      <c r="K189" s="2065">
        <f t="shared" si="105"/>
        <v>0</v>
      </c>
      <c r="L189" s="2065">
        <f t="shared" si="105"/>
        <v>0</v>
      </c>
      <c r="M189" s="2065">
        <f t="shared" si="105"/>
        <v>0</v>
      </c>
      <c r="N189" s="2065">
        <f t="shared" si="105"/>
        <v>0</v>
      </c>
      <c r="O189" s="2065">
        <f t="shared" si="105"/>
        <v>0</v>
      </c>
      <c r="P189" s="2065">
        <f>+P190+P191</f>
        <v>0</v>
      </c>
      <c r="Q189" s="2065">
        <f>+Q190+Q191</f>
        <v>0</v>
      </c>
      <c r="R189" s="2065">
        <f>+R190+R191</f>
        <v>0</v>
      </c>
      <c r="S189" s="2065">
        <f>+S190+S191</f>
        <v>0</v>
      </c>
      <c r="T189" s="2065">
        <f>+T190+T191</f>
        <v>0</v>
      </c>
      <c r="U189" s="2065"/>
      <c r="V189" s="2065"/>
      <c r="W189" s="2065"/>
      <c r="X189" s="2084">
        <f>+X190+X191</f>
        <v>0</v>
      </c>
      <c r="Y189" s="2773"/>
      <c r="Z189" s="2004"/>
    </row>
    <row r="190" spans="1:27" ht="11.25" hidden="1" customHeight="1">
      <c r="A190" s="2770"/>
      <c r="B190" s="2068" t="s">
        <v>24</v>
      </c>
      <c r="C190" s="2803"/>
      <c r="D190" s="2069">
        <f>+E190+I190+J190+K190+L190</f>
        <v>0</v>
      </c>
      <c r="E190" s="2080">
        <f>+F190+G190+H190</f>
        <v>0</v>
      </c>
      <c r="F190" s="2070"/>
      <c r="G190" s="2070"/>
      <c r="H190" s="2080"/>
      <c r="I190" s="2080"/>
      <c r="J190" s="2080"/>
      <c r="K190" s="2070"/>
      <c r="L190" s="2070"/>
      <c r="M190" s="2070"/>
      <c r="N190" s="2070"/>
      <c r="O190" s="2070"/>
      <c r="P190" s="2070"/>
      <c r="Q190" s="2070"/>
      <c r="R190" s="2070"/>
      <c r="S190" s="2070"/>
      <c r="T190" s="2070"/>
      <c r="U190" s="2070"/>
      <c r="V190" s="2070"/>
      <c r="W190" s="2070"/>
      <c r="X190" s="2071">
        <f>+L190+M190+O190</f>
        <v>0</v>
      </c>
      <c r="Y190" s="2773"/>
      <c r="Z190" s="2004"/>
    </row>
    <row r="191" spans="1:27" ht="11.25" hidden="1" customHeight="1">
      <c r="A191" s="2770"/>
      <c r="B191" s="2068" t="s">
        <v>25</v>
      </c>
      <c r="C191" s="2803"/>
      <c r="D191" s="2069">
        <f>+E191+I191+J191+K191+L191+N191+O191+P191</f>
        <v>0</v>
      </c>
      <c r="E191" s="2080">
        <f>+F191+G191+H191</f>
        <v>0</v>
      </c>
      <c r="F191" s="2070"/>
      <c r="G191" s="2070">
        <v>0</v>
      </c>
      <c r="H191" s="2080"/>
      <c r="I191" s="2080">
        <v>0</v>
      </c>
      <c r="J191" s="2080">
        <v>0</v>
      </c>
      <c r="K191" s="2070">
        <v>0</v>
      </c>
      <c r="L191" s="2070">
        <v>0</v>
      </c>
      <c r="M191" s="2070">
        <v>0</v>
      </c>
      <c r="N191" s="2070">
        <v>0</v>
      </c>
      <c r="O191" s="2070">
        <v>0</v>
      </c>
      <c r="P191" s="2070"/>
      <c r="Q191" s="2070"/>
      <c r="R191" s="2070"/>
      <c r="S191" s="2070"/>
      <c r="T191" s="2070"/>
      <c r="U191" s="2070"/>
      <c r="V191" s="2070"/>
      <c r="W191" s="2070"/>
      <c r="X191" s="2071">
        <f>SUM(O191:R191)</f>
        <v>0</v>
      </c>
      <c r="Y191" s="2773"/>
      <c r="Z191" s="2004"/>
    </row>
    <row r="192" spans="1:27" ht="12.75" hidden="1" customHeight="1">
      <c r="A192" s="2770"/>
      <c r="B192" s="2063" t="s">
        <v>30</v>
      </c>
      <c r="C192" s="2803"/>
      <c r="D192" s="2064">
        <f>+D193</f>
        <v>0</v>
      </c>
      <c r="E192" s="2064">
        <f t="shared" ref="E192:O192" si="106">+E193</f>
        <v>0</v>
      </c>
      <c r="F192" s="2064">
        <f t="shared" si="106"/>
        <v>0</v>
      </c>
      <c r="G192" s="2064">
        <f t="shared" si="106"/>
        <v>0</v>
      </c>
      <c r="H192" s="2064">
        <f t="shared" si="106"/>
        <v>0</v>
      </c>
      <c r="I192" s="2064">
        <f t="shared" si="106"/>
        <v>0</v>
      </c>
      <c r="J192" s="2064">
        <f t="shared" si="106"/>
        <v>0</v>
      </c>
      <c r="K192" s="2064">
        <f t="shared" si="106"/>
        <v>0</v>
      </c>
      <c r="L192" s="2064">
        <f t="shared" si="106"/>
        <v>0</v>
      </c>
      <c r="M192" s="2064">
        <f t="shared" si="106"/>
        <v>0</v>
      </c>
      <c r="N192" s="2064">
        <f t="shared" si="106"/>
        <v>0</v>
      </c>
      <c r="O192" s="2064">
        <f t="shared" si="106"/>
        <v>0</v>
      </c>
      <c r="P192" s="2064">
        <f t="shared" ref="P192:X192" si="107">+P193</f>
        <v>0</v>
      </c>
      <c r="Q192" s="2064">
        <f t="shared" si="107"/>
        <v>0</v>
      </c>
      <c r="R192" s="2064">
        <f t="shared" si="107"/>
        <v>0</v>
      </c>
      <c r="S192" s="2064">
        <f t="shared" si="107"/>
        <v>0</v>
      </c>
      <c r="T192" s="2064">
        <f t="shared" si="107"/>
        <v>0</v>
      </c>
      <c r="U192" s="2064"/>
      <c r="V192" s="2064"/>
      <c r="W192" s="2064"/>
      <c r="X192" s="2085">
        <f t="shared" si="107"/>
        <v>0</v>
      </c>
      <c r="Y192" s="2773"/>
      <c r="Z192" s="2004"/>
    </row>
    <row r="193" spans="1:27" ht="11.25" hidden="1" customHeight="1">
      <c r="A193" s="2770"/>
      <c r="B193" s="2068" t="s">
        <v>33</v>
      </c>
      <c r="C193" s="2803"/>
      <c r="D193" s="2069">
        <f>M193+O193+P193+Q193+R193+S193+T193+U193+V193+W193</f>
        <v>0</v>
      </c>
      <c r="E193" s="2080">
        <f>+F193+G193+H193</f>
        <v>0</v>
      </c>
      <c r="F193" s="2070"/>
      <c r="G193" s="2070"/>
      <c r="H193" s="2080"/>
      <c r="I193" s="2080">
        <v>0</v>
      </c>
      <c r="J193" s="2080"/>
      <c r="K193" s="2070"/>
      <c r="L193" s="2070"/>
      <c r="M193" s="2070"/>
      <c r="N193" s="2070"/>
      <c r="O193" s="2070"/>
      <c r="P193" s="2070"/>
      <c r="Q193" s="2070">
        <v>0</v>
      </c>
      <c r="R193" s="2070">
        <v>0</v>
      </c>
      <c r="S193" s="2070">
        <v>0</v>
      </c>
      <c r="T193" s="2070">
        <v>0</v>
      </c>
      <c r="U193" s="2070"/>
      <c r="V193" s="2070"/>
      <c r="W193" s="2070"/>
      <c r="X193" s="2071">
        <f>SUM(P193:T193)</f>
        <v>0</v>
      </c>
      <c r="Y193" s="2773"/>
      <c r="Z193" s="2004"/>
    </row>
    <row r="194" spans="1:27" ht="11.25" hidden="1" customHeight="1">
      <c r="A194" s="2800"/>
      <c r="B194" s="2060" t="s">
        <v>34</v>
      </c>
      <c r="C194" s="2027"/>
      <c r="D194" s="2061">
        <f t="shared" ref="D194:L194" si="108">+D195+D197</f>
        <v>0</v>
      </c>
      <c r="E194" s="2061">
        <f t="shared" si="108"/>
        <v>0</v>
      </c>
      <c r="F194" s="2061">
        <f t="shared" si="108"/>
        <v>0</v>
      </c>
      <c r="G194" s="2061">
        <f t="shared" si="108"/>
        <v>0</v>
      </c>
      <c r="H194" s="2061">
        <f t="shared" si="108"/>
        <v>0</v>
      </c>
      <c r="I194" s="2061">
        <f t="shared" si="108"/>
        <v>0</v>
      </c>
      <c r="J194" s="2061">
        <f t="shared" si="108"/>
        <v>0</v>
      </c>
      <c r="K194" s="2061">
        <f t="shared" si="108"/>
        <v>0</v>
      </c>
      <c r="L194" s="2061">
        <f t="shared" si="108"/>
        <v>0</v>
      </c>
      <c r="M194" s="2061">
        <f t="shared" ref="M194:T194" si="109">+M195+M197</f>
        <v>0</v>
      </c>
      <c r="N194" s="2061">
        <f t="shared" si="109"/>
        <v>0</v>
      </c>
      <c r="O194" s="2061">
        <f t="shared" si="109"/>
        <v>0</v>
      </c>
      <c r="P194" s="2061">
        <f t="shared" si="109"/>
        <v>0</v>
      </c>
      <c r="Q194" s="2061">
        <f t="shared" si="109"/>
        <v>0</v>
      </c>
      <c r="R194" s="2061">
        <f t="shared" si="109"/>
        <v>0</v>
      </c>
      <c r="S194" s="2061">
        <f t="shared" si="109"/>
        <v>0</v>
      </c>
      <c r="T194" s="2061">
        <f t="shared" si="109"/>
        <v>0</v>
      </c>
      <c r="U194" s="2061"/>
      <c r="V194" s="2061"/>
      <c r="W194" s="2061"/>
      <c r="X194" s="2820" t="s">
        <v>77</v>
      </c>
      <c r="Y194" s="2774"/>
      <c r="Z194" s="2004"/>
    </row>
    <row r="195" spans="1:27" ht="11.25" hidden="1" customHeight="1">
      <c r="A195" s="2800"/>
      <c r="B195" s="2079" t="s">
        <v>36</v>
      </c>
      <c r="C195" s="2804" t="s">
        <v>323</v>
      </c>
      <c r="D195" s="2064">
        <f t="shared" ref="D195:O195" si="110">+D196</f>
        <v>0</v>
      </c>
      <c r="E195" s="2064">
        <f t="shared" si="110"/>
        <v>0</v>
      </c>
      <c r="F195" s="2064">
        <f t="shared" si="110"/>
        <v>0</v>
      </c>
      <c r="G195" s="2064">
        <f t="shared" si="110"/>
        <v>0</v>
      </c>
      <c r="H195" s="2064">
        <f t="shared" si="110"/>
        <v>0</v>
      </c>
      <c r="I195" s="2064">
        <f t="shared" si="110"/>
        <v>0</v>
      </c>
      <c r="J195" s="2064">
        <f t="shared" si="110"/>
        <v>0</v>
      </c>
      <c r="K195" s="2064">
        <f t="shared" si="110"/>
        <v>0</v>
      </c>
      <c r="L195" s="2064">
        <f t="shared" si="110"/>
        <v>0</v>
      </c>
      <c r="M195" s="2064">
        <f t="shared" si="110"/>
        <v>0</v>
      </c>
      <c r="N195" s="2064">
        <f t="shared" si="110"/>
        <v>0</v>
      </c>
      <c r="O195" s="2064">
        <f t="shared" si="110"/>
        <v>0</v>
      </c>
      <c r="P195" s="2064">
        <f>+P196</f>
        <v>0</v>
      </c>
      <c r="Q195" s="2064">
        <v>0</v>
      </c>
      <c r="R195" s="2064">
        <v>0</v>
      </c>
      <c r="S195" s="2064">
        <v>0</v>
      </c>
      <c r="T195" s="2064">
        <v>0</v>
      </c>
      <c r="U195" s="2064"/>
      <c r="V195" s="2064"/>
      <c r="W195" s="2064"/>
      <c r="X195" s="2820"/>
      <c r="Y195" s="2774"/>
      <c r="Z195" s="2004"/>
    </row>
    <row r="196" spans="1:27" ht="19.149999999999999" hidden="1" customHeight="1">
      <c r="A196" s="2800"/>
      <c r="B196" s="2068" t="s">
        <v>25</v>
      </c>
      <c r="C196" s="2803"/>
      <c r="D196" s="2069">
        <f>+E196+I196+J196+K196+L196+N196+O196+P196</f>
        <v>0</v>
      </c>
      <c r="E196" s="2069">
        <f>+F196+G196+H196</f>
        <v>0</v>
      </c>
      <c r="F196" s="2069"/>
      <c r="G196" s="2069"/>
      <c r="H196" s="2069"/>
      <c r="I196" s="2069">
        <v>0</v>
      </c>
      <c r="J196" s="2069">
        <v>0</v>
      </c>
      <c r="K196" s="2069"/>
      <c r="L196" s="2069"/>
      <c r="M196" s="2069"/>
      <c r="N196" s="2069"/>
      <c r="O196" s="2069"/>
      <c r="P196" s="2069"/>
      <c r="Q196" s="2069"/>
      <c r="R196" s="2069"/>
      <c r="S196" s="2069"/>
      <c r="T196" s="2069"/>
      <c r="U196" s="2069"/>
      <c r="V196" s="2069"/>
      <c r="W196" s="2069"/>
      <c r="X196" s="2820"/>
      <c r="Y196" s="2774"/>
      <c r="Z196" s="2004"/>
    </row>
    <row r="197" spans="1:27" ht="18.600000000000001" hidden="1" customHeight="1">
      <c r="A197" s="2800"/>
      <c r="B197" s="2063" t="s">
        <v>30</v>
      </c>
      <c r="C197" s="2805"/>
      <c r="D197" s="2064">
        <f t="shared" ref="D197:O197" si="111">+D198</f>
        <v>0</v>
      </c>
      <c r="E197" s="2064">
        <f t="shared" si="111"/>
        <v>0</v>
      </c>
      <c r="F197" s="2064">
        <f t="shared" si="111"/>
        <v>0</v>
      </c>
      <c r="G197" s="2064">
        <f t="shared" si="111"/>
        <v>0</v>
      </c>
      <c r="H197" s="2064">
        <f t="shared" si="111"/>
        <v>0</v>
      </c>
      <c r="I197" s="2064">
        <f t="shared" si="111"/>
        <v>0</v>
      </c>
      <c r="J197" s="2064">
        <f t="shared" si="111"/>
        <v>0</v>
      </c>
      <c r="K197" s="2064">
        <f t="shared" si="111"/>
        <v>0</v>
      </c>
      <c r="L197" s="2064">
        <f t="shared" si="111"/>
        <v>0</v>
      </c>
      <c r="M197" s="2064">
        <f t="shared" si="111"/>
        <v>0</v>
      </c>
      <c r="N197" s="2064">
        <f t="shared" si="111"/>
        <v>0</v>
      </c>
      <c r="O197" s="2064">
        <f t="shared" si="111"/>
        <v>0</v>
      </c>
      <c r="P197" s="2064">
        <f>+P198</f>
        <v>0</v>
      </c>
      <c r="Q197" s="2064">
        <v>0</v>
      </c>
      <c r="R197" s="2064">
        <v>0</v>
      </c>
      <c r="S197" s="2064">
        <v>0</v>
      </c>
      <c r="T197" s="2064">
        <v>0</v>
      </c>
      <c r="U197" s="2064"/>
      <c r="V197" s="2064"/>
      <c r="W197" s="2064"/>
      <c r="X197" s="2820"/>
      <c r="Y197" s="2774"/>
      <c r="Z197" s="2004"/>
    </row>
    <row r="198" spans="1:27" ht="19.149999999999999" hidden="1" customHeight="1">
      <c r="A198" s="2800"/>
      <c r="B198" s="2068" t="s">
        <v>33</v>
      </c>
      <c r="C198" s="2805"/>
      <c r="D198" s="2069">
        <f>M198+O198+P198+Q198+R198+S198+T198+U198+V198+W198</f>
        <v>0</v>
      </c>
      <c r="E198" s="2070">
        <v>0</v>
      </c>
      <c r="F198" s="2070"/>
      <c r="G198" s="2070"/>
      <c r="H198" s="2070"/>
      <c r="I198" s="2070">
        <v>0</v>
      </c>
      <c r="J198" s="2070">
        <v>0</v>
      </c>
      <c r="K198" s="2070"/>
      <c r="L198" s="2070"/>
      <c r="M198" s="2070"/>
      <c r="N198" s="2070"/>
      <c r="O198" s="2070"/>
      <c r="P198" s="2070"/>
      <c r="Q198" s="2070">
        <v>0</v>
      </c>
      <c r="R198" s="2070">
        <v>0</v>
      </c>
      <c r="S198" s="2070">
        <v>0</v>
      </c>
      <c r="T198" s="2070">
        <v>0</v>
      </c>
      <c r="U198" s="2070"/>
      <c r="V198" s="2070"/>
      <c r="W198" s="2070"/>
      <c r="X198" s="2820"/>
      <c r="Y198" s="2774"/>
      <c r="Z198" s="2004"/>
    </row>
    <row r="199" spans="1:27" ht="19.149999999999999" hidden="1" customHeight="1">
      <c r="A199" s="2770" t="s">
        <v>108</v>
      </c>
      <c r="B199" s="2075"/>
      <c r="C199" s="2076" t="s">
        <v>128</v>
      </c>
      <c r="D199" s="2037"/>
      <c r="E199" s="2037"/>
      <c r="F199" s="2037"/>
      <c r="G199" s="2037"/>
      <c r="H199" s="2037"/>
      <c r="I199" s="2077"/>
      <c r="J199" s="2077"/>
      <c r="K199" s="2077"/>
      <c r="L199" s="2077"/>
      <c r="M199" s="2077"/>
      <c r="N199" s="2077"/>
      <c r="O199" s="2077"/>
      <c r="P199" s="2077"/>
      <c r="Q199" s="2077"/>
      <c r="R199" s="2077"/>
      <c r="S199" s="2077"/>
      <c r="T199" s="2077"/>
      <c r="U199" s="2077"/>
      <c r="V199" s="2077"/>
      <c r="W199" s="2077"/>
      <c r="X199" s="2029"/>
      <c r="Y199" s="2773" t="s">
        <v>149</v>
      </c>
      <c r="Z199" s="2004"/>
    </row>
    <row r="200" spans="1:27" ht="18.600000000000001" hidden="1" customHeight="1">
      <c r="A200" s="2770"/>
      <c r="B200" s="2060" t="s">
        <v>22</v>
      </c>
      <c r="C200" s="2078"/>
      <c r="D200" s="2078">
        <f t="shared" ref="D200:P200" si="112">+D201+D204</f>
        <v>0</v>
      </c>
      <c r="E200" s="2078">
        <f t="shared" si="112"/>
        <v>0</v>
      </c>
      <c r="F200" s="2078">
        <f t="shared" si="112"/>
        <v>0</v>
      </c>
      <c r="G200" s="2078">
        <f t="shared" si="112"/>
        <v>0</v>
      </c>
      <c r="H200" s="2078">
        <f t="shared" si="112"/>
        <v>0</v>
      </c>
      <c r="I200" s="2078">
        <f t="shared" si="112"/>
        <v>0</v>
      </c>
      <c r="J200" s="2078">
        <f t="shared" si="112"/>
        <v>0</v>
      </c>
      <c r="K200" s="2078">
        <f t="shared" si="112"/>
        <v>0</v>
      </c>
      <c r="L200" s="2078">
        <f t="shared" si="112"/>
        <v>0</v>
      </c>
      <c r="M200" s="2078">
        <f>+M201+M204</f>
        <v>0</v>
      </c>
      <c r="N200" s="2078">
        <f t="shared" si="112"/>
        <v>0</v>
      </c>
      <c r="O200" s="2078">
        <f t="shared" si="112"/>
        <v>0</v>
      </c>
      <c r="P200" s="2078">
        <f t="shared" si="112"/>
        <v>0</v>
      </c>
      <c r="Q200" s="2078">
        <f>+Q201+Q204</f>
        <v>0</v>
      </c>
      <c r="R200" s="2078"/>
      <c r="S200" s="2078"/>
      <c r="T200" s="2078"/>
      <c r="U200" s="2078"/>
      <c r="V200" s="2078"/>
      <c r="W200" s="2078"/>
      <c r="X200" s="2062">
        <f>+X201+X204</f>
        <v>0</v>
      </c>
      <c r="Y200" s="2773"/>
      <c r="Z200" s="2005">
        <f>+O200+P200+Q200+R200</f>
        <v>0</v>
      </c>
      <c r="AA200" s="1339"/>
    </row>
    <row r="201" spans="1:27" ht="19.149999999999999" hidden="1" customHeight="1">
      <c r="A201" s="2770"/>
      <c r="B201" s="2088" t="s">
        <v>36</v>
      </c>
      <c r="C201" s="2802" t="s">
        <v>323</v>
      </c>
      <c r="D201" s="2088">
        <f t="shared" ref="D201:P201" si="113">+D202+D203</f>
        <v>0</v>
      </c>
      <c r="E201" s="2088">
        <f t="shared" si="113"/>
        <v>0</v>
      </c>
      <c r="F201" s="2088">
        <f t="shared" si="113"/>
        <v>0</v>
      </c>
      <c r="G201" s="2088">
        <f t="shared" si="113"/>
        <v>0</v>
      </c>
      <c r="H201" s="2088">
        <f t="shared" si="113"/>
        <v>0</v>
      </c>
      <c r="I201" s="2088">
        <f t="shared" si="113"/>
        <v>0</v>
      </c>
      <c r="J201" s="2088">
        <f t="shared" si="113"/>
        <v>0</v>
      </c>
      <c r="K201" s="2088">
        <f t="shared" si="113"/>
        <v>0</v>
      </c>
      <c r="L201" s="2088">
        <f t="shared" si="113"/>
        <v>0</v>
      </c>
      <c r="M201" s="2088">
        <f>+M202+M203</f>
        <v>0</v>
      </c>
      <c r="N201" s="2088">
        <f t="shared" si="113"/>
        <v>0</v>
      </c>
      <c r="O201" s="2088">
        <f t="shared" si="113"/>
        <v>0</v>
      </c>
      <c r="P201" s="2088">
        <f t="shared" si="113"/>
        <v>0</v>
      </c>
      <c r="Q201" s="2088">
        <f>+Q202+Q203</f>
        <v>0</v>
      </c>
      <c r="R201" s="2088"/>
      <c r="S201" s="2088"/>
      <c r="T201" s="2088"/>
      <c r="U201" s="2088"/>
      <c r="V201" s="2088"/>
      <c r="W201" s="2088"/>
      <c r="X201" s="2084">
        <f>+X202+X203</f>
        <v>0</v>
      </c>
      <c r="Y201" s="2773"/>
      <c r="Z201" s="2004"/>
    </row>
    <row r="202" spans="1:27" ht="19.899999999999999" hidden="1" customHeight="1">
      <c r="A202" s="2770"/>
      <c r="B202" s="2088" t="s">
        <v>24</v>
      </c>
      <c r="C202" s="2803"/>
      <c r="D202" s="2088">
        <f>+E202+I202+J202+K202+L202</f>
        <v>0</v>
      </c>
      <c r="E202" s="2088">
        <f>+F202+G202+H202</f>
        <v>0</v>
      </c>
      <c r="F202" s="2088"/>
      <c r="G202" s="2088"/>
      <c r="H202" s="2088"/>
      <c r="I202" s="2088"/>
      <c r="J202" s="2088"/>
      <c r="K202" s="2088"/>
      <c r="L202" s="2088"/>
      <c r="M202" s="2088"/>
      <c r="N202" s="2088"/>
      <c r="O202" s="2088"/>
      <c r="P202" s="2088"/>
      <c r="Q202" s="2088"/>
      <c r="R202" s="2088"/>
      <c r="S202" s="2088"/>
      <c r="T202" s="2088"/>
      <c r="U202" s="2088"/>
      <c r="V202" s="2088"/>
      <c r="W202" s="2088"/>
      <c r="X202" s="2071">
        <f>+L202+M202+O202</f>
        <v>0</v>
      </c>
      <c r="Y202" s="2773"/>
      <c r="Z202" s="2004"/>
    </row>
    <row r="203" spans="1:27" ht="17.45" hidden="1" customHeight="1">
      <c r="A203" s="2770"/>
      <c r="B203" s="2088" t="s">
        <v>25</v>
      </c>
      <c r="C203" s="2803"/>
      <c r="D203" s="2088">
        <f>+E203+I203+J203+K203+L203+N203+O203+P203</f>
        <v>0</v>
      </c>
      <c r="E203" s="2088">
        <f>+F203+G203+H203</f>
        <v>0</v>
      </c>
      <c r="F203" s="2088"/>
      <c r="G203" s="2088">
        <v>0</v>
      </c>
      <c r="H203" s="2088"/>
      <c r="I203" s="2088"/>
      <c r="J203" s="2088"/>
      <c r="K203" s="2088"/>
      <c r="L203" s="2088"/>
      <c r="M203" s="2088"/>
      <c r="N203" s="2088"/>
      <c r="O203" s="2088"/>
      <c r="P203" s="2088"/>
      <c r="Q203" s="2088"/>
      <c r="R203" s="2088"/>
      <c r="S203" s="2088"/>
      <c r="T203" s="2088"/>
      <c r="U203" s="2088"/>
      <c r="V203" s="2088"/>
      <c r="W203" s="2088"/>
      <c r="X203" s="2071">
        <f>SUM(O203:R203)</f>
        <v>0</v>
      </c>
      <c r="Y203" s="2773"/>
      <c r="Z203" s="2004"/>
    </row>
    <row r="204" spans="1:27" ht="17.45" hidden="1" customHeight="1">
      <c r="A204" s="2770"/>
      <c r="B204" s="2063" t="s">
        <v>30</v>
      </c>
      <c r="C204" s="2803"/>
      <c r="D204" s="2064">
        <f>+D205</f>
        <v>0</v>
      </c>
      <c r="E204" s="2064">
        <f t="shared" ref="E204:X204" si="114">+E205</f>
        <v>0</v>
      </c>
      <c r="F204" s="2064">
        <f t="shared" si="114"/>
        <v>0</v>
      </c>
      <c r="G204" s="2064">
        <f t="shared" si="114"/>
        <v>0</v>
      </c>
      <c r="H204" s="2064">
        <f t="shared" si="114"/>
        <v>0</v>
      </c>
      <c r="I204" s="2064">
        <f t="shared" si="114"/>
        <v>0</v>
      </c>
      <c r="J204" s="2064">
        <f t="shared" si="114"/>
        <v>0</v>
      </c>
      <c r="K204" s="2064">
        <f t="shared" si="114"/>
        <v>0</v>
      </c>
      <c r="L204" s="2064">
        <f t="shared" si="114"/>
        <v>0</v>
      </c>
      <c r="M204" s="2064">
        <f t="shared" si="114"/>
        <v>0</v>
      </c>
      <c r="N204" s="2064">
        <f t="shared" si="114"/>
        <v>0</v>
      </c>
      <c r="O204" s="2064">
        <f t="shared" si="114"/>
        <v>0</v>
      </c>
      <c r="P204" s="2064">
        <f t="shared" si="114"/>
        <v>0</v>
      </c>
      <c r="Q204" s="2064">
        <f t="shared" si="114"/>
        <v>0</v>
      </c>
      <c r="R204" s="2064"/>
      <c r="S204" s="2064"/>
      <c r="T204" s="2064"/>
      <c r="U204" s="2064"/>
      <c r="V204" s="2064"/>
      <c r="W204" s="2064"/>
      <c r="X204" s="2085">
        <f t="shared" si="114"/>
        <v>0</v>
      </c>
      <c r="Y204" s="2773"/>
      <c r="Z204" s="2004"/>
    </row>
    <row r="205" spans="1:27" ht="18" hidden="1" customHeight="1">
      <c r="A205" s="2770"/>
      <c r="B205" s="2068" t="s">
        <v>33</v>
      </c>
      <c r="C205" s="2803"/>
      <c r="D205" s="2069">
        <f>M205+O205+P205+Q205+R205+S205+T205+U205+V205+W205</f>
        <v>0</v>
      </c>
      <c r="E205" s="2080">
        <f>+F205+G205+H205</f>
        <v>0</v>
      </c>
      <c r="F205" s="2070"/>
      <c r="G205" s="2070"/>
      <c r="H205" s="2080"/>
      <c r="I205" s="2080">
        <v>0</v>
      </c>
      <c r="J205" s="2080">
        <v>0</v>
      </c>
      <c r="K205" s="2070"/>
      <c r="L205" s="2070"/>
      <c r="M205" s="2070"/>
      <c r="N205" s="2070"/>
      <c r="O205" s="2070"/>
      <c r="P205" s="2070"/>
      <c r="Q205" s="2070">
        <v>0</v>
      </c>
      <c r="R205" s="2070"/>
      <c r="S205" s="2070"/>
      <c r="T205" s="2070"/>
      <c r="U205" s="2070"/>
      <c r="V205" s="2070"/>
      <c r="W205" s="2070"/>
      <c r="X205" s="2071">
        <f>SUM(P205:T205)</f>
        <v>0</v>
      </c>
      <c r="Y205" s="2773"/>
      <c r="Z205" s="2004"/>
    </row>
    <row r="206" spans="1:27" ht="18" hidden="1" customHeight="1">
      <c r="A206" s="2800"/>
      <c r="B206" s="2060" t="s">
        <v>34</v>
      </c>
      <c r="C206" s="2027"/>
      <c r="D206" s="2061">
        <f t="shared" ref="D206:L206" si="115">+D207+D209</f>
        <v>0</v>
      </c>
      <c r="E206" s="2061">
        <f t="shared" si="115"/>
        <v>0</v>
      </c>
      <c r="F206" s="2061">
        <f t="shared" si="115"/>
        <v>0</v>
      </c>
      <c r="G206" s="2061">
        <f t="shared" si="115"/>
        <v>0</v>
      </c>
      <c r="H206" s="2061">
        <f t="shared" si="115"/>
        <v>0</v>
      </c>
      <c r="I206" s="2061">
        <f t="shared" si="115"/>
        <v>0</v>
      </c>
      <c r="J206" s="2061">
        <f t="shared" si="115"/>
        <v>0</v>
      </c>
      <c r="K206" s="2061">
        <f t="shared" si="115"/>
        <v>0</v>
      </c>
      <c r="L206" s="2061">
        <f t="shared" si="115"/>
        <v>0</v>
      </c>
      <c r="M206" s="2061">
        <f>+M207+M209</f>
        <v>0</v>
      </c>
      <c r="N206" s="2061">
        <f>+N207+N209</f>
        <v>0</v>
      </c>
      <c r="O206" s="2061">
        <f>+O207+O209</f>
        <v>0</v>
      </c>
      <c r="P206" s="2061">
        <f>+P207+P209</f>
        <v>0</v>
      </c>
      <c r="Q206" s="2061">
        <f>+Q207+Q209</f>
        <v>0</v>
      </c>
      <c r="R206" s="2061"/>
      <c r="S206" s="2061"/>
      <c r="T206" s="2061"/>
      <c r="U206" s="2061"/>
      <c r="V206" s="2061"/>
      <c r="W206" s="2061"/>
      <c r="X206" s="2820" t="s">
        <v>77</v>
      </c>
      <c r="Y206" s="2774"/>
      <c r="Z206" s="2004"/>
    </row>
    <row r="207" spans="1:27" ht="18.600000000000001" hidden="1" customHeight="1">
      <c r="A207" s="2800"/>
      <c r="B207" s="2074" t="s">
        <v>36</v>
      </c>
      <c r="C207" s="2804" t="s">
        <v>323</v>
      </c>
      <c r="D207" s="2064">
        <f t="shared" ref="D207:Q207" si="116">+D208</f>
        <v>0</v>
      </c>
      <c r="E207" s="2064">
        <f t="shared" si="116"/>
        <v>0</v>
      </c>
      <c r="F207" s="2064">
        <f t="shared" si="116"/>
        <v>0</v>
      </c>
      <c r="G207" s="2064">
        <f t="shared" si="116"/>
        <v>0</v>
      </c>
      <c r="H207" s="2064">
        <f t="shared" si="116"/>
        <v>0</v>
      </c>
      <c r="I207" s="2064">
        <f t="shared" si="116"/>
        <v>0</v>
      </c>
      <c r="J207" s="2064">
        <f t="shared" si="116"/>
        <v>0</v>
      </c>
      <c r="K207" s="2064">
        <f t="shared" si="116"/>
        <v>0</v>
      </c>
      <c r="L207" s="2064">
        <f t="shared" si="116"/>
        <v>0</v>
      </c>
      <c r="M207" s="2064">
        <f t="shared" si="116"/>
        <v>0</v>
      </c>
      <c r="N207" s="2064">
        <f t="shared" si="116"/>
        <v>0</v>
      </c>
      <c r="O207" s="2064">
        <f t="shared" si="116"/>
        <v>0</v>
      </c>
      <c r="P207" s="2064">
        <f t="shared" si="116"/>
        <v>0</v>
      </c>
      <c r="Q207" s="2064">
        <f t="shared" si="116"/>
        <v>0</v>
      </c>
      <c r="R207" s="2064"/>
      <c r="S207" s="2064"/>
      <c r="T207" s="2064"/>
      <c r="U207" s="2064"/>
      <c r="V207" s="2064"/>
      <c r="W207" s="2064"/>
      <c r="X207" s="2820"/>
      <c r="Y207" s="2774"/>
      <c r="Z207" s="2004"/>
    </row>
    <row r="208" spans="1:27" ht="18.600000000000001" hidden="1" customHeight="1">
      <c r="A208" s="2800"/>
      <c r="B208" s="2088" t="s">
        <v>25</v>
      </c>
      <c r="C208" s="2803"/>
      <c r="D208" s="2069">
        <f>M208+O208+P208+Q208+R208+S208+T208+U208+V208+W208</f>
        <v>0</v>
      </c>
      <c r="E208" s="2070">
        <f>+F208+G208+H208</f>
        <v>0</v>
      </c>
      <c r="F208" s="2070"/>
      <c r="G208" s="2070"/>
      <c r="H208" s="2070"/>
      <c r="I208" s="2070"/>
      <c r="J208" s="2070"/>
      <c r="K208" s="2070"/>
      <c r="L208" s="2070"/>
      <c r="M208" s="2070">
        <f>+L208+K208+J208+I208+E208+N208</f>
        <v>0</v>
      </c>
      <c r="N208" s="2070"/>
      <c r="O208" s="2070"/>
      <c r="P208" s="2070"/>
      <c r="Q208" s="2070"/>
      <c r="R208" s="2070"/>
      <c r="S208" s="2070"/>
      <c r="T208" s="2070"/>
      <c r="U208" s="2070"/>
      <c r="V208" s="2070"/>
      <c r="W208" s="2070"/>
      <c r="X208" s="2820"/>
      <c r="Y208" s="2774"/>
      <c r="Z208" s="2004"/>
    </row>
    <row r="209" spans="1:29" ht="19.149999999999999" hidden="1" customHeight="1">
      <c r="A209" s="2800"/>
      <c r="B209" s="2074" t="s">
        <v>30</v>
      </c>
      <c r="C209" s="2805"/>
      <c r="D209" s="2064">
        <f t="shared" ref="D209:Q209" si="117">+D210</f>
        <v>0</v>
      </c>
      <c r="E209" s="2064">
        <f t="shared" si="117"/>
        <v>0</v>
      </c>
      <c r="F209" s="2064">
        <f t="shared" si="117"/>
        <v>0</v>
      </c>
      <c r="G209" s="2064">
        <f t="shared" si="117"/>
        <v>0</v>
      </c>
      <c r="H209" s="2064">
        <f t="shared" si="117"/>
        <v>0</v>
      </c>
      <c r="I209" s="2064">
        <f t="shared" si="117"/>
        <v>0</v>
      </c>
      <c r="J209" s="2064">
        <f t="shared" si="117"/>
        <v>0</v>
      </c>
      <c r="K209" s="2064">
        <f t="shared" si="117"/>
        <v>0</v>
      </c>
      <c r="L209" s="2064">
        <f t="shared" si="117"/>
        <v>0</v>
      </c>
      <c r="M209" s="2064">
        <f t="shared" si="117"/>
        <v>0</v>
      </c>
      <c r="N209" s="2064">
        <f t="shared" si="117"/>
        <v>0</v>
      </c>
      <c r="O209" s="2064">
        <f t="shared" si="117"/>
        <v>0</v>
      </c>
      <c r="P209" s="2064">
        <f t="shared" si="117"/>
        <v>0</v>
      </c>
      <c r="Q209" s="2064">
        <f t="shared" si="117"/>
        <v>0</v>
      </c>
      <c r="R209" s="2064"/>
      <c r="S209" s="2064"/>
      <c r="T209" s="2064"/>
      <c r="U209" s="2064"/>
      <c r="V209" s="2064"/>
      <c r="W209" s="2064"/>
      <c r="X209" s="2820"/>
      <c r="Y209" s="2774"/>
      <c r="Z209" s="2004"/>
    </row>
    <row r="210" spans="1:29" ht="12.75" hidden="1" customHeight="1">
      <c r="A210" s="2800"/>
      <c r="B210" s="2074" t="s">
        <v>33</v>
      </c>
      <c r="C210" s="2805"/>
      <c r="D210" s="2069">
        <f>M210+O210+P210+Q210+R210+S210+T210+U210+V210+W210</f>
        <v>0</v>
      </c>
      <c r="E210" s="2070">
        <f>+F210+G210+H210</f>
        <v>0</v>
      </c>
      <c r="F210" s="2070"/>
      <c r="G210" s="2070"/>
      <c r="H210" s="2070"/>
      <c r="I210" s="2070">
        <v>0</v>
      </c>
      <c r="J210" s="2070">
        <v>0</v>
      </c>
      <c r="K210" s="2070">
        <f>219301-219301</f>
        <v>0</v>
      </c>
      <c r="L210" s="2070">
        <f>450000-320000-130000</f>
        <v>0</v>
      </c>
      <c r="M210" s="2070"/>
      <c r="N210" s="2070"/>
      <c r="O210" s="2070"/>
      <c r="P210" s="2070"/>
      <c r="Q210" s="2070"/>
      <c r="R210" s="2070"/>
      <c r="S210" s="2070"/>
      <c r="T210" s="2070"/>
      <c r="U210" s="2070"/>
      <c r="V210" s="2070"/>
      <c r="W210" s="2070"/>
      <c r="X210" s="2820"/>
      <c r="Y210" s="2774"/>
      <c r="Z210" s="2004"/>
    </row>
    <row r="211" spans="1:29" ht="14.25" customHeight="1">
      <c r="A211" s="2770" t="s">
        <v>83</v>
      </c>
      <c r="B211" s="2075" t="s">
        <v>436</v>
      </c>
      <c r="C211" s="2076" t="s">
        <v>128</v>
      </c>
      <c r="D211" s="2037"/>
      <c r="E211" s="2037"/>
      <c r="F211" s="2037"/>
      <c r="G211" s="2037"/>
      <c r="H211" s="2037"/>
      <c r="I211" s="2077"/>
      <c r="J211" s="2077"/>
      <c r="K211" s="2077"/>
      <c r="L211" s="2077"/>
      <c r="M211" s="2077"/>
      <c r="N211" s="2077"/>
      <c r="O211" s="2077"/>
      <c r="P211" s="2077"/>
      <c r="Q211" s="2077"/>
      <c r="R211" s="2077"/>
      <c r="S211" s="2077"/>
      <c r="T211" s="2077"/>
      <c r="U211" s="2077"/>
      <c r="V211" s="2077"/>
      <c r="W211" s="2077"/>
      <c r="X211" s="2029"/>
      <c r="Y211" s="2773" t="s">
        <v>473</v>
      </c>
      <c r="Z211" s="2004"/>
      <c r="AC211" s="1347"/>
    </row>
    <row r="212" spans="1:29" ht="12" customHeight="1">
      <c r="A212" s="2770"/>
      <c r="B212" s="2060" t="s">
        <v>22</v>
      </c>
      <c r="C212" s="2027"/>
      <c r="D212" s="2078">
        <f>+D213+D216</f>
        <v>75159729</v>
      </c>
      <c r="E212" s="2078">
        <f t="shared" ref="E212:P212" si="118">+E213+E216</f>
        <v>0</v>
      </c>
      <c r="F212" s="2078">
        <f t="shared" si="118"/>
        <v>0</v>
      </c>
      <c r="G212" s="2078">
        <f t="shared" si="118"/>
        <v>0</v>
      </c>
      <c r="H212" s="2078">
        <f t="shared" si="118"/>
        <v>0</v>
      </c>
      <c r="I212" s="2078">
        <f t="shared" si="118"/>
        <v>0</v>
      </c>
      <c r="J212" s="2078">
        <f t="shared" si="118"/>
        <v>0</v>
      </c>
      <c r="K212" s="2078">
        <f t="shared" si="118"/>
        <v>0</v>
      </c>
      <c r="L212" s="2078">
        <f t="shared" si="118"/>
        <v>0</v>
      </c>
      <c r="M212" s="2078">
        <f>+M213+M216</f>
        <v>0</v>
      </c>
      <c r="N212" s="2078">
        <f t="shared" si="118"/>
        <v>0</v>
      </c>
      <c r="O212" s="2078">
        <f t="shared" si="118"/>
        <v>305194</v>
      </c>
      <c r="P212" s="2078">
        <f t="shared" si="118"/>
        <v>8576527</v>
      </c>
      <c r="Q212" s="2078">
        <f t="shared" ref="Q212:X212" si="119">+Q213+Q216</f>
        <v>9970750</v>
      </c>
      <c r="R212" s="2078">
        <f t="shared" si="119"/>
        <v>9786275</v>
      </c>
      <c r="S212" s="2078">
        <f t="shared" si="119"/>
        <v>9681275</v>
      </c>
      <c r="T212" s="2078">
        <f t="shared" si="119"/>
        <v>9701275</v>
      </c>
      <c r="U212" s="2078">
        <f t="shared" si="119"/>
        <v>9597275</v>
      </c>
      <c r="V212" s="2078">
        <f t="shared" si="119"/>
        <v>8877275</v>
      </c>
      <c r="W212" s="2078">
        <f t="shared" si="119"/>
        <v>8663883</v>
      </c>
      <c r="X212" s="2062">
        <f t="shared" si="119"/>
        <v>74854535</v>
      </c>
      <c r="Y212" s="2773"/>
      <c r="Z212" s="2005">
        <f>+O212+P212+Q212+R212</f>
        <v>28638746</v>
      </c>
      <c r="AA212" s="1339"/>
      <c r="AB212" s="1339"/>
      <c r="AC212" s="1339"/>
    </row>
    <row r="213" spans="1:29" ht="14.25" customHeight="1">
      <c r="A213" s="2770"/>
      <c r="B213" s="2079" t="s">
        <v>36</v>
      </c>
      <c r="C213" s="2802" t="s">
        <v>148</v>
      </c>
      <c r="D213" s="2065">
        <f t="shared" ref="D213:P213" si="120">+D214+D215</f>
        <v>11273959</v>
      </c>
      <c r="E213" s="2065">
        <f t="shared" si="120"/>
        <v>0</v>
      </c>
      <c r="F213" s="2065">
        <f t="shared" si="120"/>
        <v>0</v>
      </c>
      <c r="G213" s="2065">
        <f t="shared" si="120"/>
        <v>0</v>
      </c>
      <c r="H213" s="2065">
        <f t="shared" si="120"/>
        <v>0</v>
      </c>
      <c r="I213" s="2065">
        <f t="shared" si="120"/>
        <v>0</v>
      </c>
      <c r="J213" s="2065">
        <f t="shared" si="120"/>
        <v>0</v>
      </c>
      <c r="K213" s="2065">
        <f t="shared" si="120"/>
        <v>0</v>
      </c>
      <c r="L213" s="2065">
        <f t="shared" si="120"/>
        <v>0</v>
      </c>
      <c r="M213" s="2065">
        <f>+M214+M215</f>
        <v>0</v>
      </c>
      <c r="N213" s="2065">
        <f t="shared" si="120"/>
        <v>0</v>
      </c>
      <c r="O213" s="2065">
        <f t="shared" si="120"/>
        <v>45779</v>
      </c>
      <c r="P213" s="3111">
        <f t="shared" si="120"/>
        <v>1286479</v>
      </c>
      <c r="Q213" s="2065">
        <f t="shared" ref="Q213:X213" si="121">+Q214+Q215</f>
        <v>1495612</v>
      </c>
      <c r="R213" s="2065">
        <f t="shared" si="121"/>
        <v>1467941</v>
      </c>
      <c r="S213" s="2065">
        <f t="shared" si="121"/>
        <v>1452191</v>
      </c>
      <c r="T213" s="2065">
        <f t="shared" si="121"/>
        <v>1455191</v>
      </c>
      <c r="U213" s="2065">
        <f t="shared" si="121"/>
        <v>1439591</v>
      </c>
      <c r="V213" s="2065">
        <f t="shared" si="121"/>
        <v>1331592</v>
      </c>
      <c r="W213" s="2065">
        <f t="shared" si="121"/>
        <v>1299583</v>
      </c>
      <c r="X213" s="2084">
        <f t="shared" si="121"/>
        <v>11228180</v>
      </c>
      <c r="Y213" s="2773"/>
      <c r="Z213" s="2004"/>
    </row>
    <row r="214" spans="1:29" ht="13.5" customHeight="1">
      <c r="A214" s="2770"/>
      <c r="B214" s="2068" t="s">
        <v>24</v>
      </c>
      <c r="C214" s="2803"/>
      <c r="D214" s="2069">
        <f>M214+O214+P214+Q214+R214+S214+T214+U214+V214+W214</f>
        <v>11273959</v>
      </c>
      <c r="E214" s="2070">
        <f>+F214+G214+H214</f>
        <v>0</v>
      </c>
      <c r="F214" s="2070"/>
      <c r="G214" s="2070"/>
      <c r="H214" s="2080"/>
      <c r="I214" s="2080">
        <v>0</v>
      </c>
      <c r="J214" s="2080">
        <v>0</v>
      </c>
      <c r="K214" s="2070">
        <v>0</v>
      </c>
      <c r="L214" s="2070">
        <v>0</v>
      </c>
      <c r="M214" s="2070">
        <f>+L214+K214+J214+I214+E214+N214</f>
        <v>0</v>
      </c>
      <c r="N214" s="2080"/>
      <c r="O214" s="1990">
        <f>47647-1868</f>
        <v>45779</v>
      </c>
      <c r="P214" s="1990">
        <f>1467941-1500-179962</f>
        <v>1286479</v>
      </c>
      <c r="Q214" s="1990">
        <f>1467941+1868-1500+27303</f>
        <v>1495612</v>
      </c>
      <c r="R214" s="1990">
        <v>1467941</v>
      </c>
      <c r="S214" s="1990">
        <v>1452191</v>
      </c>
      <c r="T214" s="1990">
        <v>1455191</v>
      </c>
      <c r="U214" s="1990">
        <v>1439591</v>
      </c>
      <c r="V214" s="1990">
        <v>1331592</v>
      </c>
      <c r="W214" s="1990">
        <v>1299583</v>
      </c>
      <c r="X214" s="2089">
        <f>+P214+Q214+R214+S214+T214+U214+V214+W214</f>
        <v>11228180</v>
      </c>
      <c r="Y214" s="2773"/>
      <c r="Z214" s="2005">
        <f>+X214-D214</f>
        <v>-45779</v>
      </c>
    </row>
    <row r="215" spans="1:29" ht="13.5" hidden="1" customHeight="1">
      <c r="A215" s="2770"/>
      <c r="B215" s="2068" t="s">
        <v>25</v>
      </c>
      <c r="C215" s="2803"/>
      <c r="D215" s="2069">
        <f>M215+O215+P215+Q215+R215+S215+T215+U215+V215+W215</f>
        <v>0</v>
      </c>
      <c r="E215" s="2070">
        <f>+F215+G215+H215</f>
        <v>0</v>
      </c>
      <c r="F215" s="2070"/>
      <c r="G215" s="2070">
        <v>0</v>
      </c>
      <c r="H215" s="2080"/>
      <c r="I215" s="2080">
        <v>0</v>
      </c>
      <c r="J215" s="2080"/>
      <c r="K215" s="2070"/>
      <c r="L215" s="2070"/>
      <c r="M215" s="2070">
        <f>+L215+K215+J215+I215+E215+N215</f>
        <v>0</v>
      </c>
      <c r="N215" s="2070"/>
      <c r="O215" s="2070"/>
      <c r="P215" s="2070"/>
      <c r="Q215" s="2070"/>
      <c r="R215" s="2070"/>
      <c r="S215" s="2070"/>
      <c r="T215" s="2070"/>
      <c r="U215" s="2070"/>
      <c r="V215" s="2070"/>
      <c r="W215" s="2070"/>
      <c r="X215" s="2071">
        <f>SUM(O215:R215)</f>
        <v>0</v>
      </c>
      <c r="Y215" s="2773"/>
      <c r="Z215" s="2004"/>
    </row>
    <row r="216" spans="1:29" ht="13.5" customHeight="1">
      <c r="A216" s="2770"/>
      <c r="B216" s="2063" t="s">
        <v>30</v>
      </c>
      <c r="C216" s="2803"/>
      <c r="D216" s="2064">
        <f>+D217</f>
        <v>63885770</v>
      </c>
      <c r="E216" s="2064">
        <f t="shared" ref="E216:X216" si="122">+E217</f>
        <v>0</v>
      </c>
      <c r="F216" s="2064">
        <f t="shared" si="122"/>
        <v>0</v>
      </c>
      <c r="G216" s="2064">
        <f t="shared" si="122"/>
        <v>0</v>
      </c>
      <c r="H216" s="2064">
        <f t="shared" si="122"/>
        <v>0</v>
      </c>
      <c r="I216" s="2064">
        <f t="shared" si="122"/>
        <v>0</v>
      </c>
      <c r="J216" s="2064">
        <f t="shared" si="122"/>
        <v>0</v>
      </c>
      <c r="K216" s="2064">
        <f t="shared" si="122"/>
        <v>0</v>
      </c>
      <c r="L216" s="2064">
        <f t="shared" si="122"/>
        <v>0</v>
      </c>
      <c r="M216" s="2064">
        <f t="shared" si="122"/>
        <v>0</v>
      </c>
      <c r="N216" s="2064">
        <f t="shared" si="122"/>
        <v>0</v>
      </c>
      <c r="O216" s="2064">
        <f t="shared" si="122"/>
        <v>259415</v>
      </c>
      <c r="P216" s="2064">
        <f t="shared" si="122"/>
        <v>7290048</v>
      </c>
      <c r="Q216" s="2064">
        <f t="shared" si="122"/>
        <v>8475138</v>
      </c>
      <c r="R216" s="2064">
        <f t="shared" si="122"/>
        <v>8318334</v>
      </c>
      <c r="S216" s="2064">
        <f t="shared" si="122"/>
        <v>8229084</v>
      </c>
      <c r="T216" s="2064">
        <f t="shared" si="122"/>
        <v>8246084</v>
      </c>
      <c r="U216" s="2064">
        <f t="shared" si="122"/>
        <v>8157684</v>
      </c>
      <c r="V216" s="2064">
        <f t="shared" si="122"/>
        <v>7545683</v>
      </c>
      <c r="W216" s="2064">
        <f t="shared" si="122"/>
        <v>7364300</v>
      </c>
      <c r="X216" s="2085">
        <f t="shared" si="122"/>
        <v>63626355</v>
      </c>
      <c r="Y216" s="2773"/>
      <c r="Z216" s="2005">
        <f>+X216-D216</f>
        <v>-259415</v>
      </c>
    </row>
    <row r="217" spans="1:29" ht="13.5" customHeight="1">
      <c r="A217" s="2770"/>
      <c r="B217" s="2068" t="s">
        <v>33</v>
      </c>
      <c r="C217" s="2803"/>
      <c r="D217" s="2069">
        <f>M217+O217+P217+Q217+R217+S217+T217+U217+V217+W217</f>
        <v>63885770</v>
      </c>
      <c r="E217" s="2070">
        <f>+F217+G217+H217</f>
        <v>0</v>
      </c>
      <c r="F217" s="2070"/>
      <c r="G217" s="2070"/>
      <c r="H217" s="2080"/>
      <c r="I217" s="2080">
        <v>0</v>
      </c>
      <c r="J217" s="2080">
        <v>0</v>
      </c>
      <c r="K217" s="2070">
        <v>0</v>
      </c>
      <c r="L217" s="2070">
        <v>0</v>
      </c>
      <c r="M217" s="2070">
        <f>+L217+K217+J217+I217+E217+N217</f>
        <v>0</v>
      </c>
      <c r="N217" s="2070"/>
      <c r="O217" s="2090">
        <f>270000-10585</f>
        <v>259415</v>
      </c>
      <c r="P217" s="2091">
        <f>8318334-8500-1019786</f>
        <v>7290048</v>
      </c>
      <c r="Q217" s="2090">
        <f>8318334+10585-8500+154719</f>
        <v>8475138</v>
      </c>
      <c r="R217" s="2091">
        <v>8318334</v>
      </c>
      <c r="S217" s="2091">
        <v>8229084</v>
      </c>
      <c r="T217" s="2091">
        <v>8246084</v>
      </c>
      <c r="U217" s="2091">
        <v>8157684</v>
      </c>
      <c r="V217" s="2091">
        <v>7545683</v>
      </c>
      <c r="W217" s="2091">
        <v>7364300</v>
      </c>
      <c r="X217" s="2089">
        <f>+P217+Q217+R217+S217+T217+U217+V217+W217</f>
        <v>63626355</v>
      </c>
      <c r="Y217" s="2773"/>
      <c r="Z217" s="2004"/>
    </row>
    <row r="218" spans="1:29" s="1348" customFormat="1" ht="13.5" customHeight="1">
      <c r="A218" s="2770"/>
      <c r="B218" s="2060" t="s">
        <v>34</v>
      </c>
      <c r="C218" s="2027"/>
      <c r="D218" s="2092">
        <f t="shared" ref="D218:L218" si="123">+D219+D221</f>
        <v>63885770</v>
      </c>
      <c r="E218" s="2092">
        <f t="shared" si="123"/>
        <v>0</v>
      </c>
      <c r="F218" s="2092">
        <f t="shared" si="123"/>
        <v>0</v>
      </c>
      <c r="G218" s="2092">
        <f t="shared" si="123"/>
        <v>0</v>
      </c>
      <c r="H218" s="2092">
        <f t="shared" si="123"/>
        <v>0</v>
      </c>
      <c r="I218" s="2092">
        <f t="shared" si="123"/>
        <v>0</v>
      </c>
      <c r="J218" s="2092">
        <f t="shared" si="123"/>
        <v>0</v>
      </c>
      <c r="K218" s="2092">
        <f t="shared" si="123"/>
        <v>0</v>
      </c>
      <c r="L218" s="2092">
        <f t="shared" si="123"/>
        <v>0</v>
      </c>
      <c r="M218" s="2092">
        <f>+M219+M221</f>
        <v>0</v>
      </c>
      <c r="N218" s="2092">
        <f>+N219+N221</f>
        <v>0</v>
      </c>
      <c r="O218" s="2092">
        <f>+O219+O221</f>
        <v>0</v>
      </c>
      <c r="P218" s="2092">
        <f>+P219+P221</f>
        <v>7549463</v>
      </c>
      <c r="Q218" s="2092">
        <f>+Q219+Q221</f>
        <v>8475138</v>
      </c>
      <c r="R218" s="2092">
        <f t="shared" ref="R218:W218" si="124">+R219+R221</f>
        <v>8318334</v>
      </c>
      <c r="S218" s="2092">
        <f t="shared" si="124"/>
        <v>8229084</v>
      </c>
      <c r="T218" s="2092">
        <f t="shared" si="124"/>
        <v>8246084</v>
      </c>
      <c r="U218" s="2092">
        <f t="shared" si="124"/>
        <v>8157684</v>
      </c>
      <c r="V218" s="2092">
        <f t="shared" si="124"/>
        <v>7545683</v>
      </c>
      <c r="W218" s="2092">
        <f t="shared" si="124"/>
        <v>7364300</v>
      </c>
      <c r="X218" s="2806" t="s">
        <v>77</v>
      </c>
      <c r="Y218" s="2774"/>
      <c r="Z218" s="2008"/>
    </row>
    <row r="219" spans="1:29" ht="11.25" hidden="1" customHeight="1">
      <c r="A219" s="2770"/>
      <c r="B219" s="2079" t="s">
        <v>36</v>
      </c>
      <c r="C219" s="2821" t="s">
        <v>329</v>
      </c>
      <c r="D219" s="2064">
        <f t="shared" ref="D219:W219" si="125">+D220</f>
        <v>0</v>
      </c>
      <c r="E219" s="2064">
        <f t="shared" si="125"/>
        <v>0</v>
      </c>
      <c r="F219" s="2064">
        <f t="shared" si="125"/>
        <v>0</v>
      </c>
      <c r="G219" s="2064">
        <f t="shared" si="125"/>
        <v>0</v>
      </c>
      <c r="H219" s="2064">
        <f t="shared" si="125"/>
        <v>0</v>
      </c>
      <c r="I219" s="2064">
        <f t="shared" si="125"/>
        <v>0</v>
      </c>
      <c r="J219" s="2064">
        <f t="shared" si="125"/>
        <v>0</v>
      </c>
      <c r="K219" s="2064">
        <f t="shared" si="125"/>
        <v>0</v>
      </c>
      <c r="L219" s="2064">
        <f t="shared" si="125"/>
        <v>0</v>
      </c>
      <c r="M219" s="2064">
        <f t="shared" si="125"/>
        <v>0</v>
      </c>
      <c r="N219" s="2064">
        <f t="shared" si="125"/>
        <v>0</v>
      </c>
      <c r="O219" s="2064">
        <f t="shared" si="125"/>
        <v>0</v>
      </c>
      <c r="P219" s="2064">
        <f t="shared" si="125"/>
        <v>0</v>
      </c>
      <c r="Q219" s="2064">
        <f t="shared" si="125"/>
        <v>0</v>
      </c>
      <c r="R219" s="2064">
        <f t="shared" si="125"/>
        <v>0</v>
      </c>
      <c r="S219" s="2064">
        <f t="shared" si="125"/>
        <v>0</v>
      </c>
      <c r="T219" s="2064">
        <f t="shared" si="125"/>
        <v>0</v>
      </c>
      <c r="U219" s="2064">
        <f t="shared" si="125"/>
        <v>0</v>
      </c>
      <c r="V219" s="2064">
        <f t="shared" si="125"/>
        <v>0</v>
      </c>
      <c r="W219" s="2064">
        <f t="shared" si="125"/>
        <v>0</v>
      </c>
      <c r="X219" s="2806"/>
      <c r="Y219" s="2774"/>
      <c r="Z219" s="2004"/>
    </row>
    <row r="220" spans="1:29" ht="11.25" hidden="1" customHeight="1">
      <c r="A220" s="2770"/>
      <c r="B220" s="2068" t="s">
        <v>25</v>
      </c>
      <c r="C220" s="2821"/>
      <c r="D220" s="2069">
        <f>M220+O220+P220+Q220+R220+S220+T220+U220+V220+W220</f>
        <v>0</v>
      </c>
      <c r="E220" s="2070">
        <f>+F220+G220+H220</f>
        <v>0</v>
      </c>
      <c r="F220" s="2069"/>
      <c r="G220" s="2069"/>
      <c r="H220" s="2069"/>
      <c r="I220" s="2069"/>
      <c r="J220" s="2069"/>
      <c r="K220" s="2069"/>
      <c r="L220" s="2069"/>
      <c r="M220" s="2070">
        <f>+L220+K220+J220+I220+E220+N220</f>
        <v>0</v>
      </c>
      <c r="N220" s="2069"/>
      <c r="O220" s="2069"/>
      <c r="P220" s="2069"/>
      <c r="Q220" s="2069"/>
      <c r="R220" s="2069"/>
      <c r="S220" s="2069"/>
      <c r="T220" s="2069"/>
      <c r="U220" s="2069"/>
      <c r="V220" s="2069"/>
      <c r="W220" s="2069"/>
      <c r="X220" s="2806"/>
      <c r="Y220" s="2774"/>
      <c r="Z220" s="2004"/>
    </row>
    <row r="221" spans="1:29" ht="13.5" customHeight="1">
      <c r="A221" s="2770"/>
      <c r="B221" s="2063" t="s">
        <v>30</v>
      </c>
      <c r="C221" s="2821"/>
      <c r="D221" s="2064">
        <f t="shared" ref="D221:W221" si="126">+D222</f>
        <v>63885770</v>
      </c>
      <c r="E221" s="2064">
        <f t="shared" si="126"/>
        <v>0</v>
      </c>
      <c r="F221" s="2064">
        <f t="shared" si="126"/>
        <v>0</v>
      </c>
      <c r="G221" s="2064">
        <f t="shared" si="126"/>
        <v>0</v>
      </c>
      <c r="H221" s="2064">
        <f t="shared" si="126"/>
        <v>0</v>
      </c>
      <c r="I221" s="2064">
        <f t="shared" si="126"/>
        <v>0</v>
      </c>
      <c r="J221" s="2064">
        <f t="shared" si="126"/>
        <v>0</v>
      </c>
      <c r="K221" s="2064">
        <f t="shared" si="126"/>
        <v>0</v>
      </c>
      <c r="L221" s="2064">
        <f t="shared" si="126"/>
        <v>0</v>
      </c>
      <c r="M221" s="2064">
        <f t="shared" si="126"/>
        <v>0</v>
      </c>
      <c r="N221" s="2064">
        <f t="shared" si="126"/>
        <v>0</v>
      </c>
      <c r="O221" s="2064">
        <f t="shared" si="126"/>
        <v>0</v>
      </c>
      <c r="P221" s="2064">
        <f t="shared" si="126"/>
        <v>7549463</v>
      </c>
      <c r="Q221" s="2064">
        <f t="shared" si="126"/>
        <v>8475138</v>
      </c>
      <c r="R221" s="2064">
        <f t="shared" si="126"/>
        <v>8318334</v>
      </c>
      <c r="S221" s="2064">
        <f t="shared" si="126"/>
        <v>8229084</v>
      </c>
      <c r="T221" s="2064">
        <f t="shared" si="126"/>
        <v>8246084</v>
      </c>
      <c r="U221" s="2064">
        <f t="shared" si="126"/>
        <v>8157684</v>
      </c>
      <c r="V221" s="2064">
        <f t="shared" si="126"/>
        <v>7545683</v>
      </c>
      <c r="W221" s="2064">
        <f t="shared" si="126"/>
        <v>7364300</v>
      </c>
      <c r="X221" s="2806"/>
      <c r="Y221" s="2774"/>
      <c r="Z221" s="2004"/>
    </row>
    <row r="222" spans="1:29" ht="15" customHeight="1">
      <c r="A222" s="2770"/>
      <c r="B222" s="2068" t="s">
        <v>33</v>
      </c>
      <c r="C222" s="2821"/>
      <c r="D222" s="2069">
        <f>M222+O222+P222+Q222+R222+S222+T222+U222+V222+W222</f>
        <v>63885770</v>
      </c>
      <c r="E222" s="2070">
        <f>+F222+G222+H222</f>
        <v>0</v>
      </c>
      <c r="F222" s="2070"/>
      <c r="G222" s="2070"/>
      <c r="H222" s="2070"/>
      <c r="I222" s="2070">
        <v>0</v>
      </c>
      <c r="J222" s="2070">
        <v>0</v>
      </c>
      <c r="K222" s="2070">
        <f>219301-219301</f>
        <v>0</v>
      </c>
      <c r="L222" s="2070">
        <v>0</v>
      </c>
      <c r="M222" s="2070">
        <f>+L222+K222+J222+I222+E222+N222</f>
        <v>0</v>
      </c>
      <c r="N222" s="2070"/>
      <c r="O222" s="2090">
        <f>270000-270000</f>
        <v>0</v>
      </c>
      <c r="P222" s="2091">
        <f>8318334+259415-8500-1019786</f>
        <v>7549463</v>
      </c>
      <c r="Q222" s="2091">
        <f>8318334+10585-8500+154719</f>
        <v>8475138</v>
      </c>
      <c r="R222" s="2091">
        <v>8318334</v>
      </c>
      <c r="S222" s="2091">
        <v>8229084</v>
      </c>
      <c r="T222" s="2091">
        <v>8246084</v>
      </c>
      <c r="U222" s="2091">
        <v>8157684</v>
      </c>
      <c r="V222" s="2091">
        <v>7545683</v>
      </c>
      <c r="W222" s="2091">
        <v>7364300</v>
      </c>
      <c r="X222" s="2806"/>
      <c r="Y222" s="2774"/>
      <c r="Z222" s="2004"/>
    </row>
    <row r="223" spans="1:29" ht="24">
      <c r="A223" s="2770" t="s">
        <v>136</v>
      </c>
      <c r="B223" s="2075" t="s">
        <v>518</v>
      </c>
      <c r="C223" s="2076" t="s">
        <v>128</v>
      </c>
      <c r="D223" s="2037"/>
      <c r="E223" s="2037"/>
      <c r="F223" s="2037"/>
      <c r="G223" s="2037"/>
      <c r="H223" s="2037"/>
      <c r="I223" s="2077"/>
      <c r="J223" s="2077"/>
      <c r="K223" s="2077"/>
      <c r="L223" s="2077"/>
      <c r="M223" s="2077"/>
      <c r="N223" s="2077"/>
      <c r="O223" s="2077"/>
      <c r="P223" s="2077"/>
      <c r="Q223" s="2077"/>
      <c r="R223" s="2077"/>
      <c r="S223" s="2077"/>
      <c r="T223" s="2077"/>
      <c r="U223" s="2077"/>
      <c r="V223" s="2077"/>
      <c r="W223" s="2077"/>
      <c r="X223" s="2029"/>
      <c r="Y223" s="2773" t="s">
        <v>473</v>
      </c>
      <c r="Z223" s="2004"/>
    </row>
    <row r="224" spans="1:29">
      <c r="A224" s="2770"/>
      <c r="B224" s="2060" t="s">
        <v>22</v>
      </c>
      <c r="C224" s="2027"/>
      <c r="D224" s="2078">
        <f t="shared" ref="D224:X224" si="127">+D225+D228</f>
        <v>20000</v>
      </c>
      <c r="E224" s="2078">
        <f t="shared" si="127"/>
        <v>0</v>
      </c>
      <c r="F224" s="2078">
        <f t="shared" si="127"/>
        <v>0</v>
      </c>
      <c r="G224" s="2078">
        <f t="shared" si="127"/>
        <v>0</v>
      </c>
      <c r="H224" s="2078">
        <f t="shared" si="127"/>
        <v>0</v>
      </c>
      <c r="I224" s="2078">
        <f t="shared" si="127"/>
        <v>0</v>
      </c>
      <c r="J224" s="2078">
        <f t="shared" si="127"/>
        <v>0</v>
      </c>
      <c r="K224" s="2078">
        <f t="shared" si="127"/>
        <v>0</v>
      </c>
      <c r="L224" s="2078">
        <f t="shared" si="127"/>
        <v>0</v>
      </c>
      <c r="M224" s="2078">
        <f t="shared" si="127"/>
        <v>0</v>
      </c>
      <c r="N224" s="2078">
        <f t="shared" si="127"/>
        <v>0</v>
      </c>
      <c r="O224" s="2078">
        <f t="shared" si="127"/>
        <v>0</v>
      </c>
      <c r="P224" s="2078">
        <f t="shared" si="127"/>
        <v>10000</v>
      </c>
      <c r="Q224" s="2078">
        <f t="shared" si="127"/>
        <v>10000</v>
      </c>
      <c r="R224" s="2078">
        <f t="shared" si="127"/>
        <v>0</v>
      </c>
      <c r="S224" s="2078">
        <f t="shared" si="127"/>
        <v>0</v>
      </c>
      <c r="T224" s="2078">
        <f t="shared" si="127"/>
        <v>0</v>
      </c>
      <c r="U224" s="2078">
        <f t="shared" si="127"/>
        <v>0</v>
      </c>
      <c r="V224" s="2078">
        <f t="shared" si="127"/>
        <v>0</v>
      </c>
      <c r="W224" s="2078">
        <f t="shared" si="127"/>
        <v>0</v>
      </c>
      <c r="X224" s="2062">
        <f t="shared" si="127"/>
        <v>20000</v>
      </c>
      <c r="Y224" s="2773"/>
      <c r="Z224" s="2004"/>
    </row>
    <row r="225" spans="1:26">
      <c r="A225" s="2770"/>
      <c r="B225" s="2079" t="s">
        <v>36</v>
      </c>
      <c r="C225" s="2802" t="s">
        <v>148</v>
      </c>
      <c r="D225" s="2065">
        <f t="shared" ref="D225:X225" si="128">+D226+D227</f>
        <v>3000</v>
      </c>
      <c r="E225" s="2065">
        <f t="shared" si="128"/>
        <v>0</v>
      </c>
      <c r="F225" s="2065">
        <f t="shared" si="128"/>
        <v>0</v>
      </c>
      <c r="G225" s="2065">
        <f t="shared" si="128"/>
        <v>0</v>
      </c>
      <c r="H225" s="2065">
        <f t="shared" si="128"/>
        <v>0</v>
      </c>
      <c r="I225" s="2065">
        <f t="shared" si="128"/>
        <v>0</v>
      </c>
      <c r="J225" s="2065">
        <f t="shared" si="128"/>
        <v>0</v>
      </c>
      <c r="K225" s="2065">
        <f t="shared" si="128"/>
        <v>0</v>
      </c>
      <c r="L225" s="2065">
        <f t="shared" si="128"/>
        <v>0</v>
      </c>
      <c r="M225" s="2065">
        <f t="shared" si="128"/>
        <v>0</v>
      </c>
      <c r="N225" s="2065">
        <f t="shared" si="128"/>
        <v>0</v>
      </c>
      <c r="O225" s="2065">
        <f t="shared" si="128"/>
        <v>0</v>
      </c>
      <c r="P225" s="2065">
        <f t="shared" si="128"/>
        <v>1500</v>
      </c>
      <c r="Q225" s="2065">
        <f t="shared" si="128"/>
        <v>1500</v>
      </c>
      <c r="R225" s="2065">
        <f t="shared" si="128"/>
        <v>0</v>
      </c>
      <c r="S225" s="2065">
        <f t="shared" si="128"/>
        <v>0</v>
      </c>
      <c r="T225" s="2065">
        <f t="shared" si="128"/>
        <v>0</v>
      </c>
      <c r="U225" s="2065">
        <f t="shared" si="128"/>
        <v>0</v>
      </c>
      <c r="V225" s="2065">
        <f t="shared" si="128"/>
        <v>0</v>
      </c>
      <c r="W225" s="2065">
        <f t="shared" si="128"/>
        <v>0</v>
      </c>
      <c r="X225" s="2084">
        <f t="shared" si="128"/>
        <v>3000</v>
      </c>
      <c r="Y225" s="2773"/>
      <c r="Z225" s="2004"/>
    </row>
    <row r="226" spans="1:26">
      <c r="A226" s="2770"/>
      <c r="B226" s="2068" t="s">
        <v>24</v>
      </c>
      <c r="C226" s="2803"/>
      <c r="D226" s="2069">
        <f>M226+O226+P226+Q226+R226+S226+T226+U226+V226+W226</f>
        <v>3000</v>
      </c>
      <c r="E226" s="2070">
        <f>+F226+G226+H226</f>
        <v>0</v>
      </c>
      <c r="F226" s="2070"/>
      <c r="G226" s="2070"/>
      <c r="H226" s="2080"/>
      <c r="I226" s="2080">
        <v>0</v>
      </c>
      <c r="J226" s="2080">
        <v>0</v>
      </c>
      <c r="K226" s="2070">
        <v>0</v>
      </c>
      <c r="L226" s="2070">
        <v>0</v>
      </c>
      <c r="M226" s="2070">
        <f>+L226+K226+J226+I226+E226+N226</f>
        <v>0</v>
      </c>
      <c r="N226" s="2080"/>
      <c r="O226" s="1990"/>
      <c r="P226" s="1990">
        <v>1500</v>
      </c>
      <c r="Q226" s="1990">
        <v>1500</v>
      </c>
      <c r="R226" s="1990"/>
      <c r="S226" s="1990"/>
      <c r="T226" s="1990"/>
      <c r="U226" s="1990"/>
      <c r="V226" s="1990"/>
      <c r="W226" s="1990"/>
      <c r="X226" s="2089">
        <f>+P226+Q226+R226+S226+T226+U226+V226+W226</f>
        <v>3000</v>
      </c>
      <c r="Y226" s="2773"/>
      <c r="Z226" s="2004"/>
    </row>
    <row r="227" spans="1:26" hidden="1">
      <c r="A227" s="2770"/>
      <c r="B227" s="2068" t="s">
        <v>25</v>
      </c>
      <c r="C227" s="2803"/>
      <c r="D227" s="2069">
        <f>M227+O227+P227+Q227+R227+S227+T227+U227+V227+W227</f>
        <v>0</v>
      </c>
      <c r="E227" s="2070">
        <f>+F227+G227+H227</f>
        <v>0</v>
      </c>
      <c r="F227" s="2070"/>
      <c r="G227" s="2070">
        <v>0</v>
      </c>
      <c r="H227" s="2080"/>
      <c r="I227" s="2080">
        <v>0</v>
      </c>
      <c r="J227" s="2080"/>
      <c r="K227" s="2070"/>
      <c r="L227" s="2070"/>
      <c r="M227" s="2070">
        <f>+L227+K227+J227+I227+E227+N227</f>
        <v>0</v>
      </c>
      <c r="N227" s="2070"/>
      <c r="O227" s="2070"/>
      <c r="P227" s="2070"/>
      <c r="Q227" s="2070"/>
      <c r="R227" s="2070"/>
      <c r="S227" s="2070"/>
      <c r="T227" s="2070"/>
      <c r="U227" s="2070"/>
      <c r="V227" s="2070"/>
      <c r="W227" s="2070"/>
      <c r="X227" s="2071">
        <f>SUM(O227:R227)</f>
        <v>0</v>
      </c>
      <c r="Y227" s="2773"/>
      <c r="Z227" s="2004"/>
    </row>
    <row r="228" spans="1:26">
      <c r="A228" s="2770"/>
      <c r="B228" s="2063" t="s">
        <v>30</v>
      </c>
      <c r="C228" s="2803"/>
      <c r="D228" s="2064">
        <f>+D229</f>
        <v>17000</v>
      </c>
      <c r="E228" s="2064">
        <f t="shared" ref="E228:X228" si="129">+E229</f>
        <v>0</v>
      </c>
      <c r="F228" s="2064">
        <f t="shared" si="129"/>
        <v>0</v>
      </c>
      <c r="G228" s="2064">
        <f t="shared" si="129"/>
        <v>0</v>
      </c>
      <c r="H228" s="2064">
        <f t="shared" si="129"/>
        <v>0</v>
      </c>
      <c r="I228" s="2064">
        <f t="shared" si="129"/>
        <v>0</v>
      </c>
      <c r="J228" s="2064">
        <f t="shared" si="129"/>
        <v>0</v>
      </c>
      <c r="K228" s="2064">
        <f t="shared" si="129"/>
        <v>0</v>
      </c>
      <c r="L228" s="2064">
        <f t="shared" si="129"/>
        <v>0</v>
      </c>
      <c r="M228" s="2064">
        <f t="shared" si="129"/>
        <v>0</v>
      </c>
      <c r="N228" s="2064">
        <f t="shared" si="129"/>
        <v>0</v>
      </c>
      <c r="O228" s="2064">
        <f t="shared" si="129"/>
        <v>0</v>
      </c>
      <c r="P228" s="2064">
        <f t="shared" si="129"/>
        <v>8500</v>
      </c>
      <c r="Q228" s="2064">
        <f t="shared" si="129"/>
        <v>8500</v>
      </c>
      <c r="R228" s="2064">
        <f t="shared" si="129"/>
        <v>0</v>
      </c>
      <c r="S228" s="2064">
        <f t="shared" si="129"/>
        <v>0</v>
      </c>
      <c r="T228" s="2064">
        <f t="shared" si="129"/>
        <v>0</v>
      </c>
      <c r="U228" s="2064">
        <f t="shared" si="129"/>
        <v>0</v>
      </c>
      <c r="V228" s="2064">
        <f t="shared" si="129"/>
        <v>0</v>
      </c>
      <c r="W228" s="2064">
        <f t="shared" si="129"/>
        <v>0</v>
      </c>
      <c r="X228" s="2085">
        <f t="shared" si="129"/>
        <v>17000</v>
      </c>
      <c r="Y228" s="2773"/>
      <c r="Z228" s="2004"/>
    </row>
    <row r="229" spans="1:26">
      <c r="A229" s="2770"/>
      <c r="B229" s="2068" t="s">
        <v>33</v>
      </c>
      <c r="C229" s="2803"/>
      <c r="D229" s="2069">
        <f>M229+O229+P229+Q229+R229+S229+T229+U229+V229+W229</f>
        <v>17000</v>
      </c>
      <c r="E229" s="2070">
        <f>+F229+G229+H229</f>
        <v>0</v>
      </c>
      <c r="F229" s="2070"/>
      <c r="G229" s="2070"/>
      <c r="H229" s="2080"/>
      <c r="I229" s="2080">
        <v>0</v>
      </c>
      <c r="J229" s="2080">
        <v>0</v>
      </c>
      <c r="K229" s="2070">
        <v>0</v>
      </c>
      <c r="L229" s="2070">
        <v>0</v>
      </c>
      <c r="M229" s="2070">
        <f>+L229+K229+J229+I229+E229+N229</f>
        <v>0</v>
      </c>
      <c r="N229" s="2070"/>
      <c r="O229" s="2090"/>
      <c r="P229" s="2090">
        <v>8500</v>
      </c>
      <c r="Q229" s="2090">
        <v>8500</v>
      </c>
      <c r="R229" s="2091"/>
      <c r="S229" s="2091"/>
      <c r="T229" s="2091"/>
      <c r="U229" s="2091"/>
      <c r="V229" s="2091"/>
      <c r="W229" s="2091"/>
      <c r="X229" s="2089">
        <f>+P229+Q229+R229+S229+T229+U229+V229+W229</f>
        <v>17000</v>
      </c>
      <c r="Y229" s="2773"/>
      <c r="Z229" s="2004"/>
    </row>
    <row r="230" spans="1:26">
      <c r="A230" s="2770"/>
      <c r="B230" s="2060" t="s">
        <v>34</v>
      </c>
      <c r="C230" s="2027"/>
      <c r="D230" s="2092">
        <f t="shared" ref="D230:M230" si="130">+D231+D233</f>
        <v>17000</v>
      </c>
      <c r="E230" s="2092">
        <f t="shared" si="130"/>
        <v>0</v>
      </c>
      <c r="F230" s="2092">
        <f t="shared" si="130"/>
        <v>0</v>
      </c>
      <c r="G230" s="2092">
        <f t="shared" si="130"/>
        <v>0</v>
      </c>
      <c r="H230" s="2092">
        <f t="shared" si="130"/>
        <v>0</v>
      </c>
      <c r="I230" s="2092">
        <f t="shared" si="130"/>
        <v>0</v>
      </c>
      <c r="J230" s="2092">
        <f t="shared" si="130"/>
        <v>0</v>
      </c>
      <c r="K230" s="2092">
        <f t="shared" si="130"/>
        <v>0</v>
      </c>
      <c r="L230" s="2092">
        <f t="shared" si="130"/>
        <v>0</v>
      </c>
      <c r="M230" s="2092">
        <f t="shared" si="130"/>
        <v>0</v>
      </c>
      <c r="N230" s="2092">
        <f>+N231+N233</f>
        <v>0</v>
      </c>
      <c r="O230" s="2092">
        <f>+O231+O233</f>
        <v>0</v>
      </c>
      <c r="P230" s="2092">
        <f>+P231+P233</f>
        <v>8500</v>
      </c>
      <c r="Q230" s="2092">
        <f>+Q231+Q233</f>
        <v>8500</v>
      </c>
      <c r="R230" s="2092">
        <f t="shared" ref="R230:W230" si="131">+R231+R233</f>
        <v>0</v>
      </c>
      <c r="S230" s="2092">
        <f t="shared" si="131"/>
        <v>0</v>
      </c>
      <c r="T230" s="2092">
        <f t="shared" si="131"/>
        <v>0</v>
      </c>
      <c r="U230" s="2092">
        <f t="shared" si="131"/>
        <v>0</v>
      </c>
      <c r="V230" s="2092">
        <f t="shared" si="131"/>
        <v>0</v>
      </c>
      <c r="W230" s="2092">
        <f t="shared" si="131"/>
        <v>0</v>
      </c>
      <c r="X230" s="2806" t="s">
        <v>77</v>
      </c>
      <c r="Y230" s="2774"/>
      <c r="Z230" s="2004"/>
    </row>
    <row r="231" spans="1:26" hidden="1">
      <c r="A231" s="2770"/>
      <c r="B231" s="2079" t="s">
        <v>36</v>
      </c>
      <c r="C231" s="2821" t="s">
        <v>329</v>
      </c>
      <c r="D231" s="2064">
        <f t="shared" ref="D231:W231" si="132">+D232</f>
        <v>0</v>
      </c>
      <c r="E231" s="2064">
        <f t="shared" si="132"/>
        <v>0</v>
      </c>
      <c r="F231" s="2064">
        <f t="shared" si="132"/>
        <v>0</v>
      </c>
      <c r="G231" s="2064">
        <f t="shared" si="132"/>
        <v>0</v>
      </c>
      <c r="H231" s="2064">
        <f t="shared" si="132"/>
        <v>0</v>
      </c>
      <c r="I231" s="2064">
        <f t="shared" si="132"/>
        <v>0</v>
      </c>
      <c r="J231" s="2064">
        <f t="shared" si="132"/>
        <v>0</v>
      </c>
      <c r="K231" s="2064">
        <f t="shared" si="132"/>
        <v>0</v>
      </c>
      <c r="L231" s="2064">
        <f t="shared" si="132"/>
        <v>0</v>
      </c>
      <c r="M231" s="2064">
        <f t="shared" si="132"/>
        <v>0</v>
      </c>
      <c r="N231" s="2064">
        <f t="shared" si="132"/>
        <v>0</v>
      </c>
      <c r="O231" s="2064">
        <f t="shared" si="132"/>
        <v>0</v>
      </c>
      <c r="P231" s="2064">
        <f t="shared" si="132"/>
        <v>0</v>
      </c>
      <c r="Q231" s="2064">
        <f t="shared" si="132"/>
        <v>0</v>
      </c>
      <c r="R231" s="2064">
        <f t="shared" si="132"/>
        <v>0</v>
      </c>
      <c r="S231" s="2064">
        <f t="shared" si="132"/>
        <v>0</v>
      </c>
      <c r="T231" s="2064">
        <f t="shared" si="132"/>
        <v>0</v>
      </c>
      <c r="U231" s="2064">
        <f t="shared" si="132"/>
        <v>0</v>
      </c>
      <c r="V231" s="2064">
        <f t="shared" si="132"/>
        <v>0</v>
      </c>
      <c r="W231" s="2064">
        <f t="shared" si="132"/>
        <v>0</v>
      </c>
      <c r="X231" s="2806"/>
      <c r="Y231" s="2774"/>
      <c r="Z231" s="2004"/>
    </row>
    <row r="232" spans="1:26" hidden="1">
      <c r="A232" s="2770"/>
      <c r="B232" s="2068" t="s">
        <v>25</v>
      </c>
      <c r="C232" s="2821"/>
      <c r="D232" s="2069">
        <f>M232+O232+P232+Q232+R232+S232+T232+U232+V232+W232</f>
        <v>0</v>
      </c>
      <c r="E232" s="2070">
        <f>+F232+G232+H232</f>
        <v>0</v>
      </c>
      <c r="F232" s="2069"/>
      <c r="G232" s="2069"/>
      <c r="H232" s="2069"/>
      <c r="I232" s="2069"/>
      <c r="J232" s="2069"/>
      <c r="K232" s="2069"/>
      <c r="L232" s="2069"/>
      <c r="M232" s="2070">
        <f>+L232+K232+J232+I232+E232+N232</f>
        <v>0</v>
      </c>
      <c r="N232" s="2069"/>
      <c r="O232" s="2069"/>
      <c r="P232" s="2069"/>
      <c r="Q232" s="2069"/>
      <c r="R232" s="2069"/>
      <c r="S232" s="2069"/>
      <c r="T232" s="2069"/>
      <c r="U232" s="2069"/>
      <c r="V232" s="2069"/>
      <c r="W232" s="2069"/>
      <c r="X232" s="2806"/>
      <c r="Y232" s="2774"/>
      <c r="Z232" s="2004"/>
    </row>
    <row r="233" spans="1:26">
      <c r="A233" s="2770"/>
      <c r="B233" s="2063" t="s">
        <v>30</v>
      </c>
      <c r="C233" s="2821"/>
      <c r="D233" s="2064">
        <f t="shared" ref="D233:W233" si="133">+D234</f>
        <v>17000</v>
      </c>
      <c r="E233" s="2064">
        <f t="shared" si="133"/>
        <v>0</v>
      </c>
      <c r="F233" s="2064">
        <f t="shared" si="133"/>
        <v>0</v>
      </c>
      <c r="G233" s="2064">
        <f t="shared" si="133"/>
        <v>0</v>
      </c>
      <c r="H233" s="2064">
        <f t="shared" si="133"/>
        <v>0</v>
      </c>
      <c r="I233" s="2064">
        <f t="shared" si="133"/>
        <v>0</v>
      </c>
      <c r="J233" s="2064">
        <f t="shared" si="133"/>
        <v>0</v>
      </c>
      <c r="K233" s="2064">
        <f t="shared" si="133"/>
        <v>0</v>
      </c>
      <c r="L233" s="2064">
        <f t="shared" si="133"/>
        <v>0</v>
      </c>
      <c r="M233" s="2064">
        <f t="shared" si="133"/>
        <v>0</v>
      </c>
      <c r="N233" s="2064">
        <f t="shared" si="133"/>
        <v>0</v>
      </c>
      <c r="O233" s="2064">
        <f t="shared" si="133"/>
        <v>0</v>
      </c>
      <c r="P233" s="2064">
        <f t="shared" si="133"/>
        <v>8500</v>
      </c>
      <c r="Q233" s="2064">
        <f t="shared" si="133"/>
        <v>8500</v>
      </c>
      <c r="R233" s="2064">
        <f t="shared" si="133"/>
        <v>0</v>
      </c>
      <c r="S233" s="2064">
        <f t="shared" si="133"/>
        <v>0</v>
      </c>
      <c r="T233" s="2064">
        <f t="shared" si="133"/>
        <v>0</v>
      </c>
      <c r="U233" s="2064">
        <f t="shared" si="133"/>
        <v>0</v>
      </c>
      <c r="V233" s="2064">
        <f t="shared" si="133"/>
        <v>0</v>
      </c>
      <c r="W233" s="2064">
        <f t="shared" si="133"/>
        <v>0</v>
      </c>
      <c r="X233" s="2806"/>
      <c r="Y233" s="2774"/>
      <c r="Z233" s="2004"/>
    </row>
    <row r="234" spans="1:26" ht="13.5" thickBot="1">
      <c r="A234" s="2771"/>
      <c r="B234" s="3108" t="s">
        <v>33</v>
      </c>
      <c r="C234" s="3112"/>
      <c r="D234" s="1895">
        <f>M234+O234+P234+Q234+R234+S234+T234+U234+V234+W234</f>
        <v>17000</v>
      </c>
      <c r="E234" s="1896">
        <f>+F234+G234+H234</f>
        <v>0</v>
      </c>
      <c r="F234" s="1896"/>
      <c r="G234" s="1896"/>
      <c r="H234" s="1896"/>
      <c r="I234" s="1896">
        <v>0</v>
      </c>
      <c r="J234" s="1896">
        <v>0</v>
      </c>
      <c r="K234" s="1896">
        <f>219301-219301</f>
        <v>0</v>
      </c>
      <c r="L234" s="1896">
        <v>0</v>
      </c>
      <c r="M234" s="1896">
        <f>+L234+K234+J234+I234+E234+N234</f>
        <v>0</v>
      </c>
      <c r="N234" s="1896"/>
      <c r="O234" s="3113">
        <f>270000-270000</f>
        <v>0</v>
      </c>
      <c r="P234" s="3113">
        <v>8500</v>
      </c>
      <c r="Q234" s="3114">
        <v>8500</v>
      </c>
      <c r="R234" s="3114"/>
      <c r="S234" s="3114"/>
      <c r="T234" s="3114"/>
      <c r="U234" s="3114"/>
      <c r="V234" s="3114"/>
      <c r="W234" s="3114"/>
      <c r="X234" s="2815"/>
      <c r="Y234" s="2775"/>
      <c r="Z234" s="2004"/>
    </row>
    <row r="235" spans="1:26">
      <c r="A235" s="2009"/>
      <c r="B235" s="1336"/>
      <c r="C235" s="1336"/>
      <c r="D235" s="1336"/>
      <c r="E235" s="1336"/>
      <c r="F235" s="1336"/>
      <c r="G235" s="1336"/>
      <c r="H235" s="1336"/>
      <c r="I235" s="1336"/>
      <c r="J235" s="1336"/>
      <c r="K235" s="1336"/>
      <c r="L235" s="1336"/>
      <c r="M235" s="1336"/>
      <c r="N235" s="1336"/>
      <c r="O235" s="1336"/>
      <c r="P235" s="1336"/>
      <c r="Q235" s="1336"/>
      <c r="R235" s="1336"/>
      <c r="S235" s="1336"/>
      <c r="T235" s="1336"/>
      <c r="U235" s="1336"/>
      <c r="V235" s="1336"/>
      <c r="W235" s="1336"/>
      <c r="X235" s="1336"/>
      <c r="Y235" s="1336"/>
    </row>
  </sheetData>
  <mergeCells count="95">
    <mergeCell ref="A223:A234"/>
    <mergeCell ref="Y223:Y234"/>
    <mergeCell ref="C225:C229"/>
    <mergeCell ref="X230:X234"/>
    <mergeCell ref="C231:C234"/>
    <mergeCell ref="A199:A210"/>
    <mergeCell ref="Y199:Y210"/>
    <mergeCell ref="C201:C205"/>
    <mergeCell ref="C207:C210"/>
    <mergeCell ref="X206:X210"/>
    <mergeCell ref="A211:A222"/>
    <mergeCell ref="Y211:Y222"/>
    <mergeCell ref="C213:C217"/>
    <mergeCell ref="X218:X222"/>
    <mergeCell ref="C219:C222"/>
    <mergeCell ref="A175:A186"/>
    <mergeCell ref="Y175:Y186"/>
    <mergeCell ref="C177:C181"/>
    <mergeCell ref="C183:C186"/>
    <mergeCell ref="X182:X186"/>
    <mergeCell ref="A187:A198"/>
    <mergeCell ref="Y187:Y198"/>
    <mergeCell ref="C189:C193"/>
    <mergeCell ref="C195:C198"/>
    <mergeCell ref="X194:X198"/>
    <mergeCell ref="A127:A138"/>
    <mergeCell ref="Y127:Y138"/>
    <mergeCell ref="C129:C133"/>
    <mergeCell ref="C135:C138"/>
    <mergeCell ref="X134:X138"/>
    <mergeCell ref="A139:A150"/>
    <mergeCell ref="Y139:Y150"/>
    <mergeCell ref="C141:C145"/>
    <mergeCell ref="C147:C150"/>
    <mergeCell ref="X146:X150"/>
    <mergeCell ref="A103:A114"/>
    <mergeCell ref="Y103:Y114"/>
    <mergeCell ref="C105:C109"/>
    <mergeCell ref="C111:C114"/>
    <mergeCell ref="X110:X114"/>
    <mergeCell ref="A115:A126"/>
    <mergeCell ref="Y115:Y126"/>
    <mergeCell ref="C117:C121"/>
    <mergeCell ref="C123:C126"/>
    <mergeCell ref="X122:X126"/>
    <mergeCell ref="A24:A30"/>
    <mergeCell ref="Y24:Y30"/>
    <mergeCell ref="C26:C27"/>
    <mergeCell ref="C29:C30"/>
    <mergeCell ref="A91:A102"/>
    <mergeCell ref="Y91:Y102"/>
    <mergeCell ref="C93:C97"/>
    <mergeCell ref="C99:C102"/>
    <mergeCell ref="X98:X102"/>
    <mergeCell ref="A79:A90"/>
    <mergeCell ref="Y79:Y90"/>
    <mergeCell ref="C81:C85"/>
    <mergeCell ref="C87:C90"/>
    <mergeCell ref="X86:X90"/>
    <mergeCell ref="X18:X23"/>
    <mergeCell ref="A67:A78"/>
    <mergeCell ref="Y67:Y78"/>
    <mergeCell ref="C69:C73"/>
    <mergeCell ref="C75:C78"/>
    <mergeCell ref="X74:X78"/>
    <mergeCell ref="A51:A66"/>
    <mergeCell ref="Y51:Y66"/>
    <mergeCell ref="C53:C59"/>
    <mergeCell ref="C63:C66"/>
    <mergeCell ref="X62:X66"/>
    <mergeCell ref="A31:A50"/>
    <mergeCell ref="Y31:Y50"/>
    <mergeCell ref="C33:C44"/>
    <mergeCell ref="C46:C50"/>
    <mergeCell ref="X45:X50"/>
    <mergeCell ref="A3:Y3"/>
    <mergeCell ref="C4:C6"/>
    <mergeCell ref="D4:D6"/>
    <mergeCell ref="Y4:Y6"/>
    <mergeCell ref="X4:X6"/>
    <mergeCell ref="B4:B6"/>
    <mergeCell ref="M4:M5"/>
    <mergeCell ref="O4:O5"/>
    <mergeCell ref="P4:W5"/>
    <mergeCell ref="A4:A6"/>
    <mergeCell ref="A151:A162"/>
    <mergeCell ref="Y151:Y162"/>
    <mergeCell ref="C153:C157"/>
    <mergeCell ref="C159:C162"/>
    <mergeCell ref="X158:X162"/>
    <mergeCell ref="A163:A174"/>
    <mergeCell ref="Y163:Y174"/>
    <mergeCell ref="C165:C169"/>
    <mergeCell ref="X170:X174"/>
    <mergeCell ref="C171:C174"/>
  </mergeCells>
  <printOptions horizontalCentered="1"/>
  <pageMargins left="0.23622047244094491" right="0.27559055118110237" top="0.51181102362204722" bottom="0.35433070866141736" header="0.19685039370078741" footer="0.15748031496062992"/>
  <pageSetup paperSize="9" scale="70" firstPageNumber="36" orientation="landscape" useFirstPageNumber="1" r:id="rId1"/>
  <headerFooter alignWithMargins="0">
    <oddHeader>&amp;C&amp;"Arial,Kursywa"Wieloletnia prognoza finansowa Województwa Zachodniopomorskiego na lata 2016-2038&amp;"Arial,Normalny"
__________________________________________________________________________________________________________________</oddHeader>
    <oddFooter>&amp;C&amp;P</oddFooter>
  </headerFooter>
  <rowBreaks count="1" manualBreakCount="1">
    <brk id="162" max="24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1871"/>
  <sheetViews>
    <sheetView showGridLines="0" view="pageBreakPreview" zoomScaleNormal="100" zoomScaleSheetLayoutView="100" workbookViewId="0">
      <pane ySplit="8" topLeftCell="A9" activePane="bottomLeft" state="frozen"/>
      <selection pane="bottomLeft" activeCell="B10" sqref="B10"/>
    </sheetView>
  </sheetViews>
  <sheetFormatPr defaultColWidth="9.140625" defaultRowHeight="12.75"/>
  <cols>
    <col min="1" max="1" width="3.7109375" style="1128" customWidth="1"/>
    <col min="2" max="2" width="55.7109375" style="1129" customWidth="1"/>
    <col min="3" max="3" width="10.5703125" style="1129" customWidth="1"/>
    <col min="4" max="4" width="13.42578125" style="1129" customWidth="1"/>
    <col min="5" max="5" width="10" style="3586" hidden="1" customWidth="1"/>
    <col min="6" max="6" width="11.5703125" style="1129" hidden="1" customWidth="1"/>
    <col min="7" max="7" width="11.140625" style="1129" hidden="1" customWidth="1"/>
    <col min="8" max="8" width="10.42578125" style="1129" hidden="1" customWidth="1"/>
    <col min="9" max="11" width="10.7109375" style="1129" hidden="1" customWidth="1"/>
    <col min="12" max="12" width="11.85546875" style="1129" hidden="1" customWidth="1"/>
    <col min="13" max="13" width="11.85546875" style="1129" customWidth="1"/>
    <col min="14" max="14" width="13.140625" style="3587" hidden="1" customWidth="1"/>
    <col min="15" max="15" width="10.5703125" style="1129" customWidth="1"/>
    <col min="16" max="16" width="10.7109375" style="1129" customWidth="1"/>
    <col min="17" max="17" width="9.5703125" style="1129" customWidth="1"/>
    <col min="18" max="18" width="9.28515625" style="1129" customWidth="1"/>
    <col min="19" max="19" width="10.28515625" style="1129" customWidth="1"/>
    <col min="20" max="20" width="9.7109375" style="1129" customWidth="1"/>
    <col min="21" max="21" width="9.28515625" style="1129" customWidth="1"/>
    <col min="22" max="22" width="10" style="1129" customWidth="1"/>
    <col min="23" max="23" width="9.7109375" style="1129" customWidth="1"/>
    <col min="24" max="24" width="12.140625" style="1129" customWidth="1"/>
    <col min="25" max="25" width="15.28515625" style="1294" customWidth="1"/>
    <col min="26" max="26" width="11.5703125" style="1293" hidden="1" customWidth="1"/>
    <col min="27" max="27" width="10.140625" style="1293" hidden="1" customWidth="1"/>
    <col min="28" max="28" width="9.5703125" style="1293" hidden="1" customWidth="1"/>
    <col min="29" max="29" width="0" style="1293" hidden="1" customWidth="1"/>
    <col min="30" max="30" width="10.140625" style="1293" customWidth="1"/>
    <col min="31" max="41" width="9.140625" style="1293"/>
    <col min="42" max="42" width="8.5703125" style="1293" customWidth="1"/>
    <col min="43" max="54" width="9.140625" style="1293"/>
    <col min="55" max="55" width="8.7109375" style="1293" customWidth="1"/>
    <col min="56" max="65" width="9.140625" style="1293"/>
    <col min="66" max="66" width="4.28515625" style="1293" customWidth="1"/>
    <col min="67" max="76" width="9.140625" style="1293"/>
    <col min="77" max="77" width="5" style="1293" customWidth="1"/>
    <col min="78" max="87" width="9.140625" style="1293"/>
    <col min="88" max="88" width="3.85546875" style="1293" customWidth="1"/>
    <col min="89" max="100" width="9.140625" style="1293"/>
    <col min="101" max="101" width="5.28515625" style="1293" customWidth="1"/>
    <col min="102" max="113" width="9.140625" style="1293"/>
    <col min="114" max="114" width="1.5703125" style="1293" customWidth="1"/>
    <col min="115" max="127" width="9.140625" style="1293"/>
    <col min="128" max="128" width="0.7109375" style="1293" customWidth="1"/>
    <col min="129" max="140" width="9.140625" style="1293"/>
    <col min="141" max="141" width="8.28515625" style="1293" customWidth="1"/>
    <col min="142" max="150" width="9.140625" style="1293"/>
    <col min="151" max="151" width="0.28515625" style="1293" customWidth="1"/>
    <col min="152" max="177" width="9.140625" style="1293"/>
    <col min="178" max="178" width="0.7109375" style="1293" customWidth="1"/>
    <col min="179" max="16384" width="9.140625" style="1293"/>
  </cols>
  <sheetData>
    <row r="1" spans="1:28" ht="17.25" customHeight="1">
      <c r="D1" s="1136"/>
      <c r="E1" s="1129"/>
      <c r="N1" s="1129"/>
      <c r="O1" s="1132"/>
      <c r="S1" s="1138" t="s">
        <v>259</v>
      </c>
      <c r="T1" s="310"/>
      <c r="U1" s="310"/>
      <c r="V1" s="310"/>
      <c r="W1" s="310"/>
      <c r="X1" s="310"/>
      <c r="Y1" s="311"/>
    </row>
    <row r="2" spans="1:28" ht="15" hidden="1" customHeight="1">
      <c r="E2" s="1129"/>
      <c r="J2" s="3275"/>
      <c r="N2" s="1139"/>
      <c r="O2" s="1137"/>
      <c r="S2" s="310"/>
      <c r="T2" s="310"/>
      <c r="U2" s="310"/>
      <c r="V2" s="310"/>
      <c r="W2" s="310"/>
      <c r="X2" s="310"/>
      <c r="Y2" s="311"/>
    </row>
    <row r="3" spans="1:28" ht="15" hidden="1" customHeight="1">
      <c r="D3" s="1136"/>
      <c r="E3" s="1136"/>
      <c r="F3" s="1136"/>
      <c r="G3" s="1136"/>
      <c r="H3" s="1136"/>
      <c r="I3" s="1136"/>
      <c r="J3" s="1136"/>
      <c r="K3" s="1136"/>
      <c r="L3" s="1136"/>
      <c r="M3" s="1136"/>
      <c r="N3" s="1139"/>
      <c r="O3" s="1136"/>
      <c r="P3" s="1136"/>
      <c r="Q3" s="1136"/>
      <c r="R3" s="1136"/>
      <c r="S3" s="1136"/>
      <c r="T3" s="1136"/>
      <c r="U3" s="1136"/>
      <c r="V3" s="1136"/>
      <c r="W3" s="1136"/>
      <c r="X3" s="1136"/>
      <c r="Y3" s="311"/>
    </row>
    <row r="4" spans="1:28" ht="8.25" customHeight="1">
      <c r="D4" s="1136"/>
      <c r="E4" s="1129"/>
      <c r="J4" s="1136"/>
      <c r="L4" s="1136"/>
      <c r="M4" s="1136"/>
      <c r="N4" s="1139"/>
      <c r="O4" s="3276"/>
      <c r="P4" s="1139"/>
      <c r="Q4" s="1139"/>
      <c r="R4" s="1139"/>
      <c r="S4" s="310"/>
      <c r="T4" s="310"/>
      <c r="U4" s="310"/>
      <c r="V4" s="310"/>
      <c r="W4" s="310"/>
      <c r="X4" s="310"/>
      <c r="Y4" s="311"/>
    </row>
    <row r="5" spans="1:28" s="1140" customFormat="1" ht="18.75" thickBot="1">
      <c r="A5" s="3277" t="s">
        <v>300</v>
      </c>
      <c r="B5" s="3277"/>
      <c r="C5" s="3277"/>
      <c r="D5" s="3277"/>
      <c r="E5" s="3277"/>
      <c r="F5" s="3277"/>
      <c r="G5" s="3277"/>
      <c r="H5" s="3277"/>
      <c r="I5" s="3277"/>
      <c r="J5" s="3277"/>
      <c r="K5" s="3277"/>
      <c r="L5" s="3277"/>
      <c r="M5" s="3277"/>
      <c r="N5" s="3277"/>
      <c r="O5" s="1329"/>
      <c r="P5" s="1329"/>
      <c r="Q5" s="1329"/>
      <c r="R5" s="1329"/>
      <c r="S5" s="1330"/>
      <c r="T5" s="1330"/>
      <c r="U5" s="1330"/>
      <c r="V5" s="1330"/>
      <c r="W5" s="1330"/>
      <c r="X5" s="1330"/>
      <c r="Y5" s="1330"/>
    </row>
    <row r="6" spans="1:28" ht="28.5" customHeight="1">
      <c r="A6" s="3278"/>
      <c r="B6" s="3278"/>
      <c r="C6" s="2670" t="s">
        <v>87</v>
      </c>
      <c r="D6" s="2673" t="s">
        <v>88</v>
      </c>
      <c r="E6" s="2957" t="s">
        <v>3</v>
      </c>
      <c r="F6" s="2958"/>
      <c r="G6" s="2958"/>
      <c r="H6" s="2958"/>
      <c r="I6" s="2958"/>
      <c r="J6" s="2958"/>
      <c r="K6" s="2958"/>
      <c r="L6" s="2959"/>
      <c r="M6" s="2688" t="s">
        <v>364</v>
      </c>
      <c r="N6" s="1088"/>
      <c r="O6" s="2690" t="s">
        <v>375</v>
      </c>
      <c r="P6" s="2692" t="s">
        <v>370</v>
      </c>
      <c r="Q6" s="2693"/>
      <c r="R6" s="2693"/>
      <c r="S6" s="2693"/>
      <c r="T6" s="2693"/>
      <c r="U6" s="2693"/>
      <c r="V6" s="2693"/>
      <c r="W6" s="2694"/>
      <c r="X6" s="2682" t="s">
        <v>343</v>
      </c>
      <c r="Y6" s="2874" t="s">
        <v>89</v>
      </c>
    </row>
    <row r="7" spans="1:28" ht="36.75" customHeight="1">
      <c r="A7" s="2540" t="s">
        <v>90</v>
      </c>
      <c r="B7" s="3279" t="s">
        <v>91</v>
      </c>
      <c r="C7" s="2671"/>
      <c r="D7" s="2674"/>
      <c r="E7" s="2960"/>
      <c r="F7" s="2961"/>
      <c r="G7" s="2961"/>
      <c r="H7" s="2961"/>
      <c r="I7" s="2961"/>
      <c r="J7" s="2961"/>
      <c r="K7" s="2961"/>
      <c r="L7" s="2962"/>
      <c r="M7" s="2689"/>
      <c r="N7" s="825"/>
      <c r="O7" s="2691"/>
      <c r="P7" s="2695"/>
      <c r="Q7" s="2696"/>
      <c r="R7" s="2696"/>
      <c r="S7" s="2696"/>
      <c r="T7" s="2696"/>
      <c r="U7" s="2696"/>
      <c r="V7" s="2696"/>
      <c r="W7" s="2697"/>
      <c r="X7" s="2683"/>
      <c r="Y7" s="2875"/>
    </row>
    <row r="8" spans="1:28" ht="27.75" customHeight="1" thickBot="1">
      <c r="A8" s="3280"/>
      <c r="B8" s="3281"/>
      <c r="C8" s="2672"/>
      <c r="D8" s="2675"/>
      <c r="E8" s="1832" t="s">
        <v>6</v>
      </c>
      <c r="F8" s="318" t="s">
        <v>7</v>
      </c>
      <c r="G8" s="318" t="s">
        <v>8</v>
      </c>
      <c r="H8" s="318" t="s">
        <v>9</v>
      </c>
      <c r="I8" s="1830" t="s">
        <v>10</v>
      </c>
      <c r="J8" s="1830" t="s">
        <v>11</v>
      </c>
      <c r="K8" s="1830" t="s">
        <v>12</v>
      </c>
      <c r="L8" s="1830" t="s">
        <v>13</v>
      </c>
      <c r="M8" s="1054" t="s">
        <v>338</v>
      </c>
      <c r="N8" s="1830" t="s">
        <v>14</v>
      </c>
      <c r="O8" s="1830" t="s">
        <v>15</v>
      </c>
      <c r="P8" s="1830" t="s">
        <v>16</v>
      </c>
      <c r="Q8" s="1830" t="s">
        <v>17</v>
      </c>
      <c r="R8" s="1830" t="s">
        <v>18</v>
      </c>
      <c r="S8" s="816" t="s">
        <v>271</v>
      </c>
      <c r="T8" s="816" t="s">
        <v>276</v>
      </c>
      <c r="U8" s="816" t="s">
        <v>340</v>
      </c>
      <c r="V8" s="816" t="s">
        <v>341</v>
      </c>
      <c r="W8" s="3282" t="s">
        <v>339</v>
      </c>
      <c r="X8" s="2684"/>
      <c r="Y8" s="2876"/>
    </row>
    <row r="9" spans="1:28" s="1143" customFormat="1" ht="27.75" customHeight="1" thickBot="1">
      <c r="A9" s="3283">
        <v>1</v>
      </c>
      <c r="B9" s="3284">
        <v>2</v>
      </c>
      <c r="C9" s="3285" t="s">
        <v>140</v>
      </c>
      <c r="D9" s="3286" t="s">
        <v>141</v>
      </c>
      <c r="E9" s="3285" t="s">
        <v>142</v>
      </c>
      <c r="F9" s="3285" t="s">
        <v>143</v>
      </c>
      <c r="G9" s="3285" t="s">
        <v>144</v>
      </c>
      <c r="H9" s="3285" t="s">
        <v>145</v>
      </c>
      <c r="I9" s="3285" t="s">
        <v>143</v>
      </c>
      <c r="J9" s="3285" t="s">
        <v>144</v>
      </c>
      <c r="K9" s="3285" t="s">
        <v>145</v>
      </c>
      <c r="L9" s="3285" t="s">
        <v>146</v>
      </c>
      <c r="M9" s="326">
        <v>5</v>
      </c>
      <c r="N9" s="326" t="s">
        <v>342</v>
      </c>
      <c r="O9" s="326">
        <v>6</v>
      </c>
      <c r="P9" s="326">
        <v>7</v>
      </c>
      <c r="Q9" s="326">
        <v>8</v>
      </c>
      <c r="R9" s="327">
        <v>9</v>
      </c>
      <c r="S9" s="327">
        <v>10</v>
      </c>
      <c r="T9" s="327">
        <v>11</v>
      </c>
      <c r="U9" s="3287">
        <v>12</v>
      </c>
      <c r="V9" s="3287">
        <v>13</v>
      </c>
      <c r="W9" s="3287">
        <v>14</v>
      </c>
      <c r="X9" s="3288">
        <v>15</v>
      </c>
      <c r="Y9" s="329">
        <v>16</v>
      </c>
      <c r="AA9" s="3289"/>
    </row>
    <row r="10" spans="1:28" s="1987" customFormat="1" ht="15.75" customHeight="1">
      <c r="A10" s="791"/>
      <c r="B10" s="790" t="s">
        <v>92</v>
      </c>
      <c r="C10" s="755"/>
      <c r="D10" s="756">
        <f>+D11+D12</f>
        <v>130204501.64</v>
      </c>
      <c r="E10" s="756">
        <f t="shared" ref="E10:Q10" si="0">+E11+E12</f>
        <v>2805880</v>
      </c>
      <c r="F10" s="756">
        <f t="shared" si="0"/>
        <v>0</v>
      </c>
      <c r="G10" s="756">
        <f t="shared" si="0"/>
        <v>27000</v>
      </c>
      <c r="H10" s="756">
        <f t="shared" si="0"/>
        <v>3348880.0600000005</v>
      </c>
      <c r="I10" s="756">
        <f t="shared" si="0"/>
        <v>5513671</v>
      </c>
      <c r="J10" s="756">
        <f t="shared" si="0"/>
        <v>18798477</v>
      </c>
      <c r="K10" s="756">
        <f t="shared" si="0"/>
        <v>11401296</v>
      </c>
      <c r="L10" s="756">
        <f t="shared" si="0"/>
        <v>5348030</v>
      </c>
      <c r="M10" s="756">
        <f t="shared" si="0"/>
        <v>66362202</v>
      </c>
      <c r="N10" s="756">
        <f t="shared" si="0"/>
        <v>22494848</v>
      </c>
      <c r="O10" s="756">
        <f t="shared" si="0"/>
        <v>25912152</v>
      </c>
      <c r="P10" s="756">
        <f t="shared" si="0"/>
        <v>14948095.640000001</v>
      </c>
      <c r="Q10" s="756">
        <f t="shared" si="0"/>
        <v>5050955</v>
      </c>
      <c r="R10" s="756">
        <f t="shared" ref="R10:X10" si="1">+R11+R12</f>
        <v>5329509</v>
      </c>
      <c r="S10" s="756">
        <f t="shared" si="1"/>
        <v>2261110</v>
      </c>
      <c r="T10" s="756">
        <f t="shared" si="1"/>
        <v>1999047</v>
      </c>
      <c r="U10" s="756">
        <f t="shared" si="1"/>
        <v>1999047</v>
      </c>
      <c r="V10" s="756">
        <f t="shared" si="1"/>
        <v>1859047</v>
      </c>
      <c r="W10" s="3290">
        <f t="shared" si="1"/>
        <v>919047</v>
      </c>
      <c r="X10" s="3291">
        <f t="shared" si="1"/>
        <v>37930147.640000001</v>
      </c>
      <c r="Y10" s="3292"/>
      <c r="AA10" s="1154">
        <f>+O10+P10+Q10+R10+S10+T10+2020000+2916667</f>
        <v>60437535.640000001</v>
      </c>
      <c r="AB10" s="1154" t="e">
        <f>#REF!-AA10</f>
        <v>#REF!</v>
      </c>
    </row>
    <row r="11" spans="1:28" s="1987" customFormat="1" ht="15.75" customHeight="1">
      <c r="A11" s="704"/>
      <c r="B11" s="771" t="s">
        <v>93</v>
      </c>
      <c r="C11" s="758"/>
      <c r="D11" s="759">
        <f>+D82+D87+D92+D120+D125+D130</f>
        <v>28619258.640000001</v>
      </c>
      <c r="E11" s="759">
        <f t="shared" ref="E11:L11" si="2">+E82+E87+E92</f>
        <v>0</v>
      </c>
      <c r="F11" s="759">
        <f t="shared" si="2"/>
        <v>0</v>
      </c>
      <c r="G11" s="759">
        <f t="shared" si="2"/>
        <v>0</v>
      </c>
      <c r="H11" s="759">
        <f t="shared" si="2"/>
        <v>0</v>
      </c>
      <c r="I11" s="759">
        <f t="shared" si="2"/>
        <v>0</v>
      </c>
      <c r="J11" s="759">
        <f t="shared" si="2"/>
        <v>0</v>
      </c>
      <c r="K11" s="759">
        <f t="shared" si="2"/>
        <v>0</v>
      </c>
      <c r="L11" s="759">
        <f t="shared" si="2"/>
        <v>0</v>
      </c>
      <c r="M11" s="759">
        <f>+L11+K11+J11+I11</f>
        <v>0</v>
      </c>
      <c r="N11" s="759">
        <f>+N82+N87+N92</f>
        <v>0</v>
      </c>
      <c r="O11" s="759">
        <f>+O82+O87+O92+O120+O125+O130</f>
        <v>0</v>
      </c>
      <c r="P11" s="759">
        <f t="shared" ref="P11:W11" si="3">+P82+P87+P92+P120+P125+P130</f>
        <v>5637206.6399999997</v>
      </c>
      <c r="Q11" s="759">
        <f t="shared" si="3"/>
        <v>5050955</v>
      </c>
      <c r="R11" s="759">
        <f t="shared" si="3"/>
        <v>5329509</v>
      </c>
      <c r="S11" s="759">
        <f t="shared" si="3"/>
        <v>2261110</v>
      </c>
      <c r="T11" s="759">
        <f t="shared" si="3"/>
        <v>1999047</v>
      </c>
      <c r="U11" s="759">
        <f t="shared" si="3"/>
        <v>1999047</v>
      </c>
      <c r="V11" s="759">
        <f t="shared" si="3"/>
        <v>1859047</v>
      </c>
      <c r="W11" s="3293">
        <f t="shared" si="3"/>
        <v>919047</v>
      </c>
      <c r="X11" s="3294">
        <f>+X82+X87+X92+X120+X125+X130</f>
        <v>28619258.640000001</v>
      </c>
      <c r="Y11" s="770"/>
    </row>
    <row r="12" spans="1:28" s="1987" customFormat="1" ht="15.75" customHeight="1" thickBot="1">
      <c r="A12" s="704"/>
      <c r="B12" s="772" t="s">
        <v>21</v>
      </c>
      <c r="C12" s="3295"/>
      <c r="D12" s="769">
        <f>+D33+D44+D57+D58+D59+D45+D69+D70+D97+D107+D108+D134</f>
        <v>101585243</v>
      </c>
      <c r="E12" s="769">
        <f t="shared" ref="E12:S12" si="4">+E33+E44+E57+E58+E59+E45+E69+E70+E97+E107+E108</f>
        <v>2805880</v>
      </c>
      <c r="F12" s="769">
        <f t="shared" si="4"/>
        <v>0</v>
      </c>
      <c r="G12" s="769">
        <f t="shared" si="4"/>
        <v>27000</v>
      </c>
      <c r="H12" s="769">
        <f t="shared" si="4"/>
        <v>3348880.0600000005</v>
      </c>
      <c r="I12" s="769">
        <f t="shared" si="4"/>
        <v>5513671</v>
      </c>
      <c r="J12" s="769">
        <f t="shared" si="4"/>
        <v>18798477</v>
      </c>
      <c r="K12" s="769">
        <f t="shared" si="4"/>
        <v>11401296</v>
      </c>
      <c r="L12" s="769">
        <f t="shared" si="4"/>
        <v>5348030</v>
      </c>
      <c r="M12" s="769">
        <f>+M33+M44+M57+M58+M59+M45+M69+M70+M97+M107+M108+M134</f>
        <v>66362202</v>
      </c>
      <c r="N12" s="769">
        <f>+N33+N44+N57+N58+N59+N45+N69+N70+N97+N107+N108+N134</f>
        <v>22494848</v>
      </c>
      <c r="O12" s="769">
        <f>+O33+O44+O57+O58+O59+O45+O69+O70+O97+O107+O108+O134</f>
        <v>25912152</v>
      </c>
      <c r="P12" s="769">
        <f>+P33+P44+P57+P58+P59+P45+P69+P70+P97+P107+P108+P134</f>
        <v>9310889</v>
      </c>
      <c r="Q12" s="769">
        <f>+Q33+Q44+Q57+Q58+Q59+Q45+Q69+Q70+Q97+Q107+Q108+Q134</f>
        <v>0</v>
      </c>
      <c r="R12" s="769">
        <f t="shared" si="4"/>
        <v>0</v>
      </c>
      <c r="S12" s="769">
        <f t="shared" si="4"/>
        <v>0</v>
      </c>
      <c r="T12" s="769">
        <f>+T33+T44+T57+T58+T59+T45+T69+T70+T97+T107+T108</f>
        <v>0</v>
      </c>
      <c r="U12" s="769">
        <f>+U33+U44+U57+U58+U59+U45+U69+U70+U97+U107+U108</f>
        <v>0</v>
      </c>
      <c r="V12" s="769">
        <f>+V33+V44+V57+V58+V59+V45+V69+V70+V97+V107+V108</f>
        <v>0</v>
      </c>
      <c r="W12" s="3296">
        <f>+W33+W44+W57+W58+W59+W45+W69+W70+W97+W107+W108</f>
        <v>0</v>
      </c>
      <c r="X12" s="3297">
        <f>+X33+X44+X57+X58+X59+X45+X69+X70+X97+X107+X108+X134</f>
        <v>9310889</v>
      </c>
      <c r="Y12" s="770"/>
    </row>
    <row r="13" spans="1:28" s="1143" customFormat="1" ht="15" customHeight="1">
      <c r="A13" s="704"/>
      <c r="B13" s="3298" t="s">
        <v>22</v>
      </c>
      <c r="C13" s="3299"/>
      <c r="D13" s="3300">
        <f>+D14+D21</f>
        <v>270635936.63999999</v>
      </c>
      <c r="E13" s="3301">
        <f t="shared" ref="E13:Q13" si="5">SUM(E14,E21)</f>
        <v>3848353</v>
      </c>
      <c r="F13" s="3301">
        <f t="shared" si="5"/>
        <v>0</v>
      </c>
      <c r="G13" s="3301">
        <f t="shared" si="5"/>
        <v>102454</v>
      </c>
      <c r="H13" s="3301">
        <f t="shared" si="5"/>
        <v>6059759.0600000005</v>
      </c>
      <c r="I13" s="3301">
        <f>SUM(I14,I21)</f>
        <v>22200440</v>
      </c>
      <c r="J13" s="3301">
        <f t="shared" si="5"/>
        <v>30496981</v>
      </c>
      <c r="K13" s="3301">
        <f t="shared" si="5"/>
        <v>16499453</v>
      </c>
      <c r="L13" s="3301">
        <f t="shared" si="5"/>
        <v>31183456</v>
      </c>
      <c r="M13" s="3301">
        <f t="shared" si="5"/>
        <v>128036482</v>
      </c>
      <c r="N13" s="3301">
        <f t="shared" si="5"/>
        <v>46913434</v>
      </c>
      <c r="O13" s="3301">
        <f t="shared" si="5"/>
        <v>65249980</v>
      </c>
      <c r="P13" s="3301">
        <f t="shared" si="5"/>
        <v>54367422.640000001</v>
      </c>
      <c r="Q13" s="3301">
        <f t="shared" si="5"/>
        <v>5050955</v>
      </c>
      <c r="R13" s="3301">
        <f>SUM(R14,R21)</f>
        <v>5329509</v>
      </c>
      <c r="S13" s="3301">
        <f>+S14+S21</f>
        <v>2261110</v>
      </c>
      <c r="T13" s="3301">
        <f>SUM(T14,T21)</f>
        <v>1999047</v>
      </c>
      <c r="U13" s="3301">
        <f>SUM(U14,U21)</f>
        <v>1999047</v>
      </c>
      <c r="V13" s="3301">
        <f>SUM(V14,V21)</f>
        <v>1859047</v>
      </c>
      <c r="W13" s="3302">
        <f>SUM(W14,W21)</f>
        <v>919047</v>
      </c>
      <c r="X13" s="3303">
        <f>SUM(X14,X21)</f>
        <v>36070546.640000001</v>
      </c>
      <c r="Y13" s="3304"/>
      <c r="AB13" s="685"/>
    </row>
    <row r="14" spans="1:28" s="1279" customFormat="1" ht="14.25" customHeight="1">
      <c r="A14" s="704"/>
      <c r="B14" s="3305" t="s">
        <v>23</v>
      </c>
      <c r="C14" s="3306"/>
      <c r="D14" s="3307">
        <f>SUM(D15:D20)</f>
        <v>180956461.63999999</v>
      </c>
      <c r="E14" s="3307">
        <f t="shared" ref="E14:Q14" si="6">SUM(E15:E20)</f>
        <v>3848353</v>
      </c>
      <c r="F14" s="3307">
        <f t="shared" si="6"/>
        <v>0</v>
      </c>
      <c r="G14" s="3307">
        <f t="shared" si="6"/>
        <v>102454</v>
      </c>
      <c r="H14" s="3307">
        <f t="shared" si="6"/>
        <v>6059759.0600000005</v>
      </c>
      <c r="I14" s="3307">
        <f t="shared" si="6"/>
        <v>6621685</v>
      </c>
      <c r="J14" s="3307">
        <f t="shared" si="6"/>
        <v>22298156</v>
      </c>
      <c r="K14" s="3307">
        <f>SUM(K15:K20)</f>
        <v>16499453</v>
      </c>
      <c r="L14" s="3307">
        <f t="shared" si="6"/>
        <v>30782980</v>
      </c>
      <c r="M14" s="3307">
        <f t="shared" si="6"/>
        <v>86797118</v>
      </c>
      <c r="N14" s="3307">
        <f t="shared" si="6"/>
        <v>26985967</v>
      </c>
      <c r="O14" s="3307">
        <f t="shared" si="6"/>
        <v>37973425</v>
      </c>
      <c r="P14" s="3307">
        <f t="shared" si="6"/>
        <v>33203866.640000001</v>
      </c>
      <c r="Q14" s="3307">
        <f t="shared" si="6"/>
        <v>5050955</v>
      </c>
      <c r="R14" s="3307">
        <f>SUM(R15:R20)</f>
        <v>5329509</v>
      </c>
      <c r="S14" s="3307">
        <f>+S15+S16+S17+S18+S20</f>
        <v>2261110</v>
      </c>
      <c r="T14" s="3307">
        <f>SUM(T15:T20)</f>
        <v>1999047</v>
      </c>
      <c r="U14" s="3307">
        <f>SUM(U15:U20)</f>
        <v>1999047</v>
      </c>
      <c r="V14" s="3307">
        <f>SUM(V15:V20)</f>
        <v>1859047</v>
      </c>
      <c r="W14" s="3308">
        <f>SUM(W15:W20)</f>
        <v>919047</v>
      </c>
      <c r="X14" s="3309">
        <f>SUM(X15:X20)</f>
        <v>36070546.640000001</v>
      </c>
      <c r="Y14" s="3310"/>
      <c r="AA14" s="1280">
        <f>+J14-J16</f>
        <v>18798477</v>
      </c>
    </row>
    <row r="15" spans="1:28" s="1279" customFormat="1" ht="14.25" customHeight="1">
      <c r="A15" s="704"/>
      <c r="B15" s="3311" t="s">
        <v>24</v>
      </c>
      <c r="C15" s="3306"/>
      <c r="D15" s="3312">
        <f>+D82+D87+D92+D120+D125+D130</f>
        <v>28619258.640000001</v>
      </c>
      <c r="E15" s="3312">
        <f t="shared" ref="E15:L15" si="7">+E82+E87+E92</f>
        <v>0</v>
      </c>
      <c r="F15" s="3312">
        <f t="shared" si="7"/>
        <v>0</v>
      </c>
      <c r="G15" s="3312">
        <f t="shared" si="7"/>
        <v>0</v>
      </c>
      <c r="H15" s="3312">
        <f t="shared" si="7"/>
        <v>0</v>
      </c>
      <c r="I15" s="3312">
        <f t="shared" si="7"/>
        <v>0</v>
      </c>
      <c r="J15" s="3312">
        <f t="shared" si="7"/>
        <v>0</v>
      </c>
      <c r="K15" s="3312">
        <f t="shared" si="7"/>
        <v>0</v>
      </c>
      <c r="L15" s="3312">
        <f t="shared" si="7"/>
        <v>0</v>
      </c>
      <c r="M15" s="3312">
        <f>+L15+K15+J15+I15+E15</f>
        <v>0</v>
      </c>
      <c r="N15" s="3312">
        <f>+N82+N87+N92</f>
        <v>0</v>
      </c>
      <c r="O15" s="3312">
        <f>+O82+O87+O92+O120+O125+O130</f>
        <v>0</v>
      </c>
      <c r="P15" s="3312">
        <f t="shared" ref="P15:W15" si="8">+P82+P87+P92+P120+P125+P130</f>
        <v>5637206.6399999997</v>
      </c>
      <c r="Q15" s="3312">
        <f t="shared" si="8"/>
        <v>5050955</v>
      </c>
      <c r="R15" s="3312">
        <f t="shared" si="8"/>
        <v>5329509</v>
      </c>
      <c r="S15" s="3312">
        <f t="shared" si="8"/>
        <v>2261110</v>
      </c>
      <c r="T15" s="3312">
        <f t="shared" si="8"/>
        <v>1999047</v>
      </c>
      <c r="U15" s="3312">
        <f t="shared" si="8"/>
        <v>1999047</v>
      </c>
      <c r="V15" s="3312">
        <f t="shared" si="8"/>
        <v>1859047</v>
      </c>
      <c r="W15" s="3313">
        <f t="shared" si="8"/>
        <v>919047</v>
      </c>
      <c r="X15" s="3314">
        <f>+X82+X87+X92+X120+X125+X130</f>
        <v>28619258.640000001</v>
      </c>
      <c r="Y15" s="3310"/>
      <c r="AA15" s="1280"/>
      <c r="AB15" s="1280">
        <f>+D15+D17+D18+D20</f>
        <v>130204501.64</v>
      </c>
    </row>
    <row r="16" spans="1:28" s="1143" customFormat="1" ht="14.25" customHeight="1">
      <c r="A16" s="704"/>
      <c r="B16" s="3311" t="s">
        <v>45</v>
      </c>
      <c r="C16" s="3315"/>
      <c r="D16" s="3316">
        <f>+D32+D43+D56+D81+D86+D96+D106+D91+D124</f>
        <v>50751960</v>
      </c>
      <c r="E16" s="3316">
        <f t="shared" ref="E16:L16" si="9">+E32+E43+E56+E69+E81+E86+E96+E106</f>
        <v>1042473</v>
      </c>
      <c r="F16" s="3316">
        <f t="shared" si="9"/>
        <v>0</v>
      </c>
      <c r="G16" s="3316">
        <f t="shared" si="9"/>
        <v>75454</v>
      </c>
      <c r="H16" s="3316">
        <f t="shared" si="9"/>
        <v>2710879</v>
      </c>
      <c r="I16" s="3316">
        <f t="shared" si="9"/>
        <v>1108014</v>
      </c>
      <c r="J16" s="3316">
        <f t="shared" si="9"/>
        <v>3499679</v>
      </c>
      <c r="K16" s="3316">
        <f t="shared" si="9"/>
        <v>5098157</v>
      </c>
      <c r="L16" s="3316">
        <f t="shared" si="9"/>
        <v>25434950</v>
      </c>
      <c r="M16" s="3312">
        <f>+M32+M43+M56+M81+M86+M96+M106+M91+M124</f>
        <v>20434916</v>
      </c>
      <c r="N16" s="3312">
        <f t="shared" ref="N16:T16" si="10">+N32+N43+N56+N81+N86+N96+N106+N91+N124</f>
        <v>4491119</v>
      </c>
      <c r="O16" s="3312">
        <f>+O32+O43+O56+O81+O86+O96+O106+O91+O124</f>
        <v>12061273</v>
      </c>
      <c r="P16" s="3312">
        <f t="shared" si="10"/>
        <v>18255771</v>
      </c>
      <c r="Q16" s="3317">
        <f t="shared" si="10"/>
        <v>0</v>
      </c>
      <c r="R16" s="3317">
        <f t="shared" si="10"/>
        <v>0</v>
      </c>
      <c r="S16" s="3317">
        <f t="shared" si="10"/>
        <v>0</v>
      </c>
      <c r="T16" s="3317">
        <f t="shared" si="10"/>
        <v>0</v>
      </c>
      <c r="U16" s="3317">
        <f>+U32+U43+U56+U81+U86+U96+U106+U91+U124</f>
        <v>0</v>
      </c>
      <c r="V16" s="3317">
        <f>+V32+V43+V56+V81+V86+V96+V106+V91+V124</f>
        <v>0</v>
      </c>
      <c r="W16" s="3318">
        <f>+W32+W43+W56+W81+W86+W96+W106+W91+W124</f>
        <v>0</v>
      </c>
      <c r="X16" s="3319" t="s">
        <v>77</v>
      </c>
      <c r="Y16" s="3304"/>
      <c r="AA16" s="685">
        <f>+P16+O16+N16+L16+K16+J16+I16+E16</f>
        <v>70991436</v>
      </c>
      <c r="AB16" s="685">
        <f>+AB15-D10</f>
        <v>0</v>
      </c>
    </row>
    <row r="17" spans="1:28" s="1143" customFormat="1" ht="14.25" customHeight="1">
      <c r="A17" s="704"/>
      <c r="B17" s="3311" t="s">
        <v>150</v>
      </c>
      <c r="C17" s="3320"/>
      <c r="D17" s="3316">
        <f>+D44+D57+D69+D97+D33+D107+D134</f>
        <v>48217639</v>
      </c>
      <c r="E17" s="3316">
        <f t="shared" ref="E17:L17" si="11">+E44+E57+E69+E97+E33+E107</f>
        <v>2805880</v>
      </c>
      <c r="F17" s="3316">
        <f t="shared" si="11"/>
        <v>0</v>
      </c>
      <c r="G17" s="3316">
        <f t="shared" si="11"/>
        <v>27000</v>
      </c>
      <c r="H17" s="3316">
        <f t="shared" si="11"/>
        <v>3348880.0600000005</v>
      </c>
      <c r="I17" s="3316">
        <f t="shared" si="11"/>
        <v>5513671</v>
      </c>
      <c r="J17" s="3316">
        <f t="shared" si="11"/>
        <v>8588477</v>
      </c>
      <c r="K17" s="3316">
        <f t="shared" si="11"/>
        <v>7491341</v>
      </c>
      <c r="L17" s="3316">
        <f t="shared" si="11"/>
        <v>942693</v>
      </c>
      <c r="M17" s="3316">
        <f>+M44+M57+M69+M97+M33+M107+M134</f>
        <v>36262144</v>
      </c>
      <c r="N17" s="3316">
        <f t="shared" ref="N17:T17" si="12">+N44+N57+N69+N97+N33+N107</f>
        <v>10920082</v>
      </c>
      <c r="O17" s="3316">
        <f>+O44+O57+O69+O97+O33+O107+O134</f>
        <v>10095894</v>
      </c>
      <c r="P17" s="3316">
        <f>+P44+P57+P69+P97+P33+P107+P134</f>
        <v>1859601</v>
      </c>
      <c r="Q17" s="3312">
        <f>+Q44+Q57+Q69+Q97+Q33+Q107+Q134</f>
        <v>0</v>
      </c>
      <c r="R17" s="3321">
        <f t="shared" si="12"/>
        <v>0</v>
      </c>
      <c r="S17" s="3321">
        <f t="shared" si="12"/>
        <v>0</v>
      </c>
      <c r="T17" s="3321">
        <f t="shared" si="12"/>
        <v>0</v>
      </c>
      <c r="U17" s="3321">
        <f>+U44+U57+U69+U97+U33+U107</f>
        <v>0</v>
      </c>
      <c r="V17" s="3321">
        <f>+V44+V57+V69+V97+V33+V107</f>
        <v>0</v>
      </c>
      <c r="W17" s="3322">
        <f>+W44+W57+W69+W97+W33+W107</f>
        <v>0</v>
      </c>
      <c r="X17" s="3323"/>
      <c r="Y17" s="3324"/>
      <c r="AA17" s="685">
        <f>+P17+O17+N17+L17+K17+J17+I17+E17</f>
        <v>48217639</v>
      </c>
      <c r="AB17" s="685">
        <f>+AA17-D17</f>
        <v>0</v>
      </c>
    </row>
    <row r="18" spans="1:28" s="1279" customFormat="1" ht="14.25" customHeight="1">
      <c r="A18" s="3325"/>
      <c r="B18" s="3326" t="s">
        <v>25</v>
      </c>
      <c r="C18" s="3315"/>
      <c r="D18" s="3320">
        <f>D58+D45+D70+D108</f>
        <v>47167604</v>
      </c>
      <c r="E18" s="3320">
        <f t="shared" ref="E18:T18" si="13">E58+E45+E70</f>
        <v>0</v>
      </c>
      <c r="F18" s="3320">
        <f t="shared" si="13"/>
        <v>0</v>
      </c>
      <c r="G18" s="3320">
        <f t="shared" si="13"/>
        <v>0</v>
      </c>
      <c r="H18" s="3320">
        <f t="shared" si="13"/>
        <v>0</v>
      </c>
      <c r="I18" s="3320">
        <f t="shared" si="13"/>
        <v>0</v>
      </c>
      <c r="J18" s="3320">
        <f t="shared" si="13"/>
        <v>8065000</v>
      </c>
      <c r="K18" s="3320">
        <f t="shared" si="13"/>
        <v>1854955</v>
      </c>
      <c r="L18" s="3320">
        <f t="shared" si="13"/>
        <v>3882193</v>
      </c>
      <c r="M18" s="3320">
        <f>M58+M45+M70+M108</f>
        <v>23900058</v>
      </c>
      <c r="N18" s="3320">
        <f t="shared" si="13"/>
        <v>10097910</v>
      </c>
      <c r="O18" s="3320">
        <f>O58+O45+O70+O108</f>
        <v>15816258</v>
      </c>
      <c r="P18" s="3320">
        <f>P58+P45+P70+P108</f>
        <v>7451288</v>
      </c>
      <c r="Q18" s="3327">
        <f>Q58+Q45+Q70+Q108</f>
        <v>0</v>
      </c>
      <c r="R18" s="3327">
        <f t="shared" si="13"/>
        <v>0</v>
      </c>
      <c r="S18" s="3327">
        <f t="shared" si="13"/>
        <v>0</v>
      </c>
      <c r="T18" s="3327">
        <f t="shared" si="13"/>
        <v>0</v>
      </c>
      <c r="U18" s="3327">
        <f>U58+U45+U70</f>
        <v>0</v>
      </c>
      <c r="V18" s="3327">
        <f>V58+V45+V70</f>
        <v>0</v>
      </c>
      <c r="W18" s="3328">
        <f>W58+W45+W70</f>
        <v>0</v>
      </c>
      <c r="X18" s="3329">
        <f>X58+X45+X70+X108</f>
        <v>7451288</v>
      </c>
      <c r="Y18" s="3330"/>
      <c r="AA18" s="1280">
        <f>+P18+O18+N18+L18+K18+J18+I18+E18</f>
        <v>47167604</v>
      </c>
    </row>
    <row r="19" spans="1:28" s="1163" customFormat="1" ht="14.25" hidden="1" customHeight="1">
      <c r="A19" s="3325"/>
      <c r="B19" s="3331" t="s">
        <v>47</v>
      </c>
      <c r="C19" s="3332"/>
      <c r="D19" s="3333">
        <f>+D135</f>
        <v>0</v>
      </c>
      <c r="E19" s="3333"/>
      <c r="F19" s="3333"/>
      <c r="G19" s="3333"/>
      <c r="H19" s="3333"/>
      <c r="I19" s="3333"/>
      <c r="J19" s="3333"/>
      <c r="K19" s="3333"/>
      <c r="L19" s="3333"/>
      <c r="M19" s="3333">
        <v>0</v>
      </c>
      <c r="N19" s="3333"/>
      <c r="O19" s="3333">
        <v>0</v>
      </c>
      <c r="P19" s="3333">
        <f>+P135</f>
        <v>0</v>
      </c>
      <c r="Q19" s="3333">
        <f>+Q135</f>
        <v>0</v>
      </c>
      <c r="R19" s="3334">
        <v>0</v>
      </c>
      <c r="S19" s="3334">
        <v>0</v>
      </c>
      <c r="T19" s="3334">
        <v>0</v>
      </c>
      <c r="U19" s="3334">
        <v>0</v>
      </c>
      <c r="V19" s="3334">
        <v>0</v>
      </c>
      <c r="W19" s="3335">
        <v>0</v>
      </c>
      <c r="X19" s="3336"/>
      <c r="Y19" s="3330"/>
      <c r="AA19" s="3337"/>
    </row>
    <row r="20" spans="1:28" s="1143" customFormat="1" ht="14.25" customHeight="1">
      <c r="A20" s="704"/>
      <c r="B20" s="3326" t="s">
        <v>151</v>
      </c>
      <c r="C20" s="3315"/>
      <c r="D20" s="3320">
        <f t="shared" ref="D20:T20" si="14">D59</f>
        <v>6200000</v>
      </c>
      <c r="E20" s="3320">
        <f t="shared" si="14"/>
        <v>0</v>
      </c>
      <c r="F20" s="3320">
        <f t="shared" si="14"/>
        <v>0</v>
      </c>
      <c r="G20" s="3320">
        <f t="shared" si="14"/>
        <v>0</v>
      </c>
      <c r="H20" s="3320">
        <f t="shared" si="14"/>
        <v>0</v>
      </c>
      <c r="I20" s="3320">
        <f t="shared" si="14"/>
        <v>0</v>
      </c>
      <c r="J20" s="3320">
        <f t="shared" si="14"/>
        <v>2145000</v>
      </c>
      <c r="K20" s="3320">
        <f t="shared" si="14"/>
        <v>2055000</v>
      </c>
      <c r="L20" s="3320">
        <f t="shared" si="14"/>
        <v>523144</v>
      </c>
      <c r="M20" s="3320">
        <f t="shared" si="14"/>
        <v>6200000</v>
      </c>
      <c r="N20" s="3320">
        <f>N59</f>
        <v>1476856</v>
      </c>
      <c r="O20" s="3320">
        <f t="shared" si="14"/>
        <v>0</v>
      </c>
      <c r="P20" s="3320">
        <f t="shared" si="14"/>
        <v>0</v>
      </c>
      <c r="Q20" s="3327">
        <f t="shared" si="14"/>
        <v>0</v>
      </c>
      <c r="R20" s="3327">
        <f t="shared" si="14"/>
        <v>0</v>
      </c>
      <c r="S20" s="3327">
        <f t="shared" si="14"/>
        <v>0</v>
      </c>
      <c r="T20" s="3327">
        <f t="shared" si="14"/>
        <v>0</v>
      </c>
      <c r="U20" s="3327">
        <f>U59</f>
        <v>0</v>
      </c>
      <c r="V20" s="3327">
        <f>V59</f>
        <v>0</v>
      </c>
      <c r="W20" s="3328">
        <f>W59</f>
        <v>0</v>
      </c>
      <c r="X20" s="3323">
        <f>X59</f>
        <v>0</v>
      </c>
      <c r="Y20" s="3324"/>
      <c r="AA20" s="685">
        <f>+P20+O20+N20+L20+K20+J20+I20+E20</f>
        <v>6200000</v>
      </c>
    </row>
    <row r="21" spans="1:28" s="1279" customFormat="1" ht="14.25" customHeight="1">
      <c r="A21" s="651"/>
      <c r="B21" s="689" t="s">
        <v>30</v>
      </c>
      <c r="C21" s="3338"/>
      <c r="D21" s="3339">
        <f t="shared" ref="D21:W21" si="15">SUM(D22:D22)</f>
        <v>89679475</v>
      </c>
      <c r="E21" s="3339">
        <f t="shared" si="15"/>
        <v>0</v>
      </c>
      <c r="F21" s="3339">
        <f t="shared" si="15"/>
        <v>0</v>
      </c>
      <c r="G21" s="3339">
        <f t="shared" si="15"/>
        <v>0</v>
      </c>
      <c r="H21" s="3339">
        <f t="shared" si="15"/>
        <v>0</v>
      </c>
      <c r="I21" s="3339">
        <f t="shared" si="15"/>
        <v>15578755</v>
      </c>
      <c r="J21" s="3339">
        <f t="shared" si="15"/>
        <v>8198825</v>
      </c>
      <c r="K21" s="3339">
        <f t="shared" si="15"/>
        <v>0</v>
      </c>
      <c r="L21" s="3339">
        <f t="shared" si="15"/>
        <v>400476</v>
      </c>
      <c r="M21" s="3339">
        <f t="shared" si="15"/>
        <v>41239364</v>
      </c>
      <c r="N21" s="3339">
        <f t="shared" si="15"/>
        <v>19927467</v>
      </c>
      <c r="O21" s="3339">
        <f t="shared" si="15"/>
        <v>27276555</v>
      </c>
      <c r="P21" s="3339">
        <f t="shared" si="15"/>
        <v>21163556</v>
      </c>
      <c r="Q21" s="3340">
        <f t="shared" si="15"/>
        <v>0</v>
      </c>
      <c r="R21" s="3340">
        <f t="shared" si="15"/>
        <v>0</v>
      </c>
      <c r="S21" s="3340">
        <f t="shared" si="15"/>
        <v>0</v>
      </c>
      <c r="T21" s="3340">
        <f t="shared" si="15"/>
        <v>0</v>
      </c>
      <c r="U21" s="3340">
        <f t="shared" si="15"/>
        <v>0</v>
      </c>
      <c r="V21" s="3340">
        <f t="shared" si="15"/>
        <v>0</v>
      </c>
      <c r="W21" s="3341">
        <f t="shared" si="15"/>
        <v>0</v>
      </c>
      <c r="X21" s="3319" t="s">
        <v>77</v>
      </c>
      <c r="Y21" s="3310"/>
    </row>
    <row r="22" spans="1:28" s="1143" customFormat="1" ht="14.25" customHeight="1">
      <c r="A22" s="667"/>
      <c r="B22" s="3342" t="s">
        <v>48</v>
      </c>
      <c r="C22" s="3343"/>
      <c r="D22" s="3344">
        <f>+D47+D72+D34+D99+D110</f>
        <v>89679475</v>
      </c>
      <c r="E22" s="3344">
        <f t="shared" ref="E22:T22" si="16">+E47+E72+E34+E99+E110</f>
        <v>0</v>
      </c>
      <c r="F22" s="3344">
        <f t="shared" si="16"/>
        <v>0</v>
      </c>
      <c r="G22" s="3344">
        <f t="shared" si="16"/>
        <v>0</v>
      </c>
      <c r="H22" s="3344">
        <f t="shared" si="16"/>
        <v>0</v>
      </c>
      <c r="I22" s="3344">
        <f t="shared" si="16"/>
        <v>15578755</v>
      </c>
      <c r="J22" s="3344">
        <f t="shared" si="16"/>
        <v>8198825</v>
      </c>
      <c r="K22" s="3344">
        <f t="shared" si="16"/>
        <v>0</v>
      </c>
      <c r="L22" s="3344">
        <f t="shared" si="16"/>
        <v>400476</v>
      </c>
      <c r="M22" s="3344">
        <f t="shared" si="16"/>
        <v>41239364</v>
      </c>
      <c r="N22" s="3344">
        <f t="shared" si="16"/>
        <v>19927467</v>
      </c>
      <c r="O22" s="3344">
        <f t="shared" si="16"/>
        <v>27276555</v>
      </c>
      <c r="P22" s="3344">
        <f t="shared" si="16"/>
        <v>21163556</v>
      </c>
      <c r="Q22" s="3345">
        <f t="shared" si="16"/>
        <v>0</v>
      </c>
      <c r="R22" s="3345">
        <f t="shared" si="16"/>
        <v>0</v>
      </c>
      <c r="S22" s="3345">
        <f t="shared" si="16"/>
        <v>0</v>
      </c>
      <c r="T22" s="3345">
        <f t="shared" si="16"/>
        <v>0</v>
      </c>
      <c r="U22" s="3345">
        <f>+U47+U72+U34+U99+U110</f>
        <v>0</v>
      </c>
      <c r="V22" s="3345">
        <f>+V47+V72+V34+V99+V110</f>
        <v>0</v>
      </c>
      <c r="W22" s="3346">
        <f>+W47+W72+W34+W99+W110</f>
        <v>0</v>
      </c>
      <c r="X22" s="3319" t="s">
        <v>77</v>
      </c>
      <c r="Y22" s="3347"/>
    </row>
    <row r="23" spans="1:28" s="1143" customFormat="1" ht="14.25" customHeight="1">
      <c r="A23" s="667"/>
      <c r="B23" s="3181" t="s">
        <v>34</v>
      </c>
      <c r="C23" s="696"/>
      <c r="D23" s="3348">
        <f>+D24+D27</f>
        <v>143047079</v>
      </c>
      <c r="E23" s="3348">
        <f t="shared" ref="E23:T23" si="17">+E24+E27</f>
        <v>0</v>
      </c>
      <c r="F23" s="3348">
        <f t="shared" si="17"/>
        <v>0</v>
      </c>
      <c r="G23" s="3348">
        <f t="shared" si="17"/>
        <v>0</v>
      </c>
      <c r="H23" s="3348">
        <f t="shared" si="17"/>
        <v>0</v>
      </c>
      <c r="I23" s="3348">
        <f t="shared" si="17"/>
        <v>15578755</v>
      </c>
      <c r="J23" s="3348">
        <f t="shared" si="17"/>
        <v>18408825</v>
      </c>
      <c r="K23" s="3348">
        <f t="shared" si="17"/>
        <v>3909955</v>
      </c>
      <c r="L23" s="3348">
        <f t="shared" si="17"/>
        <v>4805813</v>
      </c>
      <c r="M23" s="3348">
        <f t="shared" si="17"/>
        <v>71339422</v>
      </c>
      <c r="N23" s="3348">
        <f t="shared" si="17"/>
        <v>31502233</v>
      </c>
      <c r="O23" s="3348">
        <f t="shared" si="17"/>
        <v>43092813</v>
      </c>
      <c r="P23" s="3348">
        <f t="shared" si="17"/>
        <v>28614844</v>
      </c>
      <c r="Q23" s="3209">
        <f t="shared" si="17"/>
        <v>0</v>
      </c>
      <c r="R23" s="3209">
        <f t="shared" si="17"/>
        <v>0</v>
      </c>
      <c r="S23" s="3209">
        <f t="shared" si="17"/>
        <v>0</v>
      </c>
      <c r="T23" s="3209">
        <f t="shared" si="17"/>
        <v>0</v>
      </c>
      <c r="U23" s="3209">
        <f>+U24+U27</f>
        <v>0</v>
      </c>
      <c r="V23" s="3209">
        <f>+V24+V27</f>
        <v>0</v>
      </c>
      <c r="W23" s="3349">
        <f>+W24+W27</f>
        <v>0</v>
      </c>
      <c r="X23" s="3350" t="s">
        <v>35</v>
      </c>
      <c r="Y23" s="3347"/>
    </row>
    <row r="24" spans="1:28" s="1143" customFormat="1" ht="14.25" customHeight="1">
      <c r="A24" s="667"/>
      <c r="B24" s="689" t="s">
        <v>23</v>
      </c>
      <c r="C24" s="3338"/>
      <c r="D24" s="3339">
        <f>+D25+D26</f>
        <v>53367604</v>
      </c>
      <c r="E24" s="3339">
        <f t="shared" ref="E24:T24" si="18">+E25+E26</f>
        <v>0</v>
      </c>
      <c r="F24" s="3339">
        <f t="shared" si="18"/>
        <v>0</v>
      </c>
      <c r="G24" s="3339">
        <f t="shared" si="18"/>
        <v>0</v>
      </c>
      <c r="H24" s="3339">
        <f t="shared" si="18"/>
        <v>0</v>
      </c>
      <c r="I24" s="3339">
        <f t="shared" si="18"/>
        <v>0</v>
      </c>
      <c r="J24" s="3339">
        <f t="shared" si="18"/>
        <v>10210000</v>
      </c>
      <c r="K24" s="3339">
        <f t="shared" si="18"/>
        <v>3909955</v>
      </c>
      <c r="L24" s="3339">
        <f t="shared" si="18"/>
        <v>4405337</v>
      </c>
      <c r="M24" s="3339">
        <f t="shared" si="18"/>
        <v>30100058</v>
      </c>
      <c r="N24" s="3339">
        <f t="shared" si="18"/>
        <v>11574766</v>
      </c>
      <c r="O24" s="3339">
        <f t="shared" si="18"/>
        <v>15816258</v>
      </c>
      <c r="P24" s="3339">
        <f t="shared" si="18"/>
        <v>7451288</v>
      </c>
      <c r="Q24" s="3340">
        <f t="shared" si="18"/>
        <v>0</v>
      </c>
      <c r="R24" s="3340">
        <f t="shared" si="18"/>
        <v>0</v>
      </c>
      <c r="S24" s="3340">
        <f t="shared" si="18"/>
        <v>0</v>
      </c>
      <c r="T24" s="3340">
        <f t="shared" si="18"/>
        <v>0</v>
      </c>
      <c r="U24" s="3340">
        <f>+U25+U26</f>
        <v>0</v>
      </c>
      <c r="V24" s="3340">
        <f>+V25+V26</f>
        <v>0</v>
      </c>
      <c r="W24" s="3341">
        <f>+W25+W26</f>
        <v>0</v>
      </c>
      <c r="X24" s="3351"/>
      <c r="Y24" s="3347"/>
    </row>
    <row r="25" spans="1:28" s="1143" customFormat="1" ht="14.25" customHeight="1">
      <c r="A25" s="667"/>
      <c r="B25" s="3326" t="s">
        <v>25</v>
      </c>
      <c r="C25" s="3315"/>
      <c r="D25" s="3320">
        <f>D64+D50+D75+D113</f>
        <v>47167604</v>
      </c>
      <c r="E25" s="3320">
        <f>E64+E50+E75</f>
        <v>0</v>
      </c>
      <c r="F25" s="3320">
        <f>F64+F50</f>
        <v>0</v>
      </c>
      <c r="G25" s="3320">
        <f>G64+G50</f>
        <v>0</v>
      </c>
      <c r="H25" s="3320">
        <f>H64+H50</f>
        <v>0</v>
      </c>
      <c r="I25" s="3320">
        <f>I64+I50+I75</f>
        <v>0</v>
      </c>
      <c r="J25" s="3320">
        <f>J64+J50+J75</f>
        <v>8065000</v>
      </c>
      <c r="K25" s="3320">
        <f>K64+K50+K75</f>
        <v>1854955</v>
      </c>
      <c r="L25" s="3320">
        <f>L64+L50+L75</f>
        <v>3882193</v>
      </c>
      <c r="M25" s="3320">
        <f>M64+M50+M75+M108</f>
        <v>23900058</v>
      </c>
      <c r="N25" s="3320">
        <f t="shared" ref="N25:T25" si="19">N64+N50+N75</f>
        <v>10097910</v>
      </c>
      <c r="O25" s="3320">
        <f>O64+O50+O75+O108</f>
        <v>15816258</v>
      </c>
      <c r="P25" s="3320">
        <f>P64+P50+P75+P108</f>
        <v>7451288</v>
      </c>
      <c r="Q25" s="3327">
        <f t="shared" si="19"/>
        <v>0</v>
      </c>
      <c r="R25" s="3327">
        <f t="shared" si="19"/>
        <v>0</v>
      </c>
      <c r="S25" s="3327">
        <f t="shared" si="19"/>
        <v>0</v>
      </c>
      <c r="T25" s="3327">
        <f t="shared" si="19"/>
        <v>0</v>
      </c>
      <c r="U25" s="3327">
        <f>U64+U50+U75</f>
        <v>0</v>
      </c>
      <c r="V25" s="3321">
        <f>V64+V50+V75</f>
        <v>0</v>
      </c>
      <c r="W25" s="3352">
        <f>W64+W50+W75</f>
        <v>0</v>
      </c>
      <c r="X25" s="3351"/>
      <c r="Y25" s="3347"/>
      <c r="AA25" s="685">
        <f>+P25+O25+N25+L25+K25+J25+I25+E25</f>
        <v>47167604</v>
      </c>
    </row>
    <row r="26" spans="1:28" s="1143" customFormat="1" ht="14.25" customHeight="1">
      <c r="A26" s="667"/>
      <c r="B26" s="3326" t="s">
        <v>260</v>
      </c>
      <c r="C26" s="3315"/>
      <c r="D26" s="3320">
        <f t="shared" ref="D26:T26" si="20">D65</f>
        <v>6200000</v>
      </c>
      <c r="E26" s="3320">
        <f t="shared" si="20"/>
        <v>0</v>
      </c>
      <c r="F26" s="3320">
        <f t="shared" si="20"/>
        <v>0</v>
      </c>
      <c r="G26" s="3320">
        <f t="shared" si="20"/>
        <v>0</v>
      </c>
      <c r="H26" s="3320">
        <f t="shared" si="20"/>
        <v>0</v>
      </c>
      <c r="I26" s="3320">
        <f t="shared" si="20"/>
        <v>0</v>
      </c>
      <c r="J26" s="3320">
        <f t="shared" si="20"/>
        <v>2145000</v>
      </c>
      <c r="K26" s="3320">
        <f t="shared" si="20"/>
        <v>2055000</v>
      </c>
      <c r="L26" s="3320">
        <f t="shared" si="20"/>
        <v>523144</v>
      </c>
      <c r="M26" s="3320">
        <f>M65</f>
        <v>6200000</v>
      </c>
      <c r="N26" s="3320">
        <f t="shared" si="20"/>
        <v>1476856</v>
      </c>
      <c r="O26" s="3320">
        <f t="shared" si="20"/>
        <v>0</v>
      </c>
      <c r="P26" s="3320">
        <f t="shared" si="20"/>
        <v>0</v>
      </c>
      <c r="Q26" s="3327">
        <f t="shared" si="20"/>
        <v>0</v>
      </c>
      <c r="R26" s="3327">
        <f t="shared" si="20"/>
        <v>0</v>
      </c>
      <c r="S26" s="3327">
        <f t="shared" si="20"/>
        <v>0</v>
      </c>
      <c r="T26" s="3327">
        <f t="shared" si="20"/>
        <v>0</v>
      </c>
      <c r="U26" s="3321">
        <f>U65</f>
        <v>0</v>
      </c>
      <c r="V26" s="3327">
        <f>V65</f>
        <v>0</v>
      </c>
      <c r="W26" s="3352">
        <f>W65</f>
        <v>0</v>
      </c>
      <c r="X26" s="3351"/>
      <c r="Y26" s="3347"/>
      <c r="AA26" s="685">
        <f>+P26+O26+N26+L26+K26+J26+I26+E26</f>
        <v>6200000</v>
      </c>
    </row>
    <row r="27" spans="1:28" s="1143" customFormat="1" ht="14.25" customHeight="1">
      <c r="A27" s="667"/>
      <c r="B27" s="689" t="s">
        <v>30</v>
      </c>
      <c r="C27" s="3338"/>
      <c r="D27" s="3339">
        <f t="shared" ref="D27:W27" si="21">SUM(D28:D28)</f>
        <v>89679475</v>
      </c>
      <c r="E27" s="3339">
        <f t="shared" si="21"/>
        <v>0</v>
      </c>
      <c r="F27" s="3339">
        <f t="shared" si="21"/>
        <v>0</v>
      </c>
      <c r="G27" s="3339">
        <f t="shared" si="21"/>
        <v>0</v>
      </c>
      <c r="H27" s="3339">
        <f t="shared" si="21"/>
        <v>0</v>
      </c>
      <c r="I27" s="3339">
        <f t="shared" si="21"/>
        <v>15578755</v>
      </c>
      <c r="J27" s="3339">
        <f t="shared" si="21"/>
        <v>8198825</v>
      </c>
      <c r="K27" s="3339">
        <f t="shared" si="21"/>
        <v>0</v>
      </c>
      <c r="L27" s="3339">
        <f t="shared" si="21"/>
        <v>400476</v>
      </c>
      <c r="M27" s="3339">
        <f t="shared" si="21"/>
        <v>41239364</v>
      </c>
      <c r="N27" s="3339">
        <f t="shared" si="21"/>
        <v>19927467</v>
      </c>
      <c r="O27" s="3339">
        <f t="shared" si="21"/>
        <v>27276555</v>
      </c>
      <c r="P27" s="3339">
        <f t="shared" si="21"/>
        <v>21163556</v>
      </c>
      <c r="Q27" s="3340">
        <f t="shared" si="21"/>
        <v>0</v>
      </c>
      <c r="R27" s="3340">
        <f t="shared" si="21"/>
        <v>0</v>
      </c>
      <c r="S27" s="3340">
        <f t="shared" si="21"/>
        <v>0</v>
      </c>
      <c r="T27" s="3340">
        <f t="shared" si="21"/>
        <v>0</v>
      </c>
      <c r="U27" s="3340">
        <f t="shared" si="21"/>
        <v>0</v>
      </c>
      <c r="V27" s="3340">
        <f t="shared" si="21"/>
        <v>0</v>
      </c>
      <c r="W27" s="3353">
        <f t="shared" si="21"/>
        <v>0</v>
      </c>
      <c r="X27" s="3351"/>
      <c r="Y27" s="3347"/>
      <c r="AA27" s="685"/>
    </row>
    <row r="28" spans="1:28" s="1143" customFormat="1" ht="14.25" customHeight="1" thickBot="1">
      <c r="A28" s="667"/>
      <c r="B28" s="3342" t="s">
        <v>48</v>
      </c>
      <c r="C28" s="3354"/>
      <c r="D28" s="3245">
        <f t="shared" ref="D28:L28" si="22">D38+D52+D77+D102+D115</f>
        <v>89679475</v>
      </c>
      <c r="E28" s="3245">
        <f t="shared" si="22"/>
        <v>0</v>
      </c>
      <c r="F28" s="3245">
        <f t="shared" si="22"/>
        <v>0</v>
      </c>
      <c r="G28" s="3245">
        <f t="shared" si="22"/>
        <v>0</v>
      </c>
      <c r="H28" s="3245">
        <f t="shared" si="22"/>
        <v>0</v>
      </c>
      <c r="I28" s="3245">
        <f t="shared" si="22"/>
        <v>15578755</v>
      </c>
      <c r="J28" s="3245">
        <f t="shared" si="22"/>
        <v>8198825</v>
      </c>
      <c r="K28" s="3245">
        <f t="shared" si="22"/>
        <v>0</v>
      </c>
      <c r="L28" s="3245">
        <f t="shared" si="22"/>
        <v>400476</v>
      </c>
      <c r="M28" s="3245">
        <f t="shared" ref="M28:T28" si="23">M38+M52+M77+M102+M115</f>
        <v>41239364</v>
      </c>
      <c r="N28" s="3245">
        <f t="shared" si="23"/>
        <v>19927467</v>
      </c>
      <c r="O28" s="3245">
        <f t="shared" si="23"/>
        <v>27276555</v>
      </c>
      <c r="P28" s="3245">
        <f t="shared" si="23"/>
        <v>21163556</v>
      </c>
      <c r="Q28" s="3355">
        <f t="shared" si="23"/>
        <v>0</v>
      </c>
      <c r="R28" s="3355">
        <f t="shared" si="23"/>
        <v>0</v>
      </c>
      <c r="S28" s="3355">
        <f t="shared" si="23"/>
        <v>0</v>
      </c>
      <c r="T28" s="3355">
        <f t="shared" si="23"/>
        <v>0</v>
      </c>
      <c r="U28" s="3355">
        <f>U38+U52+U77+U102+U115</f>
        <v>0</v>
      </c>
      <c r="V28" s="3355">
        <f>V38+V52+V77+V102+V115</f>
        <v>0</v>
      </c>
      <c r="W28" s="3356">
        <f>W38+W52+W77+W102+W115</f>
        <v>0</v>
      </c>
      <c r="X28" s="3357"/>
      <c r="Y28" s="3347"/>
      <c r="AA28" s="685">
        <f>+P28+O28+N28+L28+K28+J28+I28+E28</f>
        <v>92545634</v>
      </c>
    </row>
    <row r="29" spans="1:28" s="3365" customFormat="1" ht="23.25" hidden="1" customHeight="1">
      <c r="A29" s="3358" t="s">
        <v>79</v>
      </c>
      <c r="B29" s="3359"/>
      <c r="C29" s="3360" t="s">
        <v>97</v>
      </c>
      <c r="D29" s="3361"/>
      <c r="E29" s="3362"/>
      <c r="F29" s="3362"/>
      <c r="G29" s="3362"/>
      <c r="H29" s="3362"/>
      <c r="I29" s="3362"/>
      <c r="J29" s="3362"/>
      <c r="K29" s="3362"/>
      <c r="L29" s="3362"/>
      <c r="M29" s="3362"/>
      <c r="N29" s="3362"/>
      <c r="O29" s="3362"/>
      <c r="P29" s="3362"/>
      <c r="Q29" s="3362"/>
      <c r="R29" s="3362"/>
      <c r="S29" s="3362"/>
      <c r="T29" s="3362"/>
      <c r="U29" s="3363"/>
      <c r="V29" s="3362"/>
      <c r="W29" s="3361"/>
      <c r="X29" s="3364"/>
      <c r="Y29" s="2963" t="s">
        <v>152</v>
      </c>
    </row>
    <row r="30" spans="1:28" s="1179" customFormat="1" ht="13.5" hidden="1" customHeight="1">
      <c r="A30" s="3366"/>
      <c r="B30" s="3367"/>
      <c r="C30" s="3368"/>
      <c r="D30" s="3369"/>
      <c r="E30" s="3369"/>
      <c r="F30" s="3369"/>
      <c r="G30" s="3369"/>
      <c r="H30" s="3369"/>
      <c r="I30" s="3369"/>
      <c r="J30" s="3369"/>
      <c r="K30" s="3369"/>
      <c r="L30" s="3369"/>
      <c r="M30" s="3369"/>
      <c r="N30" s="3369"/>
      <c r="O30" s="3369"/>
      <c r="P30" s="3369"/>
      <c r="Q30" s="3369"/>
      <c r="R30" s="3369"/>
      <c r="S30" s="3369"/>
      <c r="T30" s="3369"/>
      <c r="U30" s="3370"/>
      <c r="V30" s="3371"/>
      <c r="W30" s="3372"/>
      <c r="X30" s="3373"/>
      <c r="Y30" s="2928"/>
    </row>
    <row r="31" spans="1:28" s="1179" customFormat="1" ht="12.75" hidden="1" customHeight="1">
      <c r="A31" s="3366"/>
      <c r="B31" s="3374" t="s">
        <v>36</v>
      </c>
      <c r="C31" s="3375" t="s">
        <v>153</v>
      </c>
      <c r="D31" s="3376"/>
      <c r="E31" s="3376"/>
      <c r="F31" s="3376"/>
      <c r="G31" s="3376"/>
      <c r="H31" s="3376"/>
      <c r="I31" s="3376"/>
      <c r="J31" s="3376"/>
      <c r="K31" s="3376"/>
      <c r="L31" s="3376"/>
      <c r="M31" s="3376"/>
      <c r="N31" s="3376"/>
      <c r="O31" s="3376"/>
      <c r="P31" s="3376"/>
      <c r="Q31" s="3376"/>
      <c r="R31" s="3376"/>
      <c r="S31" s="3376"/>
      <c r="T31" s="3376"/>
      <c r="U31" s="3377"/>
      <c r="V31" s="3378"/>
      <c r="W31" s="3379"/>
      <c r="X31" s="3380"/>
      <c r="Y31" s="3381"/>
    </row>
    <row r="32" spans="1:28" s="1179" customFormat="1" ht="12.75" hidden="1" customHeight="1">
      <c r="A32" s="3366"/>
      <c r="B32" s="774" t="s">
        <v>154</v>
      </c>
      <c r="C32" s="2827"/>
      <c r="D32" s="3382"/>
      <c r="E32" s="3382"/>
      <c r="F32" s="3382"/>
      <c r="G32" s="3382"/>
      <c r="H32" s="3382"/>
      <c r="I32" s="3382"/>
      <c r="J32" s="3382"/>
      <c r="K32" s="3382"/>
      <c r="L32" s="3382"/>
      <c r="M32" s="3382"/>
      <c r="N32" s="3382"/>
      <c r="O32" s="3382"/>
      <c r="P32" s="3382"/>
      <c r="Q32" s="3382"/>
      <c r="R32" s="3382"/>
      <c r="S32" s="3382"/>
      <c r="T32" s="3382"/>
      <c r="U32" s="3383"/>
      <c r="V32" s="776"/>
      <c r="W32" s="3384"/>
      <c r="X32" s="3385"/>
      <c r="Y32" s="3381"/>
      <c r="AB32" s="1186"/>
    </row>
    <row r="33" spans="1:28" s="1179" customFormat="1" ht="13.5" hidden="1" customHeight="1">
      <c r="A33" s="3366"/>
      <c r="B33" s="3386" t="s">
        <v>150</v>
      </c>
      <c r="C33" s="2827"/>
      <c r="D33" s="3382"/>
      <c r="E33" s="3382"/>
      <c r="F33" s="3382"/>
      <c r="G33" s="3382"/>
      <c r="H33" s="3382"/>
      <c r="I33" s="3382"/>
      <c r="J33" s="3382"/>
      <c r="K33" s="3382"/>
      <c r="L33" s="3382"/>
      <c r="M33" s="3382"/>
      <c r="N33" s="3382"/>
      <c r="O33" s="3382"/>
      <c r="P33" s="3382"/>
      <c r="Q33" s="3382"/>
      <c r="R33" s="3382"/>
      <c r="S33" s="3382"/>
      <c r="T33" s="3382"/>
      <c r="U33" s="3383"/>
      <c r="V33" s="776"/>
      <c r="W33" s="3384"/>
      <c r="X33" s="3387"/>
      <c r="Y33" s="3381"/>
    </row>
    <row r="34" spans="1:28" s="1179" customFormat="1" ht="13.5" hidden="1" customHeight="1">
      <c r="A34" s="3366"/>
      <c r="B34" s="3388" t="s">
        <v>30</v>
      </c>
      <c r="C34" s="2827"/>
      <c r="D34" s="3389"/>
      <c r="E34" s="3389"/>
      <c r="F34" s="3389"/>
      <c r="G34" s="3389"/>
      <c r="H34" s="3389"/>
      <c r="I34" s="3389"/>
      <c r="J34" s="3389"/>
      <c r="K34" s="3389"/>
      <c r="L34" s="3389"/>
      <c r="M34" s="3389"/>
      <c r="N34" s="3389"/>
      <c r="O34" s="3389"/>
      <c r="P34" s="3389"/>
      <c r="Q34" s="3389"/>
      <c r="R34" s="3389"/>
      <c r="S34" s="3389"/>
      <c r="T34" s="3389"/>
      <c r="U34" s="3390"/>
      <c r="V34" s="3391"/>
      <c r="W34" s="3392"/>
      <c r="X34" s="3393"/>
      <c r="Y34" s="3381"/>
    </row>
    <row r="35" spans="1:28" s="1179" customFormat="1" ht="11.25" hidden="1" customHeight="1">
      <c r="A35" s="3366"/>
      <c r="B35" s="3394" t="s">
        <v>48</v>
      </c>
      <c r="C35" s="2827"/>
      <c r="D35" s="3395"/>
      <c r="E35" s="3395"/>
      <c r="F35" s="3395"/>
      <c r="G35" s="3395"/>
      <c r="H35" s="3395"/>
      <c r="I35" s="3395"/>
      <c r="J35" s="3395"/>
      <c r="K35" s="3395"/>
      <c r="L35" s="3395"/>
      <c r="M35" s="3395"/>
      <c r="N35" s="3395"/>
      <c r="O35" s="3395"/>
      <c r="P35" s="3395"/>
      <c r="Q35" s="3395"/>
      <c r="R35" s="3395"/>
      <c r="S35" s="3395"/>
      <c r="T35" s="3395"/>
      <c r="U35" s="3383"/>
      <c r="V35" s="776"/>
      <c r="W35" s="3384"/>
      <c r="X35" s="3385"/>
      <c r="Y35" s="3381"/>
    </row>
    <row r="36" spans="1:28" s="1179" customFormat="1" ht="13.5" hidden="1" customHeight="1">
      <c r="A36" s="3366"/>
      <c r="B36" s="1988" t="s">
        <v>34</v>
      </c>
      <c r="C36" s="3396"/>
      <c r="D36" s="3369"/>
      <c r="E36" s="3369"/>
      <c r="F36" s="3369"/>
      <c r="G36" s="3369"/>
      <c r="H36" s="3369"/>
      <c r="I36" s="3369"/>
      <c r="J36" s="3369"/>
      <c r="K36" s="3369"/>
      <c r="L36" s="3369"/>
      <c r="M36" s="3369"/>
      <c r="N36" s="3369"/>
      <c r="O36" s="3369"/>
      <c r="P36" s="3369"/>
      <c r="Q36" s="3369"/>
      <c r="R36" s="3369"/>
      <c r="S36" s="3369"/>
      <c r="T36" s="3369"/>
      <c r="U36" s="3370"/>
      <c r="V36" s="3371"/>
      <c r="W36" s="3372"/>
      <c r="X36" s="3397"/>
      <c r="Y36" s="3381"/>
    </row>
    <row r="37" spans="1:28" s="1179" customFormat="1" ht="13.5" hidden="1" customHeight="1">
      <c r="A37" s="3366"/>
      <c r="B37" s="3388" t="s">
        <v>30</v>
      </c>
      <c r="C37" s="3398"/>
      <c r="D37" s="3399"/>
      <c r="E37" s="3399"/>
      <c r="F37" s="3399"/>
      <c r="G37" s="3399"/>
      <c r="H37" s="3399"/>
      <c r="I37" s="3399"/>
      <c r="J37" s="3399"/>
      <c r="K37" s="3399"/>
      <c r="L37" s="3399"/>
      <c r="M37" s="3399"/>
      <c r="N37" s="3399"/>
      <c r="O37" s="3399"/>
      <c r="P37" s="3399"/>
      <c r="Q37" s="3399"/>
      <c r="R37" s="3399"/>
      <c r="S37" s="3399"/>
      <c r="T37" s="3399"/>
      <c r="U37" s="3400"/>
      <c r="V37" s="3401"/>
      <c r="W37" s="3402"/>
      <c r="X37" s="3397"/>
      <c r="Y37" s="3381"/>
    </row>
    <row r="38" spans="1:28" s="1179" customFormat="1" ht="14.25" hidden="1" customHeight="1" thickBot="1">
      <c r="A38" s="3403"/>
      <c r="B38" s="3404" t="s">
        <v>48</v>
      </c>
      <c r="C38" s="3405" t="s">
        <v>35</v>
      </c>
      <c r="D38" s="3406"/>
      <c r="E38" s="776"/>
      <c r="F38" s="776"/>
      <c r="G38" s="776"/>
      <c r="H38" s="776"/>
      <c r="I38" s="776"/>
      <c r="J38" s="776"/>
      <c r="K38" s="776"/>
      <c r="L38" s="776"/>
      <c r="M38" s="776"/>
      <c r="N38" s="776"/>
      <c r="O38" s="776"/>
      <c r="P38" s="776"/>
      <c r="Q38" s="776"/>
      <c r="R38" s="776"/>
      <c r="S38" s="776"/>
      <c r="T38" s="776"/>
      <c r="U38" s="3383"/>
      <c r="V38" s="776"/>
      <c r="W38" s="3384"/>
      <c r="X38" s="3407"/>
      <c r="Y38" s="3408"/>
    </row>
    <row r="39" spans="1:28" s="1179" customFormat="1" ht="27" customHeight="1">
      <c r="A39" s="3358" t="s">
        <v>79</v>
      </c>
      <c r="B39" s="3409" t="s">
        <v>520</v>
      </c>
      <c r="C39" s="3410" t="s">
        <v>97</v>
      </c>
      <c r="D39" s="3411"/>
      <c r="E39" s="3412"/>
      <c r="F39" s="3412"/>
      <c r="G39" s="3412"/>
      <c r="H39" s="3412"/>
      <c r="I39" s="3412"/>
      <c r="J39" s="3412"/>
      <c r="K39" s="3412"/>
      <c r="L39" s="3413"/>
      <c r="M39" s="3413"/>
      <c r="N39" s="3412"/>
      <c r="O39" s="3413"/>
      <c r="P39" s="3413"/>
      <c r="Q39" s="3413"/>
      <c r="R39" s="3413"/>
      <c r="S39" s="3413"/>
      <c r="T39" s="3413"/>
      <c r="U39" s="3414"/>
      <c r="V39" s="3413"/>
      <c r="W39" s="3411"/>
      <c r="X39" s="3415"/>
      <c r="Y39" s="2963" t="s">
        <v>474</v>
      </c>
    </row>
    <row r="40" spans="1:28" s="1179" customFormat="1" ht="23.25" customHeight="1">
      <c r="A40" s="3366"/>
      <c r="B40" s="3416"/>
      <c r="C40" s="3417"/>
      <c r="D40" s="3418"/>
      <c r="E40" s="3419"/>
      <c r="F40" s="3419"/>
      <c r="G40" s="3419"/>
      <c r="H40" s="3419"/>
      <c r="I40" s="3419"/>
      <c r="J40" s="3419"/>
      <c r="K40" s="3419"/>
      <c r="L40" s="3420"/>
      <c r="M40" s="3420"/>
      <c r="N40" s="3419"/>
      <c r="O40" s="3420"/>
      <c r="P40" s="3420"/>
      <c r="Q40" s="3420"/>
      <c r="R40" s="3420"/>
      <c r="S40" s="3420"/>
      <c r="T40" s="3420"/>
      <c r="U40" s="3421"/>
      <c r="V40" s="3420"/>
      <c r="W40" s="3418"/>
      <c r="X40" s="3422"/>
      <c r="Y40" s="2928"/>
    </row>
    <row r="41" spans="1:28" s="1179" customFormat="1" ht="13.5" customHeight="1">
      <c r="A41" s="3366"/>
      <c r="B41" s="1988" t="s">
        <v>22</v>
      </c>
      <c r="C41" s="3423"/>
      <c r="D41" s="3369">
        <f>+D42+D46</f>
        <v>98741391</v>
      </c>
      <c r="E41" s="3369">
        <f t="shared" ref="E41:M41" si="24">+E42+E46</f>
        <v>3210853</v>
      </c>
      <c r="F41" s="3369">
        <f t="shared" si="24"/>
        <v>0</v>
      </c>
      <c r="G41" s="3369">
        <f t="shared" si="24"/>
        <v>78054</v>
      </c>
      <c r="H41" s="3369">
        <f t="shared" si="24"/>
        <v>2678041</v>
      </c>
      <c r="I41" s="3369">
        <f t="shared" si="24"/>
        <v>20749439</v>
      </c>
      <c r="J41" s="3369">
        <f t="shared" si="24"/>
        <v>15205981</v>
      </c>
      <c r="K41" s="3369">
        <f t="shared" si="24"/>
        <v>6980991</v>
      </c>
      <c r="L41" s="3369">
        <f t="shared" si="24"/>
        <v>29066477</v>
      </c>
      <c r="M41" s="3369">
        <f t="shared" si="24"/>
        <v>72773682</v>
      </c>
      <c r="N41" s="3369">
        <f t="shared" ref="N41:W41" si="25">+N42+N46</f>
        <v>17799477</v>
      </c>
      <c r="O41" s="3369">
        <f t="shared" si="25"/>
        <v>4534483</v>
      </c>
      <c r="P41" s="3369">
        <f t="shared" si="25"/>
        <v>21433226</v>
      </c>
      <c r="Q41" s="3424">
        <f t="shared" si="25"/>
        <v>0</v>
      </c>
      <c r="R41" s="3424">
        <f t="shared" si="25"/>
        <v>0</v>
      </c>
      <c r="S41" s="3424">
        <f t="shared" si="25"/>
        <v>0</v>
      </c>
      <c r="T41" s="3424">
        <f t="shared" si="25"/>
        <v>0</v>
      </c>
      <c r="U41" s="3424">
        <f t="shared" si="25"/>
        <v>0</v>
      </c>
      <c r="V41" s="3424">
        <f t="shared" si="25"/>
        <v>0</v>
      </c>
      <c r="W41" s="3425">
        <f t="shared" si="25"/>
        <v>0</v>
      </c>
      <c r="X41" s="3426">
        <f>+X42</f>
        <v>971321</v>
      </c>
      <c r="Y41" s="2928"/>
    </row>
    <row r="42" spans="1:28" s="1179" customFormat="1" ht="13.5" customHeight="1">
      <c r="A42" s="3366"/>
      <c r="B42" s="3427" t="s">
        <v>36</v>
      </c>
      <c r="C42" s="3375" t="s">
        <v>266</v>
      </c>
      <c r="D42" s="3428">
        <f>+D43+D44+D45</f>
        <v>36793283</v>
      </c>
      <c r="E42" s="3428">
        <f t="shared" ref="E42:K42" si="26">+E43+E44</f>
        <v>3210853</v>
      </c>
      <c r="F42" s="3428">
        <f t="shared" si="26"/>
        <v>0</v>
      </c>
      <c r="G42" s="3428">
        <f t="shared" si="26"/>
        <v>78054</v>
      </c>
      <c r="H42" s="3428">
        <f t="shared" si="26"/>
        <v>2678041</v>
      </c>
      <c r="I42" s="3428">
        <f t="shared" si="26"/>
        <v>5170684</v>
      </c>
      <c r="J42" s="3428">
        <f>+J43+J44</f>
        <v>7007156</v>
      </c>
      <c r="K42" s="3428">
        <f t="shared" si="26"/>
        <v>6980991</v>
      </c>
      <c r="L42" s="3428">
        <f t="shared" ref="L42:W42" si="27">+L43+L44+L45</f>
        <v>29066477</v>
      </c>
      <c r="M42" s="3428">
        <f t="shared" si="27"/>
        <v>35821962</v>
      </c>
      <c r="N42" s="3428">
        <f t="shared" si="27"/>
        <v>4625277</v>
      </c>
      <c r="O42" s="3428">
        <f t="shared" si="27"/>
        <v>0</v>
      </c>
      <c r="P42" s="3428">
        <f t="shared" si="27"/>
        <v>971321</v>
      </c>
      <c r="Q42" s="3429">
        <f t="shared" si="27"/>
        <v>0</v>
      </c>
      <c r="R42" s="3429">
        <f t="shared" si="27"/>
        <v>0</v>
      </c>
      <c r="S42" s="3429">
        <f t="shared" si="27"/>
        <v>0</v>
      </c>
      <c r="T42" s="3429">
        <f t="shared" si="27"/>
        <v>0</v>
      </c>
      <c r="U42" s="3429">
        <f t="shared" si="27"/>
        <v>0</v>
      </c>
      <c r="V42" s="3429">
        <f t="shared" si="27"/>
        <v>0</v>
      </c>
      <c r="W42" s="3430">
        <f t="shared" si="27"/>
        <v>0</v>
      </c>
      <c r="X42" s="3431">
        <f>+X44+X45</f>
        <v>971321</v>
      </c>
      <c r="Y42" s="3381"/>
    </row>
    <row r="43" spans="1:28" s="1179" customFormat="1" ht="13.5" customHeight="1">
      <c r="A43" s="3366"/>
      <c r="B43" s="3432" t="s">
        <v>154</v>
      </c>
      <c r="C43" s="2827"/>
      <c r="D43" s="3382">
        <f>M43+O43+P43+Q43+R43+S43+T43+U43+V43+W43</f>
        <v>13349022</v>
      </c>
      <c r="E43" s="3382">
        <v>404973</v>
      </c>
      <c r="F43" s="3382">
        <v>0</v>
      </c>
      <c r="G43" s="3382">
        <v>51054</v>
      </c>
      <c r="H43" s="3382">
        <v>679161</v>
      </c>
      <c r="I43" s="3382">
        <v>229513</v>
      </c>
      <c r="J43" s="3382">
        <v>878679</v>
      </c>
      <c r="K43" s="3382">
        <v>4792150</v>
      </c>
      <c r="L43" s="3382">
        <v>24268653</v>
      </c>
      <c r="M43" s="3382">
        <f>+L43+K43+J43+I43+E43+N43-20239476</f>
        <v>13349022</v>
      </c>
      <c r="N43" s="3382">
        <v>3014530</v>
      </c>
      <c r="O43" s="3382">
        <v>0</v>
      </c>
      <c r="P43" s="3382">
        <v>0</v>
      </c>
      <c r="Q43" s="3433">
        <v>0</v>
      </c>
      <c r="R43" s="3433">
        <v>0</v>
      </c>
      <c r="S43" s="3433">
        <v>0</v>
      </c>
      <c r="T43" s="3433">
        <v>0</v>
      </c>
      <c r="U43" s="3433">
        <v>0</v>
      </c>
      <c r="V43" s="3433">
        <v>0</v>
      </c>
      <c r="W43" s="3434">
        <v>0</v>
      </c>
      <c r="X43" s="3319" t="s">
        <v>77</v>
      </c>
      <c r="Y43" s="3381"/>
      <c r="AB43" s="1186">
        <f>+E41+I41+J41+K41</f>
        <v>46147264</v>
      </c>
    </row>
    <row r="44" spans="1:28" s="1179" customFormat="1" ht="12.75" customHeight="1">
      <c r="A44" s="3366"/>
      <c r="B44" s="3435" t="s">
        <v>150</v>
      </c>
      <c r="C44" s="2827"/>
      <c r="D44" s="3382">
        <f>M44+O44+P44+Q44+R44+S44+T44+U44+V44+W44</f>
        <v>16980000</v>
      </c>
      <c r="E44" s="3382">
        <v>2805880</v>
      </c>
      <c r="F44" s="3382">
        <v>0</v>
      </c>
      <c r="G44" s="3382">
        <v>27000</v>
      </c>
      <c r="H44" s="3382">
        <v>1998880</v>
      </c>
      <c r="I44" s="3382">
        <v>4941171</v>
      </c>
      <c r="J44" s="3382">
        <v>6128477</v>
      </c>
      <c r="K44" s="3382">
        <f>3104472-915631</f>
        <v>2188841</v>
      </c>
      <c r="L44" s="3382">
        <v>915631</v>
      </c>
      <c r="M44" s="3382">
        <f>+L44+K44+J44+I44+E44+N44</f>
        <v>16980000</v>
      </c>
      <c r="N44" s="3382">
        <v>0</v>
      </c>
      <c r="O44" s="3382">
        <v>0</v>
      </c>
      <c r="P44" s="3382">
        <v>0</v>
      </c>
      <c r="Q44" s="3433">
        <v>0</v>
      </c>
      <c r="R44" s="3433">
        <v>0</v>
      </c>
      <c r="S44" s="3433">
        <v>0</v>
      </c>
      <c r="T44" s="3433">
        <v>0</v>
      </c>
      <c r="U44" s="3433">
        <v>0</v>
      </c>
      <c r="V44" s="3433">
        <v>0</v>
      </c>
      <c r="W44" s="3434">
        <v>0</v>
      </c>
      <c r="X44" s="3436">
        <f>SUM(P44:T44)</f>
        <v>0</v>
      </c>
      <c r="Y44" s="3381"/>
    </row>
    <row r="45" spans="1:28" s="1163" customFormat="1" ht="12" customHeight="1">
      <c r="A45" s="3366"/>
      <c r="B45" s="624" t="s">
        <v>94</v>
      </c>
      <c r="C45" s="2827"/>
      <c r="D45" s="3437">
        <f>M45+O45+P45+Q45+R45+S45+T45+U45+V45+W45</f>
        <v>6464261</v>
      </c>
      <c r="E45" s="3437">
        <v>0</v>
      </c>
      <c r="F45" s="3437"/>
      <c r="G45" s="3437"/>
      <c r="H45" s="3437"/>
      <c r="I45" s="3437">
        <v>0</v>
      </c>
      <c r="J45" s="3437">
        <v>0</v>
      </c>
      <c r="K45" s="3437">
        <v>0</v>
      </c>
      <c r="L45" s="3437">
        <v>3882193</v>
      </c>
      <c r="M45" s="3437">
        <f>+L45+K45+J45+I45+E45+N45</f>
        <v>5492940</v>
      </c>
      <c r="N45" s="3437">
        <v>1610747</v>
      </c>
      <c r="O45" s="3437">
        <f>289103-289103</f>
        <v>0</v>
      </c>
      <c r="P45" s="3437">
        <f>289103+682218</f>
        <v>971321</v>
      </c>
      <c r="Q45" s="3438">
        <v>0</v>
      </c>
      <c r="R45" s="3438">
        <v>0</v>
      </c>
      <c r="S45" s="3438">
        <v>0</v>
      </c>
      <c r="T45" s="3438">
        <v>0</v>
      </c>
      <c r="U45" s="3438">
        <v>0</v>
      </c>
      <c r="V45" s="3438">
        <v>0</v>
      </c>
      <c r="W45" s="3439">
        <v>0</v>
      </c>
      <c r="X45" s="3440">
        <f>SUM(P45:T45)</f>
        <v>971321</v>
      </c>
      <c r="Y45" s="3381"/>
    </row>
    <row r="46" spans="1:28" s="1179" customFormat="1" ht="12.75" customHeight="1">
      <c r="A46" s="3366"/>
      <c r="B46" s="2414" t="s">
        <v>30</v>
      </c>
      <c r="C46" s="2827"/>
      <c r="D46" s="3389">
        <f>+D47</f>
        <v>61948108</v>
      </c>
      <c r="E46" s="3389">
        <f t="shared" ref="E46:X46" si="28">+E47</f>
        <v>0</v>
      </c>
      <c r="F46" s="3389">
        <f t="shared" si="28"/>
        <v>0</v>
      </c>
      <c r="G46" s="3389">
        <f t="shared" si="28"/>
        <v>0</v>
      </c>
      <c r="H46" s="3389">
        <f t="shared" si="28"/>
        <v>0</v>
      </c>
      <c r="I46" s="3389">
        <f t="shared" si="28"/>
        <v>15578755</v>
      </c>
      <c r="J46" s="3389">
        <f t="shared" si="28"/>
        <v>8198825</v>
      </c>
      <c r="K46" s="3389">
        <f t="shared" si="28"/>
        <v>0</v>
      </c>
      <c r="L46" s="3389">
        <v>0</v>
      </c>
      <c r="M46" s="3389">
        <f>+M47</f>
        <v>36951720</v>
      </c>
      <c r="N46" s="3389">
        <f t="shared" si="28"/>
        <v>13174200</v>
      </c>
      <c r="O46" s="3389">
        <f t="shared" si="28"/>
        <v>4534483</v>
      </c>
      <c r="P46" s="3389">
        <f t="shared" si="28"/>
        <v>20461905</v>
      </c>
      <c r="Q46" s="3441">
        <f t="shared" si="28"/>
        <v>0</v>
      </c>
      <c r="R46" s="3441">
        <f t="shared" si="28"/>
        <v>0</v>
      </c>
      <c r="S46" s="3441">
        <f t="shared" si="28"/>
        <v>0</v>
      </c>
      <c r="T46" s="3441">
        <f t="shared" si="28"/>
        <v>0</v>
      </c>
      <c r="U46" s="3441">
        <f t="shared" si="28"/>
        <v>0</v>
      </c>
      <c r="V46" s="3441">
        <f t="shared" si="28"/>
        <v>0</v>
      </c>
      <c r="W46" s="3442">
        <f t="shared" si="28"/>
        <v>0</v>
      </c>
      <c r="X46" s="3443" t="str">
        <f t="shared" si="28"/>
        <v>x</v>
      </c>
      <c r="Y46" s="3381"/>
    </row>
    <row r="47" spans="1:28" s="1179" customFormat="1" ht="12" customHeight="1">
      <c r="A47" s="3366"/>
      <c r="B47" s="3394" t="s">
        <v>48</v>
      </c>
      <c r="C47" s="2827"/>
      <c r="D47" s="3382">
        <f>M47+O47+P47+Q47+R47+S47+T47+U47+V47+W47</f>
        <v>61948108</v>
      </c>
      <c r="E47" s="3395">
        <f>+F47+G47+H47</f>
        <v>0</v>
      </c>
      <c r="F47" s="3395">
        <v>0</v>
      </c>
      <c r="G47" s="3395">
        <v>0</v>
      </c>
      <c r="H47" s="3395">
        <v>0</v>
      </c>
      <c r="I47" s="3382">
        <v>15578755</v>
      </c>
      <c r="J47" s="3382">
        <v>8198825</v>
      </c>
      <c r="K47" s="3395">
        <v>0</v>
      </c>
      <c r="L47" s="3395">
        <v>0</v>
      </c>
      <c r="M47" s="3382">
        <f>+L47+K47+J47+I47+E47+N47-60</f>
        <v>36951720</v>
      </c>
      <c r="N47" s="3382">
        <v>13174200</v>
      </c>
      <c r="O47" s="3382">
        <f>1944830+2589653</f>
        <v>4534483</v>
      </c>
      <c r="P47" s="3382">
        <f>18691835+1770070</f>
        <v>20461905</v>
      </c>
      <c r="Q47" s="3433">
        <v>0</v>
      </c>
      <c r="R47" s="3433">
        <v>0</v>
      </c>
      <c r="S47" s="3433">
        <v>0</v>
      </c>
      <c r="T47" s="3433">
        <v>0</v>
      </c>
      <c r="U47" s="3433">
        <v>0</v>
      </c>
      <c r="V47" s="3433">
        <v>0</v>
      </c>
      <c r="W47" s="3433">
        <v>0</v>
      </c>
      <c r="X47" s="3319" t="s">
        <v>77</v>
      </c>
      <c r="Y47" s="3381"/>
    </row>
    <row r="48" spans="1:28" s="1179" customFormat="1" ht="13.5" customHeight="1">
      <c r="A48" s="3366"/>
      <c r="B48" s="1988" t="s">
        <v>34</v>
      </c>
      <c r="C48" s="3396"/>
      <c r="D48" s="3369">
        <f>+D49+D51</f>
        <v>68412369</v>
      </c>
      <c r="E48" s="3369">
        <f t="shared" ref="E48:M48" si="29">+E51</f>
        <v>0</v>
      </c>
      <c r="F48" s="3369">
        <f t="shared" si="29"/>
        <v>0</v>
      </c>
      <c r="G48" s="3369">
        <f t="shared" si="29"/>
        <v>0</v>
      </c>
      <c r="H48" s="3369">
        <f t="shared" si="29"/>
        <v>0</v>
      </c>
      <c r="I48" s="3301">
        <f t="shared" si="29"/>
        <v>15578755</v>
      </c>
      <c r="J48" s="3301">
        <f t="shared" si="29"/>
        <v>8198825</v>
      </c>
      <c r="K48" s="3369">
        <f t="shared" si="29"/>
        <v>0</v>
      </c>
      <c r="L48" s="3369">
        <f t="shared" si="29"/>
        <v>0</v>
      </c>
      <c r="M48" s="3301">
        <f t="shared" si="29"/>
        <v>36951720</v>
      </c>
      <c r="N48" s="3301">
        <f t="shared" ref="N48:W48" si="30">+N49+N51</f>
        <v>14784947</v>
      </c>
      <c r="O48" s="3301">
        <f t="shared" si="30"/>
        <v>4534483</v>
      </c>
      <c r="P48" s="3301">
        <f t="shared" si="30"/>
        <v>21433226</v>
      </c>
      <c r="Q48" s="3444">
        <f t="shared" si="30"/>
        <v>0</v>
      </c>
      <c r="R48" s="3444">
        <f t="shared" si="30"/>
        <v>0</v>
      </c>
      <c r="S48" s="3444">
        <f t="shared" si="30"/>
        <v>0</v>
      </c>
      <c r="T48" s="3444">
        <f t="shared" si="30"/>
        <v>0</v>
      </c>
      <c r="U48" s="3444">
        <f t="shared" si="30"/>
        <v>0</v>
      </c>
      <c r="V48" s="3444">
        <f t="shared" si="30"/>
        <v>0</v>
      </c>
      <c r="W48" s="3444">
        <f t="shared" si="30"/>
        <v>0</v>
      </c>
      <c r="X48" s="3397"/>
      <c r="Y48" s="3381"/>
    </row>
    <row r="49" spans="1:29" s="1179" customFormat="1" ht="13.5" customHeight="1">
      <c r="A49" s="3366"/>
      <c r="B49" s="3445" t="s">
        <v>36</v>
      </c>
      <c r="C49" s="3446" t="s">
        <v>101</v>
      </c>
      <c r="D49" s="3399">
        <f>+D50</f>
        <v>6464261</v>
      </c>
      <c r="E49" s="3399">
        <v>0</v>
      </c>
      <c r="F49" s="3399"/>
      <c r="G49" s="3399"/>
      <c r="H49" s="3399"/>
      <c r="I49" s="3399">
        <v>0</v>
      </c>
      <c r="J49" s="3399">
        <v>0</v>
      </c>
      <c r="K49" s="3399">
        <v>0</v>
      </c>
      <c r="L49" s="3399">
        <f>+L50</f>
        <v>3882193</v>
      </c>
      <c r="M49" s="3399">
        <f>+M50</f>
        <v>5492940</v>
      </c>
      <c r="N49" s="3399">
        <f>+N50</f>
        <v>1610747</v>
      </c>
      <c r="O49" s="3399">
        <f>+O50</f>
        <v>0</v>
      </c>
      <c r="P49" s="3399">
        <f t="shared" ref="P49:W49" si="31">+P50</f>
        <v>971321</v>
      </c>
      <c r="Q49" s="3447">
        <f t="shared" si="31"/>
        <v>0</v>
      </c>
      <c r="R49" s="3447">
        <f t="shared" si="31"/>
        <v>0</v>
      </c>
      <c r="S49" s="3447">
        <f t="shared" si="31"/>
        <v>0</v>
      </c>
      <c r="T49" s="3447">
        <f t="shared" si="31"/>
        <v>0</v>
      </c>
      <c r="U49" s="3447">
        <f t="shared" si="31"/>
        <v>0</v>
      </c>
      <c r="V49" s="3447">
        <f t="shared" si="31"/>
        <v>0</v>
      </c>
      <c r="W49" s="3447">
        <f t="shared" si="31"/>
        <v>0</v>
      </c>
      <c r="X49" s="3397"/>
      <c r="Y49" s="3381"/>
    </row>
    <row r="50" spans="1:29" s="1179" customFormat="1" ht="12.75" customHeight="1">
      <c r="A50" s="3366"/>
      <c r="B50" s="624" t="s">
        <v>94</v>
      </c>
      <c r="C50" s="3448"/>
      <c r="D50" s="3382">
        <f>M50+O50+P50+Q50+R50+S50+T50+U50+V50+W50</f>
        <v>6464261</v>
      </c>
      <c r="E50" s="3382">
        <v>0</v>
      </c>
      <c r="F50" s="3382"/>
      <c r="G50" s="3382"/>
      <c r="H50" s="3382"/>
      <c r="I50" s="3382">
        <v>0</v>
      </c>
      <c r="J50" s="3382">
        <v>0</v>
      </c>
      <c r="K50" s="3382">
        <v>0</v>
      </c>
      <c r="L50" s="3382">
        <v>3882193</v>
      </c>
      <c r="M50" s="3382">
        <f>+L50+K50+J50+I50+E50+N50</f>
        <v>5492940</v>
      </c>
      <c r="N50" s="3382">
        <v>1610747</v>
      </c>
      <c r="O50" s="3382">
        <f>289103-289103</f>
        <v>0</v>
      </c>
      <c r="P50" s="3382">
        <f>289103+682218</f>
        <v>971321</v>
      </c>
      <c r="Q50" s="3433">
        <v>0</v>
      </c>
      <c r="R50" s="3433">
        <v>0</v>
      </c>
      <c r="S50" s="3433">
        <v>0</v>
      </c>
      <c r="T50" s="3433">
        <v>0</v>
      </c>
      <c r="U50" s="3433">
        <v>0</v>
      </c>
      <c r="V50" s="3433">
        <v>0</v>
      </c>
      <c r="W50" s="3433">
        <v>0</v>
      </c>
      <c r="X50" s="3397"/>
      <c r="Y50" s="3381"/>
    </row>
    <row r="51" spans="1:29" s="1179" customFormat="1" ht="12.75" customHeight="1">
      <c r="A51" s="3366"/>
      <c r="B51" s="2414" t="s">
        <v>30</v>
      </c>
      <c r="C51" s="3449"/>
      <c r="D51" s="3399">
        <f>+D52</f>
        <v>61948108</v>
      </c>
      <c r="E51" s="3399">
        <f t="shared" ref="E51:W51" si="32">+E52</f>
        <v>0</v>
      </c>
      <c r="F51" s="3399">
        <f t="shared" si="32"/>
        <v>0</v>
      </c>
      <c r="G51" s="3399">
        <f t="shared" si="32"/>
        <v>0</v>
      </c>
      <c r="H51" s="3399">
        <f t="shared" si="32"/>
        <v>0</v>
      </c>
      <c r="I51" s="3399">
        <f t="shared" si="32"/>
        <v>15578755</v>
      </c>
      <c r="J51" s="3399">
        <f t="shared" si="32"/>
        <v>8198825</v>
      </c>
      <c r="K51" s="3399">
        <f t="shared" si="32"/>
        <v>0</v>
      </c>
      <c r="L51" s="3399">
        <f t="shared" si="32"/>
        <v>0</v>
      </c>
      <c r="M51" s="3399">
        <f t="shared" si="32"/>
        <v>36951720</v>
      </c>
      <c r="N51" s="3399">
        <f t="shared" si="32"/>
        <v>13174200</v>
      </c>
      <c r="O51" s="3399">
        <f t="shared" si="32"/>
        <v>4534483</v>
      </c>
      <c r="P51" s="3399">
        <f t="shared" si="32"/>
        <v>20461905</v>
      </c>
      <c r="Q51" s="3447">
        <f t="shared" si="32"/>
        <v>0</v>
      </c>
      <c r="R51" s="3447">
        <f t="shared" si="32"/>
        <v>0</v>
      </c>
      <c r="S51" s="3447">
        <f t="shared" si="32"/>
        <v>0</v>
      </c>
      <c r="T51" s="3447">
        <f t="shared" si="32"/>
        <v>0</v>
      </c>
      <c r="U51" s="3447">
        <f t="shared" si="32"/>
        <v>0</v>
      </c>
      <c r="V51" s="3447">
        <f t="shared" si="32"/>
        <v>0</v>
      </c>
      <c r="W51" s="3447">
        <f t="shared" si="32"/>
        <v>0</v>
      </c>
      <c r="X51" s="3397"/>
      <c r="Y51" s="3381"/>
    </row>
    <row r="52" spans="1:29" s="1179" customFormat="1" ht="13.5" customHeight="1" thickBot="1">
      <c r="A52" s="3403"/>
      <c r="B52" s="479" t="s">
        <v>48</v>
      </c>
      <c r="C52" s="3450" t="s">
        <v>35</v>
      </c>
      <c r="D52" s="2141">
        <f>M52+O52+P52+Q52+R52+S52+T52+U52+V52+W52</f>
        <v>61948108</v>
      </c>
      <c r="E52" s="1355">
        <v>0</v>
      </c>
      <c r="F52" s="1355"/>
      <c r="G52" s="1355"/>
      <c r="H52" s="1355"/>
      <c r="I52" s="1355">
        <v>15578755</v>
      </c>
      <c r="J52" s="1355">
        <v>8198825</v>
      </c>
      <c r="K52" s="1355">
        <v>0</v>
      </c>
      <c r="L52" s="1355">
        <v>0</v>
      </c>
      <c r="M52" s="2141">
        <f>+L52+K52+J52+I52+E52+N52-60</f>
        <v>36951720</v>
      </c>
      <c r="N52" s="1355">
        <v>13174200</v>
      </c>
      <c r="O52" s="1355">
        <f>1944830+2589653</f>
        <v>4534483</v>
      </c>
      <c r="P52" s="1355">
        <f>18691835+1770070</f>
        <v>20461905</v>
      </c>
      <c r="Q52" s="3451">
        <v>0</v>
      </c>
      <c r="R52" s="3451">
        <v>0</v>
      </c>
      <c r="S52" s="3451">
        <v>0</v>
      </c>
      <c r="T52" s="3451">
        <v>0</v>
      </c>
      <c r="U52" s="3451">
        <v>0</v>
      </c>
      <c r="V52" s="3451">
        <v>0</v>
      </c>
      <c r="W52" s="3451">
        <v>0</v>
      </c>
      <c r="X52" s="3407"/>
      <c r="Y52" s="3408"/>
    </row>
    <row r="53" spans="1:29" s="1179" customFormat="1" ht="39" customHeight="1">
      <c r="A53" s="3452" t="s">
        <v>80</v>
      </c>
      <c r="B53" s="3123" t="s">
        <v>155</v>
      </c>
      <c r="C53" s="3360" t="s">
        <v>97</v>
      </c>
      <c r="D53" s="3411"/>
      <c r="E53" s="1989"/>
      <c r="F53" s="1989"/>
      <c r="G53" s="1989"/>
      <c r="H53" s="1989"/>
      <c r="I53" s="1989"/>
      <c r="J53" s="3413"/>
      <c r="K53" s="3413"/>
      <c r="L53" s="3413"/>
      <c r="M53" s="3413"/>
      <c r="N53" s="3413"/>
      <c r="O53" s="3413"/>
      <c r="P53" s="3413"/>
      <c r="Q53" s="3413"/>
      <c r="R53" s="3413"/>
      <c r="S53" s="3413"/>
      <c r="T53" s="3413"/>
      <c r="U53" s="3414"/>
      <c r="V53" s="3413"/>
      <c r="W53" s="3411"/>
      <c r="X53" s="3415"/>
      <c r="Y53" s="2963" t="s">
        <v>475</v>
      </c>
      <c r="AA53" s="3453"/>
      <c r="AB53" s="3453"/>
      <c r="AC53" s="3453"/>
    </row>
    <row r="54" spans="1:29" s="1179" customFormat="1" ht="13.5" customHeight="1">
      <c r="A54" s="2954"/>
      <c r="B54" s="1988" t="s">
        <v>22</v>
      </c>
      <c r="C54" s="3423"/>
      <c r="D54" s="3369">
        <f>+D55+D60</f>
        <v>90438534</v>
      </c>
      <c r="E54" s="3369">
        <f t="shared" ref="E54:M54" si="33">+E55+E60</f>
        <v>0</v>
      </c>
      <c r="F54" s="3369">
        <f t="shared" si="33"/>
        <v>0</v>
      </c>
      <c r="G54" s="3369">
        <f t="shared" si="33"/>
        <v>0</v>
      </c>
      <c r="H54" s="3369">
        <f t="shared" si="33"/>
        <v>0</v>
      </c>
      <c r="I54" s="3369">
        <f t="shared" si="33"/>
        <v>1145001</v>
      </c>
      <c r="J54" s="3369">
        <f t="shared" si="33"/>
        <v>14985000</v>
      </c>
      <c r="K54" s="3369">
        <f t="shared" si="33"/>
        <v>9212462</v>
      </c>
      <c r="L54" s="3369">
        <f t="shared" si="33"/>
        <v>1262011</v>
      </c>
      <c r="M54" s="3369">
        <f t="shared" si="33"/>
        <v>41289935</v>
      </c>
      <c r="N54" s="3369">
        <f>+N55+N60</f>
        <v>14685461</v>
      </c>
      <c r="O54" s="3369">
        <f>+O55+O60</f>
        <v>23771198</v>
      </c>
      <c r="P54" s="3369">
        <f>+P55</f>
        <v>25377401</v>
      </c>
      <c r="Q54" s="3424">
        <f t="shared" ref="Q54:W54" si="34">+Q55</f>
        <v>0</v>
      </c>
      <c r="R54" s="3424">
        <f t="shared" si="34"/>
        <v>0</v>
      </c>
      <c r="S54" s="3424">
        <f t="shared" si="34"/>
        <v>0</v>
      </c>
      <c r="T54" s="3424">
        <f t="shared" si="34"/>
        <v>0</v>
      </c>
      <c r="U54" s="3424">
        <f t="shared" si="34"/>
        <v>0</v>
      </c>
      <c r="V54" s="3424">
        <f t="shared" si="34"/>
        <v>0</v>
      </c>
      <c r="W54" s="3425">
        <f t="shared" si="34"/>
        <v>0</v>
      </c>
      <c r="X54" s="3426">
        <f>+X55+X60</f>
        <v>7163317</v>
      </c>
      <c r="Y54" s="2928"/>
      <c r="AA54" s="3453"/>
      <c r="AB54" s="3453"/>
      <c r="AC54" s="3453"/>
    </row>
    <row r="55" spans="1:29" s="1179" customFormat="1" ht="13.5" customHeight="1">
      <c r="A55" s="2954"/>
      <c r="B55" s="3427" t="s">
        <v>36</v>
      </c>
      <c r="C55" s="3375" t="s">
        <v>153</v>
      </c>
      <c r="D55" s="3376">
        <f>SUM(D56:D59)</f>
        <v>90438534</v>
      </c>
      <c r="E55" s="3376">
        <f t="shared" ref="E55:M55" si="35">+E56+E57+E58+E59</f>
        <v>0</v>
      </c>
      <c r="F55" s="3376">
        <f t="shared" si="35"/>
        <v>0</v>
      </c>
      <c r="G55" s="3376">
        <f t="shared" si="35"/>
        <v>0</v>
      </c>
      <c r="H55" s="3376">
        <f t="shared" si="35"/>
        <v>0</v>
      </c>
      <c r="I55" s="3376">
        <f t="shared" si="35"/>
        <v>1145001</v>
      </c>
      <c r="J55" s="3376">
        <f t="shared" si="35"/>
        <v>14985000</v>
      </c>
      <c r="K55" s="3376">
        <f t="shared" si="35"/>
        <v>9212462</v>
      </c>
      <c r="L55" s="3376">
        <f t="shared" si="35"/>
        <v>1262011</v>
      </c>
      <c r="M55" s="3376">
        <f t="shared" si="35"/>
        <v>41289935</v>
      </c>
      <c r="N55" s="3376">
        <f>SUM(N56:N59)</f>
        <v>14685461</v>
      </c>
      <c r="O55" s="3376">
        <f>SUM(O56:O59)</f>
        <v>23771198</v>
      </c>
      <c r="P55" s="3376">
        <f t="shared" ref="P55:W55" si="36">+P56+P57+P58+P59</f>
        <v>25377401</v>
      </c>
      <c r="Q55" s="3454">
        <f t="shared" si="36"/>
        <v>0</v>
      </c>
      <c r="R55" s="3454">
        <f t="shared" si="36"/>
        <v>0</v>
      </c>
      <c r="S55" s="3454">
        <f t="shared" si="36"/>
        <v>0</v>
      </c>
      <c r="T55" s="3454">
        <f t="shared" si="36"/>
        <v>0</v>
      </c>
      <c r="U55" s="3454">
        <f t="shared" si="36"/>
        <v>0</v>
      </c>
      <c r="V55" s="3454">
        <f t="shared" si="36"/>
        <v>0</v>
      </c>
      <c r="W55" s="3455">
        <f t="shared" si="36"/>
        <v>0</v>
      </c>
      <c r="X55" s="3431">
        <f>+X57+X58+X59</f>
        <v>7163317</v>
      </c>
      <c r="Y55" s="2928"/>
      <c r="AA55" s="3453"/>
      <c r="AB55" s="3453"/>
      <c r="AC55" s="3453"/>
    </row>
    <row r="56" spans="1:29" s="1179" customFormat="1" ht="13.5" customHeight="1">
      <c r="A56" s="2954"/>
      <c r="B56" s="3432" t="s">
        <v>154</v>
      </c>
      <c r="C56" s="2827"/>
      <c r="D56" s="3382">
        <f>M56+O56+P56+Q56+R56+S56+T56+U56+V56+W56</f>
        <v>26012854</v>
      </c>
      <c r="E56" s="3382">
        <v>0</v>
      </c>
      <c r="F56" s="3382">
        <v>0</v>
      </c>
      <c r="G56" s="3382">
        <v>0</v>
      </c>
      <c r="H56" s="3382">
        <v>0</v>
      </c>
      <c r="I56" s="3382">
        <v>572501</v>
      </c>
      <c r="J56" s="3382">
        <v>2315000</v>
      </c>
      <c r="K56" s="3382">
        <v>7</v>
      </c>
      <c r="L56" s="3382">
        <v>711805</v>
      </c>
      <c r="M56" s="3382">
        <f>+L56+K56+J56+I56+E56+N56</f>
        <v>3599313</v>
      </c>
      <c r="N56" s="3382">
        <v>0</v>
      </c>
      <c r="O56" s="3382">
        <f>7810382-3610925</f>
        <v>4199457</v>
      </c>
      <c r="P56" s="3382">
        <f>16269659+3610925-1666500</f>
        <v>18214084</v>
      </c>
      <c r="Q56" s="3433">
        <v>0</v>
      </c>
      <c r="R56" s="3433">
        <v>0</v>
      </c>
      <c r="S56" s="3433">
        <v>0</v>
      </c>
      <c r="T56" s="3433">
        <v>0</v>
      </c>
      <c r="U56" s="3433">
        <v>0</v>
      </c>
      <c r="V56" s="3433">
        <v>0</v>
      </c>
      <c r="W56" s="3434">
        <v>0</v>
      </c>
      <c r="X56" s="3319" t="s">
        <v>77</v>
      </c>
      <c r="Y56" s="3381"/>
      <c r="AA56" s="3453"/>
      <c r="AB56" s="3453"/>
      <c r="AC56" s="3453"/>
    </row>
    <row r="57" spans="1:29" s="1179" customFormat="1" ht="13.5" customHeight="1">
      <c r="A57" s="2954"/>
      <c r="B57" s="3435" t="s">
        <v>156</v>
      </c>
      <c r="C57" s="2827"/>
      <c r="D57" s="3382">
        <f>M57+O57+P57+Q57+R57+S57+T57+U57+V57+W57</f>
        <v>25773680</v>
      </c>
      <c r="E57" s="3382">
        <f>+F57+G57+H57</f>
        <v>0</v>
      </c>
      <c r="F57" s="3382">
        <v>0</v>
      </c>
      <c r="G57" s="3382">
        <v>0</v>
      </c>
      <c r="H57" s="3382">
        <v>0</v>
      </c>
      <c r="I57" s="3382">
        <v>572500</v>
      </c>
      <c r="J57" s="3382">
        <v>2460000</v>
      </c>
      <c r="K57" s="3382">
        <v>5302500</v>
      </c>
      <c r="L57" s="3382">
        <v>27062</v>
      </c>
      <c r="M57" s="3382">
        <f>+L57+K57+J57+I57+E57+N57</f>
        <v>16227937</v>
      </c>
      <c r="N57" s="3382">
        <v>7865875</v>
      </c>
      <c r="O57" s="3382">
        <v>7686142</v>
      </c>
      <c r="P57" s="3382">
        <f>193101+1666500</f>
        <v>1859601</v>
      </c>
      <c r="Q57" s="3433">
        <v>0</v>
      </c>
      <c r="R57" s="3433">
        <v>0</v>
      </c>
      <c r="S57" s="3433">
        <v>0</v>
      </c>
      <c r="T57" s="3433">
        <v>0</v>
      </c>
      <c r="U57" s="3433">
        <v>0</v>
      </c>
      <c r="V57" s="3433">
        <v>0</v>
      </c>
      <c r="W57" s="3434">
        <v>0</v>
      </c>
      <c r="X57" s="3436">
        <f>SUM(P57:T57)</f>
        <v>1859601</v>
      </c>
      <c r="Y57" s="3381"/>
      <c r="AA57" s="3453"/>
      <c r="AB57" s="3453"/>
      <c r="AC57" s="3453"/>
    </row>
    <row r="58" spans="1:29" s="1179" customFormat="1" ht="12" customHeight="1">
      <c r="A58" s="2954"/>
      <c r="B58" s="624" t="s">
        <v>25</v>
      </c>
      <c r="C58" s="2827"/>
      <c r="D58" s="3382">
        <f>M58+O58+P58+Q58+R58+S58+T58+U58+V58+W58</f>
        <v>32452000</v>
      </c>
      <c r="E58" s="3395">
        <v>0</v>
      </c>
      <c r="F58" s="3395"/>
      <c r="G58" s="3395"/>
      <c r="H58" s="3395"/>
      <c r="I58" s="3395">
        <v>0</v>
      </c>
      <c r="J58" s="3395">
        <f>6920000+1145000</f>
        <v>8065000</v>
      </c>
      <c r="K58" s="3395">
        <v>1854955</v>
      </c>
      <c r="L58" s="3395">
        <v>0</v>
      </c>
      <c r="M58" s="3382">
        <f>+L58+K58+J58+I58+E58+N58</f>
        <v>15262685</v>
      </c>
      <c r="N58" s="3395">
        <v>5342730</v>
      </c>
      <c r="O58" s="3395">
        <v>11885599</v>
      </c>
      <c r="P58" s="3395">
        <v>5303716</v>
      </c>
      <c r="Q58" s="3456">
        <v>0</v>
      </c>
      <c r="R58" s="3456">
        <v>0</v>
      </c>
      <c r="S58" s="3456">
        <v>0</v>
      </c>
      <c r="T58" s="3456">
        <v>0</v>
      </c>
      <c r="U58" s="3456">
        <v>0</v>
      </c>
      <c r="V58" s="3456">
        <v>0</v>
      </c>
      <c r="W58" s="3457">
        <v>0</v>
      </c>
      <c r="X58" s="3436">
        <f>SUM(P58:T58)</f>
        <v>5303716</v>
      </c>
      <c r="Y58" s="3381"/>
      <c r="AA58" s="3453"/>
      <c r="AB58" s="3453"/>
      <c r="AC58" s="3453"/>
    </row>
    <row r="59" spans="1:29" s="1179" customFormat="1" ht="13.5" customHeight="1">
      <c r="A59" s="2954"/>
      <c r="B59" s="624" t="s">
        <v>151</v>
      </c>
      <c r="C59" s="2827"/>
      <c r="D59" s="3382">
        <f>M59+O59+P59+Q59+R59+S59+T59+U59+V59+W59</f>
        <v>6200000</v>
      </c>
      <c r="E59" s="3395">
        <v>0</v>
      </c>
      <c r="F59" s="3395"/>
      <c r="G59" s="3395"/>
      <c r="H59" s="3395"/>
      <c r="I59" s="3395">
        <v>0</v>
      </c>
      <c r="J59" s="3395">
        <v>2145000</v>
      </c>
      <c r="K59" s="3395">
        <v>2055000</v>
      </c>
      <c r="L59" s="3395">
        <v>523144</v>
      </c>
      <c r="M59" s="3382">
        <f>+L59+K59+J59+I59+E59+N59</f>
        <v>6200000</v>
      </c>
      <c r="N59" s="3395">
        <f>3476856-2000000</f>
        <v>1476856</v>
      </c>
      <c r="O59" s="3395">
        <v>0</v>
      </c>
      <c r="P59" s="3395">
        <v>0</v>
      </c>
      <c r="Q59" s="3456">
        <v>0</v>
      </c>
      <c r="R59" s="3456">
        <v>0</v>
      </c>
      <c r="S59" s="3456">
        <v>0</v>
      </c>
      <c r="T59" s="3456">
        <v>0</v>
      </c>
      <c r="U59" s="3456">
        <v>0</v>
      </c>
      <c r="V59" s="3456">
        <v>0</v>
      </c>
      <c r="W59" s="3457">
        <v>0</v>
      </c>
      <c r="X59" s="3436">
        <f>SUM(P59:T59)</f>
        <v>0</v>
      </c>
      <c r="Y59" s="3381"/>
      <c r="AA59" s="3453"/>
      <c r="AB59" s="3453"/>
      <c r="AC59" s="3453"/>
    </row>
    <row r="60" spans="1:29" s="1179" customFormat="1" ht="18.75" hidden="1" customHeight="1">
      <c r="A60" s="2954"/>
      <c r="B60" s="1987" t="s">
        <v>30</v>
      </c>
      <c r="C60" s="2828"/>
      <c r="D60" s="3458">
        <f>+D61</f>
        <v>0</v>
      </c>
      <c r="E60" s="3458">
        <f t="shared" ref="E60:N60" si="37">+E61</f>
        <v>0</v>
      </c>
      <c r="F60" s="3458">
        <f t="shared" si="37"/>
        <v>0</v>
      </c>
      <c r="G60" s="3458">
        <f t="shared" si="37"/>
        <v>0</v>
      </c>
      <c r="H60" s="3458">
        <f t="shared" si="37"/>
        <v>0</v>
      </c>
      <c r="I60" s="3458">
        <f t="shared" si="37"/>
        <v>0</v>
      </c>
      <c r="J60" s="3458">
        <f t="shared" si="37"/>
        <v>0</v>
      </c>
      <c r="K60" s="3458">
        <f t="shared" si="37"/>
        <v>0</v>
      </c>
      <c r="L60" s="3458">
        <f t="shared" si="37"/>
        <v>0</v>
      </c>
      <c r="M60" s="3458"/>
      <c r="N60" s="3458">
        <f t="shared" si="37"/>
        <v>0</v>
      </c>
      <c r="O60" s="3458"/>
      <c r="P60" s="3458"/>
      <c r="Q60" s="3459"/>
      <c r="R60" s="3459"/>
      <c r="S60" s="3459"/>
      <c r="T60" s="3460"/>
      <c r="U60" s="3460"/>
      <c r="V60" s="3461"/>
      <c r="W60" s="3460"/>
      <c r="X60" s="3385"/>
      <c r="Y60" s="3381"/>
      <c r="AA60" s="3453"/>
      <c r="AB60" s="3453"/>
      <c r="AC60" s="3453"/>
    </row>
    <row r="61" spans="1:29" s="1179" customFormat="1" ht="16.5" hidden="1" customHeight="1">
      <c r="A61" s="2954"/>
      <c r="B61" s="3458" t="s">
        <v>48</v>
      </c>
      <c r="C61" s="3462"/>
      <c r="D61" s="3458">
        <v>0</v>
      </c>
      <c r="E61" s="3458">
        <f>+F61+G61+H61</f>
        <v>0</v>
      </c>
      <c r="F61" s="3458">
        <v>0</v>
      </c>
      <c r="G61" s="3458">
        <v>0</v>
      </c>
      <c r="H61" s="3458">
        <v>0</v>
      </c>
      <c r="I61" s="3458">
        <v>0</v>
      </c>
      <c r="J61" s="3458">
        <v>0</v>
      </c>
      <c r="K61" s="3458">
        <v>0</v>
      </c>
      <c r="L61" s="3458">
        <v>0</v>
      </c>
      <c r="M61" s="3458"/>
      <c r="N61" s="3458">
        <v>0</v>
      </c>
      <c r="O61" s="3458"/>
      <c r="P61" s="3458"/>
      <c r="Q61" s="3459"/>
      <c r="R61" s="3459"/>
      <c r="S61" s="3459"/>
      <c r="T61" s="3459"/>
      <c r="U61" s="3460"/>
      <c r="V61" s="3461"/>
      <c r="W61" s="3459"/>
      <c r="X61" s="3463"/>
      <c r="Y61" s="3381"/>
      <c r="AA61" s="3453"/>
      <c r="AB61" s="3453"/>
      <c r="AC61" s="3453"/>
    </row>
    <row r="62" spans="1:29" s="1179" customFormat="1" ht="13.5" customHeight="1">
      <c r="A62" s="2954"/>
      <c r="B62" s="1988" t="s">
        <v>34</v>
      </c>
      <c r="C62" s="3423"/>
      <c r="D62" s="3369">
        <f>D64+D65</f>
        <v>38652000</v>
      </c>
      <c r="E62" s="3369">
        <f t="shared" ref="E62:O62" si="38">E64+E65</f>
        <v>0</v>
      </c>
      <c r="F62" s="3369">
        <f t="shared" si="38"/>
        <v>0</v>
      </c>
      <c r="G62" s="3369">
        <f t="shared" si="38"/>
        <v>0</v>
      </c>
      <c r="H62" s="3369">
        <f t="shared" si="38"/>
        <v>0</v>
      </c>
      <c r="I62" s="3369">
        <f t="shared" si="38"/>
        <v>0</v>
      </c>
      <c r="J62" s="3369">
        <f t="shared" si="38"/>
        <v>10210000</v>
      </c>
      <c r="K62" s="3369">
        <f t="shared" si="38"/>
        <v>3909955</v>
      </c>
      <c r="L62" s="3369">
        <f t="shared" si="38"/>
        <v>523144</v>
      </c>
      <c r="M62" s="3369">
        <f t="shared" si="38"/>
        <v>21462685</v>
      </c>
      <c r="N62" s="3369">
        <f t="shared" si="38"/>
        <v>6819586</v>
      </c>
      <c r="O62" s="3369">
        <f t="shared" si="38"/>
        <v>11885599</v>
      </c>
      <c r="P62" s="3369">
        <f>+P63</f>
        <v>5303716</v>
      </c>
      <c r="Q62" s="3424">
        <f t="shared" ref="Q62:W62" si="39">+Q63</f>
        <v>0</v>
      </c>
      <c r="R62" s="3424">
        <f t="shared" si="39"/>
        <v>0</v>
      </c>
      <c r="S62" s="3424">
        <f t="shared" si="39"/>
        <v>0</v>
      </c>
      <c r="T62" s="3424">
        <f t="shared" si="39"/>
        <v>0</v>
      </c>
      <c r="U62" s="3424">
        <f t="shared" si="39"/>
        <v>0</v>
      </c>
      <c r="V62" s="3424">
        <f t="shared" si="39"/>
        <v>0</v>
      </c>
      <c r="W62" s="3425">
        <f t="shared" si="39"/>
        <v>0</v>
      </c>
      <c r="X62" s="3464" t="s">
        <v>77</v>
      </c>
      <c r="Y62" s="3381"/>
      <c r="AA62" s="3453"/>
      <c r="AB62" s="3453"/>
      <c r="AC62" s="3453"/>
    </row>
    <row r="63" spans="1:29" s="1179" customFormat="1" ht="13.5" customHeight="1">
      <c r="A63" s="2954"/>
      <c r="B63" s="3445" t="s">
        <v>36</v>
      </c>
      <c r="C63" s="3465" t="s">
        <v>153</v>
      </c>
      <c r="D63" s="3376">
        <f>+D64+D65</f>
        <v>38652000</v>
      </c>
      <c r="E63" s="3376">
        <f t="shared" ref="E63:O63" si="40">+E64+E65</f>
        <v>0</v>
      </c>
      <c r="F63" s="3376">
        <f t="shared" si="40"/>
        <v>0</v>
      </c>
      <c r="G63" s="3376">
        <f t="shared" si="40"/>
        <v>0</v>
      </c>
      <c r="H63" s="3376">
        <f t="shared" si="40"/>
        <v>0</v>
      </c>
      <c r="I63" s="3376">
        <f t="shared" si="40"/>
        <v>0</v>
      </c>
      <c r="J63" s="3376">
        <f t="shared" si="40"/>
        <v>10210000</v>
      </c>
      <c r="K63" s="3376">
        <f t="shared" si="40"/>
        <v>3909955</v>
      </c>
      <c r="L63" s="3376">
        <f t="shared" si="40"/>
        <v>523144</v>
      </c>
      <c r="M63" s="3376">
        <f t="shared" si="40"/>
        <v>21462685</v>
      </c>
      <c r="N63" s="3376">
        <f t="shared" si="40"/>
        <v>6819586</v>
      </c>
      <c r="O63" s="3376">
        <f t="shared" si="40"/>
        <v>11885599</v>
      </c>
      <c r="P63" s="3376">
        <f t="shared" ref="P63:W63" si="41">+P64+P65</f>
        <v>5303716</v>
      </c>
      <c r="Q63" s="3454">
        <f t="shared" si="41"/>
        <v>0</v>
      </c>
      <c r="R63" s="3454">
        <f t="shared" si="41"/>
        <v>0</v>
      </c>
      <c r="S63" s="3454">
        <f t="shared" si="41"/>
        <v>0</v>
      </c>
      <c r="T63" s="3454">
        <f t="shared" si="41"/>
        <v>0</v>
      </c>
      <c r="U63" s="3454">
        <f t="shared" si="41"/>
        <v>0</v>
      </c>
      <c r="V63" s="3454">
        <f t="shared" si="41"/>
        <v>0</v>
      </c>
      <c r="W63" s="3455">
        <f t="shared" si="41"/>
        <v>0</v>
      </c>
      <c r="X63" s="3466"/>
      <c r="Y63" s="3381"/>
      <c r="AA63" s="3453"/>
      <c r="AB63" s="3453"/>
      <c r="AC63" s="3453"/>
    </row>
    <row r="64" spans="1:29" s="1179" customFormat="1" ht="13.5" customHeight="1">
      <c r="A64" s="2954"/>
      <c r="B64" s="624" t="s">
        <v>25</v>
      </c>
      <c r="C64" s="3467"/>
      <c r="D64" s="3382">
        <f>M64+O64+P64+Q64+R64+S64+T64+U64+V64+W64</f>
        <v>32452000</v>
      </c>
      <c r="E64" s="3395">
        <v>0</v>
      </c>
      <c r="F64" s="3395"/>
      <c r="G64" s="3395"/>
      <c r="H64" s="3395"/>
      <c r="I64" s="3395">
        <v>0</v>
      </c>
      <c r="J64" s="3395">
        <f>6920000+1145000</f>
        <v>8065000</v>
      </c>
      <c r="K64" s="3395">
        <v>1854955</v>
      </c>
      <c r="L64" s="3395">
        <v>0</v>
      </c>
      <c r="M64" s="3382">
        <f>+L64+K64+J64+I64+E64+N64</f>
        <v>15262685</v>
      </c>
      <c r="N64" s="3395">
        <f>9342730-4000000</f>
        <v>5342730</v>
      </c>
      <c r="O64" s="3395">
        <f>7885599+4000000</f>
        <v>11885599</v>
      </c>
      <c r="P64" s="3395">
        <v>5303716</v>
      </c>
      <c r="Q64" s="3456">
        <v>0</v>
      </c>
      <c r="R64" s="3456">
        <v>0</v>
      </c>
      <c r="S64" s="3456">
        <v>0</v>
      </c>
      <c r="T64" s="3456">
        <v>0</v>
      </c>
      <c r="U64" s="3456">
        <v>0</v>
      </c>
      <c r="V64" s="3456">
        <v>0</v>
      </c>
      <c r="W64" s="3457">
        <v>0</v>
      </c>
      <c r="X64" s="3466"/>
      <c r="Y64" s="3381"/>
    </row>
    <row r="65" spans="1:29" s="1179" customFormat="1" ht="13.5" customHeight="1" thickBot="1">
      <c r="A65" s="2916"/>
      <c r="B65" s="1009" t="s">
        <v>151</v>
      </c>
      <c r="C65" s="3468"/>
      <c r="D65" s="2141">
        <f>M65+O65+P65+Q65+R65+S65+T65+U65+V65+W65</f>
        <v>6200000</v>
      </c>
      <c r="E65" s="2141">
        <v>0</v>
      </c>
      <c r="F65" s="2141"/>
      <c r="G65" s="2141"/>
      <c r="H65" s="2141"/>
      <c r="I65" s="2141">
        <v>0</v>
      </c>
      <c r="J65" s="2141">
        <v>2145000</v>
      </c>
      <c r="K65" s="2141">
        <v>2055000</v>
      </c>
      <c r="L65" s="2141">
        <v>523144</v>
      </c>
      <c r="M65" s="2141">
        <f>+L65+K65+J65+I65+E65+N65</f>
        <v>6200000</v>
      </c>
      <c r="N65" s="2141">
        <f>3476856-2000000</f>
        <v>1476856</v>
      </c>
      <c r="O65" s="2141">
        <v>0</v>
      </c>
      <c r="P65" s="2141">
        <v>0</v>
      </c>
      <c r="Q65" s="3469">
        <v>0</v>
      </c>
      <c r="R65" s="3469">
        <v>0</v>
      </c>
      <c r="S65" s="3469">
        <v>0</v>
      </c>
      <c r="T65" s="3469">
        <v>0</v>
      </c>
      <c r="U65" s="3469">
        <v>0</v>
      </c>
      <c r="V65" s="3469">
        <v>0</v>
      </c>
      <c r="W65" s="3470">
        <v>0</v>
      </c>
      <c r="X65" s="3471"/>
      <c r="Y65" s="3408"/>
    </row>
    <row r="66" spans="1:29" s="1179" customFormat="1" ht="42" customHeight="1">
      <c r="A66" s="3472" t="s">
        <v>81</v>
      </c>
      <c r="B66" s="3473" t="s">
        <v>362</v>
      </c>
      <c r="C66" s="3474" t="s">
        <v>97</v>
      </c>
      <c r="D66" s="3475"/>
      <c r="E66" s="1353"/>
      <c r="F66" s="1353"/>
      <c r="G66" s="1353"/>
      <c r="H66" s="1353"/>
      <c r="I66" s="1353"/>
      <c r="J66" s="3476"/>
      <c r="K66" s="3476"/>
      <c r="L66" s="3476"/>
      <c r="M66" s="3476"/>
      <c r="N66" s="3476"/>
      <c r="O66" s="3476"/>
      <c r="P66" s="3476"/>
      <c r="Q66" s="3476"/>
      <c r="R66" s="3476"/>
      <c r="S66" s="3476"/>
      <c r="T66" s="3476"/>
      <c r="U66" s="3477"/>
      <c r="V66" s="3476"/>
      <c r="W66" s="3475"/>
      <c r="X66" s="3422"/>
      <c r="Y66" s="3478" t="s">
        <v>476</v>
      </c>
      <c r="AA66" s="3453"/>
      <c r="AB66" s="3453"/>
      <c r="AC66" s="3453"/>
    </row>
    <row r="67" spans="1:29" s="1179" customFormat="1" ht="13.5" customHeight="1">
      <c r="A67" s="3479"/>
      <c r="B67" s="3367" t="s">
        <v>22</v>
      </c>
      <c r="C67" s="3396"/>
      <c r="D67" s="3369">
        <f>+D68+D71</f>
        <v>13855837</v>
      </c>
      <c r="E67" s="3369">
        <f t="shared" ref="E67:M67" si="42">+E68+E71</f>
        <v>0</v>
      </c>
      <c r="F67" s="3369">
        <f t="shared" si="42"/>
        <v>0</v>
      </c>
      <c r="G67" s="3369">
        <f t="shared" si="42"/>
        <v>0</v>
      </c>
      <c r="H67" s="3369">
        <f t="shared" si="42"/>
        <v>0</v>
      </c>
      <c r="I67" s="3369">
        <f t="shared" si="42"/>
        <v>0</v>
      </c>
      <c r="J67" s="3369">
        <f t="shared" si="42"/>
        <v>0</v>
      </c>
      <c r="K67" s="3369">
        <f t="shared" si="42"/>
        <v>0</v>
      </c>
      <c r="L67" s="3369">
        <f t="shared" si="42"/>
        <v>0</v>
      </c>
      <c r="M67" s="3369">
        <f t="shared" si="42"/>
        <v>9328248</v>
      </c>
      <c r="N67" s="3369">
        <f t="shared" ref="N67:W67" si="43">+N68+N71</f>
        <v>9328248</v>
      </c>
      <c r="O67" s="3369">
        <f t="shared" si="43"/>
        <v>4007995</v>
      </c>
      <c r="P67" s="3369">
        <f t="shared" si="43"/>
        <v>519594</v>
      </c>
      <c r="Q67" s="3424">
        <f t="shared" si="43"/>
        <v>0</v>
      </c>
      <c r="R67" s="3424">
        <f t="shared" si="43"/>
        <v>0</v>
      </c>
      <c r="S67" s="3424">
        <f t="shared" si="43"/>
        <v>0</v>
      </c>
      <c r="T67" s="3424">
        <f t="shared" si="43"/>
        <v>0</v>
      </c>
      <c r="U67" s="3424">
        <f t="shared" si="43"/>
        <v>0</v>
      </c>
      <c r="V67" s="3424">
        <f t="shared" si="43"/>
        <v>0</v>
      </c>
      <c r="W67" s="3425">
        <f t="shared" si="43"/>
        <v>0</v>
      </c>
      <c r="X67" s="3426">
        <f>+X68</f>
        <v>259796</v>
      </c>
      <c r="Y67" s="3478"/>
      <c r="AA67" s="3453"/>
      <c r="AB67" s="3453"/>
      <c r="AC67" s="3453"/>
    </row>
    <row r="68" spans="1:29" s="1179" customFormat="1" ht="13.5" customHeight="1">
      <c r="A68" s="3479"/>
      <c r="B68" s="3480" t="s">
        <v>36</v>
      </c>
      <c r="C68" s="3375" t="s">
        <v>153</v>
      </c>
      <c r="D68" s="3376">
        <f>+D69+D70</f>
        <v>8659898</v>
      </c>
      <c r="E68" s="3376">
        <f t="shared" ref="E68:M68" si="44">+E69+E70</f>
        <v>0</v>
      </c>
      <c r="F68" s="3376">
        <f t="shared" si="44"/>
        <v>0</v>
      </c>
      <c r="G68" s="3376">
        <f t="shared" si="44"/>
        <v>0</v>
      </c>
      <c r="H68" s="3376">
        <f t="shared" si="44"/>
        <v>0</v>
      </c>
      <c r="I68" s="3376">
        <f t="shared" si="44"/>
        <v>0</v>
      </c>
      <c r="J68" s="3376">
        <f t="shared" si="44"/>
        <v>0</v>
      </c>
      <c r="K68" s="3376">
        <f t="shared" si="44"/>
        <v>0</v>
      </c>
      <c r="L68" s="3376">
        <f t="shared" si="44"/>
        <v>0</v>
      </c>
      <c r="M68" s="3376">
        <f t="shared" si="44"/>
        <v>5198640</v>
      </c>
      <c r="N68" s="3376">
        <f t="shared" ref="N68:X68" si="45">+N69+N70</f>
        <v>5198640</v>
      </c>
      <c r="O68" s="3376">
        <f t="shared" si="45"/>
        <v>3201462</v>
      </c>
      <c r="P68" s="3376">
        <f t="shared" si="45"/>
        <v>259796</v>
      </c>
      <c r="Q68" s="3454">
        <f t="shared" si="45"/>
        <v>0</v>
      </c>
      <c r="R68" s="3454">
        <f t="shared" si="45"/>
        <v>0</v>
      </c>
      <c r="S68" s="3454">
        <f t="shared" si="45"/>
        <v>0</v>
      </c>
      <c r="T68" s="3454">
        <f t="shared" si="45"/>
        <v>0</v>
      </c>
      <c r="U68" s="3454">
        <f t="shared" si="45"/>
        <v>0</v>
      </c>
      <c r="V68" s="3454">
        <f t="shared" si="45"/>
        <v>0</v>
      </c>
      <c r="W68" s="3455">
        <f t="shared" si="45"/>
        <v>0</v>
      </c>
      <c r="X68" s="3431">
        <f t="shared" si="45"/>
        <v>259796</v>
      </c>
      <c r="Y68" s="3478"/>
      <c r="AA68" s="3453"/>
      <c r="AB68" s="3453"/>
      <c r="AC68" s="3453"/>
    </row>
    <row r="69" spans="1:29" s="1179" customFormat="1" ht="13.5" customHeight="1">
      <c r="A69" s="3479"/>
      <c r="B69" s="3481" t="s">
        <v>156</v>
      </c>
      <c r="C69" s="3482"/>
      <c r="D69" s="3382">
        <f>M69+O69+P69+Q69+R69+S69+T69+U69+V69+W69</f>
        <v>3463959</v>
      </c>
      <c r="E69" s="3483"/>
      <c r="F69" s="3483"/>
      <c r="G69" s="3483"/>
      <c r="H69" s="3483"/>
      <c r="I69" s="3483"/>
      <c r="J69" s="3483"/>
      <c r="K69" s="3483"/>
      <c r="L69" s="3483"/>
      <c r="M69" s="3382">
        <f>+L69+K69+J69+I69+E69+N69</f>
        <v>2054207</v>
      </c>
      <c r="N69" s="3483">
        <f>2054207</f>
        <v>2054207</v>
      </c>
      <c r="O69" s="3483">
        <v>1409752</v>
      </c>
      <c r="P69" s="3483">
        <v>0</v>
      </c>
      <c r="Q69" s="3484">
        <v>0</v>
      </c>
      <c r="R69" s="3484">
        <v>0</v>
      </c>
      <c r="S69" s="3484">
        <v>0</v>
      </c>
      <c r="T69" s="3484">
        <v>0</v>
      </c>
      <c r="U69" s="3484">
        <v>0</v>
      </c>
      <c r="V69" s="3484">
        <v>0</v>
      </c>
      <c r="W69" s="3485">
        <v>0</v>
      </c>
      <c r="X69" s="3436">
        <f>SUM(P69:T69)</f>
        <v>0</v>
      </c>
      <c r="Y69" s="3478"/>
      <c r="AA69" s="3453"/>
      <c r="AB69" s="3453"/>
      <c r="AC69" s="3453"/>
    </row>
    <row r="70" spans="1:29" s="1179" customFormat="1" ht="13.5" customHeight="1">
      <c r="A70" s="3479"/>
      <c r="B70" s="3486" t="s">
        <v>25</v>
      </c>
      <c r="C70" s="3487"/>
      <c r="D70" s="3382">
        <f>M70+O70+P70+Q70+R70+S70+T70+U70+V70+W70</f>
        <v>5195939</v>
      </c>
      <c r="E70" s="3437"/>
      <c r="F70" s="3437"/>
      <c r="G70" s="3437"/>
      <c r="H70" s="3437"/>
      <c r="I70" s="3437"/>
      <c r="J70" s="3437"/>
      <c r="K70" s="3437"/>
      <c r="L70" s="3437"/>
      <c r="M70" s="3382">
        <f>+L70+K70+J70+I70+E70+N70</f>
        <v>3144433</v>
      </c>
      <c r="N70" s="3437">
        <f>4717663-1573230</f>
        <v>3144433</v>
      </c>
      <c r="O70" s="3437">
        <f>478276+1573230-259796</f>
        <v>1791710</v>
      </c>
      <c r="P70" s="3437">
        <v>259796</v>
      </c>
      <c r="Q70" s="3438">
        <v>0</v>
      </c>
      <c r="R70" s="3438">
        <v>0</v>
      </c>
      <c r="S70" s="3438">
        <v>0</v>
      </c>
      <c r="T70" s="3438">
        <v>0</v>
      </c>
      <c r="U70" s="3438">
        <v>0</v>
      </c>
      <c r="V70" s="3438">
        <v>0</v>
      </c>
      <c r="W70" s="3439">
        <v>0</v>
      </c>
      <c r="X70" s="3436">
        <f>SUM(P70:T70)</f>
        <v>259796</v>
      </c>
      <c r="Y70" s="3478"/>
      <c r="AA70" s="3453"/>
      <c r="AB70" s="3453"/>
      <c r="AC70" s="3453"/>
    </row>
    <row r="71" spans="1:29" s="1179" customFormat="1" ht="13.5" customHeight="1">
      <c r="A71" s="3479"/>
      <c r="B71" s="3488" t="s">
        <v>30</v>
      </c>
      <c r="C71" s="3489" t="s">
        <v>35</v>
      </c>
      <c r="D71" s="3490">
        <f>+D72</f>
        <v>5195939</v>
      </c>
      <c r="E71" s="3490">
        <f t="shared" ref="E71:M71" si="46">+E72</f>
        <v>0</v>
      </c>
      <c r="F71" s="3490">
        <f t="shared" si="46"/>
        <v>0</v>
      </c>
      <c r="G71" s="3490">
        <f t="shared" si="46"/>
        <v>0</v>
      </c>
      <c r="H71" s="3490">
        <f t="shared" si="46"/>
        <v>0</v>
      </c>
      <c r="I71" s="3490">
        <f t="shared" si="46"/>
        <v>0</v>
      </c>
      <c r="J71" s="3490">
        <f t="shared" si="46"/>
        <v>0</v>
      </c>
      <c r="K71" s="3490">
        <f t="shared" si="46"/>
        <v>0</v>
      </c>
      <c r="L71" s="3490">
        <f t="shared" si="46"/>
        <v>0</v>
      </c>
      <c r="M71" s="3490">
        <f t="shared" si="46"/>
        <v>4129608</v>
      </c>
      <c r="N71" s="3490">
        <f>+N72</f>
        <v>4129608</v>
      </c>
      <c r="O71" s="3490">
        <f>+O72</f>
        <v>806533</v>
      </c>
      <c r="P71" s="3490">
        <f t="shared" ref="P71:W71" si="47">+P72</f>
        <v>259798</v>
      </c>
      <c r="Q71" s="3491">
        <f t="shared" si="47"/>
        <v>0</v>
      </c>
      <c r="R71" s="3491">
        <f t="shared" si="47"/>
        <v>0</v>
      </c>
      <c r="S71" s="3491">
        <f t="shared" si="47"/>
        <v>0</v>
      </c>
      <c r="T71" s="3491">
        <f t="shared" si="47"/>
        <v>0</v>
      </c>
      <c r="U71" s="3491">
        <f t="shared" si="47"/>
        <v>0</v>
      </c>
      <c r="V71" s="3492">
        <f t="shared" si="47"/>
        <v>0</v>
      </c>
      <c r="W71" s="3491">
        <f t="shared" si="47"/>
        <v>0</v>
      </c>
      <c r="X71" s="3319" t="s">
        <v>77</v>
      </c>
      <c r="Y71" s="3478"/>
      <c r="AA71" s="3453"/>
      <c r="AB71" s="3453"/>
      <c r="AC71" s="3453"/>
    </row>
    <row r="72" spans="1:29" s="1179" customFormat="1" ht="13.5" customHeight="1">
      <c r="A72" s="3479"/>
      <c r="B72" s="3493" t="s">
        <v>48</v>
      </c>
      <c r="C72" s="2828"/>
      <c r="D72" s="3382">
        <f>M72+O72+P72+Q72+R72+S72+T72+U72+V72+W72</f>
        <v>5195939</v>
      </c>
      <c r="E72" s="3494"/>
      <c r="F72" s="3495"/>
      <c r="G72" s="3495"/>
      <c r="H72" s="3495"/>
      <c r="I72" s="3495"/>
      <c r="J72" s="3495"/>
      <c r="K72" s="3495"/>
      <c r="L72" s="3495"/>
      <c r="M72" s="3382">
        <f>+L72+K72+J72+I72+E72+N72</f>
        <v>4129608</v>
      </c>
      <c r="N72" s="3437">
        <f>4717663-588055</f>
        <v>4129608</v>
      </c>
      <c r="O72" s="3437">
        <f>478276+588055-259798</f>
        <v>806533</v>
      </c>
      <c r="P72" s="3437">
        <v>259798</v>
      </c>
      <c r="Q72" s="3201">
        <v>0</v>
      </c>
      <c r="R72" s="3201">
        <v>0</v>
      </c>
      <c r="S72" s="3201">
        <v>0</v>
      </c>
      <c r="T72" s="3201">
        <v>0</v>
      </c>
      <c r="U72" s="3201">
        <v>0</v>
      </c>
      <c r="V72" s="3201">
        <v>0</v>
      </c>
      <c r="W72" s="3496">
        <v>0</v>
      </c>
      <c r="X72" s="3443" t="s">
        <v>77</v>
      </c>
      <c r="Y72" s="3478"/>
      <c r="AA72" s="3453"/>
      <c r="AB72" s="3453"/>
      <c r="AC72" s="3453"/>
    </row>
    <row r="73" spans="1:29" s="1179" customFormat="1" ht="13.5" customHeight="1">
      <c r="A73" s="3479"/>
      <c r="B73" s="3367" t="s">
        <v>34</v>
      </c>
      <c r="C73" s="3497"/>
      <c r="D73" s="3369">
        <f>+D74+D76</f>
        <v>10391878</v>
      </c>
      <c r="E73" s="3369">
        <f t="shared" ref="E73:L73" si="48">E75+E77</f>
        <v>0</v>
      </c>
      <c r="F73" s="3369">
        <f t="shared" si="48"/>
        <v>0</v>
      </c>
      <c r="G73" s="3369">
        <f t="shared" si="48"/>
        <v>0</v>
      </c>
      <c r="H73" s="3369">
        <f t="shared" si="48"/>
        <v>0</v>
      </c>
      <c r="I73" s="3369">
        <f t="shared" si="48"/>
        <v>0</v>
      </c>
      <c r="J73" s="3369">
        <f t="shared" si="48"/>
        <v>0</v>
      </c>
      <c r="K73" s="3369">
        <f t="shared" si="48"/>
        <v>0</v>
      </c>
      <c r="L73" s="3369">
        <f t="shared" si="48"/>
        <v>0</v>
      </c>
      <c r="M73" s="3369">
        <f>+M74+M76</f>
        <v>7274041</v>
      </c>
      <c r="N73" s="3369">
        <f>N75+N77</f>
        <v>7274041</v>
      </c>
      <c r="O73" s="3369">
        <f>+O74+O76</f>
        <v>2598243</v>
      </c>
      <c r="P73" s="3369">
        <f>+P74+P76</f>
        <v>519594</v>
      </c>
      <c r="Q73" s="3424">
        <f t="shared" ref="Q73:W73" si="49">Q75+Q77</f>
        <v>0</v>
      </c>
      <c r="R73" s="3424">
        <f t="shared" si="49"/>
        <v>0</v>
      </c>
      <c r="S73" s="3424">
        <f t="shared" si="49"/>
        <v>0</v>
      </c>
      <c r="T73" s="3424">
        <f t="shared" si="49"/>
        <v>0</v>
      </c>
      <c r="U73" s="3424">
        <f t="shared" si="49"/>
        <v>0</v>
      </c>
      <c r="V73" s="3424">
        <f t="shared" si="49"/>
        <v>0</v>
      </c>
      <c r="W73" s="3425">
        <f t="shared" si="49"/>
        <v>0</v>
      </c>
      <c r="X73" s="3351" t="s">
        <v>77</v>
      </c>
      <c r="Y73" s="3478"/>
      <c r="AA73" s="3453"/>
      <c r="AB73" s="3453"/>
      <c r="AC73" s="3453"/>
    </row>
    <row r="74" spans="1:29" s="1179" customFormat="1" ht="13.5" customHeight="1">
      <c r="A74" s="3479"/>
      <c r="B74" s="3480" t="s">
        <v>36</v>
      </c>
      <c r="C74" s="3465" t="s">
        <v>101</v>
      </c>
      <c r="D74" s="3376">
        <f>+D75</f>
        <v>5195939</v>
      </c>
      <c r="E74" s="3376">
        <f t="shared" ref="E74:L74" si="50">+E75+E77</f>
        <v>0</v>
      </c>
      <c r="F74" s="3376">
        <f t="shared" si="50"/>
        <v>0</v>
      </c>
      <c r="G74" s="3376">
        <f t="shared" si="50"/>
        <v>0</v>
      </c>
      <c r="H74" s="3376">
        <f t="shared" si="50"/>
        <v>0</v>
      </c>
      <c r="I74" s="3376">
        <f t="shared" si="50"/>
        <v>0</v>
      </c>
      <c r="J74" s="3376">
        <f t="shared" si="50"/>
        <v>0</v>
      </c>
      <c r="K74" s="3376">
        <f t="shared" si="50"/>
        <v>0</v>
      </c>
      <c r="L74" s="3376">
        <f t="shared" si="50"/>
        <v>0</v>
      </c>
      <c r="M74" s="3376">
        <f>+M75</f>
        <v>3144433</v>
      </c>
      <c r="N74" s="3376">
        <f>+N75</f>
        <v>3144433</v>
      </c>
      <c r="O74" s="3376">
        <f>+O75</f>
        <v>1791710</v>
      </c>
      <c r="P74" s="3376">
        <f>+P75</f>
        <v>259796</v>
      </c>
      <c r="Q74" s="3454">
        <f t="shared" ref="Q74:W74" si="51">+Q75+Q77</f>
        <v>0</v>
      </c>
      <c r="R74" s="3454">
        <f t="shared" si="51"/>
        <v>0</v>
      </c>
      <c r="S74" s="3454">
        <f t="shared" si="51"/>
        <v>0</v>
      </c>
      <c r="T74" s="3454">
        <f t="shared" si="51"/>
        <v>0</v>
      </c>
      <c r="U74" s="3454">
        <f t="shared" si="51"/>
        <v>0</v>
      </c>
      <c r="V74" s="3454">
        <f t="shared" si="51"/>
        <v>0</v>
      </c>
      <c r="W74" s="3455">
        <f t="shared" si="51"/>
        <v>0</v>
      </c>
      <c r="X74" s="3351"/>
      <c r="Y74" s="3478"/>
      <c r="AA74" s="3453"/>
      <c r="AB74" s="3453"/>
      <c r="AC74" s="3453"/>
    </row>
    <row r="75" spans="1:29" s="1179" customFormat="1" ht="13.5" customHeight="1">
      <c r="A75" s="3479"/>
      <c r="B75" s="3481" t="s">
        <v>25</v>
      </c>
      <c r="C75" s="3498"/>
      <c r="D75" s="3382">
        <f>M75+O75+P75+Q75+R75+S75+T75+U75+V75+W75</f>
        <v>5195939</v>
      </c>
      <c r="E75" s="3483"/>
      <c r="F75" s="3483"/>
      <c r="G75" s="3483"/>
      <c r="H75" s="3483"/>
      <c r="I75" s="3483"/>
      <c r="J75" s="3483"/>
      <c r="K75" s="3483"/>
      <c r="L75" s="3483"/>
      <c r="M75" s="3382">
        <f>+L75+K75+J75+I75+E75+N75</f>
        <v>3144433</v>
      </c>
      <c r="N75" s="3483">
        <f>4717663-1573230</f>
        <v>3144433</v>
      </c>
      <c r="O75" s="3483">
        <f>478276+1573230-259796</f>
        <v>1791710</v>
      </c>
      <c r="P75" s="3483">
        <v>259796</v>
      </c>
      <c r="Q75" s="3484">
        <v>0</v>
      </c>
      <c r="R75" s="3484">
        <v>0</v>
      </c>
      <c r="S75" s="3484">
        <v>0</v>
      </c>
      <c r="T75" s="3484">
        <v>0</v>
      </c>
      <c r="U75" s="3499">
        <v>0</v>
      </c>
      <c r="V75" s="3484">
        <v>0</v>
      </c>
      <c r="W75" s="3485">
        <v>0</v>
      </c>
      <c r="X75" s="3351"/>
      <c r="Y75" s="3478"/>
    </row>
    <row r="76" spans="1:29" s="1179" customFormat="1" ht="13.5" customHeight="1">
      <c r="A76" s="3500"/>
      <c r="B76" s="3488" t="s">
        <v>30</v>
      </c>
      <c r="C76" s="3501"/>
      <c r="D76" s="3502">
        <f>+D77</f>
        <v>5195939</v>
      </c>
      <c r="E76" s="3502">
        <f t="shared" ref="E76:M76" si="52">+E77</f>
        <v>0</v>
      </c>
      <c r="F76" s="3502">
        <f t="shared" si="52"/>
        <v>0</v>
      </c>
      <c r="G76" s="3502">
        <f t="shared" si="52"/>
        <v>0</v>
      </c>
      <c r="H76" s="3502">
        <f t="shared" si="52"/>
        <v>0</v>
      </c>
      <c r="I76" s="3502">
        <f t="shared" si="52"/>
        <v>0</v>
      </c>
      <c r="J76" s="3502">
        <f t="shared" si="52"/>
        <v>0</v>
      </c>
      <c r="K76" s="3502">
        <f t="shared" si="52"/>
        <v>0</v>
      </c>
      <c r="L76" s="3502">
        <f t="shared" si="52"/>
        <v>0</v>
      </c>
      <c r="M76" s="3502">
        <f t="shared" si="52"/>
        <v>4129608</v>
      </c>
      <c r="N76" s="3502">
        <f>+N77</f>
        <v>4129608</v>
      </c>
      <c r="O76" s="3502">
        <f>+O77</f>
        <v>806533</v>
      </c>
      <c r="P76" s="3502">
        <f t="shared" ref="P76:W76" si="53">+P77</f>
        <v>259798</v>
      </c>
      <c r="Q76" s="3503">
        <f t="shared" si="53"/>
        <v>0</v>
      </c>
      <c r="R76" s="3503">
        <f t="shared" si="53"/>
        <v>0</v>
      </c>
      <c r="S76" s="3503">
        <f t="shared" si="53"/>
        <v>0</v>
      </c>
      <c r="T76" s="3503">
        <f t="shared" si="53"/>
        <v>0</v>
      </c>
      <c r="U76" s="3503">
        <f t="shared" si="53"/>
        <v>0</v>
      </c>
      <c r="V76" s="3503">
        <f t="shared" si="53"/>
        <v>0</v>
      </c>
      <c r="W76" s="3504">
        <f t="shared" si="53"/>
        <v>0</v>
      </c>
      <c r="X76" s="3351"/>
      <c r="Y76" s="3478"/>
    </row>
    <row r="77" spans="1:29" s="1179" customFormat="1" ht="13.5" customHeight="1" thickBot="1">
      <c r="A77" s="2527"/>
      <c r="B77" s="3481" t="s">
        <v>48</v>
      </c>
      <c r="C77" s="3505" t="s">
        <v>35</v>
      </c>
      <c r="D77" s="3382">
        <f>M77+O77+P77+Q77+R77+S77+T77+U77+V77+W77</f>
        <v>5195939</v>
      </c>
      <c r="E77" s="2155"/>
      <c r="F77" s="2155"/>
      <c r="G77" s="2155"/>
      <c r="H77" s="2155"/>
      <c r="I77" s="2155"/>
      <c r="J77" s="2155"/>
      <c r="K77" s="2155"/>
      <c r="L77" s="2155"/>
      <c r="M77" s="3382">
        <f>+L77+K77+J77+I77+E77+N77</f>
        <v>4129608</v>
      </c>
      <c r="N77" s="2155">
        <f>4717663-588055</f>
        <v>4129608</v>
      </c>
      <c r="O77" s="2155">
        <f>478276+588055-259798</f>
        <v>806533</v>
      </c>
      <c r="P77" s="2155">
        <v>259798</v>
      </c>
      <c r="Q77" s="2449">
        <v>0</v>
      </c>
      <c r="R77" s="2449">
        <v>0</v>
      </c>
      <c r="S77" s="2449">
        <v>0</v>
      </c>
      <c r="T77" s="2449">
        <v>0</v>
      </c>
      <c r="U77" s="2449">
        <v>0</v>
      </c>
      <c r="V77" s="2449">
        <v>0</v>
      </c>
      <c r="W77" s="3506">
        <v>0</v>
      </c>
      <c r="X77" s="3357"/>
      <c r="Y77" s="3507"/>
    </row>
    <row r="78" spans="1:29" s="1179" customFormat="1" ht="30" customHeight="1">
      <c r="A78" s="3452" t="s">
        <v>82</v>
      </c>
      <c r="B78" s="3123" t="s">
        <v>418</v>
      </c>
      <c r="C78" s="3360" t="s">
        <v>128</v>
      </c>
      <c r="D78" s="3411"/>
      <c r="E78" s="1989"/>
      <c r="F78" s="1989"/>
      <c r="G78" s="1989"/>
      <c r="H78" s="1989"/>
      <c r="I78" s="1989"/>
      <c r="J78" s="3413"/>
      <c r="K78" s="3413"/>
      <c r="L78" s="3413"/>
      <c r="M78" s="3413"/>
      <c r="N78" s="3413"/>
      <c r="O78" s="3413"/>
      <c r="P78" s="3413"/>
      <c r="Q78" s="3413"/>
      <c r="R78" s="3413"/>
      <c r="S78" s="3413"/>
      <c r="T78" s="3413"/>
      <c r="U78" s="3413"/>
      <c r="V78" s="3413"/>
      <c r="W78" s="3411"/>
      <c r="X78" s="3415"/>
      <c r="Y78" s="3508" t="s">
        <v>477</v>
      </c>
    </row>
    <row r="79" spans="1:29" s="1179" customFormat="1" ht="15.75" customHeight="1">
      <c r="A79" s="3472"/>
      <c r="B79" s="1988" t="s">
        <v>22</v>
      </c>
      <c r="C79" s="3509"/>
      <c r="D79" s="3510">
        <f>+D80</f>
        <v>5000000</v>
      </c>
      <c r="E79" s="3510">
        <f>+E80</f>
        <v>0</v>
      </c>
      <c r="F79" s="3510">
        <f t="shared" ref="F79:W79" si="54">+F80</f>
        <v>0</v>
      </c>
      <c r="G79" s="3510">
        <f t="shared" si="54"/>
        <v>0</v>
      </c>
      <c r="H79" s="3510">
        <f t="shared" si="54"/>
        <v>0</v>
      </c>
      <c r="I79" s="3510">
        <f t="shared" si="54"/>
        <v>0</v>
      </c>
      <c r="J79" s="3510">
        <f t="shared" si="54"/>
        <v>0</v>
      </c>
      <c r="K79" s="3510">
        <f t="shared" si="54"/>
        <v>0</v>
      </c>
      <c r="L79" s="3510">
        <f t="shared" si="54"/>
        <v>0</v>
      </c>
      <c r="M79" s="3510">
        <f t="shared" si="54"/>
        <v>0</v>
      </c>
      <c r="N79" s="3510">
        <f t="shared" si="54"/>
        <v>0</v>
      </c>
      <c r="O79" s="3510">
        <f t="shared" si="54"/>
        <v>0</v>
      </c>
      <c r="P79" s="3510">
        <f t="shared" si="54"/>
        <v>1819380</v>
      </c>
      <c r="Q79" s="3510">
        <f t="shared" si="54"/>
        <v>1361176</v>
      </c>
      <c r="R79" s="3510">
        <f t="shared" si="54"/>
        <v>1819444</v>
      </c>
      <c r="S79" s="3424">
        <f t="shared" si="54"/>
        <v>0</v>
      </c>
      <c r="T79" s="3424">
        <f t="shared" si="54"/>
        <v>0</v>
      </c>
      <c r="U79" s="3424">
        <f t="shared" si="54"/>
        <v>0</v>
      </c>
      <c r="V79" s="3424">
        <f t="shared" si="54"/>
        <v>0</v>
      </c>
      <c r="W79" s="3425">
        <f t="shared" si="54"/>
        <v>0</v>
      </c>
      <c r="X79" s="3426">
        <f>+X80</f>
        <v>5000000</v>
      </c>
      <c r="Y79" s="3511"/>
    </row>
    <row r="80" spans="1:29" s="1179" customFormat="1" ht="13.5" customHeight="1">
      <c r="A80" s="3472"/>
      <c r="B80" s="3427" t="s">
        <v>36</v>
      </c>
      <c r="C80" s="3512" t="s">
        <v>157</v>
      </c>
      <c r="D80" s="3376">
        <f>+D81+D82</f>
        <v>5000000</v>
      </c>
      <c r="E80" s="3376">
        <f>+E81+E82</f>
        <v>0</v>
      </c>
      <c r="F80" s="3376"/>
      <c r="G80" s="3376"/>
      <c r="H80" s="3376"/>
      <c r="I80" s="3376">
        <f>+I81+I82</f>
        <v>0</v>
      </c>
      <c r="J80" s="3376">
        <f t="shared" ref="J80:T80" si="55">+J81+J82</f>
        <v>0</v>
      </c>
      <c r="K80" s="3376">
        <f t="shared" si="55"/>
        <v>0</v>
      </c>
      <c r="L80" s="3376">
        <f t="shared" si="55"/>
        <v>0</v>
      </c>
      <c r="M80" s="3376">
        <f>+M81+M82</f>
        <v>0</v>
      </c>
      <c r="N80" s="3376">
        <f t="shared" si="55"/>
        <v>0</v>
      </c>
      <c r="O80" s="3376">
        <f t="shared" si="55"/>
        <v>0</v>
      </c>
      <c r="P80" s="3376">
        <f t="shared" si="55"/>
        <v>1819380</v>
      </c>
      <c r="Q80" s="3376">
        <f t="shared" si="55"/>
        <v>1361176</v>
      </c>
      <c r="R80" s="3376">
        <f t="shared" si="55"/>
        <v>1819444</v>
      </c>
      <c r="S80" s="3454">
        <f t="shared" si="55"/>
        <v>0</v>
      </c>
      <c r="T80" s="3454">
        <f t="shared" si="55"/>
        <v>0</v>
      </c>
      <c r="U80" s="3454">
        <f>+U81+U82</f>
        <v>0</v>
      </c>
      <c r="V80" s="3454">
        <f>+V81+V82</f>
        <v>0</v>
      </c>
      <c r="W80" s="3455">
        <f>+W81+W82</f>
        <v>0</v>
      </c>
      <c r="X80" s="3513">
        <f>+X81+X82</f>
        <v>5000000</v>
      </c>
      <c r="Y80" s="3511"/>
    </row>
    <row r="81" spans="1:28" s="1179" customFormat="1" ht="13.5" hidden="1" customHeight="1">
      <c r="A81" s="3472"/>
      <c r="B81" s="3432" t="s">
        <v>154</v>
      </c>
      <c r="C81" s="3514"/>
      <c r="D81" s="3382">
        <f>M81+O81+P81+Q81+R81+S81+T81+U81+V81+W81</f>
        <v>0</v>
      </c>
      <c r="E81" s="3483">
        <v>0</v>
      </c>
      <c r="F81" s="3483">
        <v>0</v>
      </c>
      <c r="G81" s="3483">
        <v>0</v>
      </c>
      <c r="H81" s="3382">
        <v>0</v>
      </c>
      <c r="I81" s="3483">
        <v>0</v>
      </c>
      <c r="J81" s="3483">
        <v>0</v>
      </c>
      <c r="K81" s="3483">
        <v>0</v>
      </c>
      <c r="L81" s="3483">
        <v>0</v>
      </c>
      <c r="M81" s="3382">
        <f>+L81+K81+J81+I81+E81+N81</f>
        <v>0</v>
      </c>
      <c r="N81" s="3483">
        <v>0</v>
      </c>
      <c r="O81" s="3483">
        <v>0</v>
      </c>
      <c r="P81" s="3483">
        <v>0</v>
      </c>
      <c r="Q81" s="3483">
        <v>0</v>
      </c>
      <c r="R81" s="3483">
        <v>0</v>
      </c>
      <c r="S81" s="3484">
        <v>0</v>
      </c>
      <c r="T81" s="3484">
        <v>0</v>
      </c>
      <c r="U81" s="3484">
        <v>0</v>
      </c>
      <c r="V81" s="3484">
        <v>0</v>
      </c>
      <c r="W81" s="3485">
        <v>0</v>
      </c>
      <c r="X81" s="3515">
        <v>0</v>
      </c>
      <c r="Y81" s="3511"/>
    </row>
    <row r="82" spans="1:28" s="1179" customFormat="1" ht="13.5" customHeight="1" thickBot="1">
      <c r="A82" s="3516"/>
      <c r="B82" s="3517" t="s">
        <v>158</v>
      </c>
      <c r="C82" s="3514"/>
      <c r="D82" s="3382">
        <f>M82+O82+P82+Q82+R82+S82+T82+U82+V82+W82</f>
        <v>5000000</v>
      </c>
      <c r="E82" s="2141">
        <v>0</v>
      </c>
      <c r="F82" s="2141">
        <v>0</v>
      </c>
      <c r="G82" s="2141"/>
      <c r="H82" s="1355"/>
      <c r="I82" s="2141">
        <v>0</v>
      </c>
      <c r="J82" s="2141">
        <v>0</v>
      </c>
      <c r="K82" s="2141">
        <v>0</v>
      </c>
      <c r="L82" s="2141">
        <v>0</v>
      </c>
      <c r="M82" s="3382">
        <f>+L82+K82+J82+I82+E82+N82</f>
        <v>0</v>
      </c>
      <c r="N82" s="2141">
        <v>0</v>
      </c>
      <c r="O82" s="2141">
        <v>0</v>
      </c>
      <c r="P82" s="2141">
        <v>1819380</v>
      </c>
      <c r="Q82" s="2141">
        <v>1361176</v>
      </c>
      <c r="R82" s="2141">
        <v>1819444</v>
      </c>
      <c r="S82" s="3469">
        <v>0</v>
      </c>
      <c r="T82" s="3469">
        <v>0</v>
      </c>
      <c r="U82" s="3469">
        <v>0</v>
      </c>
      <c r="V82" s="3469">
        <v>0</v>
      </c>
      <c r="W82" s="3470">
        <v>0</v>
      </c>
      <c r="X82" s="3387">
        <f>SUM(P82:W82)</f>
        <v>5000000</v>
      </c>
      <c r="Y82" s="2930"/>
    </row>
    <row r="83" spans="1:28" s="1179" customFormat="1" ht="27" customHeight="1">
      <c r="A83" s="3452" t="s">
        <v>83</v>
      </c>
      <c r="B83" s="3518" t="s">
        <v>159</v>
      </c>
      <c r="C83" s="3360" t="s">
        <v>128</v>
      </c>
      <c r="D83" s="3411"/>
      <c r="E83" s="1989"/>
      <c r="F83" s="1989">
        <v>0</v>
      </c>
      <c r="G83" s="1989"/>
      <c r="H83" s="1989"/>
      <c r="I83" s="1989"/>
      <c r="J83" s="3413"/>
      <c r="K83" s="3413"/>
      <c r="L83" s="3413"/>
      <c r="M83" s="3413"/>
      <c r="N83" s="3413"/>
      <c r="O83" s="3413"/>
      <c r="P83" s="3413"/>
      <c r="Q83" s="3413"/>
      <c r="R83" s="3413"/>
      <c r="S83" s="3413"/>
      <c r="T83" s="3413"/>
      <c r="U83" s="3413"/>
      <c r="V83" s="3414"/>
      <c r="W83" s="3411"/>
      <c r="X83" s="3415"/>
      <c r="Y83" s="3508" t="s">
        <v>478</v>
      </c>
    </row>
    <row r="84" spans="1:28" s="1179" customFormat="1" ht="13.5" customHeight="1">
      <c r="A84" s="3472"/>
      <c r="B84" s="1988" t="s">
        <v>22</v>
      </c>
      <c r="C84" s="3396"/>
      <c r="D84" s="3369">
        <f>+D85</f>
        <v>2900000</v>
      </c>
      <c r="E84" s="3369">
        <f>+E85</f>
        <v>637500</v>
      </c>
      <c r="F84" s="3369">
        <f t="shared" ref="F84:X84" si="56">+F85</f>
        <v>0</v>
      </c>
      <c r="G84" s="3369">
        <f t="shared" si="56"/>
        <v>0</v>
      </c>
      <c r="H84" s="3369">
        <f t="shared" si="56"/>
        <v>0</v>
      </c>
      <c r="I84" s="3369">
        <f t="shared" si="56"/>
        <v>306000</v>
      </c>
      <c r="J84" s="3369">
        <f t="shared" si="56"/>
        <v>306000</v>
      </c>
      <c r="K84" s="3369">
        <f t="shared" si="56"/>
        <v>306000</v>
      </c>
      <c r="L84" s="3369">
        <f t="shared" si="56"/>
        <v>306000</v>
      </c>
      <c r="M84" s="3369">
        <f t="shared" si="56"/>
        <v>2167500</v>
      </c>
      <c r="N84" s="3369">
        <f t="shared" si="56"/>
        <v>306000</v>
      </c>
      <c r="O84" s="3369">
        <f t="shared" si="56"/>
        <v>306000</v>
      </c>
      <c r="P84" s="3369">
        <f t="shared" si="56"/>
        <v>306000</v>
      </c>
      <c r="Q84" s="3369">
        <f t="shared" si="56"/>
        <v>120500</v>
      </c>
      <c r="R84" s="3424">
        <v>0</v>
      </c>
      <c r="S84" s="3424">
        <v>0</v>
      </c>
      <c r="T84" s="3424">
        <v>0</v>
      </c>
      <c r="U84" s="3424">
        <v>0</v>
      </c>
      <c r="V84" s="3425">
        <v>0</v>
      </c>
      <c r="W84" s="3425">
        <v>0</v>
      </c>
      <c r="X84" s="3426">
        <f t="shared" si="56"/>
        <v>426500</v>
      </c>
      <c r="Y84" s="3511"/>
      <c r="AA84" s="1186"/>
    </row>
    <row r="85" spans="1:28" s="1179" customFormat="1" ht="13.5" customHeight="1">
      <c r="A85" s="3472"/>
      <c r="B85" s="3427" t="s">
        <v>36</v>
      </c>
      <c r="C85" s="3512" t="s">
        <v>157</v>
      </c>
      <c r="D85" s="3376">
        <f>+D86+D87</f>
        <v>2900000</v>
      </c>
      <c r="E85" s="3376">
        <f>+E86</f>
        <v>637500</v>
      </c>
      <c r="F85" s="3376">
        <f>+F87</f>
        <v>0</v>
      </c>
      <c r="G85" s="3376">
        <f>+G87</f>
        <v>0</v>
      </c>
      <c r="H85" s="3376">
        <f>+H87</f>
        <v>0</v>
      </c>
      <c r="I85" s="3376">
        <f>+I86+I87</f>
        <v>306000</v>
      </c>
      <c r="J85" s="3376">
        <f>+J86+J87</f>
        <v>306000</v>
      </c>
      <c r="K85" s="3376">
        <f>+K86+K87</f>
        <v>306000</v>
      </c>
      <c r="L85" s="3376">
        <f>+L86</f>
        <v>306000</v>
      </c>
      <c r="M85" s="3376">
        <f>+M86</f>
        <v>2167500</v>
      </c>
      <c r="N85" s="3376">
        <f>+N86+N87</f>
        <v>306000</v>
      </c>
      <c r="O85" s="3376">
        <f>+O86+O87</f>
        <v>306000</v>
      </c>
      <c r="P85" s="3376">
        <f>+P87</f>
        <v>306000</v>
      </c>
      <c r="Q85" s="3376">
        <f>+Q87</f>
        <v>120500</v>
      </c>
      <c r="R85" s="3454">
        <v>0</v>
      </c>
      <c r="S85" s="3454">
        <v>0</v>
      </c>
      <c r="T85" s="3454">
        <v>0</v>
      </c>
      <c r="U85" s="3454">
        <v>0</v>
      </c>
      <c r="V85" s="3454">
        <v>0</v>
      </c>
      <c r="W85" s="3455">
        <v>0</v>
      </c>
      <c r="X85" s="3513">
        <f>+X87</f>
        <v>426500</v>
      </c>
      <c r="Y85" s="3511"/>
    </row>
    <row r="86" spans="1:28" s="1179" customFormat="1" ht="13.5" customHeight="1">
      <c r="A86" s="3472"/>
      <c r="B86" s="3432" t="s">
        <v>154</v>
      </c>
      <c r="C86" s="3514"/>
      <c r="D86" s="3382">
        <f>M86+O86+P86+Q86+R86+S86+T86+U86+V86+W86</f>
        <v>2473500</v>
      </c>
      <c r="E86" s="3483">
        <v>637500</v>
      </c>
      <c r="F86" s="3483"/>
      <c r="G86" s="3483"/>
      <c r="H86" s="3483"/>
      <c r="I86" s="3483">
        <v>306000</v>
      </c>
      <c r="J86" s="3483">
        <v>306000</v>
      </c>
      <c r="K86" s="3483">
        <v>306000</v>
      </c>
      <c r="L86" s="3483">
        <v>306000</v>
      </c>
      <c r="M86" s="3382">
        <f>+L86+K86+J86+I86+E86+N86</f>
        <v>2167500</v>
      </c>
      <c r="N86" s="3483">
        <v>306000</v>
      </c>
      <c r="O86" s="3437">
        <v>306000</v>
      </c>
      <c r="P86" s="3483">
        <v>0</v>
      </c>
      <c r="Q86" s="3483">
        <v>0</v>
      </c>
      <c r="R86" s="3484">
        <v>0</v>
      </c>
      <c r="S86" s="3484">
        <v>0</v>
      </c>
      <c r="T86" s="3484">
        <v>0</v>
      </c>
      <c r="U86" s="3484">
        <v>0</v>
      </c>
      <c r="V86" s="3484">
        <v>0</v>
      </c>
      <c r="W86" s="3485">
        <v>0</v>
      </c>
      <c r="X86" s="3515">
        <v>0</v>
      </c>
      <c r="Y86" s="3511"/>
    </row>
    <row r="87" spans="1:28" s="1179" customFormat="1" ht="13.5" customHeight="1" thickBot="1">
      <c r="A87" s="3516"/>
      <c r="B87" s="3517" t="s">
        <v>158</v>
      </c>
      <c r="C87" s="3514"/>
      <c r="D87" s="3382">
        <f>M87+O87+P87+Q87+R87+S87+T87+U87+V87+W87</f>
        <v>426500</v>
      </c>
      <c r="E87" s="2155">
        <v>0</v>
      </c>
      <c r="F87" s="2155">
        <v>0</v>
      </c>
      <c r="G87" s="2155">
        <v>0</v>
      </c>
      <c r="H87" s="2155"/>
      <c r="I87" s="2155">
        <v>0</v>
      </c>
      <c r="J87" s="2155">
        <v>0</v>
      </c>
      <c r="K87" s="2155">
        <v>0</v>
      </c>
      <c r="L87" s="2155">
        <v>0</v>
      </c>
      <c r="M87" s="3382">
        <f>+L87+K87+J87+I87+E87+N87</f>
        <v>0</v>
      </c>
      <c r="N87" s="2155">
        <v>0</v>
      </c>
      <c r="O87" s="3519">
        <v>0</v>
      </c>
      <c r="P87" s="2155">
        <v>306000</v>
      </c>
      <c r="Q87" s="2155">
        <v>120500</v>
      </c>
      <c r="R87" s="2449">
        <v>0</v>
      </c>
      <c r="S87" s="2449">
        <v>0</v>
      </c>
      <c r="T87" s="2449">
        <v>0</v>
      </c>
      <c r="U87" s="2449">
        <v>0</v>
      </c>
      <c r="V87" s="2449">
        <v>0</v>
      </c>
      <c r="W87" s="3506">
        <v>0</v>
      </c>
      <c r="X87" s="3387">
        <f>SUM(P87:W87)</f>
        <v>426500</v>
      </c>
      <c r="Y87" s="2930"/>
      <c r="AB87" s="1186"/>
    </row>
    <row r="88" spans="1:28" s="1179" customFormat="1" ht="29.25" customHeight="1">
      <c r="A88" s="3452" t="s">
        <v>136</v>
      </c>
      <c r="B88" s="3123" t="s">
        <v>352</v>
      </c>
      <c r="C88" s="3360" t="s">
        <v>128</v>
      </c>
      <c r="D88" s="3411"/>
      <c r="E88" s="1989"/>
      <c r="F88" s="1989"/>
      <c r="G88" s="1989"/>
      <c r="H88" s="1989"/>
      <c r="I88" s="1989"/>
      <c r="J88" s="3413"/>
      <c r="K88" s="3413"/>
      <c r="L88" s="3413"/>
      <c r="M88" s="3413"/>
      <c r="N88" s="3413"/>
      <c r="O88" s="3413"/>
      <c r="P88" s="3413"/>
      <c r="Q88" s="3413"/>
      <c r="R88" s="3413"/>
      <c r="S88" s="3413"/>
      <c r="T88" s="3413"/>
      <c r="U88" s="3413"/>
      <c r="V88" s="3413"/>
      <c r="W88" s="3411"/>
      <c r="X88" s="3415"/>
      <c r="Y88" s="3508" t="s">
        <v>477</v>
      </c>
    </row>
    <row r="89" spans="1:28" s="1179" customFormat="1" ht="13.5" customHeight="1">
      <c r="A89" s="3472"/>
      <c r="B89" s="1988" t="s">
        <v>22</v>
      </c>
      <c r="C89" s="3396"/>
      <c r="D89" s="3369">
        <f>+D90</f>
        <v>8000000</v>
      </c>
      <c r="E89" s="3369">
        <f>+E90</f>
        <v>0</v>
      </c>
      <c r="F89" s="3369">
        <f t="shared" ref="F89:X89" si="57">+F90</f>
        <v>0</v>
      </c>
      <c r="G89" s="3369">
        <f t="shared" si="57"/>
        <v>0</v>
      </c>
      <c r="H89" s="3369">
        <f t="shared" si="57"/>
        <v>0</v>
      </c>
      <c r="I89" s="3369">
        <f t="shared" si="57"/>
        <v>0</v>
      </c>
      <c r="J89" s="3369">
        <f t="shared" si="57"/>
        <v>0</v>
      </c>
      <c r="K89" s="3369">
        <f t="shared" si="57"/>
        <v>0</v>
      </c>
      <c r="L89" s="3369">
        <f t="shared" si="57"/>
        <v>0</v>
      </c>
      <c r="M89" s="3369">
        <f t="shared" si="57"/>
        <v>480000</v>
      </c>
      <c r="N89" s="3369">
        <f t="shared" si="57"/>
        <v>480000</v>
      </c>
      <c r="O89" s="3369">
        <f t="shared" si="57"/>
        <v>100000</v>
      </c>
      <c r="P89" s="3369">
        <f t="shared" si="57"/>
        <v>1080000</v>
      </c>
      <c r="Q89" s="3369">
        <f t="shared" si="57"/>
        <v>1080000</v>
      </c>
      <c r="R89" s="3369">
        <f t="shared" si="57"/>
        <v>1080000</v>
      </c>
      <c r="S89" s="3369">
        <f t="shared" si="57"/>
        <v>1080000</v>
      </c>
      <c r="T89" s="3369">
        <f t="shared" si="57"/>
        <v>1080000</v>
      </c>
      <c r="U89" s="3369">
        <f t="shared" si="57"/>
        <v>1080000</v>
      </c>
      <c r="V89" s="3369">
        <f t="shared" si="57"/>
        <v>940000</v>
      </c>
      <c r="W89" s="3520">
        <f t="shared" si="57"/>
        <v>0</v>
      </c>
      <c r="X89" s="3426">
        <f t="shared" si="57"/>
        <v>7420000</v>
      </c>
      <c r="Y89" s="3511"/>
    </row>
    <row r="90" spans="1:28" s="1163" customFormat="1" ht="13.5" customHeight="1">
      <c r="A90" s="3472"/>
      <c r="B90" s="3374" t="s">
        <v>36</v>
      </c>
      <c r="C90" s="3512" t="s">
        <v>157</v>
      </c>
      <c r="D90" s="3521">
        <f>+D91+D92</f>
        <v>8000000</v>
      </c>
      <c r="E90" s="3521">
        <f t="shared" ref="E90:L90" si="58">+E92</f>
        <v>0</v>
      </c>
      <c r="F90" s="3521">
        <f t="shared" si="58"/>
        <v>0</v>
      </c>
      <c r="G90" s="3521">
        <f t="shared" si="58"/>
        <v>0</v>
      </c>
      <c r="H90" s="3521">
        <f t="shared" si="58"/>
        <v>0</v>
      </c>
      <c r="I90" s="3521">
        <f t="shared" si="58"/>
        <v>0</v>
      </c>
      <c r="J90" s="3521">
        <f t="shared" si="58"/>
        <v>0</v>
      </c>
      <c r="K90" s="3521">
        <f t="shared" si="58"/>
        <v>0</v>
      </c>
      <c r="L90" s="3521">
        <f t="shared" si="58"/>
        <v>0</v>
      </c>
      <c r="M90" s="3376">
        <f t="shared" ref="M90:W90" si="59">+M91+M92</f>
        <v>480000</v>
      </c>
      <c r="N90" s="3521">
        <f t="shared" si="59"/>
        <v>480000</v>
      </c>
      <c r="O90" s="3521">
        <f t="shared" si="59"/>
        <v>100000</v>
      </c>
      <c r="P90" s="3521">
        <f t="shared" si="59"/>
        <v>1080000</v>
      </c>
      <c r="Q90" s="3521">
        <f t="shared" si="59"/>
        <v>1080000</v>
      </c>
      <c r="R90" s="3521">
        <f t="shared" si="59"/>
        <v>1080000</v>
      </c>
      <c r="S90" s="3521">
        <f t="shared" si="59"/>
        <v>1080000</v>
      </c>
      <c r="T90" s="3521">
        <f t="shared" si="59"/>
        <v>1080000</v>
      </c>
      <c r="U90" s="3521">
        <f t="shared" si="59"/>
        <v>1080000</v>
      </c>
      <c r="V90" s="3521">
        <f t="shared" si="59"/>
        <v>940000</v>
      </c>
      <c r="W90" s="3522">
        <f t="shared" si="59"/>
        <v>0</v>
      </c>
      <c r="X90" s="3513">
        <f>+X92</f>
        <v>7420000</v>
      </c>
      <c r="Y90" s="3511"/>
    </row>
    <row r="91" spans="1:28" s="1163" customFormat="1" ht="13.5" customHeight="1">
      <c r="A91" s="3472"/>
      <c r="B91" s="3432" t="s">
        <v>154</v>
      </c>
      <c r="C91" s="3514"/>
      <c r="D91" s="3382">
        <f>M91+O91+P91+Q91+R91+S91+T91+U91+V91+W91</f>
        <v>580000</v>
      </c>
      <c r="E91" s="3523"/>
      <c r="F91" s="922"/>
      <c r="G91" s="3524"/>
      <c r="H91" s="3524"/>
      <c r="I91" s="3437"/>
      <c r="J91" s="3437"/>
      <c r="K91" s="3437"/>
      <c r="L91" s="3525"/>
      <c r="M91" s="3382">
        <f>+L91+K91+J91+I91+E91+N91</f>
        <v>480000</v>
      </c>
      <c r="N91" s="3437">
        <v>480000</v>
      </c>
      <c r="O91" s="3437">
        <v>100000</v>
      </c>
      <c r="P91" s="3437">
        <v>0</v>
      </c>
      <c r="Q91" s="3437">
        <v>0</v>
      </c>
      <c r="R91" s="3437">
        <v>0</v>
      </c>
      <c r="S91" s="3437">
        <v>0</v>
      </c>
      <c r="T91" s="3437">
        <v>0</v>
      </c>
      <c r="U91" s="3437">
        <v>0</v>
      </c>
      <c r="V91" s="3437">
        <v>0</v>
      </c>
      <c r="W91" s="3526">
        <v>0</v>
      </c>
      <c r="X91" s="3515">
        <v>0</v>
      </c>
      <c r="Y91" s="3511"/>
    </row>
    <row r="92" spans="1:28" s="1163" customFormat="1" ht="13.5" customHeight="1" thickBot="1">
      <c r="A92" s="3516"/>
      <c r="B92" s="3527" t="s">
        <v>158</v>
      </c>
      <c r="C92" s="3528"/>
      <c r="D92" s="2141">
        <f>M92+O92+P92+Q92+R92+S92+T92+U92+V92+W92</f>
        <v>7420000</v>
      </c>
      <c r="E92" s="3529">
        <v>0</v>
      </c>
      <c r="F92" s="777"/>
      <c r="G92" s="3530"/>
      <c r="H92" s="3530"/>
      <c r="I92" s="3519">
        <v>0</v>
      </c>
      <c r="J92" s="2155">
        <v>0</v>
      </c>
      <c r="K92" s="2155">
        <v>0</v>
      </c>
      <c r="L92" s="3529">
        <v>0</v>
      </c>
      <c r="M92" s="2141">
        <f>+L92+K92+J92+I92+E92+N92</f>
        <v>0</v>
      </c>
      <c r="N92" s="2155">
        <v>0</v>
      </c>
      <c r="O92" s="2155">
        <v>0</v>
      </c>
      <c r="P92" s="2155">
        <v>1080000</v>
      </c>
      <c r="Q92" s="2155">
        <v>1080000</v>
      </c>
      <c r="R92" s="2155">
        <v>1080000</v>
      </c>
      <c r="S92" s="2155">
        <v>1080000</v>
      </c>
      <c r="T92" s="2155">
        <v>1080000</v>
      </c>
      <c r="U92" s="2155">
        <v>1080000</v>
      </c>
      <c r="V92" s="2155">
        <v>940000</v>
      </c>
      <c r="W92" s="3531"/>
      <c r="X92" s="3532">
        <f>SUM(P92:W92)</f>
        <v>7420000</v>
      </c>
      <c r="Y92" s="3533"/>
    </row>
    <row r="93" spans="1:28" s="3365" customFormat="1" ht="38.25" customHeight="1">
      <c r="A93" s="3358" t="s">
        <v>104</v>
      </c>
      <c r="B93" s="3123" t="s">
        <v>160</v>
      </c>
      <c r="C93" s="3360" t="s">
        <v>97</v>
      </c>
      <c r="D93" s="3361"/>
      <c r="E93" s="3362"/>
      <c r="F93" s="3362"/>
      <c r="G93" s="3362"/>
      <c r="H93" s="3362"/>
      <c r="I93" s="3362"/>
      <c r="J93" s="3362"/>
      <c r="K93" s="3362"/>
      <c r="L93" s="3362"/>
      <c r="M93" s="3362"/>
      <c r="N93" s="3362"/>
      <c r="O93" s="3362"/>
      <c r="P93" s="3362"/>
      <c r="Q93" s="3362"/>
      <c r="R93" s="3362"/>
      <c r="S93" s="3362"/>
      <c r="T93" s="3362"/>
      <c r="U93" s="3362"/>
      <c r="V93" s="3362"/>
      <c r="W93" s="3361"/>
      <c r="X93" s="3364"/>
      <c r="Y93" s="2963" t="s">
        <v>479</v>
      </c>
    </row>
    <row r="94" spans="1:28" s="1179" customFormat="1" ht="13.5" customHeight="1">
      <c r="A94" s="3366"/>
      <c r="B94" s="3367" t="s">
        <v>22</v>
      </c>
      <c r="C94" s="3368"/>
      <c r="D94" s="3369">
        <f t="shared" ref="D94:K94" si="60">+D95+D98</f>
        <v>11643371</v>
      </c>
      <c r="E94" s="3369">
        <f t="shared" si="60"/>
        <v>0</v>
      </c>
      <c r="F94" s="3369">
        <f t="shared" si="60"/>
        <v>0</v>
      </c>
      <c r="G94" s="3369">
        <f t="shared" si="60"/>
        <v>12200</v>
      </c>
      <c r="H94" s="3369">
        <f t="shared" si="60"/>
        <v>1690859.03</v>
      </c>
      <c r="I94" s="3369">
        <f t="shared" si="60"/>
        <v>0</v>
      </c>
      <c r="J94" s="3369">
        <f t="shared" si="60"/>
        <v>0</v>
      </c>
      <c r="K94" s="3369">
        <f t="shared" si="60"/>
        <v>0</v>
      </c>
      <c r="L94" s="3369">
        <f t="shared" ref="L94:W94" si="61">+L95+L98</f>
        <v>548968</v>
      </c>
      <c r="M94" s="3369">
        <f t="shared" si="61"/>
        <v>1879766</v>
      </c>
      <c r="N94" s="3369">
        <f t="shared" si="61"/>
        <v>4196897</v>
      </c>
      <c r="O94" s="3369">
        <f t="shared" si="61"/>
        <v>9280994</v>
      </c>
      <c r="P94" s="3369">
        <f t="shared" si="61"/>
        <v>482611</v>
      </c>
      <c r="Q94" s="3424">
        <f t="shared" si="61"/>
        <v>0</v>
      </c>
      <c r="R94" s="3424">
        <f t="shared" si="61"/>
        <v>0</v>
      </c>
      <c r="S94" s="3424">
        <f t="shared" si="61"/>
        <v>0</v>
      </c>
      <c r="T94" s="3424">
        <f t="shared" si="61"/>
        <v>0</v>
      </c>
      <c r="U94" s="3424">
        <f t="shared" si="61"/>
        <v>0</v>
      </c>
      <c r="V94" s="3424">
        <f t="shared" si="61"/>
        <v>0</v>
      </c>
      <c r="W94" s="3425">
        <f t="shared" si="61"/>
        <v>0</v>
      </c>
      <c r="X94" s="3426">
        <f>+X95</f>
        <v>0</v>
      </c>
      <c r="Y94" s="2928"/>
    </row>
    <row r="95" spans="1:28" s="1179" customFormat="1" ht="12.75" customHeight="1">
      <c r="A95" s="3366"/>
      <c r="B95" s="3374" t="s">
        <v>36</v>
      </c>
      <c r="C95" s="3375" t="s">
        <v>153</v>
      </c>
      <c r="D95" s="3376">
        <f>+D96+D97</f>
        <v>3493817</v>
      </c>
      <c r="E95" s="3376">
        <f>+E96+E97</f>
        <v>0</v>
      </c>
      <c r="F95" s="3376">
        <f>+F96+F97</f>
        <v>0</v>
      </c>
      <c r="G95" s="3376">
        <f>+G96+G97</f>
        <v>12200</v>
      </c>
      <c r="H95" s="3376">
        <f>+H96+H97</f>
        <v>1690859.03</v>
      </c>
      <c r="I95" s="3376">
        <f t="shared" ref="I95:T95" si="62">+I96+I97</f>
        <v>0</v>
      </c>
      <c r="J95" s="3376">
        <f t="shared" si="62"/>
        <v>0</v>
      </c>
      <c r="K95" s="3376">
        <f t="shared" si="62"/>
        <v>0</v>
      </c>
      <c r="L95" s="3376">
        <f t="shared" si="62"/>
        <v>148492</v>
      </c>
      <c r="M95" s="3376">
        <f t="shared" si="62"/>
        <v>1721730</v>
      </c>
      <c r="N95" s="3376">
        <f t="shared" si="62"/>
        <v>1573238</v>
      </c>
      <c r="O95" s="3376">
        <f t="shared" si="62"/>
        <v>1730400</v>
      </c>
      <c r="P95" s="3376">
        <f t="shared" si="62"/>
        <v>41687</v>
      </c>
      <c r="Q95" s="3454">
        <f t="shared" si="62"/>
        <v>0</v>
      </c>
      <c r="R95" s="3454">
        <f t="shared" si="62"/>
        <v>0</v>
      </c>
      <c r="S95" s="3454">
        <f t="shared" si="62"/>
        <v>0</v>
      </c>
      <c r="T95" s="3454">
        <f t="shared" si="62"/>
        <v>0</v>
      </c>
      <c r="U95" s="3454">
        <f>+U96+U97</f>
        <v>0</v>
      </c>
      <c r="V95" s="3454">
        <f>+V96+V97</f>
        <v>0</v>
      </c>
      <c r="W95" s="3455">
        <f>+W96+W97</f>
        <v>0</v>
      </c>
      <c r="X95" s="3534">
        <f>+X97</f>
        <v>0</v>
      </c>
      <c r="Y95" s="3381"/>
    </row>
    <row r="96" spans="1:28" s="1179" customFormat="1" ht="12">
      <c r="A96" s="3366"/>
      <c r="B96" s="774" t="s">
        <v>154</v>
      </c>
      <c r="C96" s="3482"/>
      <c r="D96" s="3382">
        <f>M96+O96+P96+Q96+R96+S96+T96+U96+V96+W96</f>
        <v>2493817</v>
      </c>
      <c r="E96" s="3382">
        <v>0</v>
      </c>
      <c r="F96" s="3382">
        <v>0</v>
      </c>
      <c r="G96" s="3382">
        <v>12200</v>
      </c>
      <c r="H96" s="3382">
        <v>1015859</v>
      </c>
      <c r="I96" s="3382">
        <v>0</v>
      </c>
      <c r="J96" s="3382">
        <v>0</v>
      </c>
      <c r="K96" s="3382">
        <v>0</v>
      </c>
      <c r="L96" s="3382">
        <v>148492</v>
      </c>
      <c r="M96" s="3382">
        <f>+L96+K96+J96+I96+E96+N96</f>
        <v>721730</v>
      </c>
      <c r="N96" s="3382">
        <f>737277-164039</f>
        <v>573238</v>
      </c>
      <c r="O96" s="3382">
        <f>1394867+335533</f>
        <v>1730400</v>
      </c>
      <c r="P96" s="3382">
        <v>41687</v>
      </c>
      <c r="Q96" s="3433">
        <v>0</v>
      </c>
      <c r="R96" s="3433">
        <v>0</v>
      </c>
      <c r="S96" s="3433">
        <v>0</v>
      </c>
      <c r="T96" s="3433">
        <v>0</v>
      </c>
      <c r="U96" s="3433">
        <v>0</v>
      </c>
      <c r="V96" s="3433">
        <v>0</v>
      </c>
      <c r="W96" s="3434">
        <v>0</v>
      </c>
      <c r="X96" s="3319" t="s">
        <v>77</v>
      </c>
      <c r="Y96" s="3381"/>
      <c r="AB96" s="1186"/>
    </row>
    <row r="97" spans="1:28" s="1179" customFormat="1" ht="13.5" customHeight="1">
      <c r="A97" s="3366"/>
      <c r="B97" s="3386" t="s">
        <v>150</v>
      </c>
      <c r="C97" s="3487"/>
      <c r="D97" s="3382">
        <f>M97+O97+P97+Q97+R97+S97+T97+U97+V97+W97</f>
        <v>1000000</v>
      </c>
      <c r="E97" s="3382">
        <v>0</v>
      </c>
      <c r="F97" s="3382">
        <v>0</v>
      </c>
      <c r="G97" s="3382">
        <v>0</v>
      </c>
      <c r="H97" s="3382">
        <v>675000.03</v>
      </c>
      <c r="I97" s="3382">
        <v>0</v>
      </c>
      <c r="J97" s="3382">
        <v>0</v>
      </c>
      <c r="K97" s="3382">
        <v>0</v>
      </c>
      <c r="L97" s="3382">
        <v>0</v>
      </c>
      <c r="M97" s="3382">
        <f>+L97+K97+J97+I97+E97+N97</f>
        <v>1000000</v>
      </c>
      <c r="N97" s="3382">
        <v>1000000</v>
      </c>
      <c r="O97" s="3382">
        <v>0</v>
      </c>
      <c r="P97" s="3382">
        <v>0</v>
      </c>
      <c r="Q97" s="3433">
        <v>0</v>
      </c>
      <c r="R97" s="3433">
        <v>0</v>
      </c>
      <c r="S97" s="3433">
        <v>0</v>
      </c>
      <c r="T97" s="3433">
        <v>0</v>
      </c>
      <c r="U97" s="3433">
        <v>0</v>
      </c>
      <c r="V97" s="3433">
        <v>0</v>
      </c>
      <c r="W97" s="3434">
        <v>0</v>
      </c>
      <c r="X97" s="3436">
        <f>SUM(P97:T97)</f>
        <v>0</v>
      </c>
      <c r="Y97" s="3381"/>
    </row>
    <row r="98" spans="1:28" s="1179" customFormat="1" ht="13.5" customHeight="1">
      <c r="A98" s="3366"/>
      <c r="B98" s="3388" t="s">
        <v>30</v>
      </c>
      <c r="C98" s="3489" t="s">
        <v>35</v>
      </c>
      <c r="D98" s="3389">
        <f>+D99</f>
        <v>8149554</v>
      </c>
      <c r="E98" s="3389">
        <f t="shared" ref="E98:X98" si="63">+E99</f>
        <v>0</v>
      </c>
      <c r="F98" s="3389">
        <f t="shared" si="63"/>
        <v>0</v>
      </c>
      <c r="G98" s="3389">
        <f t="shared" si="63"/>
        <v>0</v>
      </c>
      <c r="H98" s="3389">
        <f t="shared" si="63"/>
        <v>0</v>
      </c>
      <c r="I98" s="3389">
        <f t="shared" si="63"/>
        <v>0</v>
      </c>
      <c r="J98" s="3389">
        <f t="shared" si="63"/>
        <v>0</v>
      </c>
      <c r="K98" s="3389">
        <f t="shared" si="63"/>
        <v>0</v>
      </c>
      <c r="L98" s="3389">
        <f t="shared" si="63"/>
        <v>400476</v>
      </c>
      <c r="M98" s="3389">
        <f t="shared" si="63"/>
        <v>158036</v>
      </c>
      <c r="N98" s="3389">
        <f t="shared" si="63"/>
        <v>2623659</v>
      </c>
      <c r="O98" s="3389">
        <f t="shared" si="63"/>
        <v>7550594</v>
      </c>
      <c r="P98" s="3389">
        <f t="shared" si="63"/>
        <v>440924</v>
      </c>
      <c r="Q98" s="3441">
        <f t="shared" si="63"/>
        <v>0</v>
      </c>
      <c r="R98" s="3441">
        <f t="shared" si="63"/>
        <v>0</v>
      </c>
      <c r="S98" s="3441">
        <f t="shared" si="63"/>
        <v>0</v>
      </c>
      <c r="T98" s="3441">
        <f t="shared" si="63"/>
        <v>0</v>
      </c>
      <c r="U98" s="3441">
        <f t="shared" si="63"/>
        <v>0</v>
      </c>
      <c r="V98" s="3441">
        <f t="shared" si="63"/>
        <v>0</v>
      </c>
      <c r="W98" s="3442">
        <f t="shared" si="63"/>
        <v>0</v>
      </c>
      <c r="X98" s="3443" t="str">
        <f t="shared" si="63"/>
        <v>x</v>
      </c>
      <c r="Y98" s="3381"/>
    </row>
    <row r="99" spans="1:28" s="1179" customFormat="1" ht="11.25" customHeight="1">
      <c r="A99" s="3366"/>
      <c r="B99" s="3394" t="s">
        <v>48</v>
      </c>
      <c r="C99" s="2828"/>
      <c r="D99" s="3382">
        <f>M99+O99+P99+Q99+R99+S99+T99+U99+V99+W99</f>
        <v>8149554</v>
      </c>
      <c r="E99" s="3395">
        <f>+F99+G99+H99</f>
        <v>0</v>
      </c>
      <c r="F99" s="3395">
        <v>0</v>
      </c>
      <c r="G99" s="3395">
        <v>0</v>
      </c>
      <c r="H99" s="3395">
        <v>0</v>
      </c>
      <c r="I99" s="3395">
        <v>0</v>
      </c>
      <c r="J99" s="3395">
        <v>0</v>
      </c>
      <c r="K99" s="3395">
        <v>0</v>
      </c>
      <c r="L99" s="3395">
        <v>400476</v>
      </c>
      <c r="M99" s="3382">
        <f>+L99+K99+J99+I99+E99+N99-2866099</f>
        <v>158036</v>
      </c>
      <c r="N99" s="3395">
        <f>4506398-1882739</f>
        <v>2623659</v>
      </c>
      <c r="O99" s="3395">
        <f>4184600+982505+2383489</f>
        <v>7550594</v>
      </c>
      <c r="P99" s="3395">
        <v>440924</v>
      </c>
      <c r="Q99" s="3456">
        <v>0</v>
      </c>
      <c r="R99" s="3456">
        <v>0</v>
      </c>
      <c r="S99" s="3456">
        <v>0</v>
      </c>
      <c r="T99" s="3456">
        <v>0</v>
      </c>
      <c r="U99" s="3456">
        <v>0</v>
      </c>
      <c r="V99" s="3456">
        <v>0</v>
      </c>
      <c r="W99" s="3457">
        <v>0</v>
      </c>
      <c r="X99" s="3535" t="s">
        <v>77</v>
      </c>
      <c r="Y99" s="3381"/>
    </row>
    <row r="100" spans="1:28" s="1179" customFormat="1" ht="13.5" customHeight="1">
      <c r="A100" s="3366"/>
      <c r="B100" s="1988" t="s">
        <v>34</v>
      </c>
      <c r="C100" s="3462"/>
      <c r="D100" s="3369">
        <f>D102</f>
        <v>8149554</v>
      </c>
      <c r="E100" s="3369">
        <f>E102</f>
        <v>0</v>
      </c>
      <c r="F100" s="3369">
        <f>F102</f>
        <v>0</v>
      </c>
      <c r="G100" s="3369">
        <f>G102</f>
        <v>0</v>
      </c>
      <c r="H100" s="3369">
        <f>H102</f>
        <v>0</v>
      </c>
      <c r="I100" s="3369">
        <f>+I101</f>
        <v>0</v>
      </c>
      <c r="J100" s="3369">
        <f t="shared" ref="J100:W101" si="64">+J101</f>
        <v>0</v>
      </c>
      <c r="K100" s="3369">
        <f t="shared" si="64"/>
        <v>0</v>
      </c>
      <c r="L100" s="3369">
        <f t="shared" si="64"/>
        <v>400476</v>
      </c>
      <c r="M100" s="3369">
        <f t="shared" si="64"/>
        <v>158036</v>
      </c>
      <c r="N100" s="3369">
        <f t="shared" si="64"/>
        <v>2623659</v>
      </c>
      <c r="O100" s="3369">
        <f t="shared" si="64"/>
        <v>7550594</v>
      </c>
      <c r="P100" s="3369">
        <f t="shared" si="64"/>
        <v>440924</v>
      </c>
      <c r="Q100" s="3424">
        <f t="shared" si="64"/>
        <v>0</v>
      </c>
      <c r="R100" s="3424">
        <f t="shared" si="64"/>
        <v>0</v>
      </c>
      <c r="S100" s="3424">
        <f t="shared" si="64"/>
        <v>0</v>
      </c>
      <c r="T100" s="3424">
        <f t="shared" si="64"/>
        <v>0</v>
      </c>
      <c r="U100" s="3424">
        <f t="shared" si="64"/>
        <v>0</v>
      </c>
      <c r="V100" s="3424">
        <f t="shared" si="64"/>
        <v>0</v>
      </c>
      <c r="W100" s="3425">
        <f t="shared" si="64"/>
        <v>0</v>
      </c>
      <c r="X100" s="3350" t="s">
        <v>77</v>
      </c>
      <c r="Y100" s="3381"/>
    </row>
    <row r="101" spans="1:28" s="1179" customFormat="1" ht="13.5" customHeight="1">
      <c r="A101" s="3366"/>
      <c r="B101" s="3388" t="s">
        <v>30</v>
      </c>
      <c r="C101" s="3489" t="s">
        <v>35</v>
      </c>
      <c r="D101" s="3399">
        <f>+D102</f>
        <v>8149554</v>
      </c>
      <c r="E101" s="3399">
        <f t="shared" ref="E101:L101" si="65">+E102</f>
        <v>0</v>
      </c>
      <c r="F101" s="3399">
        <f t="shared" si="65"/>
        <v>0</v>
      </c>
      <c r="G101" s="3399">
        <f t="shared" si="65"/>
        <v>0</v>
      </c>
      <c r="H101" s="3399">
        <f t="shared" si="65"/>
        <v>0</v>
      </c>
      <c r="I101" s="3399">
        <f t="shared" si="65"/>
        <v>0</v>
      </c>
      <c r="J101" s="3399">
        <f t="shared" si="65"/>
        <v>0</v>
      </c>
      <c r="K101" s="3399">
        <f t="shared" si="65"/>
        <v>0</v>
      </c>
      <c r="L101" s="3399">
        <f t="shared" si="65"/>
        <v>400476</v>
      </c>
      <c r="M101" s="3399">
        <f>+M102</f>
        <v>158036</v>
      </c>
      <c r="N101" s="3399">
        <f t="shared" si="64"/>
        <v>2623659</v>
      </c>
      <c r="O101" s="3399">
        <f t="shared" si="64"/>
        <v>7550594</v>
      </c>
      <c r="P101" s="3399">
        <f t="shared" si="64"/>
        <v>440924</v>
      </c>
      <c r="Q101" s="3447">
        <f t="shared" si="64"/>
        <v>0</v>
      </c>
      <c r="R101" s="3447">
        <f t="shared" si="64"/>
        <v>0</v>
      </c>
      <c r="S101" s="3447">
        <f t="shared" si="64"/>
        <v>0</v>
      </c>
      <c r="T101" s="3447">
        <f t="shared" si="64"/>
        <v>0</v>
      </c>
      <c r="U101" s="3536">
        <f t="shared" si="64"/>
        <v>0</v>
      </c>
      <c r="V101" s="3536">
        <f t="shared" si="64"/>
        <v>0</v>
      </c>
      <c r="W101" s="3537">
        <f t="shared" si="64"/>
        <v>0</v>
      </c>
      <c r="X101" s="3351"/>
      <c r="Y101" s="3381"/>
    </row>
    <row r="102" spans="1:28" s="1179" customFormat="1" ht="14.25" customHeight="1" thickBot="1">
      <c r="A102" s="3403"/>
      <c r="B102" s="3538" t="s">
        <v>48</v>
      </c>
      <c r="C102" s="2832"/>
      <c r="D102" s="2141">
        <f>M102+O102+P102+Q102+R102+S102+T102+U102+V102+W102</f>
        <v>8149554</v>
      </c>
      <c r="E102" s="1355">
        <v>0</v>
      </c>
      <c r="F102" s="1355">
        <v>0</v>
      </c>
      <c r="G102" s="1355">
        <v>0</v>
      </c>
      <c r="H102" s="1355">
        <v>0</v>
      </c>
      <c r="I102" s="1355">
        <v>0</v>
      </c>
      <c r="J102" s="1355">
        <v>0</v>
      </c>
      <c r="K102" s="1355">
        <v>0</v>
      </c>
      <c r="L102" s="1355">
        <v>400476</v>
      </c>
      <c r="M102" s="2141">
        <f>+L102+K102+J102+I102+E102+N102-2866099</f>
        <v>158036</v>
      </c>
      <c r="N102" s="1355">
        <f>4506398-1882739</f>
        <v>2623659</v>
      </c>
      <c r="O102" s="1355">
        <f>4184600+982505+2383489</f>
        <v>7550594</v>
      </c>
      <c r="P102" s="1355">
        <v>440924</v>
      </c>
      <c r="Q102" s="3451">
        <v>0</v>
      </c>
      <c r="R102" s="3451">
        <v>0</v>
      </c>
      <c r="S102" s="3451">
        <v>0</v>
      </c>
      <c r="T102" s="3451">
        <v>0</v>
      </c>
      <c r="U102" s="3451">
        <v>0</v>
      </c>
      <c r="V102" s="3451">
        <v>0</v>
      </c>
      <c r="W102" s="3539">
        <v>0</v>
      </c>
      <c r="X102" s="3357"/>
      <c r="Y102" s="3408"/>
    </row>
    <row r="103" spans="1:28" s="1987" customFormat="1" ht="51.75" customHeight="1">
      <c r="A103" s="3358" t="s">
        <v>105</v>
      </c>
      <c r="B103" s="3123" t="s">
        <v>361</v>
      </c>
      <c r="C103" s="3360" t="s">
        <v>97</v>
      </c>
      <c r="D103" s="3361"/>
      <c r="E103" s="3362"/>
      <c r="F103" s="3362"/>
      <c r="G103" s="3362"/>
      <c r="H103" s="3362"/>
      <c r="I103" s="3362"/>
      <c r="J103" s="3362"/>
      <c r="K103" s="3362"/>
      <c r="L103" s="3362"/>
      <c r="M103" s="3362"/>
      <c r="N103" s="3362"/>
      <c r="O103" s="3362"/>
      <c r="P103" s="3362"/>
      <c r="Q103" s="3362"/>
      <c r="R103" s="3362"/>
      <c r="S103" s="3362"/>
      <c r="T103" s="3362"/>
      <c r="U103" s="3362"/>
      <c r="V103" s="3362"/>
      <c r="W103" s="3361"/>
      <c r="X103" s="3364"/>
      <c r="Y103" s="3540" t="s">
        <v>480</v>
      </c>
      <c r="Z103" s="2619"/>
      <c r="AA103" s="2619"/>
      <c r="AB103" s="2619"/>
    </row>
    <row r="104" spans="1:28" s="1987" customFormat="1" ht="15" customHeight="1">
      <c r="A104" s="2954"/>
      <c r="B104" s="1988" t="s">
        <v>22</v>
      </c>
      <c r="C104" s="3368"/>
      <c r="D104" s="3369">
        <f t="shared" ref="D104:K104" si="66">+D105+D109</f>
        <v>23256804</v>
      </c>
      <c r="E104" s="3369">
        <f t="shared" si="66"/>
        <v>0</v>
      </c>
      <c r="F104" s="3369">
        <f t="shared" si="66"/>
        <v>0</v>
      </c>
      <c r="G104" s="3369">
        <f t="shared" si="66"/>
        <v>12200</v>
      </c>
      <c r="H104" s="3369">
        <f t="shared" si="66"/>
        <v>1690859.03</v>
      </c>
      <c r="I104" s="3369">
        <f t="shared" si="66"/>
        <v>0</v>
      </c>
      <c r="J104" s="3369">
        <f t="shared" si="66"/>
        <v>0</v>
      </c>
      <c r="K104" s="3369">
        <f t="shared" si="66"/>
        <v>0</v>
      </c>
      <c r="L104" s="3369">
        <f t="shared" ref="L104:W104" si="67">+L105+L109</f>
        <v>0</v>
      </c>
      <c r="M104" s="3369">
        <f t="shared" si="67"/>
        <v>117351</v>
      </c>
      <c r="N104" s="3369">
        <f t="shared" si="67"/>
        <v>117351</v>
      </c>
      <c r="O104" s="3369">
        <f t="shared" si="67"/>
        <v>22222069</v>
      </c>
      <c r="P104" s="3369">
        <f t="shared" si="67"/>
        <v>917384</v>
      </c>
      <c r="Q104" s="3424">
        <f t="shared" si="67"/>
        <v>0</v>
      </c>
      <c r="R104" s="3424">
        <f t="shared" si="67"/>
        <v>0</v>
      </c>
      <c r="S104" s="3424">
        <f t="shared" si="67"/>
        <v>0</v>
      </c>
      <c r="T104" s="3424">
        <f t="shared" si="67"/>
        <v>0</v>
      </c>
      <c r="U104" s="3424">
        <f t="shared" si="67"/>
        <v>0</v>
      </c>
      <c r="V104" s="3424">
        <f t="shared" si="67"/>
        <v>0</v>
      </c>
      <c r="W104" s="3425">
        <f t="shared" si="67"/>
        <v>0</v>
      </c>
      <c r="X104" s="3426">
        <f>+X105</f>
        <v>916455</v>
      </c>
      <c r="Y104" s="3541"/>
    </row>
    <row r="105" spans="1:28" s="1987" customFormat="1" ht="15" customHeight="1">
      <c r="A105" s="2954"/>
      <c r="B105" s="3374" t="s">
        <v>36</v>
      </c>
      <c r="C105" s="3375" t="s">
        <v>153</v>
      </c>
      <c r="D105" s="3376">
        <f>+D106+D107+D108</f>
        <v>8870930</v>
      </c>
      <c r="E105" s="3376">
        <f>+E106+E107</f>
        <v>0</v>
      </c>
      <c r="F105" s="3376">
        <f>+F106+F107</f>
        <v>0</v>
      </c>
      <c r="G105" s="3376">
        <f>+G106+G107</f>
        <v>12200</v>
      </c>
      <c r="H105" s="3376">
        <f>+H106+H107</f>
        <v>1690859.03</v>
      </c>
      <c r="I105" s="3376">
        <f t="shared" ref="I105:T105" si="68">+I106+I107</f>
        <v>0</v>
      </c>
      <c r="J105" s="3376">
        <f t="shared" si="68"/>
        <v>0</v>
      </c>
      <c r="K105" s="3376">
        <f t="shared" si="68"/>
        <v>0</v>
      </c>
      <c r="L105" s="3376">
        <f t="shared" si="68"/>
        <v>0</v>
      </c>
      <c r="M105" s="3376">
        <f>+M106+M107</f>
        <v>117351</v>
      </c>
      <c r="N105" s="3376">
        <f t="shared" si="68"/>
        <v>117351</v>
      </c>
      <c r="O105" s="3376">
        <f>+O106+O107+O108</f>
        <v>7837124</v>
      </c>
      <c r="P105" s="3376">
        <f>+P106+P107+P108</f>
        <v>916455</v>
      </c>
      <c r="Q105" s="3454">
        <f t="shared" si="68"/>
        <v>0</v>
      </c>
      <c r="R105" s="3454">
        <f t="shared" si="68"/>
        <v>0</v>
      </c>
      <c r="S105" s="3454">
        <f t="shared" si="68"/>
        <v>0</v>
      </c>
      <c r="T105" s="3454">
        <f t="shared" si="68"/>
        <v>0</v>
      </c>
      <c r="U105" s="3454">
        <f>+U106+U107</f>
        <v>0</v>
      </c>
      <c r="V105" s="3454">
        <f>+V106+V107</f>
        <v>0</v>
      </c>
      <c r="W105" s="3455">
        <f>+W106+W107</f>
        <v>0</v>
      </c>
      <c r="X105" s="3534">
        <f>+X107+X108</f>
        <v>916455</v>
      </c>
      <c r="Y105" s="3542"/>
    </row>
    <row r="106" spans="1:28" s="1987" customFormat="1">
      <c r="A106" s="2954"/>
      <c r="B106" s="774" t="s">
        <v>154</v>
      </c>
      <c r="C106" s="3482"/>
      <c r="D106" s="3382">
        <f>M106+O106+P106+Q106+R106+S106+T106+U106+V106+W106</f>
        <v>4815526</v>
      </c>
      <c r="E106" s="3382">
        <v>0</v>
      </c>
      <c r="F106" s="3382">
        <v>0</v>
      </c>
      <c r="G106" s="3382">
        <v>12200</v>
      </c>
      <c r="H106" s="3382">
        <v>1015859</v>
      </c>
      <c r="I106" s="3382">
        <v>0</v>
      </c>
      <c r="J106" s="3382">
        <v>0</v>
      </c>
      <c r="K106" s="3382">
        <v>0</v>
      </c>
      <c r="L106" s="3382">
        <v>0</v>
      </c>
      <c r="M106" s="3382">
        <f>+L106+K106+J106+I106+E106+N106</f>
        <v>117351</v>
      </c>
      <c r="N106" s="3382">
        <f>1226982-1109631</f>
        <v>117351</v>
      </c>
      <c r="O106" s="3382">
        <f>7341386+209397-1550799-1301809</f>
        <v>4698175</v>
      </c>
      <c r="P106" s="3543">
        <v>0</v>
      </c>
      <c r="Q106" s="3433">
        <v>0</v>
      </c>
      <c r="R106" s="3433">
        <v>0</v>
      </c>
      <c r="S106" s="3433">
        <v>0</v>
      </c>
      <c r="T106" s="3433">
        <v>0</v>
      </c>
      <c r="U106" s="3433">
        <v>0</v>
      </c>
      <c r="V106" s="3433">
        <v>0</v>
      </c>
      <c r="W106" s="3434">
        <v>0</v>
      </c>
      <c r="X106" s="3319" t="s">
        <v>77</v>
      </c>
      <c r="Y106" s="3542"/>
    </row>
    <row r="107" spans="1:28" s="1987" customFormat="1" ht="13.5" customHeight="1">
      <c r="A107" s="2954"/>
      <c r="B107" s="3386" t="s">
        <v>150</v>
      </c>
      <c r="C107" s="3487"/>
      <c r="D107" s="3382">
        <f>M107+O107+P107+Q107+R107+S107+T107+U107+V107+W107</f>
        <v>1000000</v>
      </c>
      <c r="E107" s="3382">
        <v>0</v>
      </c>
      <c r="F107" s="3382">
        <v>0</v>
      </c>
      <c r="G107" s="3382">
        <v>0</v>
      </c>
      <c r="H107" s="3382">
        <v>675000.03</v>
      </c>
      <c r="I107" s="3382">
        <v>0</v>
      </c>
      <c r="J107" s="3382">
        <v>0</v>
      </c>
      <c r="K107" s="3382">
        <v>0</v>
      </c>
      <c r="L107" s="3382">
        <v>0</v>
      </c>
      <c r="M107" s="3382">
        <f>+L107+K107+J107+I107+E107+N107</f>
        <v>0</v>
      </c>
      <c r="N107" s="3382">
        <v>0</v>
      </c>
      <c r="O107" s="3382">
        <v>1000000</v>
      </c>
      <c r="P107" s="3543">
        <v>0</v>
      </c>
      <c r="Q107" s="3433">
        <v>0</v>
      </c>
      <c r="R107" s="3433">
        <v>0</v>
      </c>
      <c r="S107" s="3433">
        <v>0</v>
      </c>
      <c r="T107" s="3433">
        <v>0</v>
      </c>
      <c r="U107" s="3433">
        <v>0</v>
      </c>
      <c r="V107" s="3433">
        <v>0</v>
      </c>
      <c r="W107" s="3433">
        <v>0</v>
      </c>
      <c r="X107" s="3436">
        <f>SUM(P107:T107)</f>
        <v>0</v>
      </c>
      <c r="Y107" s="3542"/>
    </row>
    <row r="108" spans="1:28" s="1987" customFormat="1" ht="13.5" customHeight="1">
      <c r="A108" s="2954"/>
      <c r="B108" s="774" t="s">
        <v>25</v>
      </c>
      <c r="C108" s="3544"/>
      <c r="D108" s="3382">
        <f>M108+O108+P108+Q108+R108+S108+T108+U108+V108+W108</f>
        <v>3055404</v>
      </c>
      <c r="E108" s="3382"/>
      <c r="F108" s="3382"/>
      <c r="G108" s="3382"/>
      <c r="H108" s="3382"/>
      <c r="I108" s="3382"/>
      <c r="J108" s="3382"/>
      <c r="K108" s="3382"/>
      <c r="L108" s="3382"/>
      <c r="M108" s="3382">
        <f>+L108+K108+J108+I108+E108+N108</f>
        <v>0</v>
      </c>
      <c r="N108" s="3382">
        <v>0</v>
      </c>
      <c r="O108" s="3382">
        <f>3056332-917383</f>
        <v>2138949</v>
      </c>
      <c r="P108" s="3382">
        <f>917383-928</f>
        <v>916455</v>
      </c>
      <c r="Q108" s="3433">
        <v>0</v>
      </c>
      <c r="R108" s="3433">
        <v>0</v>
      </c>
      <c r="S108" s="3433">
        <v>0</v>
      </c>
      <c r="T108" s="3433">
        <v>0</v>
      </c>
      <c r="U108" s="3433">
        <v>0</v>
      </c>
      <c r="V108" s="3433">
        <v>0</v>
      </c>
      <c r="W108" s="3433">
        <v>0</v>
      </c>
      <c r="X108" s="3436">
        <f>SUM(P108:T108)</f>
        <v>916455</v>
      </c>
      <c r="Y108" s="3542"/>
    </row>
    <row r="109" spans="1:28" s="1987" customFormat="1" ht="13.5" customHeight="1">
      <c r="A109" s="2954"/>
      <c r="B109" s="3388" t="s">
        <v>30</v>
      </c>
      <c r="C109" s="3489" t="s">
        <v>35</v>
      </c>
      <c r="D109" s="3389">
        <f>+D110</f>
        <v>14385874</v>
      </c>
      <c r="E109" s="3389">
        <f t="shared" ref="E109:X109" si="69">+E110</f>
        <v>0</v>
      </c>
      <c r="F109" s="3389">
        <f t="shared" si="69"/>
        <v>0</v>
      </c>
      <c r="G109" s="3389">
        <f t="shared" si="69"/>
        <v>0</v>
      </c>
      <c r="H109" s="3389">
        <f t="shared" si="69"/>
        <v>0</v>
      </c>
      <c r="I109" s="3389">
        <f t="shared" si="69"/>
        <v>0</v>
      </c>
      <c r="J109" s="3389">
        <f t="shared" si="69"/>
        <v>0</v>
      </c>
      <c r="K109" s="3389">
        <f t="shared" si="69"/>
        <v>0</v>
      </c>
      <c r="L109" s="3389">
        <f t="shared" si="69"/>
        <v>0</v>
      </c>
      <c r="M109" s="3389">
        <f t="shared" si="69"/>
        <v>0</v>
      </c>
      <c r="N109" s="3389">
        <f t="shared" si="69"/>
        <v>0</v>
      </c>
      <c r="O109" s="3389">
        <f t="shared" si="69"/>
        <v>14384945</v>
      </c>
      <c r="P109" s="3389">
        <f>+P110</f>
        <v>929</v>
      </c>
      <c r="Q109" s="3441">
        <f t="shared" si="69"/>
        <v>0</v>
      </c>
      <c r="R109" s="3441">
        <f t="shared" si="69"/>
        <v>0</v>
      </c>
      <c r="S109" s="3441">
        <f t="shared" si="69"/>
        <v>0</v>
      </c>
      <c r="T109" s="3441">
        <f t="shared" si="69"/>
        <v>0</v>
      </c>
      <c r="U109" s="3441">
        <f t="shared" si="69"/>
        <v>0</v>
      </c>
      <c r="V109" s="3441">
        <f t="shared" si="69"/>
        <v>0</v>
      </c>
      <c r="W109" s="3441">
        <f t="shared" si="69"/>
        <v>0</v>
      </c>
      <c r="X109" s="3443" t="str">
        <f t="shared" si="69"/>
        <v>x</v>
      </c>
      <c r="Y109" s="3542"/>
    </row>
    <row r="110" spans="1:28" s="1987" customFormat="1" ht="11.25" customHeight="1">
      <c r="A110" s="2954"/>
      <c r="B110" s="3394" t="s">
        <v>48</v>
      </c>
      <c r="C110" s="2828"/>
      <c r="D110" s="3382">
        <f>M110+O110+P110+Q110+R110+S110+T110+U110+V110+W110</f>
        <v>14385874</v>
      </c>
      <c r="E110" s="3395">
        <f>+F110+G110+H110</f>
        <v>0</v>
      </c>
      <c r="F110" s="3395">
        <v>0</v>
      </c>
      <c r="G110" s="3395">
        <v>0</v>
      </c>
      <c r="H110" s="3395">
        <v>0</v>
      </c>
      <c r="I110" s="3395">
        <v>0</v>
      </c>
      <c r="J110" s="3395">
        <v>0</v>
      </c>
      <c r="K110" s="3395">
        <v>0</v>
      </c>
      <c r="L110" s="3395">
        <v>0</v>
      </c>
      <c r="M110" s="3382">
        <f>+L110+K110+J110+I110+E110+N110</f>
        <v>0</v>
      </c>
      <c r="N110" s="3395">
        <f>1599973-1599973</f>
        <v>0</v>
      </c>
      <c r="O110" s="3395">
        <f>10836665+2500207+1053375-678564+673262</f>
        <v>14384945</v>
      </c>
      <c r="P110" s="3395">
        <f>678564-677635</f>
        <v>929</v>
      </c>
      <c r="Q110" s="3456">
        <v>0</v>
      </c>
      <c r="R110" s="3456">
        <v>0</v>
      </c>
      <c r="S110" s="3456">
        <v>0</v>
      </c>
      <c r="T110" s="3456">
        <v>0</v>
      </c>
      <c r="U110" s="3456">
        <v>0</v>
      </c>
      <c r="V110" s="3456">
        <v>0</v>
      </c>
      <c r="W110" s="3456">
        <v>0</v>
      </c>
      <c r="X110" s="3535" t="s">
        <v>77</v>
      </c>
      <c r="Y110" s="3542"/>
    </row>
    <row r="111" spans="1:28" s="1987" customFormat="1" ht="13.5" customHeight="1">
      <c r="A111" s="2954"/>
      <c r="B111" s="1988" t="s">
        <v>34</v>
      </c>
      <c r="C111" s="3396"/>
      <c r="D111" s="3369">
        <f>+D112+D114</f>
        <v>17441278</v>
      </c>
      <c r="E111" s="3369">
        <f>E115</f>
        <v>0</v>
      </c>
      <c r="F111" s="3369">
        <f>F115</f>
        <v>0</v>
      </c>
      <c r="G111" s="3369">
        <f>G115</f>
        <v>0</v>
      </c>
      <c r="H111" s="3369">
        <f>H115</f>
        <v>0</v>
      </c>
      <c r="I111" s="3369">
        <f t="shared" ref="I111:N111" si="70">+I114</f>
        <v>0</v>
      </c>
      <c r="J111" s="3369">
        <f t="shared" si="70"/>
        <v>0</v>
      </c>
      <c r="K111" s="3369">
        <f t="shared" si="70"/>
        <v>0</v>
      </c>
      <c r="L111" s="3369">
        <f t="shared" si="70"/>
        <v>0</v>
      </c>
      <c r="M111" s="3369">
        <f t="shared" si="70"/>
        <v>0</v>
      </c>
      <c r="N111" s="3369">
        <f t="shared" si="70"/>
        <v>0</v>
      </c>
      <c r="O111" s="3369">
        <f>+O112+O114</f>
        <v>16523894</v>
      </c>
      <c r="P111" s="3369">
        <f>+P114+P112</f>
        <v>917384</v>
      </c>
      <c r="Q111" s="3424">
        <f t="shared" ref="Q111:W111" si="71">+Q114</f>
        <v>0</v>
      </c>
      <c r="R111" s="3424">
        <f t="shared" si="71"/>
        <v>0</v>
      </c>
      <c r="S111" s="3424">
        <f t="shared" si="71"/>
        <v>0</v>
      </c>
      <c r="T111" s="3424">
        <f t="shared" si="71"/>
        <v>0</v>
      </c>
      <c r="U111" s="3424">
        <f t="shared" si="71"/>
        <v>0</v>
      </c>
      <c r="V111" s="3424">
        <f t="shared" si="71"/>
        <v>0</v>
      </c>
      <c r="W111" s="3424">
        <f t="shared" si="71"/>
        <v>0</v>
      </c>
      <c r="X111" s="3350" t="s">
        <v>77</v>
      </c>
      <c r="Y111" s="3542"/>
    </row>
    <row r="112" spans="1:28" s="1987" customFormat="1" ht="13.5" customHeight="1">
      <c r="A112" s="2954"/>
      <c r="B112" s="3374" t="s">
        <v>36</v>
      </c>
      <c r="C112" s="3489">
        <v>75861</v>
      </c>
      <c r="D112" s="3545">
        <f>+D113</f>
        <v>3055404</v>
      </c>
      <c r="E112" s="3545"/>
      <c r="F112" s="3545"/>
      <c r="G112" s="3545"/>
      <c r="H112" s="3545"/>
      <c r="I112" s="3545"/>
      <c r="J112" s="3545"/>
      <c r="K112" s="3545"/>
      <c r="L112" s="3545"/>
      <c r="M112" s="3545"/>
      <c r="N112" s="3545"/>
      <c r="O112" s="3545">
        <f>+O113</f>
        <v>2138949</v>
      </c>
      <c r="P112" s="3545">
        <f>+P113</f>
        <v>916455</v>
      </c>
      <c r="Q112" s="3447"/>
      <c r="R112" s="3447"/>
      <c r="S112" s="3447"/>
      <c r="T112" s="3447"/>
      <c r="U112" s="3447"/>
      <c r="V112" s="3447"/>
      <c r="W112" s="3447"/>
      <c r="X112" s="3351"/>
      <c r="Y112" s="3542"/>
    </row>
    <row r="113" spans="1:27" s="1987" customFormat="1" ht="13.5" customHeight="1">
      <c r="A113" s="2954"/>
      <c r="B113" s="774" t="s">
        <v>25</v>
      </c>
      <c r="C113" s="2828"/>
      <c r="D113" s="3382">
        <f>M113+O113+P113+Q113+R113+S113+T113+U113+V113+W113</f>
        <v>3055404</v>
      </c>
      <c r="E113" s="3382"/>
      <c r="F113" s="3382"/>
      <c r="G113" s="3382"/>
      <c r="H113" s="3382"/>
      <c r="I113" s="3382"/>
      <c r="J113" s="3382"/>
      <c r="K113" s="3382"/>
      <c r="L113" s="3382"/>
      <c r="M113" s="3382">
        <f>+L113+K113+J113+I113+E113+N113</f>
        <v>0</v>
      </c>
      <c r="N113" s="3382">
        <v>0</v>
      </c>
      <c r="O113" s="3382">
        <f>3056332-917383</f>
        <v>2138949</v>
      </c>
      <c r="P113" s="3382">
        <f>917383-928</f>
        <v>916455</v>
      </c>
      <c r="Q113" s="3433">
        <v>0</v>
      </c>
      <c r="R113" s="3433">
        <v>0</v>
      </c>
      <c r="S113" s="3433">
        <v>0</v>
      </c>
      <c r="T113" s="3433">
        <v>0</v>
      </c>
      <c r="U113" s="3433">
        <v>0</v>
      </c>
      <c r="V113" s="3433">
        <v>0</v>
      </c>
      <c r="W113" s="3433">
        <v>0</v>
      </c>
      <c r="X113" s="3351"/>
      <c r="Y113" s="3542"/>
    </row>
    <row r="114" spans="1:27" s="1987" customFormat="1" ht="13.5" customHeight="1">
      <c r="A114" s="2954"/>
      <c r="B114" s="3388" t="s">
        <v>30</v>
      </c>
      <c r="C114" s="2827" t="s">
        <v>35</v>
      </c>
      <c r="D114" s="3545">
        <f>+D115</f>
        <v>14385874</v>
      </c>
      <c r="E114" s="3399">
        <f t="shared" ref="E114:M114" si="72">+E115</f>
        <v>0</v>
      </c>
      <c r="F114" s="3399">
        <f t="shared" si="72"/>
        <v>0</v>
      </c>
      <c r="G114" s="3399">
        <f t="shared" si="72"/>
        <v>0</v>
      </c>
      <c r="H114" s="3399">
        <f t="shared" si="72"/>
        <v>0</v>
      </c>
      <c r="I114" s="3399">
        <f t="shared" si="72"/>
        <v>0</v>
      </c>
      <c r="J114" s="3399">
        <f t="shared" si="72"/>
        <v>0</v>
      </c>
      <c r="K114" s="3399">
        <f t="shared" si="72"/>
        <v>0</v>
      </c>
      <c r="L114" s="3399">
        <f t="shared" si="72"/>
        <v>0</v>
      </c>
      <c r="M114" s="3399">
        <f t="shared" si="72"/>
        <v>0</v>
      </c>
      <c r="N114" s="3399">
        <f t="shared" ref="N114:W114" si="73">+N115</f>
        <v>0</v>
      </c>
      <c r="O114" s="3545">
        <f t="shared" si="73"/>
        <v>14384945</v>
      </c>
      <c r="P114" s="3545">
        <f t="shared" si="73"/>
        <v>929</v>
      </c>
      <c r="Q114" s="3447">
        <f t="shared" si="73"/>
        <v>0</v>
      </c>
      <c r="R114" s="3447">
        <f t="shared" si="73"/>
        <v>0</v>
      </c>
      <c r="S114" s="3447">
        <f t="shared" si="73"/>
        <v>0</v>
      </c>
      <c r="T114" s="3536">
        <f t="shared" si="73"/>
        <v>0</v>
      </c>
      <c r="U114" s="3447">
        <f t="shared" si="73"/>
        <v>0</v>
      </c>
      <c r="V114" s="3447">
        <f t="shared" si="73"/>
        <v>0</v>
      </c>
      <c r="W114" s="3536">
        <f t="shared" si="73"/>
        <v>0</v>
      </c>
      <c r="X114" s="3351"/>
      <c r="Y114" s="3542"/>
    </row>
    <row r="115" spans="1:27" s="1987" customFormat="1" ht="14.25" customHeight="1" thickBot="1">
      <c r="A115" s="2916"/>
      <c r="B115" s="3538" t="s">
        <v>48</v>
      </c>
      <c r="C115" s="2832"/>
      <c r="D115" s="3382">
        <f>M115+O115+P115+Q115+R115+S115+T115+U115+V115+W115</f>
        <v>14385874</v>
      </c>
      <c r="E115" s="1355">
        <v>0</v>
      </c>
      <c r="F115" s="1355"/>
      <c r="G115" s="1355"/>
      <c r="H115" s="1355"/>
      <c r="I115" s="1355">
        <v>0</v>
      </c>
      <c r="J115" s="1355">
        <v>0</v>
      </c>
      <c r="K115" s="1355">
        <v>0</v>
      </c>
      <c r="L115" s="1355">
        <v>0</v>
      </c>
      <c r="M115" s="3382">
        <f>+L115+K115+J115+I115+E115+N115</f>
        <v>0</v>
      </c>
      <c r="N115" s="1355">
        <f>1599973-1599973</f>
        <v>0</v>
      </c>
      <c r="O115" s="1355">
        <f>10836665+2500207+1053375-678564+673262</f>
        <v>14384945</v>
      </c>
      <c r="P115" s="3546">
        <f>678564-677635</f>
        <v>929</v>
      </c>
      <c r="Q115" s="3451">
        <v>0</v>
      </c>
      <c r="R115" s="3451">
        <v>0</v>
      </c>
      <c r="S115" s="3451">
        <v>0</v>
      </c>
      <c r="T115" s="3451">
        <v>0</v>
      </c>
      <c r="U115" s="3469">
        <v>0</v>
      </c>
      <c r="V115" s="3470">
        <v>0</v>
      </c>
      <c r="W115" s="3539">
        <v>0</v>
      </c>
      <c r="X115" s="3357"/>
      <c r="Y115" s="3547"/>
    </row>
    <row r="116" spans="1:27" s="1179" customFormat="1" ht="37.5" customHeight="1">
      <c r="A116" s="3452" t="s">
        <v>106</v>
      </c>
      <c r="B116" s="3123" t="s">
        <v>353</v>
      </c>
      <c r="C116" s="3360" t="s">
        <v>128</v>
      </c>
      <c r="D116" s="3411"/>
      <c r="E116" s="1989"/>
      <c r="F116" s="1989"/>
      <c r="G116" s="1989"/>
      <c r="H116" s="1989"/>
      <c r="I116" s="1989"/>
      <c r="J116" s="3413"/>
      <c r="K116" s="3413"/>
      <c r="L116" s="3413"/>
      <c r="M116" s="3413"/>
      <c r="N116" s="3413"/>
      <c r="O116" s="3413"/>
      <c r="P116" s="3413"/>
      <c r="Q116" s="3413"/>
      <c r="R116" s="3413"/>
      <c r="S116" s="3413"/>
      <c r="T116" s="3413"/>
      <c r="U116" s="3413"/>
      <c r="V116" s="3414"/>
      <c r="W116" s="3411"/>
      <c r="X116" s="3415"/>
      <c r="Y116" s="3548" t="s">
        <v>477</v>
      </c>
    </row>
    <row r="117" spans="1:27" s="1179" customFormat="1" ht="14.25" customHeight="1">
      <c r="A117" s="3472"/>
      <c r="B117" s="1988" t="s">
        <v>22</v>
      </c>
      <c r="C117" s="3509"/>
      <c r="D117" s="3510">
        <f>+D118</f>
        <v>8000000</v>
      </c>
      <c r="E117" s="3510">
        <f>+E118</f>
        <v>0</v>
      </c>
      <c r="F117" s="3510">
        <f t="shared" ref="F117:X117" si="74">+F118</f>
        <v>0</v>
      </c>
      <c r="G117" s="3510">
        <f t="shared" si="74"/>
        <v>0</v>
      </c>
      <c r="H117" s="3510">
        <f t="shared" si="74"/>
        <v>0</v>
      </c>
      <c r="I117" s="3510">
        <f t="shared" si="74"/>
        <v>0</v>
      </c>
      <c r="J117" s="3510">
        <f t="shared" si="74"/>
        <v>0</v>
      </c>
      <c r="K117" s="3510">
        <f t="shared" si="74"/>
        <v>0</v>
      </c>
      <c r="L117" s="3510">
        <f t="shared" si="74"/>
        <v>0</v>
      </c>
      <c r="M117" s="3510">
        <f t="shared" si="74"/>
        <v>0</v>
      </c>
      <c r="N117" s="3510">
        <f t="shared" si="74"/>
        <v>0</v>
      </c>
      <c r="O117" s="3510">
        <f t="shared" si="74"/>
        <v>0</v>
      </c>
      <c r="P117" s="3510">
        <f t="shared" si="74"/>
        <v>685714</v>
      </c>
      <c r="Q117" s="3510">
        <f t="shared" si="74"/>
        <v>685714</v>
      </c>
      <c r="R117" s="3510">
        <f t="shared" si="74"/>
        <v>685714</v>
      </c>
      <c r="S117" s="3510">
        <f t="shared" si="74"/>
        <v>685714</v>
      </c>
      <c r="T117" s="3510">
        <f t="shared" si="74"/>
        <v>685714</v>
      </c>
      <c r="U117" s="3510">
        <f t="shared" si="74"/>
        <v>685714</v>
      </c>
      <c r="V117" s="3549">
        <f t="shared" si="74"/>
        <v>685714</v>
      </c>
      <c r="W117" s="3549">
        <f t="shared" si="74"/>
        <v>685714</v>
      </c>
      <c r="X117" s="3550">
        <f t="shared" si="74"/>
        <v>8000000</v>
      </c>
      <c r="Y117" s="3551"/>
    </row>
    <row r="118" spans="1:27" s="1163" customFormat="1" ht="15.75" customHeight="1">
      <c r="A118" s="3472"/>
      <c r="B118" s="3374" t="s">
        <v>36</v>
      </c>
      <c r="C118" s="3512" t="s">
        <v>157</v>
      </c>
      <c r="D118" s="3521">
        <f>+D119+D120</f>
        <v>8000000</v>
      </c>
      <c r="E118" s="3521">
        <f t="shared" ref="E118:L118" si="75">+E121</f>
        <v>0</v>
      </c>
      <c r="F118" s="3521">
        <f t="shared" si="75"/>
        <v>0</v>
      </c>
      <c r="G118" s="3521">
        <f t="shared" si="75"/>
        <v>0</v>
      </c>
      <c r="H118" s="3521">
        <f t="shared" si="75"/>
        <v>0</v>
      </c>
      <c r="I118" s="3521">
        <f t="shared" si="75"/>
        <v>0</v>
      </c>
      <c r="J118" s="3521">
        <f t="shared" si="75"/>
        <v>0</v>
      </c>
      <c r="K118" s="3521">
        <f t="shared" si="75"/>
        <v>0</v>
      </c>
      <c r="L118" s="3521">
        <f t="shared" si="75"/>
        <v>0</v>
      </c>
      <c r="M118" s="3376">
        <f>+M119+M121</f>
        <v>0</v>
      </c>
      <c r="N118" s="3521">
        <f>+N119+N121</f>
        <v>0</v>
      </c>
      <c r="O118" s="3521">
        <f t="shared" ref="O118:X118" si="76">+O119+O120</f>
        <v>0</v>
      </c>
      <c r="P118" s="3521">
        <f t="shared" si="76"/>
        <v>685714</v>
      </c>
      <c r="Q118" s="3521">
        <f t="shared" si="76"/>
        <v>685714</v>
      </c>
      <c r="R118" s="3521">
        <f t="shared" si="76"/>
        <v>685714</v>
      </c>
      <c r="S118" s="3521">
        <f t="shared" si="76"/>
        <v>685714</v>
      </c>
      <c r="T118" s="3521">
        <f t="shared" si="76"/>
        <v>685714</v>
      </c>
      <c r="U118" s="3521">
        <f t="shared" si="76"/>
        <v>685714</v>
      </c>
      <c r="V118" s="3552">
        <f t="shared" si="76"/>
        <v>685714</v>
      </c>
      <c r="W118" s="3552">
        <f t="shared" si="76"/>
        <v>685714</v>
      </c>
      <c r="X118" s="3513">
        <f t="shared" si="76"/>
        <v>8000000</v>
      </c>
      <c r="Y118" s="3551"/>
    </row>
    <row r="119" spans="1:27" s="1163" customFormat="1" ht="13.5" hidden="1" customHeight="1">
      <c r="A119" s="3472"/>
      <c r="B119" s="3553" t="s">
        <v>154</v>
      </c>
      <c r="C119" s="3514"/>
      <c r="D119" s="3523">
        <v>0</v>
      </c>
      <c r="E119" s="3523"/>
      <c r="F119" s="922"/>
      <c r="G119" s="3554"/>
      <c r="H119" s="3554"/>
      <c r="I119" s="3555"/>
      <c r="J119" s="3555"/>
      <c r="K119" s="3555"/>
      <c r="L119" s="3523"/>
      <c r="M119" s="3483">
        <v>0</v>
      </c>
      <c r="N119" s="3555">
        <v>0</v>
      </c>
      <c r="O119" s="3555">
        <v>0</v>
      </c>
      <c r="P119" s="3555">
        <v>0</v>
      </c>
      <c r="Q119" s="3555">
        <v>0</v>
      </c>
      <c r="R119" s="3555">
        <v>0</v>
      </c>
      <c r="S119" s="3555">
        <v>0</v>
      </c>
      <c r="T119" s="3555">
        <v>0</v>
      </c>
      <c r="U119" s="3555"/>
      <c r="V119" s="3556"/>
      <c r="W119" s="3557"/>
      <c r="X119" s="3314">
        <f>SUM(P119:W119)</f>
        <v>0</v>
      </c>
      <c r="Y119" s="3551"/>
    </row>
    <row r="120" spans="1:27" s="1163" customFormat="1" ht="15" customHeight="1" thickBot="1">
      <c r="A120" s="3558"/>
      <c r="B120" s="3527" t="s">
        <v>158</v>
      </c>
      <c r="C120" s="3528"/>
      <c r="D120" s="3437">
        <f>M120+O120+P120+Q120+R120+S120+T120+U120+V120+W120+685714+685714+685714+457146</f>
        <v>8000000</v>
      </c>
      <c r="E120" s="3529">
        <v>0</v>
      </c>
      <c r="F120" s="777"/>
      <c r="G120" s="3530"/>
      <c r="H120" s="3530"/>
      <c r="I120" s="3519">
        <v>0</v>
      </c>
      <c r="J120" s="2155">
        <v>0</v>
      </c>
      <c r="K120" s="2155">
        <v>0</v>
      </c>
      <c r="L120" s="3529">
        <v>0</v>
      </c>
      <c r="M120" s="2141">
        <v>0</v>
      </c>
      <c r="N120" s="2155">
        <v>0</v>
      </c>
      <c r="O120" s="3555">
        <v>0</v>
      </c>
      <c r="P120" s="3555">
        <f t="shared" ref="P120:W120" si="77">1000000-314286</f>
        <v>685714</v>
      </c>
      <c r="Q120" s="3555">
        <f t="shared" si="77"/>
        <v>685714</v>
      </c>
      <c r="R120" s="3555">
        <f t="shared" si="77"/>
        <v>685714</v>
      </c>
      <c r="S120" s="3555">
        <f t="shared" si="77"/>
        <v>685714</v>
      </c>
      <c r="T120" s="3555">
        <f t="shared" si="77"/>
        <v>685714</v>
      </c>
      <c r="U120" s="3555">
        <f t="shared" si="77"/>
        <v>685714</v>
      </c>
      <c r="V120" s="3556">
        <f t="shared" si="77"/>
        <v>685714</v>
      </c>
      <c r="W120" s="3556">
        <f t="shared" si="77"/>
        <v>685714</v>
      </c>
      <c r="X120" s="3559">
        <f>SUM(P120:W120)+685714+685714+685714+457146</f>
        <v>8000000</v>
      </c>
      <c r="Y120" s="3560"/>
      <c r="Z120" s="3556">
        <f>685714+685714+685714+457146</f>
        <v>2514288</v>
      </c>
    </row>
    <row r="121" spans="1:27" s="1179" customFormat="1" ht="26.25" customHeight="1">
      <c r="A121" s="3452" t="s">
        <v>107</v>
      </c>
      <c r="B121" s="3518" t="s">
        <v>292</v>
      </c>
      <c r="C121" s="3360" t="s">
        <v>128</v>
      </c>
      <c r="D121" s="3411"/>
      <c r="E121" s="1989"/>
      <c r="F121" s="1989"/>
      <c r="G121" s="1989"/>
      <c r="H121" s="1989"/>
      <c r="I121" s="1989"/>
      <c r="J121" s="3413"/>
      <c r="K121" s="3413"/>
      <c r="L121" s="3413"/>
      <c r="M121" s="3413"/>
      <c r="N121" s="3413"/>
      <c r="O121" s="3413"/>
      <c r="P121" s="3413"/>
      <c r="Q121" s="3413"/>
      <c r="R121" s="3413"/>
      <c r="S121" s="3413"/>
      <c r="T121" s="3413"/>
      <c r="U121" s="3413"/>
      <c r="V121" s="3414"/>
      <c r="W121" s="3411"/>
      <c r="X121" s="3415"/>
      <c r="Y121" s="3548" t="s">
        <v>479</v>
      </c>
    </row>
    <row r="122" spans="1:27" s="1179" customFormat="1" ht="13.5" customHeight="1">
      <c r="A122" s="3472"/>
      <c r="B122" s="1988" t="s">
        <v>22</v>
      </c>
      <c r="C122" s="3396"/>
      <c r="D122" s="3369">
        <f>+D123</f>
        <v>6000000</v>
      </c>
      <c r="E122" s="3369">
        <f>+E123</f>
        <v>0</v>
      </c>
      <c r="F122" s="3369">
        <f t="shared" ref="F122:W122" si="78">+F123</f>
        <v>0</v>
      </c>
      <c r="G122" s="3369">
        <f t="shared" si="78"/>
        <v>0</v>
      </c>
      <c r="H122" s="3369">
        <f t="shared" si="78"/>
        <v>0</v>
      </c>
      <c r="I122" s="3369">
        <f t="shared" si="78"/>
        <v>0</v>
      </c>
      <c r="J122" s="3369">
        <f t="shared" si="78"/>
        <v>0</v>
      </c>
      <c r="K122" s="3369">
        <f t="shared" si="78"/>
        <v>0</v>
      </c>
      <c r="L122" s="3369">
        <f t="shared" si="78"/>
        <v>0</v>
      </c>
      <c r="M122" s="3369">
        <f t="shared" si="78"/>
        <v>0</v>
      </c>
      <c r="N122" s="3369">
        <f t="shared" si="78"/>
        <v>0</v>
      </c>
      <c r="O122" s="3369">
        <f t="shared" si="78"/>
        <v>1027241</v>
      </c>
      <c r="P122" s="3369">
        <f t="shared" si="78"/>
        <v>1629446</v>
      </c>
      <c r="Q122" s="3369">
        <f t="shared" si="78"/>
        <v>1570232</v>
      </c>
      <c r="R122" s="3369">
        <f t="shared" si="78"/>
        <v>1511018</v>
      </c>
      <c r="S122" s="3369">
        <f t="shared" si="78"/>
        <v>262063</v>
      </c>
      <c r="T122" s="3424">
        <f t="shared" si="78"/>
        <v>0</v>
      </c>
      <c r="U122" s="3424">
        <f t="shared" si="78"/>
        <v>0</v>
      </c>
      <c r="V122" s="3425">
        <f t="shared" si="78"/>
        <v>0</v>
      </c>
      <c r="W122" s="3425">
        <f t="shared" si="78"/>
        <v>0</v>
      </c>
      <c r="X122" s="3426">
        <f>+X123</f>
        <v>4972759</v>
      </c>
      <c r="Y122" s="3551"/>
    </row>
    <row r="123" spans="1:27" s="1163" customFormat="1" ht="13.5" customHeight="1">
      <c r="A123" s="3472"/>
      <c r="B123" s="3374" t="s">
        <v>36</v>
      </c>
      <c r="C123" s="3512" t="s">
        <v>157</v>
      </c>
      <c r="D123" s="3521">
        <f>+D124+D125</f>
        <v>6000000</v>
      </c>
      <c r="E123" s="3521">
        <f t="shared" ref="E123:L123" si="79">+E125</f>
        <v>0</v>
      </c>
      <c r="F123" s="3521">
        <f t="shared" si="79"/>
        <v>0</v>
      </c>
      <c r="G123" s="3521">
        <f t="shared" si="79"/>
        <v>0</v>
      </c>
      <c r="H123" s="3521">
        <f t="shared" si="79"/>
        <v>0</v>
      </c>
      <c r="I123" s="3521">
        <f t="shared" si="79"/>
        <v>0</v>
      </c>
      <c r="J123" s="3521">
        <f t="shared" si="79"/>
        <v>0</v>
      </c>
      <c r="K123" s="3521">
        <f t="shared" si="79"/>
        <v>0</v>
      </c>
      <c r="L123" s="3521">
        <f t="shared" si="79"/>
        <v>0</v>
      </c>
      <c r="M123" s="3376">
        <f t="shared" ref="M123:W123" si="80">+M124+M125</f>
        <v>0</v>
      </c>
      <c r="N123" s="3521">
        <f t="shared" si="80"/>
        <v>0</v>
      </c>
      <c r="O123" s="3521">
        <f t="shared" si="80"/>
        <v>1027241</v>
      </c>
      <c r="P123" s="3521">
        <f t="shared" si="80"/>
        <v>1629446</v>
      </c>
      <c r="Q123" s="3521">
        <f t="shared" si="80"/>
        <v>1570232</v>
      </c>
      <c r="R123" s="3521">
        <f t="shared" si="80"/>
        <v>1511018</v>
      </c>
      <c r="S123" s="3521">
        <f t="shared" si="80"/>
        <v>262063</v>
      </c>
      <c r="T123" s="3561">
        <f t="shared" si="80"/>
        <v>0</v>
      </c>
      <c r="U123" s="3561">
        <f t="shared" si="80"/>
        <v>0</v>
      </c>
      <c r="V123" s="3562">
        <f t="shared" si="80"/>
        <v>0</v>
      </c>
      <c r="W123" s="3562">
        <f t="shared" si="80"/>
        <v>0</v>
      </c>
      <c r="X123" s="3513">
        <f>+X125</f>
        <v>4972759</v>
      </c>
      <c r="Y123" s="3551"/>
      <c r="AA123" s="3337"/>
    </row>
    <row r="124" spans="1:27" s="1163" customFormat="1" ht="13.5" customHeight="1">
      <c r="A124" s="3472"/>
      <c r="B124" s="3432" t="s">
        <v>154</v>
      </c>
      <c r="C124" s="3514"/>
      <c r="D124" s="3382">
        <f>M124+O124+P124+Q124+R124+S124+T124+U124+V124+W124</f>
        <v>1027241</v>
      </c>
      <c r="E124" s="3523"/>
      <c r="F124" s="922"/>
      <c r="G124" s="3524"/>
      <c r="H124" s="3524"/>
      <c r="I124" s="3437"/>
      <c r="J124" s="3437"/>
      <c r="K124" s="3437"/>
      <c r="L124" s="3525"/>
      <c r="M124" s="3382">
        <f>+L124+K124+J124+I124+E124+N124</f>
        <v>0</v>
      </c>
      <c r="N124" s="3437">
        <v>0</v>
      </c>
      <c r="O124" s="3437">
        <v>1027241</v>
      </c>
      <c r="P124" s="3437">
        <v>0</v>
      </c>
      <c r="Q124" s="3437">
        <v>0</v>
      </c>
      <c r="R124" s="3437">
        <v>0</v>
      </c>
      <c r="S124" s="3437">
        <v>0</v>
      </c>
      <c r="T124" s="3438">
        <v>0</v>
      </c>
      <c r="U124" s="3438">
        <v>0</v>
      </c>
      <c r="V124" s="3439">
        <v>0</v>
      </c>
      <c r="W124" s="3439">
        <v>0</v>
      </c>
      <c r="X124" s="3563" t="s">
        <v>77</v>
      </c>
      <c r="Y124" s="3551"/>
    </row>
    <row r="125" spans="1:27" s="1163" customFormat="1" ht="13.5" customHeight="1" thickBot="1">
      <c r="A125" s="3516"/>
      <c r="B125" s="3527" t="s">
        <v>158</v>
      </c>
      <c r="C125" s="3528"/>
      <c r="D125" s="3382">
        <f>M125+O125+P125+Q125+R125+S125+T125+U125+V125+W125</f>
        <v>4972759</v>
      </c>
      <c r="E125" s="3529">
        <v>0</v>
      </c>
      <c r="F125" s="777"/>
      <c r="G125" s="3530"/>
      <c r="H125" s="3530"/>
      <c r="I125" s="3519">
        <v>0</v>
      </c>
      <c r="J125" s="2155">
        <v>0</v>
      </c>
      <c r="K125" s="2155">
        <v>0</v>
      </c>
      <c r="L125" s="3529">
        <v>0</v>
      </c>
      <c r="M125" s="3382">
        <f>+L125+K125+J125+I125+E125+N125</f>
        <v>0</v>
      </c>
      <c r="N125" s="2155">
        <v>0</v>
      </c>
      <c r="O125" s="3519">
        <v>0</v>
      </c>
      <c r="P125" s="2155">
        <v>1629446</v>
      </c>
      <c r="Q125" s="2155">
        <v>1570232</v>
      </c>
      <c r="R125" s="2155">
        <v>1511018</v>
      </c>
      <c r="S125" s="2155">
        <v>262063</v>
      </c>
      <c r="T125" s="2449">
        <v>0</v>
      </c>
      <c r="U125" s="2449">
        <v>0</v>
      </c>
      <c r="V125" s="3506">
        <v>0</v>
      </c>
      <c r="W125" s="3506">
        <v>0</v>
      </c>
      <c r="X125" s="3564">
        <f>SUM(P125:W125)</f>
        <v>4972759</v>
      </c>
      <c r="Y125" s="3533"/>
    </row>
    <row r="126" spans="1:27" s="1163" customFormat="1" ht="48.75" customHeight="1">
      <c r="A126" s="3452" t="s">
        <v>108</v>
      </c>
      <c r="B126" s="3518" t="s">
        <v>360</v>
      </c>
      <c r="C126" s="3360" t="s">
        <v>128</v>
      </c>
      <c r="D126" s="3411"/>
      <c r="E126" s="1989"/>
      <c r="F126" s="1989"/>
      <c r="G126" s="1989"/>
      <c r="H126" s="1989"/>
      <c r="I126" s="1989"/>
      <c r="J126" s="3413"/>
      <c r="K126" s="3413"/>
      <c r="L126" s="3413"/>
      <c r="M126" s="3413"/>
      <c r="N126" s="3413"/>
      <c r="O126" s="3413"/>
      <c r="P126" s="3413"/>
      <c r="Q126" s="3413"/>
      <c r="R126" s="3413"/>
      <c r="S126" s="3413"/>
      <c r="T126" s="3413"/>
      <c r="U126" s="1989"/>
      <c r="V126" s="1989"/>
      <c r="W126" s="3565"/>
      <c r="X126" s="3566"/>
      <c r="Y126" s="3508" t="s">
        <v>481</v>
      </c>
    </row>
    <row r="127" spans="1:27" s="1163" customFormat="1" ht="13.5" customHeight="1">
      <c r="A127" s="3472"/>
      <c r="B127" s="1988" t="s">
        <v>22</v>
      </c>
      <c r="C127" s="3396"/>
      <c r="D127" s="3369">
        <f>+D130</f>
        <v>2799999.6399999997</v>
      </c>
      <c r="E127" s="3369"/>
      <c r="F127" s="3369"/>
      <c r="G127" s="3369"/>
      <c r="H127" s="3369"/>
      <c r="I127" s="3369"/>
      <c r="J127" s="3369"/>
      <c r="K127" s="3369"/>
      <c r="L127" s="3369"/>
      <c r="M127" s="3369"/>
      <c r="N127" s="3369"/>
      <c r="O127" s="3369"/>
      <c r="P127" s="3369">
        <f t="shared" ref="P127:W127" si="81">+P128</f>
        <v>116666.64</v>
      </c>
      <c r="Q127" s="3369">
        <f t="shared" si="81"/>
        <v>233333</v>
      </c>
      <c r="R127" s="3369">
        <f t="shared" si="81"/>
        <v>233333</v>
      </c>
      <c r="S127" s="3369">
        <f t="shared" si="81"/>
        <v>233333</v>
      </c>
      <c r="T127" s="3369">
        <f t="shared" si="81"/>
        <v>233333</v>
      </c>
      <c r="U127" s="3369">
        <f t="shared" si="81"/>
        <v>233333</v>
      </c>
      <c r="V127" s="3369">
        <f t="shared" si="81"/>
        <v>233333</v>
      </c>
      <c r="W127" s="3369">
        <f t="shared" si="81"/>
        <v>233333</v>
      </c>
      <c r="X127" s="3567">
        <f>+X128</f>
        <v>2799999.6399999997</v>
      </c>
      <c r="Y127" s="3511"/>
    </row>
    <row r="128" spans="1:27" s="1163" customFormat="1" ht="13.5" customHeight="1">
      <c r="A128" s="3472"/>
      <c r="B128" s="3374" t="s">
        <v>36</v>
      </c>
      <c r="C128" s="3512" t="s">
        <v>157</v>
      </c>
      <c r="D128" s="3521">
        <f>+D130</f>
        <v>2799999.6399999997</v>
      </c>
      <c r="E128" s="3521"/>
      <c r="F128" s="3521"/>
      <c r="G128" s="3521"/>
      <c r="H128" s="3521"/>
      <c r="I128" s="3521"/>
      <c r="J128" s="3521"/>
      <c r="K128" s="3521"/>
      <c r="L128" s="3521"/>
      <c r="M128" s="3376"/>
      <c r="N128" s="3521"/>
      <c r="O128" s="3521"/>
      <c r="P128" s="3521">
        <f t="shared" ref="P128:W128" si="82">+P129+P130</f>
        <v>116666.64</v>
      </c>
      <c r="Q128" s="3521">
        <f t="shared" si="82"/>
        <v>233333</v>
      </c>
      <c r="R128" s="3521">
        <f t="shared" si="82"/>
        <v>233333</v>
      </c>
      <c r="S128" s="3521">
        <f t="shared" si="82"/>
        <v>233333</v>
      </c>
      <c r="T128" s="3521">
        <f t="shared" si="82"/>
        <v>233333</v>
      </c>
      <c r="U128" s="3521">
        <f t="shared" si="82"/>
        <v>233333</v>
      </c>
      <c r="V128" s="3521">
        <f t="shared" si="82"/>
        <v>233333</v>
      </c>
      <c r="W128" s="3521">
        <f t="shared" si="82"/>
        <v>233333</v>
      </c>
      <c r="X128" s="3513">
        <f>+X130</f>
        <v>2799999.6399999997</v>
      </c>
      <c r="Y128" s="3511"/>
    </row>
    <row r="129" spans="1:31" s="1163" customFormat="1" ht="12.75" hidden="1" customHeight="1">
      <c r="A129" s="3472"/>
      <c r="B129" s="3432" t="s">
        <v>154</v>
      </c>
      <c r="C129" s="3514"/>
      <c r="D129" s="3382"/>
      <c r="E129" s="3523"/>
      <c r="F129" s="922"/>
      <c r="G129" s="3524"/>
      <c r="H129" s="3524"/>
      <c r="I129" s="3437"/>
      <c r="J129" s="3437"/>
      <c r="K129" s="3437"/>
      <c r="L129" s="3525"/>
      <c r="M129" s="3382"/>
      <c r="N129" s="3437"/>
      <c r="O129" s="3437"/>
      <c r="P129" s="3437">
        <v>0</v>
      </c>
      <c r="Q129" s="3437">
        <v>0</v>
      </c>
      <c r="R129" s="3437">
        <v>0</v>
      </c>
      <c r="S129" s="3437">
        <v>0</v>
      </c>
      <c r="T129" s="3437">
        <v>0</v>
      </c>
      <c r="U129" s="3437"/>
      <c r="V129" s="3437"/>
      <c r="W129" s="3437"/>
      <c r="X129" s="3319"/>
      <c r="Y129" s="3511"/>
    </row>
    <row r="130" spans="1:31" s="1163" customFormat="1" ht="13.5" customHeight="1" thickBot="1">
      <c r="A130" s="3516"/>
      <c r="B130" s="3527" t="s">
        <v>158</v>
      </c>
      <c r="C130" s="3528"/>
      <c r="D130" s="2141">
        <f>+X130</f>
        <v>2799999.6399999997</v>
      </c>
      <c r="E130" s="3529"/>
      <c r="F130" s="777"/>
      <c r="G130" s="3530"/>
      <c r="H130" s="3530"/>
      <c r="I130" s="3519"/>
      <c r="J130" s="2155"/>
      <c r="K130" s="2155"/>
      <c r="L130" s="3529"/>
      <c r="M130" s="2141"/>
      <c r="N130" s="2155"/>
      <c r="O130" s="3519"/>
      <c r="P130" s="2155">
        <v>116666.64</v>
      </c>
      <c r="Q130" s="2155">
        <v>233333</v>
      </c>
      <c r="R130" s="2155">
        <v>233333</v>
      </c>
      <c r="S130" s="2155">
        <v>233333</v>
      </c>
      <c r="T130" s="2155">
        <v>233333</v>
      </c>
      <c r="U130" s="2155">
        <v>233333</v>
      </c>
      <c r="V130" s="2155">
        <v>233333</v>
      </c>
      <c r="W130" s="2155">
        <v>233333</v>
      </c>
      <c r="X130" s="3568">
        <f>+W130+V130+U130+T130+S130+R130+Q130+P130+1050002</f>
        <v>2799999.6399999997</v>
      </c>
      <c r="Y130" s="3533"/>
      <c r="Z130" s="1163">
        <v>1050002</v>
      </c>
    </row>
    <row r="131" spans="1:31" s="1179" customFormat="1" ht="26.25" hidden="1" customHeight="1">
      <c r="A131" s="3452" t="s">
        <v>109</v>
      </c>
      <c r="B131" s="3518" t="s">
        <v>468</v>
      </c>
      <c r="C131" s="3360" t="s">
        <v>97</v>
      </c>
      <c r="D131" s="3411"/>
      <c r="E131" s="1989"/>
      <c r="F131" s="1989"/>
      <c r="G131" s="1989"/>
      <c r="H131" s="1989"/>
      <c r="I131" s="1989"/>
      <c r="J131" s="3413"/>
      <c r="K131" s="3413"/>
      <c r="L131" s="3413"/>
      <c r="M131" s="3413"/>
      <c r="N131" s="3413"/>
      <c r="O131" s="3413"/>
      <c r="P131" s="3413"/>
      <c r="Q131" s="3413"/>
      <c r="R131" s="3413"/>
      <c r="S131" s="3413"/>
      <c r="T131" s="3413"/>
      <c r="U131" s="3413"/>
      <c r="V131" s="3414"/>
      <c r="W131" s="3411"/>
      <c r="X131" s="3415"/>
      <c r="Y131" s="3548" t="s">
        <v>477</v>
      </c>
    </row>
    <row r="132" spans="1:31" s="1179" customFormat="1" ht="13.5" hidden="1" customHeight="1">
      <c r="A132" s="3472"/>
      <c r="B132" s="1988" t="s">
        <v>22</v>
      </c>
      <c r="C132" s="3396"/>
      <c r="D132" s="3369">
        <f>+D133</f>
        <v>0</v>
      </c>
      <c r="E132" s="3369">
        <f>+E133</f>
        <v>0</v>
      </c>
      <c r="F132" s="3369">
        <f t="shared" ref="F132:W132" si="83">+F133</f>
        <v>0</v>
      </c>
      <c r="G132" s="3369">
        <f t="shared" si="83"/>
        <v>0</v>
      </c>
      <c r="H132" s="3369">
        <f t="shared" si="83"/>
        <v>0</v>
      </c>
      <c r="I132" s="3369">
        <f t="shared" si="83"/>
        <v>0</v>
      </c>
      <c r="J132" s="3369">
        <f t="shared" si="83"/>
        <v>0</v>
      </c>
      <c r="K132" s="3369">
        <f t="shared" si="83"/>
        <v>0</v>
      </c>
      <c r="L132" s="3369">
        <f t="shared" si="83"/>
        <v>0</v>
      </c>
      <c r="M132" s="3369">
        <f t="shared" si="83"/>
        <v>0</v>
      </c>
      <c r="N132" s="3369">
        <f t="shared" si="83"/>
        <v>0</v>
      </c>
      <c r="O132" s="3369">
        <f t="shared" si="83"/>
        <v>0</v>
      </c>
      <c r="P132" s="3369">
        <f t="shared" si="83"/>
        <v>0</v>
      </c>
      <c r="Q132" s="3369">
        <f t="shared" si="83"/>
        <v>0</v>
      </c>
      <c r="R132" s="3369">
        <f t="shared" si="83"/>
        <v>0</v>
      </c>
      <c r="S132" s="3369">
        <f t="shared" si="83"/>
        <v>0</v>
      </c>
      <c r="T132" s="3424">
        <f t="shared" si="83"/>
        <v>0</v>
      </c>
      <c r="U132" s="3424">
        <f t="shared" si="83"/>
        <v>0</v>
      </c>
      <c r="V132" s="3425">
        <f t="shared" si="83"/>
        <v>0</v>
      </c>
      <c r="W132" s="3425">
        <f t="shared" si="83"/>
        <v>0</v>
      </c>
      <c r="X132" s="3426">
        <f>+X133</f>
        <v>0</v>
      </c>
      <c r="Y132" s="3551"/>
    </row>
    <row r="133" spans="1:31" s="1163" customFormat="1" ht="13.5" hidden="1" customHeight="1">
      <c r="A133" s="3472"/>
      <c r="B133" s="3374" t="s">
        <v>36</v>
      </c>
      <c r="C133" s="3512" t="s">
        <v>467</v>
      </c>
      <c r="D133" s="3521">
        <f>+D134+D135</f>
        <v>0</v>
      </c>
      <c r="E133" s="3521">
        <f t="shared" ref="E133:L133" si="84">+E135</f>
        <v>0</v>
      </c>
      <c r="F133" s="3521">
        <f t="shared" si="84"/>
        <v>0</v>
      </c>
      <c r="G133" s="3521">
        <f t="shared" si="84"/>
        <v>0</v>
      </c>
      <c r="H133" s="3521">
        <f t="shared" si="84"/>
        <v>0</v>
      </c>
      <c r="I133" s="3521">
        <f t="shared" si="84"/>
        <v>0</v>
      </c>
      <c r="J133" s="3521">
        <f t="shared" si="84"/>
        <v>0</v>
      </c>
      <c r="K133" s="3521">
        <f t="shared" si="84"/>
        <v>0</v>
      </c>
      <c r="L133" s="3521">
        <f t="shared" si="84"/>
        <v>0</v>
      </c>
      <c r="M133" s="3376">
        <f t="shared" ref="M133:W133" si="85">+M134+M135</f>
        <v>0</v>
      </c>
      <c r="N133" s="3521">
        <f t="shared" si="85"/>
        <v>0</v>
      </c>
      <c r="O133" s="3521">
        <f t="shared" si="85"/>
        <v>0</v>
      </c>
      <c r="P133" s="3521">
        <f t="shared" si="85"/>
        <v>0</v>
      </c>
      <c r="Q133" s="3521">
        <f t="shared" si="85"/>
        <v>0</v>
      </c>
      <c r="R133" s="3521">
        <f t="shared" si="85"/>
        <v>0</v>
      </c>
      <c r="S133" s="3521">
        <f t="shared" si="85"/>
        <v>0</v>
      </c>
      <c r="T133" s="3561">
        <f t="shared" si="85"/>
        <v>0</v>
      </c>
      <c r="U133" s="3561">
        <f t="shared" si="85"/>
        <v>0</v>
      </c>
      <c r="V133" s="3562">
        <f t="shared" si="85"/>
        <v>0</v>
      </c>
      <c r="W133" s="3562">
        <f t="shared" si="85"/>
        <v>0</v>
      </c>
      <c r="X133" s="3513">
        <f>+X134</f>
        <v>0</v>
      </c>
      <c r="Y133" s="3551"/>
      <c r="AA133" s="3337"/>
    </row>
    <row r="134" spans="1:31" s="1163" customFormat="1" ht="13.5" hidden="1" customHeight="1">
      <c r="A134" s="3472"/>
      <c r="B134" s="3435" t="s">
        <v>150</v>
      </c>
      <c r="C134" s="3514"/>
      <c r="D134" s="3382">
        <f>M134+O134+P134+Q134+R134+S134+T134+U134+V134+W134</f>
        <v>0</v>
      </c>
      <c r="E134" s="3523"/>
      <c r="F134" s="922"/>
      <c r="G134" s="3524"/>
      <c r="H134" s="3524"/>
      <c r="I134" s="3437"/>
      <c r="J134" s="3437"/>
      <c r="K134" s="3437"/>
      <c r="L134" s="3525"/>
      <c r="M134" s="3382">
        <f>+L134+K134+J134+I134+E134+N134</f>
        <v>0</v>
      </c>
      <c r="N134" s="3437">
        <v>0</v>
      </c>
      <c r="O134" s="3437">
        <v>0</v>
      </c>
      <c r="P134" s="3437"/>
      <c r="Q134" s="3437"/>
      <c r="R134" s="3437">
        <v>0</v>
      </c>
      <c r="S134" s="3437">
        <v>0</v>
      </c>
      <c r="T134" s="3438">
        <v>0</v>
      </c>
      <c r="U134" s="3438">
        <v>0</v>
      </c>
      <c r="V134" s="3439">
        <v>0</v>
      </c>
      <c r="W134" s="3439">
        <v>0</v>
      </c>
      <c r="X134" s="3314">
        <f>+S134+R134+Q134+P134</f>
        <v>0</v>
      </c>
      <c r="Y134" s="3551"/>
    </row>
    <row r="135" spans="1:31" s="1163" customFormat="1" ht="13.5" hidden="1" customHeight="1" thickBot="1">
      <c r="A135" s="3516"/>
      <c r="B135" s="774" t="s">
        <v>47</v>
      </c>
      <c r="C135" s="3528"/>
      <c r="D135" s="3382">
        <f>M135+O135+P135+Q135+R135+S135+T135+U135+V135+W135</f>
        <v>0</v>
      </c>
      <c r="E135" s="3529">
        <v>0</v>
      </c>
      <c r="F135" s="777"/>
      <c r="G135" s="3530"/>
      <c r="H135" s="3530"/>
      <c r="I135" s="3519">
        <v>0</v>
      </c>
      <c r="J135" s="2155">
        <v>0</v>
      </c>
      <c r="K135" s="2155">
        <v>0</v>
      </c>
      <c r="L135" s="3529">
        <v>0</v>
      </c>
      <c r="M135" s="3382">
        <f>+L135+K135+J135+I135+E135+N135</f>
        <v>0</v>
      </c>
      <c r="N135" s="2155">
        <v>0</v>
      </c>
      <c r="O135" s="3519">
        <v>0</v>
      </c>
      <c r="P135" s="2155"/>
      <c r="Q135" s="2155"/>
      <c r="R135" s="2155">
        <v>0</v>
      </c>
      <c r="S135" s="2155">
        <v>0</v>
      </c>
      <c r="T135" s="2449">
        <v>0</v>
      </c>
      <c r="U135" s="2449">
        <v>0</v>
      </c>
      <c r="V135" s="3506">
        <v>0</v>
      </c>
      <c r="W135" s="3506">
        <v>0</v>
      </c>
      <c r="X135" s="3569" t="s">
        <v>77</v>
      </c>
      <c r="Y135" s="3560"/>
    </row>
    <row r="136" spans="1:31" s="1987" customFormat="1">
      <c r="A136" s="3570" t="s">
        <v>319</v>
      </c>
      <c r="B136" s="3570"/>
      <c r="C136" s="3570"/>
      <c r="D136" s="3570"/>
      <c r="E136" s="3570"/>
      <c r="F136" s="3570"/>
      <c r="G136" s="3570"/>
      <c r="H136" s="3570"/>
      <c r="I136" s="3570"/>
      <c r="J136" s="3570"/>
      <c r="K136" s="3570"/>
      <c r="L136" s="3570"/>
      <c r="M136" s="3570"/>
      <c r="N136" s="3570"/>
      <c r="O136" s="3570"/>
      <c r="P136" s="3570"/>
      <c r="Q136" s="3570"/>
      <c r="R136" s="3570"/>
      <c r="S136" s="3570"/>
      <c r="T136" s="3570"/>
      <c r="U136" s="3570"/>
      <c r="V136" s="3570"/>
      <c r="W136" s="3570"/>
      <c r="X136" s="3571"/>
      <c r="Y136" s="3572"/>
    </row>
    <row r="137" spans="1:31" s="1143" customFormat="1" ht="11.25">
      <c r="A137" s="3573" t="s">
        <v>354</v>
      </c>
      <c r="B137" s="3573"/>
      <c r="C137" s="3573"/>
      <c r="D137" s="3573"/>
      <c r="E137" s="3573"/>
      <c r="F137" s="3573"/>
      <c r="G137" s="3573"/>
      <c r="H137" s="3573"/>
      <c r="I137" s="3573"/>
      <c r="J137" s="3573"/>
      <c r="K137" s="3573"/>
      <c r="L137" s="3573"/>
      <c r="M137" s="3573"/>
      <c r="N137" s="3573"/>
      <c r="O137" s="3573"/>
      <c r="P137" s="3573"/>
      <c r="Q137" s="3573"/>
      <c r="R137" s="3573"/>
      <c r="S137" s="3573"/>
      <c r="T137" s="3573"/>
      <c r="U137" s="3573"/>
      <c r="V137" s="3573"/>
      <c r="W137" s="3573"/>
      <c r="X137" s="3573"/>
      <c r="Y137" s="3573"/>
    </row>
    <row r="138" spans="1:31" s="1143" customFormat="1" ht="11.25">
      <c r="A138" s="3573" t="s">
        <v>367</v>
      </c>
      <c r="B138" s="3573"/>
      <c r="C138" s="3573"/>
      <c r="D138" s="3573"/>
      <c r="E138" s="3573"/>
      <c r="F138" s="3573"/>
      <c r="G138" s="3573"/>
      <c r="H138" s="3573"/>
      <c r="I138" s="3573"/>
      <c r="J138" s="3573"/>
      <c r="K138" s="3573"/>
      <c r="L138" s="3573"/>
      <c r="M138" s="3573"/>
      <c r="N138" s="3573"/>
      <c r="O138" s="3573"/>
      <c r="P138" s="3573"/>
      <c r="Q138" s="3573"/>
      <c r="R138" s="3573"/>
      <c r="S138" s="3573"/>
      <c r="T138" s="3573"/>
      <c r="U138" s="3573"/>
      <c r="V138" s="3573"/>
      <c r="W138" s="3573"/>
    </row>
    <row r="139" spans="1:31" s="3574" customFormat="1" ht="16.5" customHeight="1">
      <c r="A139" s="1361" t="s">
        <v>261</v>
      </c>
      <c r="J139" s="1129"/>
      <c r="K139" s="1129"/>
      <c r="L139" s="1136"/>
      <c r="M139" s="1136"/>
      <c r="N139" s="1129"/>
      <c r="O139" s="1129"/>
      <c r="P139" s="1129"/>
      <c r="Q139" s="1129"/>
      <c r="R139" s="1129"/>
      <c r="S139" s="1129"/>
      <c r="T139" s="1129"/>
      <c r="U139" s="1129"/>
      <c r="V139" s="1129"/>
      <c r="W139" s="1129"/>
      <c r="X139" s="1129"/>
      <c r="Y139" s="1294"/>
    </row>
    <row r="140" spans="1:31" s="3575" customFormat="1" ht="13.5" customHeight="1">
      <c r="D140" s="3576"/>
      <c r="J140" s="1129"/>
      <c r="K140" s="1136"/>
      <c r="L140" s="1129"/>
      <c r="M140" s="1129"/>
      <c r="N140" s="1129"/>
      <c r="O140" s="1129"/>
      <c r="P140" s="1136"/>
      <c r="Q140" s="1136"/>
      <c r="R140" s="1136"/>
      <c r="S140" s="1136"/>
      <c r="T140" s="1136"/>
      <c r="U140" s="1136"/>
      <c r="V140" s="1136"/>
      <c r="W140" s="1136"/>
      <c r="X140" s="1129"/>
      <c r="Y140" s="1294"/>
    </row>
    <row r="141" spans="1:31" s="3577" customFormat="1" ht="12.75" hidden="1" customHeight="1">
      <c r="J141" s="3578"/>
      <c r="K141" s="3578"/>
      <c r="L141" s="3578"/>
      <c r="M141" s="3578"/>
      <c r="N141" s="3578"/>
      <c r="O141" s="1129"/>
      <c r="P141" s="1129"/>
      <c r="Q141" s="1129"/>
      <c r="R141" s="1129"/>
      <c r="S141" s="1129"/>
      <c r="T141" s="1129"/>
      <c r="U141" s="1129"/>
      <c r="V141" s="1129"/>
      <c r="W141" s="1129"/>
      <c r="X141" s="1129"/>
      <c r="Y141" s="1294"/>
    </row>
    <row r="142" spans="1:31" s="1179" customFormat="1" ht="10.5" hidden="1" customHeight="1">
      <c r="A142" s="1128"/>
      <c r="B142" s="1129"/>
      <c r="C142" s="1129"/>
      <c r="D142" s="1136"/>
      <c r="E142" s="1129"/>
      <c r="F142" s="1129"/>
      <c r="G142" s="1129"/>
      <c r="H142" s="1129"/>
      <c r="I142" s="1129"/>
      <c r="J142" s="1129"/>
      <c r="K142" s="1129"/>
      <c r="L142" s="1129"/>
      <c r="M142" s="1129"/>
      <c r="N142" s="1129"/>
      <c r="O142" s="1129">
        <f>1000000+1000000+916667</f>
        <v>2916667</v>
      </c>
      <c r="P142" s="1129"/>
      <c r="Q142" s="1129"/>
      <c r="R142" s="1129"/>
      <c r="S142" s="1129"/>
      <c r="T142" s="1129"/>
      <c r="U142" s="1129"/>
      <c r="V142" s="1129"/>
      <c r="W142" s="1129"/>
      <c r="X142" s="1129"/>
      <c r="Y142" s="1294"/>
    </row>
    <row r="143" spans="1:31" s="3575" customFormat="1" ht="15.75" hidden="1" customHeight="1">
      <c r="B143" s="1129"/>
      <c r="C143" s="1129"/>
      <c r="D143" s="1129"/>
      <c r="E143" s="1129"/>
      <c r="F143" s="1129"/>
      <c r="G143" s="1129"/>
      <c r="H143" s="1129"/>
      <c r="I143" s="1129"/>
      <c r="J143" s="1129"/>
      <c r="K143" s="1129"/>
      <c r="L143" s="1129"/>
      <c r="M143" s="1129"/>
      <c r="N143" s="1129"/>
      <c r="O143" s="1129"/>
      <c r="P143" s="3579">
        <v>2016</v>
      </c>
      <c r="Q143" s="3579">
        <v>2017</v>
      </c>
      <c r="R143" s="3579">
        <v>2018</v>
      </c>
      <c r="S143" s="3579">
        <v>2019</v>
      </c>
      <c r="T143" s="3579">
        <v>2020</v>
      </c>
      <c r="U143" s="3579">
        <v>2021</v>
      </c>
      <c r="V143" s="3579">
        <v>2022</v>
      </c>
      <c r="W143" s="3579">
        <v>2023</v>
      </c>
      <c r="X143" s="3579">
        <v>2024</v>
      </c>
      <c r="Y143" s="3579">
        <v>2025</v>
      </c>
      <c r="Z143" s="3579">
        <v>2026</v>
      </c>
      <c r="AA143" s="3579">
        <v>2027</v>
      </c>
      <c r="AB143" s="3579">
        <v>2028</v>
      </c>
      <c r="AC143" s="3579"/>
      <c r="AD143" s="3579"/>
      <c r="AE143" s="3579"/>
    </row>
    <row r="144" spans="1:31" s="3575" customFormat="1" ht="15.75" hidden="1" customHeight="1">
      <c r="A144" s="1128"/>
      <c r="B144" s="3580" t="s">
        <v>320</v>
      </c>
      <c r="C144" s="3580"/>
      <c r="D144" s="3581"/>
      <c r="E144" s="3581"/>
      <c r="F144" s="3581"/>
      <c r="G144" s="3581"/>
      <c r="H144" s="3581"/>
      <c r="I144" s="3580"/>
      <c r="J144" s="3580"/>
      <c r="K144" s="3580"/>
      <c r="L144" s="3580"/>
      <c r="M144" s="3580"/>
      <c r="N144" s="3580"/>
      <c r="O144" s="1136">
        <f>+O125+O120+O92+O87+O82</f>
        <v>0</v>
      </c>
      <c r="P144" s="3582">
        <f t="shared" ref="P144:W144" si="86">+P125+P120+P92+P87+P82+P130</f>
        <v>5637206.6399999997</v>
      </c>
      <c r="Q144" s="3582">
        <f t="shared" si="86"/>
        <v>5050955</v>
      </c>
      <c r="R144" s="3582">
        <f t="shared" si="86"/>
        <v>5329509</v>
      </c>
      <c r="S144" s="3582">
        <f t="shared" si="86"/>
        <v>2261110</v>
      </c>
      <c r="T144" s="3582">
        <f t="shared" si="86"/>
        <v>1999047</v>
      </c>
      <c r="U144" s="3582">
        <f t="shared" si="86"/>
        <v>1999047</v>
      </c>
      <c r="V144" s="3582">
        <f t="shared" si="86"/>
        <v>1859047</v>
      </c>
      <c r="W144" s="3582">
        <f t="shared" si="86"/>
        <v>919047</v>
      </c>
      <c r="X144" s="3582">
        <f>685714+233333</f>
        <v>919047</v>
      </c>
      <c r="Y144" s="3582">
        <f>685714+233333</f>
        <v>919047</v>
      </c>
      <c r="Z144" s="3582">
        <f>685714+233333</f>
        <v>919047</v>
      </c>
      <c r="AA144" s="3582">
        <f>457146+233333</f>
        <v>690479</v>
      </c>
      <c r="AB144" s="3582">
        <v>116670</v>
      </c>
      <c r="AC144" s="3582"/>
      <c r="AD144" s="3582" t="e">
        <f>+#REF!+#REF!+#REF!+#REF!+#REF!+#REF!</f>
        <v>#REF!</v>
      </c>
      <c r="AE144" s="3582"/>
    </row>
    <row r="145" spans="1:30" s="3575" customFormat="1" ht="15.75" hidden="1" customHeight="1">
      <c r="A145" s="1128"/>
      <c r="B145" s="1129"/>
      <c r="C145" s="1129"/>
      <c r="D145" s="1136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29"/>
      <c r="X145" s="1129"/>
      <c r="Y145" s="1294"/>
      <c r="AD145" s="3576">
        <f>SUM(P144:AB144)</f>
        <v>28619258.640000001</v>
      </c>
    </row>
    <row r="146" spans="1:30" s="3575" customFormat="1" ht="12" hidden="1" customHeight="1">
      <c r="A146" s="1128"/>
      <c r="B146" s="1129"/>
      <c r="C146" s="1129"/>
      <c r="D146" s="1136"/>
      <c r="E146" s="1129"/>
      <c r="F146" s="1129"/>
      <c r="G146" s="1136">
        <f>+E144-G144-H144</f>
        <v>0</v>
      </c>
      <c r="H146" s="1129"/>
      <c r="I146" s="1129"/>
      <c r="J146" s="1129"/>
      <c r="K146" s="1129"/>
      <c r="L146" s="1129"/>
      <c r="M146" s="1129"/>
      <c r="N146" s="1129"/>
      <c r="O146" s="1129"/>
      <c r="P146" s="1129"/>
      <c r="Q146" s="1129"/>
      <c r="R146" s="1129"/>
      <c r="S146" s="1129"/>
      <c r="T146" s="1129"/>
      <c r="U146" s="1129"/>
      <c r="V146" s="1129"/>
      <c r="W146" s="1129"/>
      <c r="X146" s="1129"/>
      <c r="Y146" s="1294"/>
      <c r="AB146" s="3576"/>
      <c r="AD146" s="3576" t="e">
        <f>+AD144-AD145</f>
        <v>#REF!</v>
      </c>
    </row>
    <row r="147" spans="1:30" s="3583" customFormat="1" ht="22.5" hidden="1" customHeight="1">
      <c r="A147" s="1128"/>
      <c r="B147" s="1129"/>
      <c r="C147" s="1129"/>
      <c r="D147" s="1129"/>
      <c r="E147" s="1129"/>
      <c r="F147" s="1129"/>
      <c r="G147" s="1129"/>
      <c r="H147" s="1129"/>
      <c r="I147" s="1129"/>
      <c r="J147" s="1129"/>
      <c r="K147" s="1129"/>
      <c r="L147" s="1129"/>
      <c r="M147" s="1129"/>
      <c r="N147" s="1129"/>
      <c r="O147" s="1129" t="s">
        <v>161</v>
      </c>
      <c r="P147" s="1129"/>
      <c r="Q147" s="1129"/>
      <c r="R147" s="1129"/>
      <c r="S147" s="1129"/>
      <c r="T147" s="1129"/>
      <c r="U147" s="1129"/>
      <c r="V147" s="1129"/>
      <c r="W147" s="1129"/>
      <c r="X147" s="1129"/>
      <c r="Y147" s="1294"/>
    </row>
    <row r="148" spans="1:30" s="1179" customFormat="1" ht="12.75" hidden="1" customHeight="1">
      <c r="A148" s="1128"/>
      <c r="B148" s="1129"/>
      <c r="C148" s="1129"/>
      <c r="D148" s="1129"/>
      <c r="E148" s="1129"/>
      <c r="F148" s="1129"/>
      <c r="G148" s="1129"/>
      <c r="H148" s="1129"/>
      <c r="I148" s="1129"/>
      <c r="J148" s="1129"/>
      <c r="K148" s="1129"/>
      <c r="L148" s="1129"/>
      <c r="M148" s="1129"/>
      <c r="N148" s="1129"/>
      <c r="O148" s="1129"/>
      <c r="P148" s="1129"/>
      <c r="Q148" s="1129"/>
      <c r="R148" s="1129"/>
      <c r="S148" s="1129"/>
      <c r="T148" s="1129"/>
      <c r="U148" s="1129"/>
      <c r="V148" s="1129"/>
      <c r="W148" s="1129"/>
      <c r="X148" s="1129"/>
      <c r="Y148" s="1294"/>
    </row>
    <row r="149" spans="1:30" s="1179" customFormat="1" ht="12.75" customHeight="1">
      <c r="A149" s="3584"/>
      <c r="B149" s="1129"/>
      <c r="C149" s="1129"/>
      <c r="D149" s="1129"/>
      <c r="E149" s="1129"/>
      <c r="F149" s="1129"/>
      <c r="G149" s="1129"/>
      <c r="H149" s="1129"/>
      <c r="I149" s="1129"/>
      <c r="J149" s="1129"/>
      <c r="K149" s="1129"/>
      <c r="L149" s="1129"/>
      <c r="M149" s="1129"/>
      <c r="N149" s="1129"/>
      <c r="O149" s="1129"/>
      <c r="P149" s="1129"/>
      <c r="Q149" s="1129"/>
      <c r="R149" s="1129"/>
      <c r="S149" s="1129"/>
      <c r="T149" s="1129"/>
      <c r="U149" s="1129"/>
      <c r="V149" s="1129"/>
      <c r="W149" s="1129"/>
      <c r="X149" s="1129"/>
      <c r="Y149" s="1294"/>
    </row>
    <row r="150" spans="1:30" s="1179" customFormat="1">
      <c r="A150" s="1128"/>
      <c r="B150" s="1129"/>
      <c r="C150" s="1129"/>
      <c r="D150" s="1129"/>
      <c r="E150" s="1129"/>
      <c r="F150" s="1129"/>
      <c r="G150" s="1129"/>
      <c r="H150" s="1129"/>
      <c r="I150" s="1129"/>
      <c r="J150" s="1129"/>
      <c r="K150" s="1129"/>
      <c r="L150" s="1129"/>
      <c r="M150" s="1129"/>
      <c r="N150" s="1129"/>
      <c r="O150" s="1129"/>
      <c r="P150" s="1129"/>
      <c r="Q150" s="1129"/>
      <c r="R150" s="1129"/>
      <c r="S150" s="1129"/>
      <c r="T150" s="1129"/>
      <c r="U150" s="1129"/>
      <c r="V150" s="1129"/>
      <c r="W150" s="1129"/>
      <c r="X150" s="1129"/>
      <c r="Y150" s="1294"/>
    </row>
    <row r="151" spans="1:30" s="3583" customFormat="1" ht="14.25" customHeight="1">
      <c r="A151" s="1128"/>
      <c r="B151" s="1129"/>
      <c r="C151" s="1129"/>
      <c r="D151" s="1129"/>
      <c r="E151" s="1129"/>
      <c r="F151" s="1129"/>
      <c r="G151" s="1129"/>
      <c r="H151" s="1129"/>
      <c r="I151" s="1129"/>
      <c r="J151" s="1129"/>
      <c r="K151" s="1129"/>
      <c r="L151" s="1129"/>
      <c r="M151" s="1129"/>
      <c r="N151" s="1129"/>
      <c r="O151" s="1129"/>
      <c r="P151" s="1129"/>
      <c r="Q151" s="1129"/>
      <c r="R151" s="1129"/>
      <c r="S151" s="1129"/>
      <c r="T151" s="1129"/>
      <c r="U151" s="1129"/>
      <c r="V151" s="1129"/>
      <c r="W151" s="1129"/>
      <c r="X151" s="1129"/>
      <c r="Y151" s="1294"/>
    </row>
    <row r="152" spans="1:30" s="1179" customFormat="1" ht="12.75" customHeight="1">
      <c r="A152" s="1128"/>
      <c r="B152" s="1129"/>
      <c r="C152" s="1129"/>
      <c r="D152" s="1129"/>
      <c r="E152" s="1129"/>
      <c r="F152" s="1129"/>
      <c r="G152" s="1129"/>
      <c r="H152" s="1129"/>
      <c r="I152" s="1129"/>
      <c r="J152" s="1129"/>
      <c r="K152" s="1129"/>
      <c r="L152" s="1129"/>
      <c r="M152" s="1129"/>
      <c r="N152" s="1129"/>
      <c r="O152" s="1129"/>
      <c r="P152" s="1129"/>
      <c r="Q152" s="1129"/>
      <c r="R152" s="1129"/>
      <c r="S152" s="1129"/>
      <c r="T152" s="1129"/>
      <c r="U152" s="1129"/>
      <c r="V152" s="1129"/>
      <c r="W152" s="1129"/>
      <c r="X152" s="1129"/>
      <c r="Y152" s="1294"/>
    </row>
    <row r="153" spans="1:30" s="1179" customFormat="1" ht="12.75" customHeight="1">
      <c r="A153" s="1128"/>
      <c r="B153" s="1129"/>
      <c r="C153" s="1129"/>
      <c r="D153" s="1129"/>
      <c r="E153" s="1129"/>
      <c r="F153" s="1129"/>
      <c r="G153" s="1129"/>
      <c r="H153" s="1129"/>
      <c r="I153" s="1129"/>
      <c r="J153" s="1129"/>
      <c r="K153" s="1129"/>
      <c r="L153" s="1129"/>
      <c r="M153" s="1129"/>
      <c r="N153" s="1129"/>
      <c r="O153" s="1129"/>
      <c r="P153" s="1129"/>
      <c r="Q153" s="1129"/>
      <c r="R153" s="1129"/>
      <c r="S153" s="1129"/>
      <c r="T153" s="1129"/>
      <c r="U153" s="1129"/>
      <c r="V153" s="1129"/>
      <c r="W153" s="1129"/>
      <c r="X153" s="1129"/>
      <c r="Y153" s="1294"/>
    </row>
    <row r="154" spans="1:30" s="1179" customFormat="1">
      <c r="A154" s="1128"/>
      <c r="B154" s="1129"/>
      <c r="C154" s="1129"/>
      <c r="D154" s="1129"/>
      <c r="E154" s="1129"/>
      <c r="F154" s="1129"/>
      <c r="G154" s="1129"/>
      <c r="H154" s="1129"/>
      <c r="I154" s="1129"/>
      <c r="J154" s="1129"/>
      <c r="K154" s="1129"/>
      <c r="L154" s="1129"/>
      <c r="M154" s="1129"/>
      <c r="N154" s="1129"/>
      <c r="O154" s="1129"/>
      <c r="P154" s="1129"/>
      <c r="Q154" s="1129"/>
      <c r="R154" s="1129"/>
      <c r="S154" s="1129"/>
      <c r="T154" s="1129"/>
      <c r="U154" s="1129"/>
      <c r="V154" s="1129"/>
      <c r="W154" s="1129"/>
      <c r="X154" s="1129"/>
      <c r="Y154" s="1294"/>
    </row>
    <row r="155" spans="1:30" s="1179" customFormat="1">
      <c r="A155" s="1128"/>
      <c r="B155" s="1129"/>
      <c r="C155" s="1129"/>
      <c r="D155" s="1129"/>
      <c r="E155" s="1129"/>
      <c r="F155" s="1129"/>
      <c r="G155" s="1129"/>
      <c r="H155" s="1129"/>
      <c r="I155" s="1129"/>
      <c r="J155" s="1129"/>
      <c r="K155" s="1129"/>
      <c r="L155" s="1129"/>
      <c r="M155" s="1129"/>
      <c r="N155" s="1129"/>
      <c r="O155" s="1129"/>
      <c r="P155" s="1129"/>
      <c r="Q155" s="1129"/>
      <c r="R155" s="1129"/>
      <c r="S155" s="1129"/>
      <c r="T155" s="1129"/>
      <c r="U155" s="1129"/>
      <c r="V155" s="1129"/>
      <c r="W155" s="1129"/>
      <c r="X155" s="1129"/>
      <c r="Y155" s="1294"/>
    </row>
    <row r="156" spans="1:30" s="3583" customFormat="1" ht="33.75" customHeight="1">
      <c r="A156" s="1128"/>
      <c r="B156" s="1129"/>
      <c r="C156" s="1129"/>
      <c r="D156" s="1129"/>
      <c r="E156" s="1129"/>
      <c r="F156" s="1129"/>
      <c r="G156" s="1129"/>
      <c r="H156" s="1129"/>
      <c r="I156" s="1129"/>
      <c r="J156" s="1129"/>
      <c r="K156" s="1129"/>
      <c r="L156" s="1129"/>
      <c r="M156" s="1129"/>
      <c r="N156" s="1129"/>
      <c r="O156" s="1129"/>
      <c r="P156" s="1129"/>
      <c r="Q156" s="1129"/>
      <c r="R156" s="1129"/>
      <c r="S156" s="1129"/>
      <c r="T156" s="1129"/>
      <c r="U156" s="1129"/>
      <c r="V156" s="1129"/>
      <c r="W156" s="1129"/>
      <c r="X156" s="1129"/>
      <c r="Y156" s="1294"/>
    </row>
    <row r="157" spans="1:30" s="1179" customFormat="1" ht="12.75" customHeight="1">
      <c r="A157" s="1128"/>
      <c r="B157" s="1129"/>
      <c r="C157" s="1129"/>
      <c r="D157" s="1129"/>
      <c r="E157" s="1129"/>
      <c r="F157" s="1129"/>
      <c r="G157" s="1129"/>
      <c r="H157" s="1129"/>
      <c r="I157" s="1129"/>
      <c r="J157" s="1129"/>
      <c r="K157" s="1129"/>
      <c r="L157" s="1129"/>
      <c r="M157" s="1129"/>
      <c r="N157" s="1129"/>
      <c r="O157" s="1129"/>
      <c r="P157" s="1129"/>
      <c r="Q157" s="1129"/>
      <c r="R157" s="1129"/>
      <c r="S157" s="1129"/>
      <c r="T157" s="1129"/>
      <c r="U157" s="1129"/>
      <c r="V157" s="1129"/>
      <c r="W157" s="1129"/>
      <c r="X157" s="1129"/>
      <c r="Y157" s="1294"/>
    </row>
    <row r="158" spans="1:30" s="1179" customFormat="1" ht="12.75" customHeight="1">
      <c r="A158" s="1128"/>
      <c r="B158" s="1129"/>
      <c r="C158" s="1129"/>
      <c r="D158" s="1129"/>
      <c r="E158" s="1129"/>
      <c r="F158" s="1129"/>
      <c r="G158" s="1129"/>
      <c r="H158" s="1129"/>
      <c r="I158" s="1129"/>
      <c r="J158" s="1129"/>
      <c r="K158" s="1129"/>
      <c r="L158" s="1129"/>
      <c r="M158" s="1129"/>
      <c r="N158" s="1129"/>
      <c r="O158" s="1129"/>
      <c r="P158" s="1129"/>
      <c r="Q158" s="1129"/>
      <c r="R158" s="1129"/>
      <c r="S158" s="1129"/>
      <c r="T158" s="1129"/>
      <c r="U158" s="1129"/>
      <c r="V158" s="1129"/>
      <c r="W158" s="1129"/>
      <c r="X158" s="1129"/>
      <c r="Y158" s="1294"/>
    </row>
    <row r="159" spans="1:30" s="1179" customFormat="1" ht="12.75" customHeight="1">
      <c r="A159" s="1128"/>
      <c r="B159" s="1129"/>
      <c r="C159" s="1129"/>
      <c r="D159" s="1129"/>
      <c r="E159" s="1129"/>
      <c r="F159" s="1129"/>
      <c r="G159" s="1129"/>
      <c r="H159" s="1129"/>
      <c r="I159" s="1129"/>
      <c r="J159" s="1129"/>
      <c r="K159" s="1129"/>
      <c r="L159" s="1129"/>
      <c r="M159" s="1129"/>
      <c r="N159" s="1129"/>
      <c r="O159" s="1129"/>
      <c r="P159" s="1129"/>
      <c r="Q159" s="1129"/>
      <c r="R159" s="1129"/>
      <c r="S159" s="1129"/>
      <c r="T159" s="1129"/>
      <c r="U159" s="1129"/>
      <c r="V159" s="1129"/>
      <c r="W159" s="1129"/>
      <c r="X159" s="1129"/>
      <c r="Y159" s="1294"/>
    </row>
    <row r="160" spans="1:30" s="1179" customFormat="1" ht="12.75" customHeight="1">
      <c r="A160" s="1128"/>
      <c r="B160" s="1129"/>
      <c r="C160" s="1129"/>
      <c r="D160" s="1129"/>
      <c r="E160" s="1129"/>
      <c r="F160" s="1129"/>
      <c r="G160" s="1129"/>
      <c r="H160" s="1129"/>
      <c r="I160" s="1129"/>
      <c r="J160" s="1129"/>
      <c r="K160" s="1129"/>
      <c r="L160" s="1129"/>
      <c r="M160" s="1129"/>
      <c r="N160" s="1129"/>
      <c r="O160" s="1129"/>
      <c r="P160" s="1129"/>
      <c r="Q160" s="1129"/>
      <c r="R160" s="1129"/>
      <c r="S160" s="1129"/>
      <c r="T160" s="1129"/>
      <c r="U160" s="1129"/>
      <c r="V160" s="1129"/>
      <c r="W160" s="1129"/>
      <c r="X160" s="1129"/>
      <c r="Y160" s="1294"/>
    </row>
    <row r="161" spans="1:25" s="1179" customFormat="1">
      <c r="A161" s="1128"/>
      <c r="B161" s="1129"/>
      <c r="C161" s="1129"/>
      <c r="D161" s="1129"/>
      <c r="E161" s="1129"/>
      <c r="F161" s="1129"/>
      <c r="G161" s="1129"/>
      <c r="H161" s="1129"/>
      <c r="I161" s="1129"/>
      <c r="J161" s="1129"/>
      <c r="K161" s="1129"/>
      <c r="L161" s="1129"/>
      <c r="M161" s="1129"/>
      <c r="N161" s="1129"/>
      <c r="O161" s="1129"/>
      <c r="P161" s="1129"/>
      <c r="Q161" s="1129"/>
      <c r="R161" s="1129"/>
      <c r="S161" s="1129"/>
      <c r="T161" s="1129"/>
      <c r="U161" s="1129"/>
      <c r="V161" s="1129"/>
      <c r="W161" s="1129"/>
      <c r="X161" s="1129"/>
      <c r="Y161" s="1294"/>
    </row>
    <row r="162" spans="1:25" s="3583" customFormat="1" ht="12" customHeight="1">
      <c r="A162" s="1128"/>
      <c r="B162" s="1129"/>
      <c r="C162" s="1129"/>
      <c r="D162" s="1129"/>
      <c r="E162" s="1129"/>
      <c r="F162" s="1129"/>
      <c r="G162" s="1129"/>
      <c r="H162" s="1129"/>
      <c r="I162" s="1129"/>
      <c r="J162" s="1129"/>
      <c r="K162" s="1129"/>
      <c r="L162" s="1129"/>
      <c r="M162" s="1129"/>
      <c r="N162" s="1129"/>
      <c r="O162" s="1129"/>
      <c r="P162" s="1129"/>
      <c r="Q162" s="1129"/>
      <c r="R162" s="1129"/>
      <c r="S162" s="1129"/>
      <c r="T162" s="1129"/>
      <c r="U162" s="1129"/>
      <c r="V162" s="1129"/>
      <c r="W162" s="1129"/>
      <c r="X162" s="1129"/>
      <c r="Y162" s="1294"/>
    </row>
    <row r="163" spans="1:25" s="1179" customFormat="1" ht="12.75" customHeight="1">
      <c r="A163" s="1128"/>
      <c r="B163" s="1129"/>
      <c r="C163" s="1129"/>
      <c r="D163" s="1129"/>
      <c r="E163" s="1129"/>
      <c r="F163" s="1129"/>
      <c r="G163" s="1129"/>
      <c r="H163" s="1129"/>
      <c r="I163" s="1129"/>
      <c r="J163" s="1129"/>
      <c r="K163" s="1129"/>
      <c r="L163" s="1129"/>
      <c r="M163" s="1129"/>
      <c r="N163" s="1129"/>
      <c r="O163" s="1129"/>
      <c r="P163" s="1129"/>
      <c r="Q163" s="1129"/>
      <c r="R163" s="1129"/>
      <c r="S163" s="1129"/>
      <c r="T163" s="1129"/>
      <c r="U163" s="1129"/>
      <c r="V163" s="1129"/>
      <c r="W163" s="1129"/>
      <c r="X163" s="1129"/>
      <c r="Y163" s="1294"/>
    </row>
    <row r="164" spans="1:25" s="1179" customFormat="1" ht="12.75" customHeight="1">
      <c r="A164" s="1128"/>
      <c r="B164" s="1129"/>
      <c r="C164" s="1129"/>
      <c r="D164" s="1129"/>
      <c r="E164" s="1129"/>
      <c r="F164" s="1129"/>
      <c r="G164" s="1129"/>
      <c r="H164" s="1129"/>
      <c r="I164" s="1129"/>
      <c r="J164" s="1129"/>
      <c r="K164" s="1129"/>
      <c r="L164" s="1129"/>
      <c r="M164" s="1129"/>
      <c r="N164" s="1129"/>
      <c r="O164" s="1129"/>
      <c r="P164" s="1129"/>
      <c r="Q164" s="1129"/>
      <c r="R164" s="1129"/>
      <c r="S164" s="1129"/>
      <c r="T164" s="1129"/>
      <c r="U164" s="1129"/>
      <c r="V164" s="1129"/>
      <c r="W164" s="1129"/>
      <c r="X164" s="1129"/>
      <c r="Y164" s="1294"/>
    </row>
    <row r="165" spans="1:25" s="1179" customFormat="1">
      <c r="A165" s="1128"/>
      <c r="B165" s="1129"/>
      <c r="C165" s="1129"/>
      <c r="D165" s="1129"/>
      <c r="E165" s="1129"/>
      <c r="F165" s="1129"/>
      <c r="G165" s="1129"/>
      <c r="H165" s="1129"/>
      <c r="I165" s="1129"/>
      <c r="J165" s="1129"/>
      <c r="K165" s="1129"/>
      <c r="L165" s="1129"/>
      <c r="M165" s="1129"/>
      <c r="N165" s="1129"/>
      <c r="O165" s="1129"/>
      <c r="P165" s="1129"/>
      <c r="Q165" s="1129"/>
      <c r="R165" s="1129"/>
      <c r="S165" s="1129"/>
      <c r="T165" s="1129"/>
      <c r="U165" s="1129"/>
      <c r="V165" s="1129"/>
      <c r="W165" s="1129"/>
      <c r="X165" s="1129"/>
      <c r="Y165" s="1294"/>
    </row>
    <row r="166" spans="1:25" s="1179" customFormat="1">
      <c r="A166" s="1128"/>
      <c r="B166" s="1129"/>
      <c r="C166" s="1129"/>
      <c r="D166" s="1129"/>
      <c r="E166" s="1129"/>
      <c r="F166" s="1129"/>
      <c r="G166" s="1129"/>
      <c r="H166" s="1129"/>
      <c r="I166" s="1129"/>
      <c r="J166" s="1129"/>
      <c r="K166" s="1129"/>
      <c r="L166" s="1129"/>
      <c r="M166" s="1129"/>
      <c r="N166" s="1129"/>
      <c r="O166" s="1129"/>
      <c r="P166" s="1129"/>
      <c r="Q166" s="1129"/>
      <c r="R166" s="1129"/>
      <c r="S166" s="1129"/>
      <c r="T166" s="1129"/>
      <c r="U166" s="1129"/>
      <c r="V166" s="1129"/>
      <c r="W166" s="1129"/>
      <c r="X166" s="1129"/>
      <c r="Y166" s="1294"/>
    </row>
    <row r="167" spans="1:25" s="3583" customFormat="1" ht="22.5" customHeight="1">
      <c r="A167" s="1128"/>
      <c r="B167" s="1129"/>
      <c r="C167" s="1129"/>
      <c r="D167" s="1129"/>
      <c r="E167" s="1129"/>
      <c r="F167" s="1129"/>
      <c r="G167" s="1129"/>
      <c r="H167" s="1129"/>
      <c r="I167" s="1129"/>
      <c r="J167" s="1129"/>
      <c r="K167" s="1129"/>
      <c r="L167" s="1129"/>
      <c r="M167" s="1129"/>
      <c r="N167" s="1129"/>
      <c r="O167" s="1129"/>
      <c r="P167" s="1129"/>
      <c r="Q167" s="1129"/>
      <c r="R167" s="1129"/>
      <c r="S167" s="1129"/>
      <c r="T167" s="1129"/>
      <c r="U167" s="1129"/>
      <c r="V167" s="1129"/>
      <c r="W167" s="1129"/>
      <c r="X167" s="1129"/>
      <c r="Y167" s="1294"/>
    </row>
    <row r="168" spans="1:25" s="1179" customFormat="1" ht="12.75" customHeight="1">
      <c r="A168" s="1128"/>
      <c r="B168" s="1129"/>
      <c r="C168" s="1129"/>
      <c r="D168" s="1129"/>
      <c r="E168" s="1129"/>
      <c r="F168" s="1129"/>
      <c r="G168" s="1129"/>
      <c r="H168" s="1129"/>
      <c r="I168" s="1129"/>
      <c r="J168" s="1129"/>
      <c r="K168" s="1129"/>
      <c r="L168" s="1129"/>
      <c r="M168" s="1129"/>
      <c r="N168" s="1129"/>
      <c r="O168" s="1129"/>
      <c r="P168" s="1129"/>
      <c r="Q168" s="1129"/>
      <c r="R168" s="1129"/>
      <c r="S168" s="1129"/>
      <c r="T168" s="1129"/>
      <c r="U168" s="1129"/>
      <c r="V168" s="1129"/>
      <c r="W168" s="1129"/>
      <c r="X168" s="1129"/>
      <c r="Y168" s="1294"/>
    </row>
    <row r="169" spans="1:25" s="1179" customFormat="1" ht="12.75" customHeight="1">
      <c r="A169" s="1128"/>
      <c r="B169" s="1129"/>
      <c r="C169" s="1129"/>
      <c r="D169" s="1129"/>
      <c r="E169" s="1129"/>
      <c r="F169" s="1129"/>
      <c r="G169" s="1129"/>
      <c r="H169" s="1129"/>
      <c r="I169" s="1129"/>
      <c r="J169" s="1129"/>
      <c r="K169" s="1129"/>
      <c r="L169" s="1129"/>
      <c r="M169" s="1129"/>
      <c r="N169" s="1129"/>
      <c r="O169" s="1129"/>
      <c r="P169" s="1129"/>
      <c r="Q169" s="1129"/>
      <c r="R169" s="1129"/>
      <c r="S169" s="1129"/>
      <c r="T169" s="1129"/>
      <c r="U169" s="1129"/>
      <c r="V169" s="1129"/>
      <c r="W169" s="1129"/>
      <c r="X169" s="1129"/>
      <c r="Y169" s="1294"/>
    </row>
    <row r="170" spans="1:25" s="1179" customFormat="1">
      <c r="A170" s="1128"/>
      <c r="B170" s="1129"/>
      <c r="C170" s="1129"/>
      <c r="D170" s="1129"/>
      <c r="E170" s="1129"/>
      <c r="F170" s="1129"/>
      <c r="G170" s="1129"/>
      <c r="H170" s="1129"/>
      <c r="I170" s="1129"/>
      <c r="J170" s="1129"/>
      <c r="K170" s="1129"/>
      <c r="L170" s="1129"/>
      <c r="M170" s="1129"/>
      <c r="N170" s="1129"/>
      <c r="O170" s="1129"/>
      <c r="P170" s="1129"/>
      <c r="Q170" s="1129"/>
      <c r="R170" s="1129"/>
      <c r="S170" s="1129"/>
      <c r="T170" s="1129"/>
      <c r="U170" s="1129"/>
      <c r="V170" s="1129"/>
      <c r="W170" s="1129"/>
      <c r="X170" s="1129"/>
      <c r="Y170" s="1294"/>
    </row>
    <row r="171" spans="1:25" s="1179" customFormat="1">
      <c r="A171" s="1128"/>
      <c r="B171" s="1129"/>
      <c r="C171" s="1129"/>
      <c r="D171" s="1129"/>
      <c r="E171" s="1129"/>
      <c r="F171" s="1129"/>
      <c r="G171" s="1129"/>
      <c r="H171" s="1129"/>
      <c r="I171" s="1129"/>
      <c r="J171" s="1129"/>
      <c r="K171" s="1129"/>
      <c r="L171" s="1129"/>
      <c r="M171" s="1129"/>
      <c r="N171" s="1129"/>
      <c r="O171" s="1129"/>
      <c r="P171" s="1129"/>
      <c r="Q171" s="1129"/>
      <c r="R171" s="1129"/>
      <c r="S171" s="1129"/>
      <c r="T171" s="1129"/>
      <c r="U171" s="1129"/>
      <c r="V171" s="1129"/>
      <c r="W171" s="1129"/>
      <c r="X171" s="1129"/>
      <c r="Y171" s="1294"/>
    </row>
    <row r="172" spans="1:25" s="3583" customFormat="1" ht="15" customHeight="1">
      <c r="A172" s="1128"/>
      <c r="B172" s="1129"/>
      <c r="C172" s="1129"/>
      <c r="D172" s="1129"/>
      <c r="E172" s="1129"/>
      <c r="F172" s="1129"/>
      <c r="G172" s="1129"/>
      <c r="H172" s="1129"/>
      <c r="I172" s="1129"/>
      <c r="J172" s="1129"/>
      <c r="K172" s="1129"/>
      <c r="L172" s="1129"/>
      <c r="M172" s="1129"/>
      <c r="N172" s="1129"/>
      <c r="O172" s="1129"/>
      <c r="P172" s="1129"/>
      <c r="Q172" s="1129"/>
      <c r="R172" s="1129"/>
      <c r="S172" s="1129"/>
      <c r="T172" s="1129"/>
      <c r="U172" s="1129"/>
      <c r="V172" s="1129"/>
      <c r="W172" s="1129"/>
      <c r="X172" s="1129"/>
      <c r="Y172" s="1294"/>
    </row>
    <row r="173" spans="1:25" s="1179" customFormat="1" ht="12.75" customHeight="1">
      <c r="A173" s="1128"/>
      <c r="B173" s="1129"/>
      <c r="C173" s="1129"/>
      <c r="D173" s="1129"/>
      <c r="E173" s="1129"/>
      <c r="F173" s="1129"/>
      <c r="G173" s="1129"/>
      <c r="H173" s="1129"/>
      <c r="I173" s="1129"/>
      <c r="J173" s="1129"/>
      <c r="K173" s="1129"/>
      <c r="L173" s="1129"/>
      <c r="M173" s="1129"/>
      <c r="N173" s="1129"/>
      <c r="O173" s="1129"/>
      <c r="P173" s="1129"/>
      <c r="Q173" s="1129"/>
      <c r="R173" s="1129"/>
      <c r="S173" s="1129"/>
      <c r="T173" s="1129"/>
      <c r="U173" s="1129"/>
      <c r="V173" s="1129"/>
      <c r="W173" s="1129"/>
      <c r="X173" s="1129"/>
      <c r="Y173" s="1294"/>
    </row>
    <row r="174" spans="1:25" s="1179" customFormat="1" ht="12.75" customHeight="1">
      <c r="A174" s="1128"/>
      <c r="B174" s="1129"/>
      <c r="C174" s="1129"/>
      <c r="D174" s="1129"/>
      <c r="E174" s="1129"/>
      <c r="F174" s="1129"/>
      <c r="G174" s="1129"/>
      <c r="H174" s="1129"/>
      <c r="I174" s="1129"/>
      <c r="J174" s="1129"/>
      <c r="K174" s="1129"/>
      <c r="L174" s="1129"/>
      <c r="M174" s="1129"/>
      <c r="N174" s="1129"/>
      <c r="O174" s="1129"/>
      <c r="P174" s="1129"/>
      <c r="Q174" s="1129"/>
      <c r="R174" s="1129"/>
      <c r="S174" s="1129"/>
      <c r="T174" s="1129"/>
      <c r="U174" s="1129"/>
      <c r="V174" s="1129"/>
      <c r="W174" s="1129"/>
      <c r="X174" s="1129"/>
      <c r="Y174" s="1294"/>
    </row>
    <row r="175" spans="1:25" s="1179" customFormat="1">
      <c r="A175" s="1128"/>
      <c r="B175" s="1129"/>
      <c r="C175" s="1129"/>
      <c r="D175" s="1129"/>
      <c r="E175" s="1129"/>
      <c r="F175" s="1129"/>
      <c r="G175" s="1129"/>
      <c r="H175" s="1129"/>
      <c r="I175" s="1129"/>
      <c r="J175" s="1129"/>
      <c r="K175" s="1129"/>
      <c r="L175" s="1129"/>
      <c r="M175" s="1129"/>
      <c r="N175" s="1129"/>
      <c r="O175" s="1129"/>
      <c r="P175" s="1129"/>
      <c r="Q175" s="1129"/>
      <c r="R175" s="1129"/>
      <c r="S175" s="1129"/>
      <c r="T175" s="1129"/>
      <c r="U175" s="1129"/>
      <c r="V175" s="1129"/>
      <c r="W175" s="1129"/>
      <c r="X175" s="1129"/>
      <c r="Y175" s="1294"/>
    </row>
    <row r="176" spans="1:25" s="1179" customFormat="1">
      <c r="A176" s="1128"/>
      <c r="B176" s="1129"/>
      <c r="C176" s="1129"/>
      <c r="D176" s="1129"/>
      <c r="E176" s="1129"/>
      <c r="F176" s="1129"/>
      <c r="G176" s="1129"/>
      <c r="H176" s="1129"/>
      <c r="I176" s="1129"/>
      <c r="J176" s="1129"/>
      <c r="K176" s="1129"/>
      <c r="L176" s="1129"/>
      <c r="M176" s="1129"/>
      <c r="N176" s="1129"/>
      <c r="O176" s="1129"/>
      <c r="P176" s="1129"/>
      <c r="Q176" s="1129"/>
      <c r="R176" s="1129"/>
      <c r="S176" s="1129"/>
      <c r="T176" s="1129"/>
      <c r="U176" s="1129"/>
      <c r="V176" s="1129"/>
      <c r="W176" s="1129"/>
      <c r="X176" s="1129"/>
      <c r="Y176" s="1294"/>
    </row>
    <row r="177" spans="1:25" s="3583" customFormat="1" ht="13.5" customHeight="1">
      <c r="A177" s="1128"/>
      <c r="B177" s="1129"/>
      <c r="C177" s="1129"/>
      <c r="D177" s="1129"/>
      <c r="E177" s="1129"/>
      <c r="F177" s="1129"/>
      <c r="G177" s="1129"/>
      <c r="H177" s="1129"/>
      <c r="I177" s="1129"/>
      <c r="J177" s="1129"/>
      <c r="K177" s="1129"/>
      <c r="L177" s="1129"/>
      <c r="M177" s="1129"/>
      <c r="N177" s="1129"/>
      <c r="O177" s="1129"/>
      <c r="P177" s="1129"/>
      <c r="Q177" s="1129"/>
      <c r="R177" s="1129"/>
      <c r="S177" s="1129"/>
      <c r="T177" s="1129"/>
      <c r="U177" s="1129"/>
      <c r="V177" s="1129"/>
      <c r="W177" s="1129"/>
      <c r="X177" s="1129"/>
      <c r="Y177" s="1294"/>
    </row>
    <row r="178" spans="1:25" s="1179" customFormat="1" ht="12.75" customHeight="1">
      <c r="A178" s="1128"/>
      <c r="B178" s="1129"/>
      <c r="C178" s="1129"/>
      <c r="D178" s="1129"/>
      <c r="E178" s="1129"/>
      <c r="F178" s="1129"/>
      <c r="G178" s="1129"/>
      <c r="H178" s="1129"/>
      <c r="I178" s="1129"/>
      <c r="J178" s="1129"/>
      <c r="K178" s="1129"/>
      <c r="L178" s="1129"/>
      <c r="M178" s="1129"/>
      <c r="N178" s="1129"/>
      <c r="O178" s="1129"/>
      <c r="P178" s="1129"/>
      <c r="Q178" s="1129"/>
      <c r="R178" s="1129"/>
      <c r="S178" s="1129"/>
      <c r="T178" s="1129"/>
      <c r="U178" s="1129"/>
      <c r="V178" s="1129"/>
      <c r="W178" s="1129"/>
      <c r="X178" s="1129"/>
      <c r="Y178" s="1294"/>
    </row>
    <row r="179" spans="1:25" s="1179" customFormat="1" ht="12.75" customHeight="1">
      <c r="A179" s="1128"/>
      <c r="B179" s="1129"/>
      <c r="C179" s="1129"/>
      <c r="D179" s="1129"/>
      <c r="E179" s="1129"/>
      <c r="F179" s="1129"/>
      <c r="G179" s="1129"/>
      <c r="H179" s="1129"/>
      <c r="I179" s="1129"/>
      <c r="J179" s="1129"/>
      <c r="K179" s="1129"/>
      <c r="L179" s="1129"/>
      <c r="M179" s="1129"/>
      <c r="N179" s="1129"/>
      <c r="O179" s="1129"/>
      <c r="P179" s="1129"/>
      <c r="Q179" s="1129"/>
      <c r="R179" s="1129"/>
      <c r="S179" s="1129"/>
      <c r="T179" s="1129"/>
      <c r="U179" s="1129"/>
      <c r="V179" s="1129"/>
      <c r="W179" s="1129"/>
      <c r="X179" s="1129"/>
      <c r="Y179" s="1294"/>
    </row>
    <row r="180" spans="1:25" s="1179" customFormat="1">
      <c r="A180" s="1128"/>
      <c r="B180" s="1129"/>
      <c r="C180" s="1129"/>
      <c r="D180" s="1129"/>
      <c r="E180" s="1129"/>
      <c r="F180" s="1129"/>
      <c r="G180" s="1129"/>
      <c r="H180" s="1129"/>
      <c r="I180" s="1129"/>
      <c r="J180" s="1129"/>
      <c r="K180" s="1129"/>
      <c r="L180" s="1129"/>
      <c r="M180" s="1129"/>
      <c r="N180" s="1129"/>
      <c r="O180" s="1129"/>
      <c r="P180" s="1129"/>
      <c r="Q180" s="1129"/>
      <c r="R180" s="1129"/>
      <c r="S180" s="1129"/>
      <c r="T180" s="1129"/>
      <c r="U180" s="1129"/>
      <c r="V180" s="1129"/>
      <c r="W180" s="1129"/>
      <c r="X180" s="1129"/>
      <c r="Y180" s="1294"/>
    </row>
    <row r="181" spans="1:25" s="1179" customFormat="1">
      <c r="A181" s="1128"/>
      <c r="B181" s="1129"/>
      <c r="C181" s="1129"/>
      <c r="D181" s="1129"/>
      <c r="E181" s="1129"/>
      <c r="F181" s="1129"/>
      <c r="G181" s="1129"/>
      <c r="H181" s="1129"/>
      <c r="I181" s="1129"/>
      <c r="J181" s="1129"/>
      <c r="K181" s="1129"/>
      <c r="L181" s="1129"/>
      <c r="M181" s="1129"/>
      <c r="N181" s="1129"/>
      <c r="O181" s="1129"/>
      <c r="P181" s="1129"/>
      <c r="Q181" s="1129"/>
      <c r="R181" s="1129"/>
      <c r="S181" s="1129"/>
      <c r="T181" s="1129"/>
      <c r="U181" s="1129"/>
      <c r="V181" s="1129"/>
      <c r="W181" s="1129"/>
      <c r="X181" s="1129"/>
      <c r="Y181" s="1294"/>
    </row>
    <row r="182" spans="1:25" s="1179" customFormat="1">
      <c r="A182" s="1128"/>
      <c r="B182" s="1129"/>
      <c r="C182" s="1129"/>
      <c r="D182" s="1129"/>
      <c r="E182" s="1129"/>
      <c r="F182" s="1129"/>
      <c r="G182" s="1129"/>
      <c r="H182" s="1129"/>
      <c r="I182" s="1129"/>
      <c r="J182" s="1129"/>
      <c r="K182" s="1129"/>
      <c r="L182" s="1129"/>
      <c r="M182" s="1129"/>
      <c r="N182" s="1129"/>
      <c r="O182" s="1129"/>
      <c r="P182" s="1129"/>
      <c r="Q182" s="1129"/>
      <c r="R182" s="1129"/>
      <c r="S182" s="1129"/>
      <c r="T182" s="1129"/>
      <c r="U182" s="1129"/>
      <c r="V182" s="1129"/>
      <c r="W182" s="1129"/>
      <c r="X182" s="1129"/>
      <c r="Y182" s="1294"/>
    </row>
    <row r="183" spans="1:25" s="3583" customFormat="1" ht="22.5" customHeight="1">
      <c r="A183" s="1128"/>
      <c r="B183" s="1129"/>
      <c r="C183" s="1129"/>
      <c r="D183" s="1129"/>
      <c r="E183" s="1129"/>
      <c r="F183" s="1129"/>
      <c r="G183" s="1129"/>
      <c r="H183" s="1129"/>
      <c r="I183" s="1129"/>
      <c r="J183" s="1129"/>
      <c r="K183" s="1129"/>
      <c r="L183" s="1129"/>
      <c r="M183" s="1129"/>
      <c r="N183" s="1129"/>
      <c r="O183" s="1129"/>
      <c r="P183" s="1129"/>
      <c r="Q183" s="1129"/>
      <c r="R183" s="1129"/>
      <c r="S183" s="1129"/>
      <c r="T183" s="1129"/>
      <c r="U183" s="1129"/>
      <c r="V183" s="1129"/>
      <c r="W183" s="1129"/>
      <c r="X183" s="1129"/>
      <c r="Y183" s="1294"/>
    </row>
    <row r="184" spans="1:25" s="1179" customFormat="1" ht="12.75" customHeight="1">
      <c r="A184" s="1128"/>
      <c r="B184" s="1129"/>
      <c r="C184" s="1129"/>
      <c r="D184" s="1129"/>
      <c r="E184" s="1129"/>
      <c r="F184" s="1129"/>
      <c r="G184" s="1129"/>
      <c r="H184" s="1129"/>
      <c r="I184" s="1129"/>
      <c r="J184" s="1129"/>
      <c r="K184" s="1129"/>
      <c r="L184" s="1129"/>
      <c r="M184" s="1129"/>
      <c r="N184" s="1129"/>
      <c r="O184" s="1129"/>
      <c r="P184" s="1129"/>
      <c r="Q184" s="1129"/>
      <c r="R184" s="1129"/>
      <c r="S184" s="1129"/>
      <c r="T184" s="1129"/>
      <c r="U184" s="1129"/>
      <c r="V184" s="1129"/>
      <c r="W184" s="1129"/>
      <c r="X184" s="1129"/>
      <c r="Y184" s="1294"/>
    </row>
    <row r="185" spans="1:25" s="1179" customFormat="1" ht="12.75" customHeight="1">
      <c r="A185" s="1128"/>
      <c r="B185" s="1129"/>
      <c r="C185" s="1129"/>
      <c r="D185" s="1129"/>
      <c r="E185" s="1129"/>
      <c r="F185" s="1129"/>
      <c r="G185" s="1129"/>
      <c r="H185" s="1129"/>
      <c r="I185" s="1129"/>
      <c r="J185" s="1129"/>
      <c r="K185" s="1129"/>
      <c r="L185" s="1129"/>
      <c r="M185" s="1129"/>
      <c r="N185" s="1129"/>
      <c r="O185" s="1129"/>
      <c r="P185" s="1129"/>
      <c r="Q185" s="1129"/>
      <c r="R185" s="1129"/>
      <c r="S185" s="1129"/>
      <c r="T185" s="1129"/>
      <c r="U185" s="1129"/>
      <c r="V185" s="1129"/>
      <c r="W185" s="1129"/>
      <c r="X185" s="1129"/>
      <c r="Y185" s="1294"/>
    </row>
    <row r="186" spans="1:25" s="1179" customFormat="1">
      <c r="A186" s="1128"/>
      <c r="B186" s="1129"/>
      <c r="C186" s="1129"/>
      <c r="D186" s="1129"/>
      <c r="E186" s="1129"/>
      <c r="F186" s="1129"/>
      <c r="G186" s="1129"/>
      <c r="H186" s="1129"/>
      <c r="I186" s="1129"/>
      <c r="J186" s="1129"/>
      <c r="K186" s="1129"/>
      <c r="L186" s="1129"/>
      <c r="M186" s="1129"/>
      <c r="N186" s="1129"/>
      <c r="O186" s="1129"/>
      <c r="P186" s="1129"/>
      <c r="Q186" s="1129"/>
      <c r="R186" s="1129"/>
      <c r="S186" s="1129"/>
      <c r="T186" s="1129"/>
      <c r="U186" s="1129"/>
      <c r="V186" s="1129"/>
      <c r="W186" s="1129"/>
      <c r="X186" s="1129"/>
      <c r="Y186" s="1294"/>
    </row>
    <row r="187" spans="1:25" s="1179" customFormat="1">
      <c r="A187" s="1128"/>
      <c r="B187" s="1129"/>
      <c r="C187" s="1129"/>
      <c r="D187" s="1129"/>
      <c r="E187" s="1129"/>
      <c r="F187" s="1129"/>
      <c r="G187" s="1129"/>
      <c r="H187" s="1129"/>
      <c r="I187" s="1129"/>
      <c r="J187" s="1129"/>
      <c r="K187" s="1129"/>
      <c r="L187" s="1129"/>
      <c r="M187" s="1129"/>
      <c r="N187" s="1129"/>
      <c r="O187" s="1129"/>
      <c r="P187" s="1129"/>
      <c r="Q187" s="1129"/>
      <c r="R187" s="1129"/>
      <c r="S187" s="1129"/>
      <c r="T187" s="1129"/>
      <c r="U187" s="1129"/>
      <c r="V187" s="1129"/>
      <c r="W187" s="1129"/>
      <c r="X187" s="1129"/>
      <c r="Y187" s="1294"/>
    </row>
    <row r="188" spans="1:25" s="3583" customFormat="1" ht="12.75" customHeight="1">
      <c r="A188" s="1128"/>
      <c r="B188" s="1129"/>
      <c r="C188" s="1129"/>
      <c r="D188" s="1129"/>
      <c r="E188" s="1129"/>
      <c r="F188" s="1129"/>
      <c r="G188" s="1129"/>
      <c r="H188" s="1129"/>
      <c r="I188" s="1129"/>
      <c r="J188" s="1129"/>
      <c r="K188" s="1129"/>
      <c r="L188" s="1129"/>
      <c r="M188" s="1129"/>
      <c r="N188" s="1129"/>
      <c r="O188" s="1129"/>
      <c r="P188" s="1129"/>
      <c r="Q188" s="1129"/>
      <c r="R188" s="1129"/>
      <c r="S188" s="1129"/>
      <c r="T188" s="1129"/>
      <c r="U188" s="1129"/>
      <c r="V188" s="1129"/>
      <c r="W188" s="1129"/>
      <c r="X188" s="1129"/>
      <c r="Y188" s="1294"/>
    </row>
    <row r="189" spans="1:25" s="1179" customFormat="1" ht="9.75" customHeight="1">
      <c r="A189" s="1128"/>
      <c r="B189" s="1129"/>
      <c r="C189" s="1129"/>
      <c r="D189" s="1129"/>
      <c r="E189" s="1129"/>
      <c r="F189" s="1129"/>
      <c r="G189" s="1129"/>
      <c r="H189" s="1129"/>
      <c r="I189" s="1129"/>
      <c r="J189" s="1129"/>
      <c r="K189" s="1129"/>
      <c r="L189" s="1129"/>
      <c r="M189" s="1129"/>
      <c r="N189" s="1129"/>
      <c r="O189" s="1129"/>
      <c r="P189" s="1129"/>
      <c r="Q189" s="1129"/>
      <c r="R189" s="1129"/>
      <c r="S189" s="1129"/>
      <c r="T189" s="1129"/>
      <c r="U189" s="1129"/>
      <c r="V189" s="1129"/>
      <c r="W189" s="1129"/>
      <c r="X189" s="1129"/>
      <c r="Y189" s="1294"/>
    </row>
    <row r="190" spans="1:25" s="1179" customFormat="1" ht="12.75" customHeight="1">
      <c r="A190" s="1128"/>
      <c r="B190" s="1129"/>
      <c r="C190" s="1129"/>
      <c r="D190" s="1129"/>
      <c r="E190" s="1129"/>
      <c r="F190" s="1129"/>
      <c r="G190" s="1129"/>
      <c r="H190" s="1129"/>
      <c r="I190" s="1129"/>
      <c r="J190" s="1129"/>
      <c r="K190" s="1129"/>
      <c r="L190" s="1129"/>
      <c r="M190" s="1129"/>
      <c r="N190" s="1129"/>
      <c r="O190" s="1129"/>
      <c r="P190" s="1129"/>
      <c r="Q190" s="1129"/>
      <c r="R190" s="1129"/>
      <c r="S190" s="1129"/>
      <c r="T190" s="1129"/>
      <c r="U190" s="1129"/>
      <c r="V190" s="1129"/>
      <c r="W190" s="1129"/>
      <c r="X190" s="1129"/>
      <c r="Y190" s="1294"/>
    </row>
    <row r="191" spans="1:25" s="1179" customFormat="1">
      <c r="A191" s="1128"/>
      <c r="B191" s="1129"/>
      <c r="C191" s="1129"/>
      <c r="D191" s="1129"/>
      <c r="E191" s="1129"/>
      <c r="F191" s="1129"/>
      <c r="G191" s="1129"/>
      <c r="H191" s="1129"/>
      <c r="I191" s="1129"/>
      <c r="J191" s="1129"/>
      <c r="K191" s="1129"/>
      <c r="L191" s="1129"/>
      <c r="M191" s="1129"/>
      <c r="N191" s="1129"/>
      <c r="O191" s="1129"/>
      <c r="P191" s="1129"/>
      <c r="Q191" s="1129"/>
      <c r="R191" s="1129"/>
      <c r="S191" s="1129"/>
      <c r="T191" s="1129"/>
      <c r="U191" s="1129"/>
      <c r="V191" s="1129"/>
      <c r="W191" s="1129"/>
      <c r="X191" s="1129"/>
      <c r="Y191" s="1294"/>
    </row>
    <row r="192" spans="1:25" s="1179" customFormat="1">
      <c r="A192" s="1128"/>
      <c r="B192" s="1129"/>
      <c r="C192" s="1129"/>
      <c r="D192" s="1129"/>
      <c r="E192" s="1129"/>
      <c r="F192" s="1129"/>
      <c r="G192" s="1129"/>
      <c r="H192" s="1129"/>
      <c r="I192" s="1129"/>
      <c r="J192" s="1129"/>
      <c r="K192" s="1129"/>
      <c r="L192" s="1129"/>
      <c r="M192" s="1129"/>
      <c r="N192" s="1129"/>
      <c r="O192" s="1129"/>
      <c r="P192" s="1129"/>
      <c r="Q192" s="1129"/>
      <c r="R192" s="1129"/>
      <c r="S192" s="1129"/>
      <c r="T192" s="1129"/>
      <c r="U192" s="1129"/>
      <c r="V192" s="1129"/>
      <c r="W192" s="1129"/>
      <c r="X192" s="1129"/>
      <c r="Y192" s="1294"/>
    </row>
    <row r="193" spans="1:25" s="3583" customFormat="1" ht="13.5" customHeight="1">
      <c r="A193" s="1128"/>
      <c r="B193" s="1129"/>
      <c r="C193" s="1129"/>
      <c r="D193" s="1129"/>
      <c r="E193" s="1129"/>
      <c r="F193" s="1129"/>
      <c r="G193" s="1129"/>
      <c r="H193" s="1129"/>
      <c r="I193" s="1129"/>
      <c r="J193" s="1129"/>
      <c r="K193" s="1129"/>
      <c r="L193" s="1129"/>
      <c r="M193" s="1129"/>
      <c r="N193" s="1129"/>
      <c r="O193" s="1129"/>
      <c r="P193" s="1129"/>
      <c r="Q193" s="1129"/>
      <c r="R193" s="1129"/>
      <c r="S193" s="1129"/>
      <c r="T193" s="1129"/>
      <c r="U193" s="1129"/>
      <c r="V193" s="1129"/>
      <c r="W193" s="1129"/>
      <c r="X193" s="1129"/>
      <c r="Y193" s="1294"/>
    </row>
    <row r="194" spans="1:25" s="1179" customFormat="1" ht="9.75" customHeight="1">
      <c r="A194" s="1128"/>
      <c r="B194" s="1129"/>
      <c r="C194" s="1129"/>
      <c r="D194" s="1129"/>
      <c r="E194" s="1129"/>
      <c r="F194" s="1129"/>
      <c r="G194" s="1129"/>
      <c r="H194" s="1129"/>
      <c r="I194" s="1129"/>
      <c r="J194" s="1129"/>
      <c r="K194" s="1129"/>
      <c r="L194" s="1129"/>
      <c r="M194" s="1129"/>
      <c r="N194" s="1129"/>
      <c r="O194" s="1129"/>
      <c r="P194" s="1129"/>
      <c r="Q194" s="1129"/>
      <c r="R194" s="1129"/>
      <c r="S194" s="1129"/>
      <c r="T194" s="1129"/>
      <c r="U194" s="1129"/>
      <c r="V194" s="1129"/>
      <c r="W194" s="1129"/>
      <c r="X194" s="1129"/>
      <c r="Y194" s="1294"/>
    </row>
    <row r="195" spans="1:25" s="1179" customFormat="1" ht="12.75" customHeight="1">
      <c r="A195" s="1128"/>
      <c r="B195" s="1129"/>
      <c r="C195" s="1129"/>
      <c r="D195" s="1129"/>
      <c r="E195" s="1129"/>
      <c r="F195" s="1129"/>
      <c r="G195" s="1129"/>
      <c r="H195" s="1129"/>
      <c r="I195" s="1129"/>
      <c r="J195" s="1129"/>
      <c r="K195" s="1129"/>
      <c r="L195" s="1129"/>
      <c r="M195" s="1129"/>
      <c r="N195" s="1129"/>
      <c r="O195" s="1129"/>
      <c r="P195" s="1129"/>
      <c r="Q195" s="1129"/>
      <c r="R195" s="1129"/>
      <c r="S195" s="1129"/>
      <c r="T195" s="1129"/>
      <c r="U195" s="1129"/>
      <c r="V195" s="1129"/>
      <c r="W195" s="1129"/>
      <c r="X195" s="1129"/>
      <c r="Y195" s="1294"/>
    </row>
    <row r="196" spans="1:25" s="1179" customFormat="1">
      <c r="A196" s="1128"/>
      <c r="B196" s="1129"/>
      <c r="C196" s="1129"/>
      <c r="D196" s="1129"/>
      <c r="E196" s="1129"/>
      <c r="F196" s="1129"/>
      <c r="G196" s="1129"/>
      <c r="H196" s="1129"/>
      <c r="I196" s="1129"/>
      <c r="J196" s="1129"/>
      <c r="K196" s="1129"/>
      <c r="L196" s="1129"/>
      <c r="M196" s="1129"/>
      <c r="N196" s="1129"/>
      <c r="O196" s="1129"/>
      <c r="P196" s="1129"/>
      <c r="Q196" s="1129"/>
      <c r="R196" s="1129"/>
      <c r="S196" s="1129"/>
      <c r="T196" s="1129"/>
      <c r="U196" s="1129"/>
      <c r="V196" s="1129"/>
      <c r="W196" s="1129"/>
      <c r="X196" s="1129"/>
      <c r="Y196" s="1294"/>
    </row>
    <row r="197" spans="1:25" s="1179" customFormat="1">
      <c r="A197" s="1128"/>
      <c r="B197" s="1129"/>
      <c r="C197" s="1129"/>
      <c r="D197" s="1129"/>
      <c r="E197" s="1129"/>
      <c r="F197" s="1129"/>
      <c r="G197" s="1129"/>
      <c r="H197" s="1129"/>
      <c r="I197" s="1129"/>
      <c r="J197" s="1129"/>
      <c r="K197" s="1129"/>
      <c r="L197" s="1129"/>
      <c r="M197" s="1129"/>
      <c r="N197" s="1129"/>
      <c r="O197" s="1129"/>
      <c r="P197" s="1129"/>
      <c r="Q197" s="1129"/>
      <c r="R197" s="1129"/>
      <c r="S197" s="1129"/>
      <c r="T197" s="1129"/>
      <c r="U197" s="1129"/>
      <c r="V197" s="1129"/>
      <c r="W197" s="1129"/>
      <c r="X197" s="1129"/>
      <c r="Y197" s="1294"/>
    </row>
    <row r="198" spans="1:25" s="1179" customFormat="1">
      <c r="A198" s="1128"/>
      <c r="B198" s="1129"/>
      <c r="C198" s="1129"/>
      <c r="D198" s="1129"/>
      <c r="E198" s="1129"/>
      <c r="F198" s="1129"/>
      <c r="G198" s="1129"/>
      <c r="H198" s="1129"/>
      <c r="I198" s="1129"/>
      <c r="J198" s="1129"/>
      <c r="K198" s="1129"/>
      <c r="L198" s="1129"/>
      <c r="M198" s="1129"/>
      <c r="N198" s="1129"/>
      <c r="O198" s="1129"/>
      <c r="P198" s="1129"/>
      <c r="Q198" s="1129"/>
      <c r="R198" s="1129"/>
      <c r="S198" s="1129"/>
      <c r="T198" s="1129"/>
      <c r="U198" s="1129"/>
      <c r="V198" s="1129"/>
      <c r="W198" s="1129"/>
      <c r="X198" s="1129"/>
      <c r="Y198" s="1294"/>
    </row>
    <row r="199" spans="1:25" s="1179" customFormat="1">
      <c r="A199" s="1128"/>
      <c r="B199" s="1129"/>
      <c r="C199" s="1129"/>
      <c r="D199" s="1129"/>
      <c r="E199" s="1129"/>
      <c r="F199" s="1129"/>
      <c r="G199" s="1129"/>
      <c r="H199" s="1129"/>
      <c r="I199" s="1129"/>
      <c r="J199" s="1129"/>
      <c r="K199" s="1129"/>
      <c r="L199" s="1129"/>
      <c r="M199" s="1129"/>
      <c r="N199" s="1129"/>
      <c r="O199" s="1129"/>
      <c r="P199" s="1129"/>
      <c r="Q199" s="1129"/>
      <c r="R199" s="1129"/>
      <c r="S199" s="1129"/>
      <c r="T199" s="1129"/>
      <c r="U199" s="1129"/>
      <c r="V199" s="1129"/>
      <c r="W199" s="1129"/>
      <c r="X199" s="1129"/>
      <c r="Y199" s="1294"/>
    </row>
    <row r="200" spans="1:25" s="1179" customFormat="1">
      <c r="A200" s="1128"/>
      <c r="B200" s="1129"/>
      <c r="C200" s="1129"/>
      <c r="D200" s="1129"/>
      <c r="E200" s="1129"/>
      <c r="F200" s="1129"/>
      <c r="G200" s="1129"/>
      <c r="H200" s="1129"/>
      <c r="I200" s="1129"/>
      <c r="J200" s="1129"/>
      <c r="K200" s="1129"/>
      <c r="L200" s="1129"/>
      <c r="M200" s="1129"/>
      <c r="N200" s="1129"/>
      <c r="O200" s="1129"/>
      <c r="P200" s="1129"/>
      <c r="Q200" s="1129"/>
      <c r="R200" s="1129"/>
      <c r="S200" s="1129"/>
      <c r="T200" s="1129"/>
      <c r="U200" s="1129"/>
      <c r="V200" s="1129"/>
      <c r="W200" s="1129"/>
      <c r="X200" s="1129"/>
      <c r="Y200" s="1294"/>
    </row>
    <row r="201" spans="1:25" s="3583" customFormat="1" ht="22.5" customHeight="1">
      <c r="A201" s="1128"/>
      <c r="B201" s="1129"/>
      <c r="C201" s="1129"/>
      <c r="D201" s="1129"/>
      <c r="E201" s="1129"/>
      <c r="F201" s="1129"/>
      <c r="G201" s="1129"/>
      <c r="H201" s="1129"/>
      <c r="I201" s="1129"/>
      <c r="J201" s="1129"/>
      <c r="K201" s="1129"/>
      <c r="L201" s="1129"/>
      <c r="M201" s="1129"/>
      <c r="N201" s="1129"/>
      <c r="O201" s="1129"/>
      <c r="P201" s="1129"/>
      <c r="Q201" s="1129"/>
      <c r="R201" s="1129"/>
      <c r="S201" s="1129"/>
      <c r="T201" s="1129"/>
      <c r="U201" s="1129"/>
      <c r="V201" s="1129"/>
      <c r="W201" s="1129"/>
      <c r="X201" s="1129"/>
      <c r="Y201" s="1294"/>
    </row>
    <row r="202" spans="1:25" s="1179" customFormat="1" ht="12.75" customHeight="1">
      <c r="A202" s="1128"/>
      <c r="B202" s="1129"/>
      <c r="C202" s="1129"/>
      <c r="D202" s="1129"/>
      <c r="E202" s="1129"/>
      <c r="F202" s="1129"/>
      <c r="G202" s="1129"/>
      <c r="H202" s="1129"/>
      <c r="I202" s="1129"/>
      <c r="J202" s="1129"/>
      <c r="K202" s="1129"/>
      <c r="L202" s="1129"/>
      <c r="M202" s="1129"/>
      <c r="N202" s="1129"/>
      <c r="O202" s="1129"/>
      <c r="P202" s="1129"/>
      <c r="Q202" s="1129"/>
      <c r="R202" s="1129"/>
      <c r="S202" s="1129"/>
      <c r="T202" s="1129"/>
      <c r="U202" s="1129"/>
      <c r="V202" s="1129"/>
      <c r="W202" s="1129"/>
      <c r="X202" s="1129"/>
      <c r="Y202" s="1294"/>
    </row>
    <row r="203" spans="1:25" s="1179" customFormat="1" ht="12.75" customHeight="1">
      <c r="A203" s="1128"/>
      <c r="B203" s="1129"/>
      <c r="C203" s="1129"/>
      <c r="D203" s="1129"/>
      <c r="E203" s="1129"/>
      <c r="F203" s="1129"/>
      <c r="G203" s="1129"/>
      <c r="H203" s="1129"/>
      <c r="I203" s="1129"/>
      <c r="J203" s="1129"/>
      <c r="K203" s="1129"/>
      <c r="L203" s="1129"/>
      <c r="M203" s="1129"/>
      <c r="N203" s="1129"/>
      <c r="O203" s="1129"/>
      <c r="P203" s="1129"/>
      <c r="Q203" s="1129"/>
      <c r="R203" s="1129"/>
      <c r="S203" s="1129"/>
      <c r="T203" s="1129"/>
      <c r="U203" s="1129"/>
      <c r="V203" s="1129"/>
      <c r="W203" s="1129"/>
      <c r="X203" s="1129"/>
      <c r="Y203" s="1294"/>
    </row>
    <row r="204" spans="1:25" s="1179" customFormat="1">
      <c r="A204" s="1128"/>
      <c r="B204" s="1129"/>
      <c r="C204" s="1129"/>
      <c r="D204" s="1129"/>
      <c r="E204" s="1129"/>
      <c r="F204" s="1129"/>
      <c r="G204" s="1129"/>
      <c r="H204" s="1129"/>
      <c r="I204" s="1129"/>
      <c r="J204" s="1129"/>
      <c r="K204" s="1129"/>
      <c r="L204" s="1129"/>
      <c r="M204" s="1129"/>
      <c r="N204" s="1129"/>
      <c r="O204" s="1129"/>
      <c r="P204" s="1129"/>
      <c r="Q204" s="1129"/>
      <c r="R204" s="1129"/>
      <c r="S204" s="1129"/>
      <c r="T204" s="1129"/>
      <c r="U204" s="1129"/>
      <c r="V204" s="1129"/>
      <c r="W204" s="1129"/>
      <c r="X204" s="1129"/>
      <c r="Y204" s="1294"/>
    </row>
    <row r="205" spans="1:25" s="1179" customFormat="1">
      <c r="A205" s="1128"/>
      <c r="B205" s="1129"/>
      <c r="C205" s="1129"/>
      <c r="D205" s="1129"/>
      <c r="E205" s="1129"/>
      <c r="F205" s="1129"/>
      <c r="G205" s="1129"/>
      <c r="H205" s="1129"/>
      <c r="I205" s="1129"/>
      <c r="J205" s="1129"/>
      <c r="K205" s="1129"/>
      <c r="L205" s="1129"/>
      <c r="M205" s="1129"/>
      <c r="N205" s="1129"/>
      <c r="O205" s="1129"/>
      <c r="P205" s="1129"/>
      <c r="Q205" s="1129"/>
      <c r="R205" s="1129"/>
      <c r="S205" s="1129"/>
      <c r="T205" s="1129"/>
      <c r="U205" s="1129"/>
      <c r="V205" s="1129"/>
      <c r="W205" s="1129"/>
      <c r="X205" s="1129"/>
      <c r="Y205" s="1294"/>
    </row>
    <row r="206" spans="1:25" s="3583" customFormat="1" ht="34.5" customHeight="1">
      <c r="A206" s="1128"/>
      <c r="B206" s="1129"/>
      <c r="C206" s="1129"/>
      <c r="D206" s="1129"/>
      <c r="E206" s="1129"/>
      <c r="F206" s="1129"/>
      <c r="G206" s="1129"/>
      <c r="H206" s="1129"/>
      <c r="I206" s="1129"/>
      <c r="J206" s="1129"/>
      <c r="K206" s="1129"/>
      <c r="L206" s="1129"/>
      <c r="M206" s="1129"/>
      <c r="N206" s="1129"/>
      <c r="O206" s="1129"/>
      <c r="P206" s="1129"/>
      <c r="Q206" s="1129"/>
      <c r="R206" s="1129"/>
      <c r="S206" s="1129"/>
      <c r="T206" s="1129"/>
      <c r="U206" s="1129"/>
      <c r="V206" s="1129"/>
      <c r="W206" s="1129"/>
      <c r="X206" s="1129"/>
      <c r="Y206" s="1294"/>
    </row>
    <row r="207" spans="1:25" s="1179" customFormat="1" ht="14.25" customHeight="1">
      <c r="A207" s="1128"/>
      <c r="B207" s="1129"/>
      <c r="C207" s="1129"/>
      <c r="D207" s="1129"/>
      <c r="E207" s="1129"/>
      <c r="F207" s="1129"/>
      <c r="G207" s="1129"/>
      <c r="H207" s="1129"/>
      <c r="I207" s="1129"/>
      <c r="J207" s="1129"/>
      <c r="K207" s="1129"/>
      <c r="L207" s="1129"/>
      <c r="M207" s="1129"/>
      <c r="N207" s="1129"/>
      <c r="O207" s="1129"/>
      <c r="P207" s="1129"/>
      <c r="Q207" s="1129"/>
      <c r="R207" s="1129"/>
      <c r="S207" s="1129"/>
      <c r="T207" s="1129"/>
      <c r="U207" s="1129"/>
      <c r="V207" s="1129"/>
      <c r="W207" s="1129"/>
      <c r="X207" s="1129"/>
      <c r="Y207" s="1294"/>
    </row>
    <row r="208" spans="1:25" s="1179" customFormat="1" ht="12.75" customHeight="1">
      <c r="A208" s="1128"/>
      <c r="B208" s="1129"/>
      <c r="C208" s="1129"/>
      <c r="D208" s="1129"/>
      <c r="E208" s="1129"/>
      <c r="F208" s="1129"/>
      <c r="G208" s="1129"/>
      <c r="H208" s="1129"/>
      <c r="I208" s="1129"/>
      <c r="J208" s="1129"/>
      <c r="K208" s="1129"/>
      <c r="L208" s="1129"/>
      <c r="M208" s="1129"/>
      <c r="N208" s="1129"/>
      <c r="O208" s="1129"/>
      <c r="P208" s="1129"/>
      <c r="Q208" s="1129"/>
      <c r="R208" s="1129"/>
      <c r="S208" s="1129"/>
      <c r="T208" s="1129"/>
      <c r="U208" s="1129"/>
      <c r="V208" s="1129"/>
      <c r="W208" s="1129"/>
      <c r="X208" s="1129"/>
      <c r="Y208" s="1294"/>
    </row>
    <row r="209" spans="1:25" s="1179" customFormat="1">
      <c r="A209" s="1128"/>
      <c r="B209" s="1129"/>
      <c r="C209" s="1129"/>
      <c r="D209" s="1129"/>
      <c r="E209" s="1129"/>
      <c r="F209" s="1129"/>
      <c r="G209" s="1129"/>
      <c r="H209" s="1129"/>
      <c r="I209" s="1129"/>
      <c r="J209" s="1129"/>
      <c r="K209" s="1129"/>
      <c r="L209" s="1129"/>
      <c r="M209" s="1129"/>
      <c r="N209" s="1129"/>
      <c r="O209" s="1129"/>
      <c r="P209" s="1129"/>
      <c r="Q209" s="1129"/>
      <c r="R209" s="1129"/>
      <c r="S209" s="1129"/>
      <c r="T209" s="1129"/>
      <c r="U209" s="1129"/>
      <c r="V209" s="1129"/>
      <c r="W209" s="1129"/>
      <c r="X209" s="1129"/>
      <c r="Y209" s="1294"/>
    </row>
    <row r="210" spans="1:25" s="1179" customFormat="1">
      <c r="A210" s="1128"/>
      <c r="B210" s="1129"/>
      <c r="C210" s="1129"/>
      <c r="D210" s="1129"/>
      <c r="E210" s="1129"/>
      <c r="F210" s="1129"/>
      <c r="G210" s="1129"/>
      <c r="H210" s="1129"/>
      <c r="I210" s="1129"/>
      <c r="J210" s="1129"/>
      <c r="K210" s="1129"/>
      <c r="L210" s="1129"/>
      <c r="M210" s="1129"/>
      <c r="N210" s="1129"/>
      <c r="O210" s="1129"/>
      <c r="P210" s="1129"/>
      <c r="Q210" s="1129"/>
      <c r="R210" s="1129"/>
      <c r="S210" s="1129"/>
      <c r="T210" s="1129"/>
      <c r="U210" s="1129"/>
      <c r="V210" s="1129"/>
      <c r="W210" s="1129"/>
      <c r="X210" s="1129"/>
      <c r="Y210" s="1294"/>
    </row>
    <row r="211" spans="1:25" s="1179" customFormat="1">
      <c r="A211" s="1128"/>
      <c r="B211" s="1129"/>
      <c r="C211" s="1129"/>
      <c r="D211" s="1129"/>
      <c r="E211" s="1129"/>
      <c r="F211" s="1129"/>
      <c r="G211" s="1129"/>
      <c r="H211" s="1129"/>
      <c r="I211" s="1129"/>
      <c r="J211" s="1129"/>
      <c r="K211" s="1129"/>
      <c r="L211" s="1129"/>
      <c r="M211" s="1129"/>
      <c r="N211" s="1129"/>
      <c r="O211" s="1129"/>
      <c r="P211" s="1129"/>
      <c r="Q211" s="1129"/>
      <c r="R211" s="1129"/>
      <c r="S211" s="1129"/>
      <c r="T211" s="1129"/>
      <c r="U211" s="1129"/>
      <c r="V211" s="1129"/>
      <c r="W211" s="1129"/>
      <c r="X211" s="1129"/>
      <c r="Y211" s="1294"/>
    </row>
    <row r="212" spans="1:25" s="3583" customFormat="1" ht="36.75" customHeight="1">
      <c r="A212" s="1128"/>
      <c r="B212" s="1129"/>
      <c r="C212" s="1129"/>
      <c r="D212" s="1129"/>
      <c r="E212" s="1129"/>
      <c r="F212" s="1129"/>
      <c r="G212" s="1129"/>
      <c r="H212" s="1129"/>
      <c r="I212" s="1129"/>
      <c r="J212" s="1129"/>
      <c r="K212" s="1129"/>
      <c r="L212" s="1129"/>
      <c r="M212" s="1129"/>
      <c r="N212" s="1129"/>
      <c r="O212" s="1129"/>
      <c r="P212" s="1129"/>
      <c r="Q212" s="1129"/>
      <c r="R212" s="1129"/>
      <c r="S212" s="1129"/>
      <c r="T212" s="1129"/>
      <c r="U212" s="1129"/>
      <c r="V212" s="1129"/>
      <c r="W212" s="1129"/>
      <c r="X212" s="1129"/>
      <c r="Y212" s="1294"/>
    </row>
    <row r="213" spans="1:25" s="1179" customFormat="1" ht="9.75" customHeight="1">
      <c r="A213" s="1128"/>
      <c r="B213" s="1129"/>
      <c r="C213" s="1129"/>
      <c r="D213" s="1129"/>
      <c r="E213" s="1129"/>
      <c r="F213" s="1129"/>
      <c r="G213" s="1129"/>
      <c r="H213" s="1129"/>
      <c r="I213" s="1129"/>
      <c r="J213" s="1129"/>
      <c r="K213" s="1129"/>
      <c r="L213" s="1129"/>
      <c r="M213" s="1129"/>
      <c r="N213" s="1129"/>
      <c r="O213" s="1129"/>
      <c r="P213" s="1129"/>
      <c r="Q213" s="1129"/>
      <c r="R213" s="1129"/>
      <c r="S213" s="1129"/>
      <c r="T213" s="1129"/>
      <c r="U213" s="1129"/>
      <c r="V213" s="1129"/>
      <c r="W213" s="1129"/>
      <c r="X213" s="1129"/>
      <c r="Y213" s="1294"/>
    </row>
    <row r="214" spans="1:25" s="1179" customFormat="1" ht="12.75" customHeight="1">
      <c r="A214" s="1128"/>
      <c r="B214" s="1129"/>
      <c r="C214" s="1129"/>
      <c r="D214" s="1129"/>
      <c r="E214" s="1129"/>
      <c r="F214" s="1129"/>
      <c r="G214" s="1129"/>
      <c r="H214" s="1129"/>
      <c r="I214" s="1129"/>
      <c r="J214" s="1129"/>
      <c r="K214" s="1129"/>
      <c r="L214" s="1129"/>
      <c r="M214" s="1129"/>
      <c r="N214" s="1129"/>
      <c r="O214" s="1129"/>
      <c r="P214" s="1129"/>
      <c r="Q214" s="1129"/>
      <c r="R214" s="1129"/>
      <c r="S214" s="1129"/>
      <c r="T214" s="1129"/>
      <c r="U214" s="1129"/>
      <c r="V214" s="1129"/>
      <c r="W214" s="1129"/>
      <c r="X214" s="1129"/>
      <c r="Y214" s="1294"/>
    </row>
    <row r="215" spans="1:25" s="1179" customFormat="1">
      <c r="A215" s="1128"/>
      <c r="B215" s="1129"/>
      <c r="C215" s="1129"/>
      <c r="D215" s="1129"/>
      <c r="E215" s="1129"/>
      <c r="F215" s="1129"/>
      <c r="G215" s="1129"/>
      <c r="H215" s="1129"/>
      <c r="I215" s="1129"/>
      <c r="J215" s="1129"/>
      <c r="K215" s="1129"/>
      <c r="L215" s="1129"/>
      <c r="M215" s="1129"/>
      <c r="N215" s="1129"/>
      <c r="O215" s="1129"/>
      <c r="P215" s="1129"/>
      <c r="Q215" s="1129"/>
      <c r="R215" s="1129"/>
      <c r="S215" s="1129"/>
      <c r="T215" s="1129"/>
      <c r="U215" s="1129"/>
      <c r="V215" s="1129"/>
      <c r="W215" s="1129"/>
      <c r="X215" s="1129"/>
      <c r="Y215" s="1294"/>
    </row>
    <row r="216" spans="1:25" s="1179" customFormat="1">
      <c r="A216" s="1128"/>
      <c r="B216" s="1129"/>
      <c r="C216" s="1129"/>
      <c r="D216" s="1129"/>
      <c r="E216" s="1129"/>
      <c r="F216" s="1129"/>
      <c r="G216" s="1129"/>
      <c r="H216" s="1129"/>
      <c r="I216" s="1129"/>
      <c r="J216" s="1129"/>
      <c r="K216" s="1129"/>
      <c r="L216" s="1129"/>
      <c r="M216" s="1129"/>
      <c r="N216" s="1129"/>
      <c r="O216" s="1129"/>
      <c r="P216" s="1129"/>
      <c r="Q216" s="1129"/>
      <c r="R216" s="1129"/>
      <c r="S216" s="1129"/>
      <c r="T216" s="1129"/>
      <c r="U216" s="1129"/>
      <c r="V216" s="1129"/>
      <c r="W216" s="1129"/>
      <c r="X216" s="1129"/>
      <c r="Y216" s="1294"/>
    </row>
    <row r="217" spans="1:25" s="1179" customFormat="1">
      <c r="A217" s="1128"/>
      <c r="B217" s="1129"/>
      <c r="C217" s="1129"/>
      <c r="D217" s="1129"/>
      <c r="E217" s="1129"/>
      <c r="F217" s="1129"/>
      <c r="G217" s="1129"/>
      <c r="H217" s="1129"/>
      <c r="I217" s="1129"/>
      <c r="J217" s="1129"/>
      <c r="K217" s="1129"/>
      <c r="L217" s="1129"/>
      <c r="M217" s="1129"/>
      <c r="N217" s="1129"/>
      <c r="O217" s="1129"/>
      <c r="P217" s="1129"/>
      <c r="Q217" s="1129"/>
      <c r="R217" s="1129"/>
      <c r="S217" s="1129"/>
      <c r="T217" s="1129"/>
      <c r="U217" s="1129"/>
      <c r="V217" s="1129"/>
      <c r="W217" s="1129"/>
      <c r="X217" s="1129"/>
      <c r="Y217" s="1294"/>
    </row>
    <row r="218" spans="1:25" s="3583" customFormat="1" ht="33.75" customHeight="1">
      <c r="A218" s="1128"/>
      <c r="B218" s="1129"/>
      <c r="C218" s="1129"/>
      <c r="D218" s="1129"/>
      <c r="E218" s="1129"/>
      <c r="F218" s="1129"/>
      <c r="G218" s="1129"/>
      <c r="H218" s="1129"/>
      <c r="I218" s="1129"/>
      <c r="J218" s="1129"/>
      <c r="K218" s="1129"/>
      <c r="L218" s="1129"/>
      <c r="M218" s="1129"/>
      <c r="N218" s="1129"/>
      <c r="O218" s="1129"/>
      <c r="P218" s="1129"/>
      <c r="Q218" s="1129"/>
      <c r="R218" s="1129"/>
      <c r="S218" s="1129"/>
      <c r="T218" s="1129"/>
      <c r="U218" s="1129"/>
      <c r="V218" s="1129"/>
      <c r="W218" s="1129"/>
      <c r="X218" s="1129"/>
      <c r="Y218" s="1294"/>
    </row>
    <row r="219" spans="1:25" s="1179" customFormat="1" ht="9.75" customHeight="1">
      <c r="A219" s="1128"/>
      <c r="B219" s="1129"/>
      <c r="C219" s="1129"/>
      <c r="D219" s="1129"/>
      <c r="E219" s="1129"/>
      <c r="F219" s="1129"/>
      <c r="G219" s="1129"/>
      <c r="H219" s="1129"/>
      <c r="I219" s="1129"/>
      <c r="J219" s="1129"/>
      <c r="K219" s="1129"/>
      <c r="L219" s="1129"/>
      <c r="M219" s="1129"/>
      <c r="N219" s="1129"/>
      <c r="O219" s="1129"/>
      <c r="P219" s="1129"/>
      <c r="Q219" s="1129"/>
      <c r="R219" s="1129"/>
      <c r="S219" s="1129"/>
      <c r="T219" s="1129"/>
      <c r="U219" s="1129"/>
      <c r="V219" s="1129"/>
      <c r="W219" s="1129"/>
      <c r="X219" s="1129"/>
      <c r="Y219" s="1294"/>
    </row>
    <row r="220" spans="1:25" s="1179" customFormat="1" ht="12.75" customHeight="1">
      <c r="A220" s="1128"/>
      <c r="B220" s="1129"/>
      <c r="C220" s="1129"/>
      <c r="D220" s="1129"/>
      <c r="E220" s="1129"/>
      <c r="F220" s="1129"/>
      <c r="G220" s="1129"/>
      <c r="H220" s="1129"/>
      <c r="I220" s="1129"/>
      <c r="J220" s="1129"/>
      <c r="K220" s="1129"/>
      <c r="L220" s="1129"/>
      <c r="M220" s="1129"/>
      <c r="N220" s="1129"/>
      <c r="O220" s="1129"/>
      <c r="P220" s="1129"/>
      <c r="Q220" s="1129"/>
      <c r="R220" s="1129"/>
      <c r="S220" s="1129"/>
      <c r="T220" s="1129"/>
      <c r="U220" s="1129"/>
      <c r="V220" s="1129"/>
      <c r="W220" s="1129"/>
      <c r="X220" s="1129"/>
      <c r="Y220" s="1294"/>
    </row>
    <row r="221" spans="1:25" s="1179" customFormat="1">
      <c r="A221" s="1128"/>
      <c r="B221" s="1129"/>
      <c r="C221" s="1129"/>
      <c r="D221" s="1129"/>
      <c r="E221" s="1129"/>
      <c r="F221" s="1129"/>
      <c r="G221" s="1129"/>
      <c r="H221" s="1129"/>
      <c r="I221" s="1129"/>
      <c r="J221" s="1129"/>
      <c r="K221" s="1129"/>
      <c r="L221" s="1129"/>
      <c r="M221" s="1129"/>
      <c r="N221" s="1129"/>
      <c r="O221" s="1129"/>
      <c r="P221" s="1129"/>
      <c r="Q221" s="1129"/>
      <c r="R221" s="1129"/>
      <c r="S221" s="1129"/>
      <c r="T221" s="1129"/>
      <c r="U221" s="1129"/>
      <c r="V221" s="1129"/>
      <c r="W221" s="1129"/>
      <c r="X221" s="1129"/>
      <c r="Y221" s="1294"/>
    </row>
    <row r="222" spans="1:25" s="1179" customFormat="1">
      <c r="A222" s="1128"/>
      <c r="B222" s="1129"/>
      <c r="C222" s="1129"/>
      <c r="D222" s="1129"/>
      <c r="E222" s="1129"/>
      <c r="F222" s="1129"/>
      <c r="G222" s="1129"/>
      <c r="H222" s="1129"/>
      <c r="I222" s="1129"/>
      <c r="J222" s="1129"/>
      <c r="K222" s="1129"/>
      <c r="L222" s="1129"/>
      <c r="M222" s="1129"/>
      <c r="N222" s="1129"/>
      <c r="O222" s="1129"/>
      <c r="P222" s="1129"/>
      <c r="Q222" s="1129"/>
      <c r="R222" s="1129"/>
      <c r="S222" s="1129"/>
      <c r="T222" s="1129"/>
      <c r="U222" s="1129"/>
      <c r="V222" s="1129"/>
      <c r="W222" s="1129"/>
      <c r="X222" s="1129"/>
      <c r="Y222" s="1294"/>
    </row>
    <row r="223" spans="1:25" s="1179" customFormat="1">
      <c r="A223" s="1128"/>
      <c r="B223" s="1129"/>
      <c r="C223" s="1129"/>
      <c r="D223" s="1129"/>
      <c r="E223" s="1129"/>
      <c r="F223" s="1129"/>
      <c r="G223" s="1129"/>
      <c r="H223" s="1129"/>
      <c r="I223" s="1129"/>
      <c r="J223" s="1129"/>
      <c r="K223" s="1129"/>
      <c r="L223" s="1129"/>
      <c r="M223" s="1129"/>
      <c r="N223" s="1129"/>
      <c r="O223" s="1129"/>
      <c r="P223" s="1129"/>
      <c r="Q223" s="1129"/>
      <c r="R223" s="1129"/>
      <c r="S223" s="1129"/>
      <c r="T223" s="1129"/>
      <c r="U223" s="1129"/>
      <c r="V223" s="1129"/>
      <c r="W223" s="1129"/>
      <c r="X223" s="1129"/>
      <c r="Y223" s="1294"/>
    </row>
    <row r="224" spans="1:25" s="1179" customFormat="1">
      <c r="A224" s="1128"/>
      <c r="B224" s="1129"/>
      <c r="C224" s="1129"/>
      <c r="D224" s="1129"/>
      <c r="E224" s="1129"/>
      <c r="F224" s="1129"/>
      <c r="G224" s="1129"/>
      <c r="H224" s="1129"/>
      <c r="I224" s="1129"/>
      <c r="J224" s="1129"/>
      <c r="K224" s="1129"/>
      <c r="L224" s="1129"/>
      <c r="M224" s="1129"/>
      <c r="N224" s="1129"/>
      <c r="O224" s="1129"/>
      <c r="P224" s="1129"/>
      <c r="Q224" s="1129"/>
      <c r="R224" s="1129"/>
      <c r="S224" s="1129"/>
      <c r="T224" s="1129"/>
      <c r="U224" s="1129"/>
      <c r="V224" s="1129"/>
      <c r="W224" s="1129"/>
      <c r="X224" s="1129"/>
      <c r="Y224" s="1294"/>
    </row>
    <row r="225" spans="1:25" s="3574" customFormat="1" ht="14.25" customHeight="1">
      <c r="A225" s="1128"/>
      <c r="B225" s="1129"/>
      <c r="C225" s="1129"/>
      <c r="D225" s="1129"/>
      <c r="E225" s="1129"/>
      <c r="F225" s="1129"/>
      <c r="G225" s="1129"/>
      <c r="H225" s="1129"/>
      <c r="I225" s="1129"/>
      <c r="J225" s="1129"/>
      <c r="K225" s="1129"/>
      <c r="L225" s="1129"/>
      <c r="M225" s="1129"/>
      <c r="N225" s="1129"/>
      <c r="O225" s="1129"/>
      <c r="P225" s="1129"/>
      <c r="Q225" s="1129"/>
      <c r="R225" s="1129"/>
      <c r="S225" s="1129"/>
      <c r="T225" s="1129"/>
      <c r="U225" s="1129"/>
      <c r="V225" s="1129"/>
      <c r="W225" s="1129"/>
      <c r="X225" s="1129"/>
      <c r="Y225" s="1294"/>
    </row>
    <row r="226" spans="1:25" s="1179" customFormat="1">
      <c r="A226" s="1128"/>
      <c r="B226" s="1129"/>
      <c r="C226" s="1129"/>
      <c r="D226" s="1129"/>
      <c r="E226" s="1129"/>
      <c r="F226" s="1129"/>
      <c r="G226" s="1129"/>
      <c r="H226" s="1129"/>
      <c r="I226" s="1129"/>
      <c r="J226" s="1129"/>
      <c r="K226" s="1129"/>
      <c r="L226" s="1129"/>
      <c r="M226" s="1129"/>
      <c r="N226" s="1129"/>
      <c r="O226" s="1129"/>
      <c r="P226" s="1129"/>
      <c r="Q226" s="1129"/>
      <c r="R226" s="1129"/>
      <c r="S226" s="1129"/>
      <c r="T226" s="1129"/>
      <c r="U226" s="1129"/>
      <c r="V226" s="1129"/>
      <c r="W226" s="1129"/>
      <c r="X226" s="1129"/>
      <c r="Y226" s="1294"/>
    </row>
    <row r="227" spans="1:25" s="3577" customFormat="1" ht="23.25" customHeight="1">
      <c r="A227" s="1128"/>
      <c r="B227" s="1129"/>
      <c r="C227" s="1129"/>
      <c r="D227" s="1129"/>
      <c r="E227" s="1129"/>
      <c r="F227" s="1129"/>
      <c r="G227" s="1129"/>
      <c r="H227" s="1129"/>
      <c r="I227" s="1129"/>
      <c r="J227" s="1129"/>
      <c r="K227" s="1129"/>
      <c r="L227" s="1129"/>
      <c r="M227" s="1129"/>
      <c r="N227" s="1129"/>
      <c r="O227" s="1129"/>
      <c r="P227" s="1129"/>
      <c r="Q227" s="1129"/>
      <c r="R227" s="1129"/>
      <c r="S227" s="1129"/>
      <c r="T227" s="1129"/>
      <c r="U227" s="1129"/>
      <c r="V227" s="1129"/>
      <c r="W227" s="1129"/>
      <c r="X227" s="1129"/>
      <c r="Y227" s="1294"/>
    </row>
    <row r="228" spans="1:25" s="1179" customFormat="1">
      <c r="A228" s="1128"/>
      <c r="B228" s="1129"/>
      <c r="C228" s="1129"/>
      <c r="D228" s="1129"/>
      <c r="E228" s="1129"/>
      <c r="F228" s="1129"/>
      <c r="G228" s="1129"/>
      <c r="H228" s="1129"/>
      <c r="I228" s="1129"/>
      <c r="J228" s="1129"/>
      <c r="K228" s="1129"/>
      <c r="L228" s="1129"/>
      <c r="M228" s="1129"/>
      <c r="N228" s="1129"/>
      <c r="O228" s="1129"/>
      <c r="P228" s="1129"/>
      <c r="Q228" s="1129"/>
      <c r="R228" s="1129"/>
      <c r="S228" s="1129"/>
      <c r="T228" s="1129"/>
      <c r="U228" s="1129"/>
      <c r="V228" s="1129"/>
      <c r="W228" s="1129"/>
      <c r="X228" s="1129"/>
      <c r="Y228" s="1294"/>
    </row>
    <row r="229" spans="1:25" s="3575" customFormat="1" ht="15.75" customHeight="1">
      <c r="A229" s="1128"/>
      <c r="B229" s="1129"/>
      <c r="C229" s="1129"/>
      <c r="D229" s="1129"/>
      <c r="E229" s="1129"/>
      <c r="F229" s="1129"/>
      <c r="G229" s="1129"/>
      <c r="H229" s="1129"/>
      <c r="I229" s="1129"/>
      <c r="J229" s="1129"/>
      <c r="K229" s="1129"/>
      <c r="L229" s="1129"/>
      <c r="M229" s="1129"/>
      <c r="N229" s="1129"/>
      <c r="O229" s="1129"/>
      <c r="P229" s="1129"/>
      <c r="Q229" s="1129"/>
      <c r="R229" s="1129"/>
      <c r="S229" s="1129"/>
      <c r="T229" s="1129"/>
      <c r="U229" s="1129"/>
      <c r="V229" s="1129"/>
      <c r="W229" s="1129"/>
      <c r="X229" s="1129"/>
      <c r="Y229" s="1294"/>
    </row>
    <row r="230" spans="1:25" s="3575" customFormat="1" ht="12.75" customHeight="1">
      <c r="A230" s="1128"/>
      <c r="B230" s="1129"/>
      <c r="C230" s="1129"/>
      <c r="D230" s="1129"/>
      <c r="E230" s="1129"/>
      <c r="F230" s="1129"/>
      <c r="G230" s="1129"/>
      <c r="H230" s="1129"/>
      <c r="I230" s="1129"/>
      <c r="J230" s="1129"/>
      <c r="K230" s="1129"/>
      <c r="L230" s="1129"/>
      <c r="M230" s="1129"/>
      <c r="N230" s="1129"/>
      <c r="O230" s="1129"/>
      <c r="P230" s="1129"/>
      <c r="Q230" s="1129"/>
      <c r="R230" s="1129"/>
      <c r="S230" s="1129"/>
      <c r="T230" s="1129"/>
      <c r="U230" s="1129"/>
      <c r="V230" s="1129"/>
      <c r="W230" s="1129"/>
      <c r="X230" s="1129"/>
      <c r="Y230" s="1294"/>
    </row>
    <row r="231" spans="1:25" s="3575" customFormat="1" ht="12.75" customHeight="1">
      <c r="A231" s="1128"/>
      <c r="B231" s="1129"/>
      <c r="C231" s="1129"/>
      <c r="D231" s="1129"/>
      <c r="E231" s="1129"/>
      <c r="F231" s="1129"/>
      <c r="G231" s="1129"/>
      <c r="H231" s="1129"/>
      <c r="I231" s="1129"/>
      <c r="J231" s="1129"/>
      <c r="K231" s="1129"/>
      <c r="L231" s="1129"/>
      <c r="M231" s="1129"/>
      <c r="N231" s="1129"/>
      <c r="O231" s="1129"/>
      <c r="P231" s="1129"/>
      <c r="Q231" s="1129"/>
      <c r="R231" s="1129"/>
      <c r="S231" s="1129"/>
      <c r="T231" s="1129"/>
      <c r="U231" s="1129"/>
      <c r="V231" s="1129"/>
      <c r="W231" s="1129"/>
      <c r="X231" s="1129"/>
      <c r="Y231" s="1294"/>
    </row>
    <row r="232" spans="1:25" s="3575" customFormat="1" ht="12" customHeight="1">
      <c r="A232" s="1128"/>
      <c r="B232" s="1129"/>
      <c r="C232" s="1129"/>
      <c r="D232" s="1129"/>
      <c r="E232" s="1129"/>
      <c r="F232" s="1129"/>
      <c r="G232" s="1129"/>
      <c r="H232" s="1129"/>
      <c r="I232" s="1129"/>
      <c r="J232" s="1129"/>
      <c r="K232" s="1129"/>
      <c r="L232" s="1129"/>
      <c r="M232" s="1129"/>
      <c r="N232" s="1129"/>
      <c r="O232" s="1129"/>
      <c r="P232" s="1129"/>
      <c r="Q232" s="1129"/>
      <c r="R232" s="1129"/>
      <c r="S232" s="1129"/>
      <c r="T232" s="1129"/>
      <c r="U232" s="1129"/>
      <c r="V232" s="1129"/>
      <c r="W232" s="1129"/>
      <c r="X232" s="1129"/>
      <c r="Y232" s="1294"/>
    </row>
    <row r="233" spans="1:25" s="3574" customFormat="1" ht="24" customHeight="1">
      <c r="A233" s="1128"/>
      <c r="B233" s="1129"/>
      <c r="C233" s="1129"/>
      <c r="D233" s="1129"/>
      <c r="E233" s="1129"/>
      <c r="F233" s="1129"/>
      <c r="G233" s="1129"/>
      <c r="H233" s="1129"/>
      <c r="I233" s="1129"/>
      <c r="J233" s="1129"/>
      <c r="K233" s="1129"/>
      <c r="L233" s="1129"/>
      <c r="M233" s="1129"/>
      <c r="N233" s="1129"/>
      <c r="O233" s="1129"/>
      <c r="P233" s="1129"/>
      <c r="Q233" s="1129"/>
      <c r="R233" s="1129"/>
      <c r="S233" s="1129"/>
      <c r="T233" s="1129"/>
      <c r="U233" s="1129"/>
      <c r="V233" s="1129"/>
      <c r="W233" s="1129"/>
      <c r="X233" s="1129"/>
      <c r="Y233" s="1294"/>
    </row>
    <row r="234" spans="1:25" s="1179" customFormat="1" ht="11.25" customHeight="1">
      <c r="A234" s="1128"/>
      <c r="B234" s="1129"/>
      <c r="C234" s="1129"/>
      <c r="D234" s="1129"/>
      <c r="E234" s="1129"/>
      <c r="F234" s="1129"/>
      <c r="G234" s="1129"/>
      <c r="H234" s="1129"/>
      <c r="I234" s="1129"/>
      <c r="J234" s="1129"/>
      <c r="K234" s="1129"/>
      <c r="L234" s="1129"/>
      <c r="M234" s="1129"/>
      <c r="N234" s="1129"/>
      <c r="O234" s="1129"/>
      <c r="P234" s="1129"/>
      <c r="Q234" s="1129"/>
      <c r="R234" s="1129"/>
      <c r="S234" s="1129"/>
      <c r="T234" s="1129"/>
      <c r="U234" s="1129"/>
      <c r="V234" s="1129"/>
      <c r="W234" s="1129"/>
      <c r="X234" s="1129"/>
      <c r="Y234" s="1294"/>
    </row>
    <row r="235" spans="1:25" s="1179" customFormat="1" ht="12.75" customHeight="1">
      <c r="A235" s="1128"/>
      <c r="B235" s="1129"/>
      <c r="C235" s="1129"/>
      <c r="D235" s="1129"/>
      <c r="E235" s="1129"/>
      <c r="F235" s="1129"/>
      <c r="G235" s="1129"/>
      <c r="H235" s="1129"/>
      <c r="I235" s="1129"/>
      <c r="J235" s="1129"/>
      <c r="K235" s="1129"/>
      <c r="L235" s="1129"/>
      <c r="M235" s="1129"/>
      <c r="N235" s="1129"/>
      <c r="O235" s="1129"/>
      <c r="P235" s="1129"/>
      <c r="Q235" s="1129"/>
      <c r="R235" s="1129"/>
      <c r="S235" s="1129"/>
      <c r="T235" s="1129"/>
      <c r="U235" s="1129"/>
      <c r="V235" s="1129"/>
      <c r="W235" s="1129"/>
      <c r="X235" s="1129"/>
      <c r="Y235" s="1294"/>
    </row>
    <row r="236" spans="1:25" s="1179" customFormat="1">
      <c r="A236" s="1128"/>
      <c r="B236" s="1129"/>
      <c r="C236" s="1129"/>
      <c r="D236" s="1129"/>
      <c r="E236" s="1129"/>
      <c r="F236" s="1129"/>
      <c r="G236" s="1129"/>
      <c r="H236" s="1129"/>
      <c r="I236" s="1129"/>
      <c r="J236" s="1129"/>
      <c r="K236" s="1129"/>
      <c r="L236" s="1129"/>
      <c r="M236" s="1129"/>
      <c r="N236" s="1129"/>
      <c r="O236" s="1129"/>
      <c r="P236" s="1129"/>
      <c r="Q236" s="1129"/>
      <c r="R236" s="1129"/>
      <c r="S236" s="1129"/>
      <c r="T236" s="1129"/>
      <c r="U236" s="1129"/>
      <c r="V236" s="1129"/>
      <c r="W236" s="1129"/>
      <c r="X236" s="1129"/>
      <c r="Y236" s="1294"/>
    </row>
    <row r="237" spans="1:25" s="1179" customFormat="1">
      <c r="A237" s="1128"/>
      <c r="B237" s="1129"/>
      <c r="C237" s="1129"/>
      <c r="D237" s="1129"/>
      <c r="E237" s="1129"/>
      <c r="F237" s="1129"/>
      <c r="G237" s="1129"/>
      <c r="H237" s="1129"/>
      <c r="I237" s="1129"/>
      <c r="J237" s="1129"/>
      <c r="K237" s="1129"/>
      <c r="L237" s="1129"/>
      <c r="M237" s="1129"/>
      <c r="N237" s="1129"/>
      <c r="O237" s="1129"/>
      <c r="P237" s="1129"/>
      <c r="Q237" s="1129"/>
      <c r="R237" s="1129"/>
      <c r="S237" s="1129"/>
      <c r="T237" s="1129"/>
      <c r="U237" s="1129"/>
      <c r="V237" s="1129"/>
      <c r="W237" s="1129"/>
      <c r="X237" s="1129"/>
      <c r="Y237" s="1294"/>
    </row>
    <row r="238" spans="1:25" s="1179" customFormat="1">
      <c r="A238" s="1128"/>
      <c r="B238" s="1129"/>
      <c r="C238" s="1129"/>
      <c r="D238" s="1129"/>
      <c r="E238" s="1129"/>
      <c r="F238" s="1129"/>
      <c r="G238" s="1129"/>
      <c r="H238" s="1129"/>
      <c r="I238" s="1129"/>
      <c r="J238" s="1129"/>
      <c r="K238" s="1129"/>
      <c r="L238" s="1129"/>
      <c r="M238" s="1129"/>
      <c r="N238" s="1129"/>
      <c r="O238" s="1129"/>
      <c r="P238" s="1129"/>
      <c r="Q238" s="1129"/>
      <c r="R238" s="1129"/>
      <c r="S238" s="1129"/>
      <c r="T238" s="1129"/>
      <c r="U238" s="1129"/>
      <c r="V238" s="1129"/>
      <c r="W238" s="1129"/>
      <c r="X238" s="1129"/>
      <c r="Y238" s="1294"/>
    </row>
    <row r="239" spans="1:25" s="1179" customFormat="1">
      <c r="A239" s="1128"/>
      <c r="B239" s="1129"/>
      <c r="C239" s="1129"/>
      <c r="D239" s="1129"/>
      <c r="E239" s="1129"/>
      <c r="F239" s="1129"/>
      <c r="G239" s="1129"/>
      <c r="H239" s="1129"/>
      <c r="I239" s="1129"/>
      <c r="J239" s="1129"/>
      <c r="K239" s="1129"/>
      <c r="L239" s="1129"/>
      <c r="M239" s="1129"/>
      <c r="N239" s="1129"/>
      <c r="O239" s="1129"/>
      <c r="P239" s="1129"/>
      <c r="Q239" s="1129"/>
      <c r="R239" s="1129"/>
      <c r="S239" s="1129"/>
      <c r="T239" s="1129"/>
      <c r="U239" s="1129"/>
      <c r="V239" s="1129"/>
      <c r="W239" s="1129"/>
      <c r="X239" s="1129"/>
      <c r="Y239" s="1294"/>
    </row>
    <row r="240" spans="1:25" s="1179" customFormat="1" ht="21.75" customHeight="1">
      <c r="A240" s="1128"/>
      <c r="B240" s="1129"/>
      <c r="C240" s="1129"/>
      <c r="D240" s="1129"/>
      <c r="E240" s="1129"/>
      <c r="F240" s="1129"/>
      <c r="G240" s="1129"/>
      <c r="H240" s="1129"/>
      <c r="I240" s="1129"/>
      <c r="J240" s="1129"/>
      <c r="K240" s="1129"/>
      <c r="L240" s="1129"/>
      <c r="M240" s="1129"/>
      <c r="N240" s="1129"/>
      <c r="O240" s="1129"/>
      <c r="P240" s="1129"/>
      <c r="Q240" s="1129"/>
      <c r="R240" s="1129"/>
      <c r="S240" s="1129"/>
      <c r="T240" s="1129"/>
      <c r="U240" s="1129"/>
      <c r="V240" s="1129"/>
      <c r="W240" s="1129"/>
      <c r="X240" s="1129"/>
      <c r="Y240" s="1294"/>
    </row>
    <row r="241" spans="1:25" s="1179" customFormat="1" ht="12.75" customHeight="1">
      <c r="A241" s="1128"/>
      <c r="B241" s="1129"/>
      <c r="C241" s="1129"/>
      <c r="D241" s="1129"/>
      <c r="E241" s="1129"/>
      <c r="F241" s="1129"/>
      <c r="G241" s="1129"/>
      <c r="H241" s="1129"/>
      <c r="I241" s="1129"/>
      <c r="J241" s="1129"/>
      <c r="K241" s="1129"/>
      <c r="L241" s="1129"/>
      <c r="M241" s="1129"/>
      <c r="N241" s="1129"/>
      <c r="O241" s="1129"/>
      <c r="P241" s="1129"/>
      <c r="Q241" s="1129"/>
      <c r="R241" s="1129"/>
      <c r="S241" s="1129"/>
      <c r="T241" s="1129"/>
      <c r="U241" s="1129"/>
      <c r="V241" s="1129"/>
      <c r="W241" s="1129"/>
      <c r="X241" s="1129"/>
      <c r="Y241" s="1294"/>
    </row>
    <row r="242" spans="1:25" s="1179" customFormat="1">
      <c r="A242" s="1128"/>
      <c r="B242" s="1129"/>
      <c r="C242" s="1129"/>
      <c r="D242" s="1129"/>
      <c r="E242" s="1129"/>
      <c r="F242" s="1129"/>
      <c r="G242" s="1129"/>
      <c r="H242" s="1129"/>
      <c r="I242" s="1129"/>
      <c r="J242" s="1129"/>
      <c r="K242" s="1129"/>
      <c r="L242" s="1129"/>
      <c r="M242" s="1129"/>
      <c r="N242" s="1129"/>
      <c r="O242" s="1129"/>
      <c r="P242" s="1129"/>
      <c r="Q242" s="1129"/>
      <c r="R242" s="1129"/>
      <c r="S242" s="1129"/>
      <c r="T242" s="1129"/>
      <c r="U242" s="1129"/>
      <c r="V242" s="1129"/>
      <c r="W242" s="1129"/>
      <c r="X242" s="1129"/>
      <c r="Y242" s="1294"/>
    </row>
    <row r="243" spans="1:25" s="1179" customFormat="1">
      <c r="A243" s="1128"/>
      <c r="B243" s="1129"/>
      <c r="C243" s="1129"/>
      <c r="D243" s="1129"/>
      <c r="E243" s="1129"/>
      <c r="F243" s="1129"/>
      <c r="G243" s="1129"/>
      <c r="H243" s="1129"/>
      <c r="I243" s="1129"/>
      <c r="J243" s="1129"/>
      <c r="K243" s="1129"/>
      <c r="L243" s="1129"/>
      <c r="M243" s="1129"/>
      <c r="N243" s="1129"/>
      <c r="O243" s="1129"/>
      <c r="P243" s="1129"/>
      <c r="Q243" s="1129"/>
      <c r="R243" s="1129"/>
      <c r="S243" s="1129"/>
      <c r="T243" s="1129"/>
      <c r="U243" s="1129"/>
      <c r="V243" s="1129"/>
      <c r="W243" s="1129"/>
      <c r="X243" s="1129"/>
      <c r="Y243" s="1294"/>
    </row>
    <row r="244" spans="1:25" s="1179" customFormat="1">
      <c r="A244" s="1128"/>
      <c r="B244" s="1129"/>
      <c r="C244" s="1129"/>
      <c r="D244" s="1129"/>
      <c r="E244" s="1129"/>
      <c r="F244" s="1129"/>
      <c r="G244" s="1129"/>
      <c r="H244" s="1129"/>
      <c r="I244" s="1129"/>
      <c r="J244" s="1129"/>
      <c r="K244" s="1129"/>
      <c r="L244" s="1129"/>
      <c r="M244" s="1129"/>
      <c r="N244" s="1129"/>
      <c r="O244" s="1129"/>
      <c r="P244" s="1129"/>
      <c r="Q244" s="1129"/>
      <c r="R244" s="1129"/>
      <c r="S244" s="1129"/>
      <c r="T244" s="1129"/>
      <c r="U244" s="1129"/>
      <c r="V244" s="1129"/>
      <c r="W244" s="1129"/>
      <c r="X244" s="1129"/>
      <c r="Y244" s="1294"/>
    </row>
    <row r="245" spans="1:25" s="1179" customFormat="1">
      <c r="A245" s="1128"/>
      <c r="B245" s="1129"/>
      <c r="C245" s="1129"/>
      <c r="D245" s="1129"/>
      <c r="E245" s="1129"/>
      <c r="F245" s="1129"/>
      <c r="G245" s="1129"/>
      <c r="H245" s="1129"/>
      <c r="I245" s="1129"/>
      <c r="J245" s="1129"/>
      <c r="K245" s="1129"/>
      <c r="L245" s="1129"/>
      <c r="M245" s="1129"/>
      <c r="N245" s="1129"/>
      <c r="O245" s="1129"/>
      <c r="P245" s="1129"/>
      <c r="Q245" s="1129"/>
      <c r="R245" s="1129"/>
      <c r="S245" s="1129"/>
      <c r="T245" s="1129"/>
      <c r="U245" s="1129"/>
      <c r="V245" s="1129"/>
      <c r="W245" s="1129"/>
      <c r="X245" s="1129"/>
      <c r="Y245" s="1294"/>
    </row>
    <row r="246" spans="1:25" s="1179" customFormat="1">
      <c r="A246" s="1128"/>
      <c r="B246" s="1129"/>
      <c r="C246" s="1129"/>
      <c r="D246" s="1129"/>
      <c r="E246" s="1129"/>
      <c r="F246" s="1129"/>
      <c r="G246" s="1129"/>
      <c r="H246" s="1129"/>
      <c r="I246" s="1129"/>
      <c r="J246" s="1129"/>
      <c r="K246" s="1129"/>
      <c r="L246" s="1129"/>
      <c r="M246" s="1129"/>
      <c r="N246" s="1129"/>
      <c r="O246" s="1129"/>
      <c r="P246" s="1129"/>
      <c r="Q246" s="1129"/>
      <c r="R246" s="1129"/>
      <c r="S246" s="1129"/>
      <c r="T246" s="1129"/>
      <c r="U246" s="1129"/>
      <c r="V246" s="1129"/>
      <c r="W246" s="1129"/>
      <c r="X246" s="1129"/>
      <c r="Y246" s="1294"/>
    </row>
    <row r="247" spans="1:25" s="1179" customFormat="1" ht="32.25" customHeight="1">
      <c r="A247" s="1128"/>
      <c r="B247" s="1129"/>
      <c r="C247" s="1129"/>
      <c r="D247" s="1129"/>
      <c r="E247" s="1129"/>
      <c r="F247" s="1129"/>
      <c r="G247" s="1129"/>
      <c r="H247" s="1129"/>
      <c r="I247" s="1129"/>
      <c r="J247" s="1129"/>
      <c r="K247" s="1129"/>
      <c r="L247" s="1129"/>
      <c r="M247" s="1129"/>
      <c r="N247" s="1129"/>
      <c r="O247" s="1129"/>
      <c r="P247" s="1129"/>
      <c r="Q247" s="1129"/>
      <c r="R247" s="1129"/>
      <c r="S247" s="1129"/>
      <c r="T247" s="1129"/>
      <c r="U247" s="1129"/>
      <c r="V247" s="1129"/>
      <c r="W247" s="1129"/>
      <c r="X247" s="1129"/>
      <c r="Y247" s="1294"/>
    </row>
    <row r="248" spans="1:25" s="1179" customFormat="1" ht="15" customHeight="1">
      <c r="A248" s="1128"/>
      <c r="B248" s="1129"/>
      <c r="C248" s="1129"/>
      <c r="D248" s="1129"/>
      <c r="E248" s="1129"/>
      <c r="F248" s="1129"/>
      <c r="G248" s="1129"/>
      <c r="H248" s="1129"/>
      <c r="I248" s="1129"/>
      <c r="J248" s="1129"/>
      <c r="K248" s="1129"/>
      <c r="L248" s="1129"/>
      <c r="M248" s="1129"/>
      <c r="N248" s="1129"/>
      <c r="O248" s="1129"/>
      <c r="P248" s="1129"/>
      <c r="Q248" s="1129"/>
      <c r="R248" s="1129"/>
      <c r="S248" s="1129"/>
      <c r="T248" s="1129"/>
      <c r="U248" s="1129"/>
      <c r="V248" s="1129"/>
      <c r="W248" s="1129"/>
      <c r="X248" s="1129"/>
      <c r="Y248" s="1294"/>
    </row>
    <row r="249" spans="1:25" s="1179" customFormat="1" ht="12.75" customHeight="1">
      <c r="A249" s="1128"/>
      <c r="B249" s="1129"/>
      <c r="C249" s="1129"/>
      <c r="D249" s="1129"/>
      <c r="E249" s="1129"/>
      <c r="F249" s="1129"/>
      <c r="G249" s="1129"/>
      <c r="H249" s="1129"/>
      <c r="I249" s="1129"/>
      <c r="J249" s="1129"/>
      <c r="K249" s="1129"/>
      <c r="L249" s="1129"/>
      <c r="M249" s="1129"/>
      <c r="N249" s="1129"/>
      <c r="O249" s="1129"/>
      <c r="P249" s="1129"/>
      <c r="Q249" s="1129"/>
      <c r="R249" s="1129"/>
      <c r="S249" s="1129"/>
      <c r="T249" s="1129"/>
      <c r="U249" s="1129"/>
      <c r="V249" s="1129"/>
      <c r="W249" s="1129"/>
      <c r="X249" s="1129"/>
      <c r="Y249" s="1294"/>
    </row>
    <row r="250" spans="1:25" s="1179" customFormat="1">
      <c r="A250" s="1128"/>
      <c r="B250" s="1129"/>
      <c r="C250" s="1129"/>
      <c r="D250" s="1129"/>
      <c r="E250" s="1129"/>
      <c r="F250" s="1129"/>
      <c r="G250" s="1129"/>
      <c r="H250" s="1129"/>
      <c r="I250" s="1129"/>
      <c r="J250" s="1129"/>
      <c r="K250" s="1129"/>
      <c r="L250" s="1129"/>
      <c r="M250" s="1129"/>
      <c r="N250" s="1129"/>
      <c r="O250" s="1129"/>
      <c r="P250" s="1129"/>
      <c r="Q250" s="1129"/>
      <c r="R250" s="1129"/>
      <c r="S250" s="1129"/>
      <c r="T250" s="1129"/>
      <c r="U250" s="1129"/>
      <c r="V250" s="1129"/>
      <c r="W250" s="1129"/>
      <c r="X250" s="1129"/>
      <c r="Y250" s="1294"/>
    </row>
    <row r="251" spans="1:25" s="1179" customFormat="1">
      <c r="A251" s="1128"/>
      <c r="B251" s="1129"/>
      <c r="C251" s="1129"/>
      <c r="D251" s="1129"/>
      <c r="E251" s="1129"/>
      <c r="F251" s="1129"/>
      <c r="G251" s="1129"/>
      <c r="H251" s="1129"/>
      <c r="I251" s="1129"/>
      <c r="J251" s="1129"/>
      <c r="K251" s="1129"/>
      <c r="L251" s="1129"/>
      <c r="M251" s="1129"/>
      <c r="N251" s="1129"/>
      <c r="O251" s="1129"/>
      <c r="P251" s="1129"/>
      <c r="Q251" s="1129"/>
      <c r="R251" s="1129"/>
      <c r="S251" s="1129"/>
      <c r="T251" s="1129"/>
      <c r="U251" s="1129"/>
      <c r="V251" s="1129"/>
      <c r="W251" s="1129"/>
      <c r="X251" s="1129"/>
      <c r="Y251" s="1294"/>
    </row>
    <row r="252" spans="1:25" s="1179" customFormat="1">
      <c r="A252" s="1128"/>
      <c r="B252" s="1129"/>
      <c r="C252" s="1129"/>
      <c r="D252" s="1129"/>
      <c r="E252" s="1129"/>
      <c r="F252" s="1129"/>
      <c r="G252" s="1129"/>
      <c r="H252" s="1129"/>
      <c r="I252" s="1129"/>
      <c r="J252" s="1129"/>
      <c r="K252" s="1129"/>
      <c r="L252" s="1129"/>
      <c r="M252" s="1129"/>
      <c r="N252" s="1129"/>
      <c r="O252" s="1129"/>
      <c r="P252" s="1129"/>
      <c r="Q252" s="1129"/>
      <c r="R252" s="1129"/>
      <c r="S252" s="1129"/>
      <c r="T252" s="1129"/>
      <c r="U252" s="1129"/>
      <c r="V252" s="1129"/>
      <c r="W252" s="1129"/>
      <c r="X252" s="1129"/>
      <c r="Y252" s="1294"/>
    </row>
    <row r="253" spans="1:25" s="1179" customFormat="1" ht="11.25" customHeight="1">
      <c r="A253" s="1128"/>
      <c r="B253" s="1129"/>
      <c r="C253" s="1129"/>
      <c r="D253" s="1129"/>
      <c r="E253" s="1129"/>
      <c r="F253" s="1129"/>
      <c r="G253" s="1129"/>
      <c r="H253" s="1129"/>
      <c r="I253" s="1129"/>
      <c r="J253" s="1129"/>
      <c r="K253" s="1129"/>
      <c r="L253" s="1129"/>
      <c r="M253" s="1129"/>
      <c r="N253" s="1129"/>
      <c r="O253" s="1129"/>
      <c r="P253" s="1129"/>
      <c r="Q253" s="1129"/>
      <c r="R253" s="1129"/>
      <c r="S253" s="1129"/>
      <c r="T253" s="1129"/>
      <c r="U253" s="1129"/>
      <c r="V253" s="1129"/>
      <c r="W253" s="1129"/>
      <c r="X253" s="1129"/>
      <c r="Y253" s="1294"/>
    </row>
    <row r="254" spans="1:25" s="1179" customFormat="1" ht="12.75" customHeight="1">
      <c r="A254" s="1128"/>
      <c r="B254" s="1129"/>
      <c r="C254" s="1129"/>
      <c r="D254" s="1129"/>
      <c r="E254" s="1129"/>
      <c r="F254" s="1129"/>
      <c r="G254" s="1129"/>
      <c r="H254" s="1129"/>
      <c r="I254" s="1129"/>
      <c r="J254" s="1129"/>
      <c r="K254" s="1129"/>
      <c r="L254" s="1129"/>
      <c r="M254" s="1129"/>
      <c r="N254" s="1129"/>
      <c r="O254" s="1129"/>
      <c r="P254" s="1129"/>
      <c r="Q254" s="1129"/>
      <c r="R254" s="1129"/>
      <c r="S254" s="1129"/>
      <c r="T254" s="1129"/>
      <c r="U254" s="1129"/>
      <c r="V254" s="1129"/>
      <c r="W254" s="1129"/>
      <c r="X254" s="1129"/>
      <c r="Y254" s="1294"/>
    </row>
    <row r="255" spans="1:25" s="1179" customFormat="1" ht="12.75" customHeight="1">
      <c r="A255" s="1128"/>
      <c r="B255" s="1129"/>
      <c r="C255" s="1129"/>
      <c r="D255" s="1129"/>
      <c r="E255" s="1129"/>
      <c r="F255" s="1129"/>
      <c r="G255" s="1129"/>
      <c r="H255" s="1129"/>
      <c r="I255" s="1129"/>
      <c r="J255" s="1129"/>
      <c r="K255" s="1129"/>
      <c r="L255" s="1129"/>
      <c r="M255" s="1129"/>
      <c r="N255" s="1129"/>
      <c r="O255" s="1129"/>
      <c r="P255" s="1129"/>
      <c r="Q255" s="1129"/>
      <c r="R255" s="1129"/>
      <c r="S255" s="1129"/>
      <c r="T255" s="1129"/>
      <c r="U255" s="1129"/>
      <c r="V255" s="1129"/>
      <c r="W255" s="1129"/>
      <c r="X255" s="1129"/>
      <c r="Y255" s="1294"/>
    </row>
    <row r="256" spans="1:25" s="1179" customFormat="1">
      <c r="A256" s="1128"/>
      <c r="B256" s="1129"/>
      <c r="C256" s="1129"/>
      <c r="D256" s="1129"/>
      <c r="E256" s="1129"/>
      <c r="F256" s="1129"/>
      <c r="G256" s="1129"/>
      <c r="H256" s="1129"/>
      <c r="I256" s="1129"/>
      <c r="J256" s="1129"/>
      <c r="K256" s="1129"/>
      <c r="L256" s="1129"/>
      <c r="M256" s="1129"/>
      <c r="N256" s="1129"/>
      <c r="O256" s="1129"/>
      <c r="P256" s="1129"/>
      <c r="Q256" s="1129"/>
      <c r="R256" s="1129"/>
      <c r="S256" s="1129"/>
      <c r="T256" s="1129"/>
      <c r="U256" s="1129"/>
      <c r="V256" s="1129"/>
      <c r="W256" s="1129"/>
      <c r="X256" s="1129"/>
      <c r="Y256" s="1294"/>
    </row>
    <row r="257" spans="1:25" s="1179" customFormat="1">
      <c r="A257" s="1128"/>
      <c r="B257" s="1129"/>
      <c r="C257" s="1129"/>
      <c r="D257" s="1129"/>
      <c r="E257" s="1129"/>
      <c r="F257" s="1129"/>
      <c r="G257" s="1129"/>
      <c r="H257" s="1129"/>
      <c r="I257" s="1129"/>
      <c r="J257" s="1129"/>
      <c r="K257" s="1129"/>
      <c r="L257" s="1129"/>
      <c r="M257" s="1129"/>
      <c r="N257" s="1129"/>
      <c r="O257" s="1129"/>
      <c r="P257" s="1129"/>
      <c r="Q257" s="1129"/>
      <c r="R257" s="1129"/>
      <c r="S257" s="1129"/>
      <c r="T257" s="1129"/>
      <c r="U257" s="1129"/>
      <c r="V257" s="1129"/>
      <c r="W257" s="1129"/>
      <c r="X257" s="1129"/>
      <c r="Y257" s="1294"/>
    </row>
    <row r="258" spans="1:25" s="1179" customFormat="1">
      <c r="A258" s="1128"/>
      <c r="B258" s="1129"/>
      <c r="C258" s="1129"/>
      <c r="D258" s="1129"/>
      <c r="E258" s="1129"/>
      <c r="F258" s="1129"/>
      <c r="G258" s="1129"/>
      <c r="H258" s="1129"/>
      <c r="I258" s="1129"/>
      <c r="J258" s="1129"/>
      <c r="K258" s="1129"/>
      <c r="L258" s="1129"/>
      <c r="M258" s="1129"/>
      <c r="N258" s="1129"/>
      <c r="O258" s="1129"/>
      <c r="P258" s="1129"/>
      <c r="Q258" s="1129"/>
      <c r="R258" s="1129"/>
      <c r="S258" s="1129"/>
      <c r="T258" s="1129"/>
      <c r="U258" s="1129"/>
      <c r="V258" s="1129"/>
      <c r="W258" s="1129"/>
      <c r="X258" s="1129"/>
      <c r="Y258" s="1294"/>
    </row>
    <row r="259" spans="1:25" s="1179" customFormat="1">
      <c r="A259" s="1128"/>
      <c r="B259" s="1129"/>
      <c r="C259" s="1129"/>
      <c r="D259" s="1129"/>
      <c r="E259" s="1129"/>
      <c r="F259" s="1129"/>
      <c r="G259" s="1129"/>
      <c r="H259" s="1129"/>
      <c r="I259" s="1129"/>
      <c r="J259" s="1129"/>
      <c r="K259" s="1129"/>
      <c r="L259" s="1129"/>
      <c r="M259" s="1129"/>
      <c r="N259" s="1129"/>
      <c r="O259" s="1129"/>
      <c r="P259" s="1129"/>
      <c r="Q259" s="1129"/>
      <c r="R259" s="1129"/>
      <c r="S259" s="1129"/>
      <c r="T259" s="1129"/>
      <c r="U259" s="1129"/>
      <c r="V259" s="1129"/>
      <c r="W259" s="1129"/>
      <c r="X259" s="1129"/>
      <c r="Y259" s="1294"/>
    </row>
    <row r="260" spans="1:25" s="3583" customFormat="1" ht="24.75" customHeight="1">
      <c r="A260" s="1128"/>
      <c r="B260" s="1129"/>
      <c r="C260" s="1129"/>
      <c r="D260" s="1129"/>
      <c r="E260" s="1129"/>
      <c r="F260" s="1129"/>
      <c r="G260" s="1129"/>
      <c r="H260" s="1129"/>
      <c r="I260" s="1129"/>
      <c r="J260" s="1129"/>
      <c r="K260" s="1129"/>
      <c r="L260" s="1129"/>
      <c r="M260" s="1129"/>
      <c r="N260" s="1129"/>
      <c r="O260" s="1129"/>
      <c r="P260" s="1129"/>
      <c r="Q260" s="1129"/>
      <c r="R260" s="1129"/>
      <c r="S260" s="1129"/>
      <c r="T260" s="1129"/>
      <c r="U260" s="1129"/>
      <c r="V260" s="1129"/>
      <c r="W260" s="1129"/>
      <c r="X260" s="1129"/>
      <c r="Y260" s="1294"/>
    </row>
    <row r="261" spans="1:25" s="1179" customFormat="1" ht="12.75" customHeight="1">
      <c r="A261" s="1128"/>
      <c r="B261" s="1129"/>
      <c r="C261" s="1129"/>
      <c r="D261" s="1129"/>
      <c r="E261" s="1129"/>
      <c r="F261" s="1129"/>
      <c r="G261" s="1129"/>
      <c r="H261" s="1129"/>
      <c r="I261" s="1129"/>
      <c r="J261" s="1129"/>
      <c r="K261" s="1129"/>
      <c r="L261" s="1129"/>
      <c r="M261" s="1129"/>
      <c r="N261" s="1129"/>
      <c r="O261" s="1129"/>
      <c r="P261" s="1129"/>
      <c r="Q261" s="1129"/>
      <c r="R261" s="1129"/>
      <c r="S261" s="1129"/>
      <c r="T261" s="1129"/>
      <c r="U261" s="1129"/>
      <c r="V261" s="1129"/>
      <c r="W261" s="1129"/>
      <c r="X261" s="1129"/>
      <c r="Y261" s="1294"/>
    </row>
    <row r="262" spans="1:25" s="1179" customFormat="1" ht="12.75" customHeight="1">
      <c r="A262" s="1128"/>
      <c r="B262" s="1129"/>
      <c r="C262" s="1129"/>
      <c r="D262" s="1129"/>
      <c r="E262" s="1129"/>
      <c r="F262" s="1129"/>
      <c r="G262" s="1129"/>
      <c r="H262" s="1129"/>
      <c r="I262" s="1129"/>
      <c r="J262" s="1129"/>
      <c r="K262" s="1129"/>
      <c r="L262" s="1129"/>
      <c r="M262" s="1129"/>
      <c r="N262" s="1129"/>
      <c r="O262" s="1129"/>
      <c r="P262" s="1129"/>
      <c r="Q262" s="1129"/>
      <c r="R262" s="1129"/>
      <c r="S262" s="1129"/>
      <c r="T262" s="1129"/>
      <c r="U262" s="1129"/>
      <c r="V262" s="1129"/>
      <c r="W262" s="1129"/>
      <c r="X262" s="1129"/>
      <c r="Y262" s="1294"/>
    </row>
    <row r="263" spans="1:25" s="1179" customFormat="1">
      <c r="A263" s="1128"/>
      <c r="B263" s="1129"/>
      <c r="C263" s="1129"/>
      <c r="D263" s="1129"/>
      <c r="E263" s="1129"/>
      <c r="F263" s="1129"/>
      <c r="G263" s="1129"/>
      <c r="H263" s="1129"/>
      <c r="I263" s="1129"/>
      <c r="J263" s="1129"/>
      <c r="K263" s="1129"/>
      <c r="L263" s="1129"/>
      <c r="M263" s="1129"/>
      <c r="N263" s="1129"/>
      <c r="O263" s="1129"/>
      <c r="P263" s="1129"/>
      <c r="Q263" s="1129"/>
      <c r="R263" s="1129"/>
      <c r="S263" s="1129"/>
      <c r="T263" s="1129"/>
      <c r="U263" s="1129"/>
      <c r="V263" s="1129"/>
      <c r="W263" s="1129"/>
      <c r="X263" s="1129"/>
      <c r="Y263" s="1294"/>
    </row>
    <row r="264" spans="1:25" s="1179" customFormat="1">
      <c r="A264" s="1128"/>
      <c r="B264" s="1129"/>
      <c r="C264" s="1129"/>
      <c r="D264" s="1129"/>
      <c r="E264" s="1129"/>
      <c r="F264" s="1129"/>
      <c r="G264" s="1129"/>
      <c r="H264" s="1129"/>
      <c r="I264" s="1129"/>
      <c r="J264" s="1129"/>
      <c r="K264" s="1129"/>
      <c r="L264" s="1129"/>
      <c r="M264" s="1129"/>
      <c r="N264" s="1129"/>
      <c r="O264" s="1129"/>
      <c r="P264" s="1129"/>
      <c r="Q264" s="1129"/>
      <c r="R264" s="1129"/>
      <c r="S264" s="1129"/>
      <c r="T264" s="1129"/>
      <c r="U264" s="1129"/>
      <c r="V264" s="1129"/>
      <c r="W264" s="1129"/>
      <c r="X264" s="1129"/>
      <c r="Y264" s="1294"/>
    </row>
    <row r="265" spans="1:25" s="1179" customFormat="1">
      <c r="A265" s="1128"/>
      <c r="B265" s="1129"/>
      <c r="C265" s="1129"/>
      <c r="D265" s="1129"/>
      <c r="E265" s="1129"/>
      <c r="F265" s="1129"/>
      <c r="G265" s="1129"/>
      <c r="H265" s="1129"/>
      <c r="I265" s="1129"/>
      <c r="J265" s="1129"/>
      <c r="K265" s="1129"/>
      <c r="L265" s="1129"/>
      <c r="M265" s="1129"/>
      <c r="N265" s="1129"/>
      <c r="O265" s="1129"/>
      <c r="P265" s="1129"/>
      <c r="Q265" s="1129"/>
      <c r="R265" s="1129"/>
      <c r="S265" s="1129"/>
      <c r="T265" s="1129"/>
      <c r="U265" s="1129"/>
      <c r="V265" s="1129"/>
      <c r="W265" s="1129"/>
      <c r="X265" s="1129"/>
      <c r="Y265" s="1294"/>
    </row>
    <row r="266" spans="1:25" s="3583" customFormat="1" ht="23.25" customHeight="1">
      <c r="A266" s="1128"/>
      <c r="B266" s="1129"/>
      <c r="C266" s="1129"/>
      <c r="D266" s="1129"/>
      <c r="E266" s="1129"/>
      <c r="F266" s="1129"/>
      <c r="G266" s="1129"/>
      <c r="H266" s="1129"/>
      <c r="I266" s="1129"/>
      <c r="J266" s="1129"/>
      <c r="K266" s="1129"/>
      <c r="L266" s="1129"/>
      <c r="M266" s="1129"/>
      <c r="N266" s="1129"/>
      <c r="O266" s="1129"/>
      <c r="P266" s="1129"/>
      <c r="Q266" s="1129"/>
      <c r="R266" s="1129"/>
      <c r="S266" s="1129"/>
      <c r="T266" s="1129"/>
      <c r="U266" s="1129"/>
      <c r="V266" s="1129"/>
      <c r="W266" s="1129"/>
      <c r="X266" s="1129"/>
      <c r="Y266" s="1294"/>
    </row>
    <row r="267" spans="1:25" s="1179" customFormat="1" ht="15" customHeight="1">
      <c r="A267" s="1128"/>
      <c r="B267" s="1129"/>
      <c r="C267" s="1129"/>
      <c r="D267" s="1129"/>
      <c r="E267" s="1129"/>
      <c r="F267" s="1129"/>
      <c r="G267" s="1129"/>
      <c r="H267" s="1129"/>
      <c r="I267" s="1129"/>
      <c r="J267" s="1129"/>
      <c r="K267" s="1129"/>
      <c r="L267" s="1129"/>
      <c r="M267" s="1129"/>
      <c r="N267" s="1129"/>
      <c r="O267" s="1129"/>
      <c r="P267" s="1129"/>
      <c r="Q267" s="1129"/>
      <c r="R267" s="1129"/>
      <c r="S267" s="1129"/>
      <c r="T267" s="1129"/>
      <c r="U267" s="1129"/>
      <c r="V267" s="1129"/>
      <c r="W267" s="1129"/>
      <c r="X267" s="1129"/>
      <c r="Y267" s="1294"/>
    </row>
    <row r="268" spans="1:25" s="1179" customFormat="1" ht="12.75" customHeight="1">
      <c r="A268" s="1128"/>
      <c r="B268" s="1129"/>
      <c r="C268" s="1129"/>
      <c r="D268" s="1129"/>
      <c r="E268" s="1129"/>
      <c r="F268" s="1129"/>
      <c r="G268" s="1129"/>
      <c r="H268" s="1129"/>
      <c r="I268" s="1129"/>
      <c r="J268" s="1129"/>
      <c r="K268" s="1129"/>
      <c r="L268" s="1129"/>
      <c r="M268" s="1129"/>
      <c r="N268" s="1129"/>
      <c r="O268" s="1129"/>
      <c r="P268" s="1129"/>
      <c r="Q268" s="1129"/>
      <c r="R268" s="1129"/>
      <c r="S268" s="1129"/>
      <c r="T268" s="1129"/>
      <c r="U268" s="1129"/>
      <c r="V268" s="1129"/>
      <c r="W268" s="1129"/>
      <c r="X268" s="1129"/>
      <c r="Y268" s="1294"/>
    </row>
    <row r="269" spans="1:25" s="1179" customFormat="1">
      <c r="A269" s="1128"/>
      <c r="B269" s="1129"/>
      <c r="C269" s="1129"/>
      <c r="D269" s="1129"/>
      <c r="E269" s="1129"/>
      <c r="F269" s="1129"/>
      <c r="G269" s="1129"/>
      <c r="H269" s="1129"/>
      <c r="I269" s="1129"/>
      <c r="J269" s="1129"/>
      <c r="K269" s="1129"/>
      <c r="L269" s="1129"/>
      <c r="M269" s="1129"/>
      <c r="N269" s="1129"/>
      <c r="O269" s="1129"/>
      <c r="P269" s="1129"/>
      <c r="Q269" s="1129"/>
      <c r="R269" s="1129"/>
      <c r="S269" s="1129"/>
      <c r="T269" s="1129"/>
      <c r="U269" s="1129"/>
      <c r="V269" s="1129"/>
      <c r="W269" s="1129"/>
      <c r="X269" s="1129"/>
      <c r="Y269" s="1294"/>
    </row>
    <row r="270" spans="1:25" s="1179" customFormat="1">
      <c r="A270" s="1128"/>
      <c r="B270" s="1129"/>
      <c r="C270" s="1129"/>
      <c r="D270" s="1129"/>
      <c r="E270" s="1129"/>
      <c r="F270" s="1129"/>
      <c r="G270" s="1129"/>
      <c r="H270" s="1129"/>
      <c r="I270" s="1129"/>
      <c r="J270" s="1129"/>
      <c r="K270" s="1129"/>
      <c r="L270" s="1129"/>
      <c r="M270" s="1129"/>
      <c r="N270" s="1129"/>
      <c r="O270" s="1129"/>
      <c r="P270" s="1129"/>
      <c r="Q270" s="1129"/>
      <c r="R270" s="1129"/>
      <c r="S270" s="1129"/>
      <c r="T270" s="1129"/>
      <c r="U270" s="1129"/>
      <c r="V270" s="1129"/>
      <c r="W270" s="1129"/>
      <c r="X270" s="1129"/>
      <c r="Y270" s="1294"/>
    </row>
    <row r="271" spans="1:25" s="3583" customFormat="1" ht="12.75" customHeight="1">
      <c r="A271" s="1128"/>
      <c r="B271" s="1129"/>
      <c r="C271" s="1129"/>
      <c r="D271" s="1129"/>
      <c r="E271" s="1129"/>
      <c r="F271" s="1129"/>
      <c r="G271" s="1129"/>
      <c r="H271" s="1129"/>
      <c r="I271" s="1129"/>
      <c r="J271" s="1129"/>
      <c r="K271" s="1129"/>
      <c r="L271" s="1129"/>
      <c r="M271" s="1129"/>
      <c r="N271" s="1129"/>
      <c r="O271" s="1129"/>
      <c r="P271" s="1129"/>
      <c r="Q271" s="1129"/>
      <c r="R271" s="1129"/>
      <c r="S271" s="1129"/>
      <c r="T271" s="1129"/>
      <c r="U271" s="1129"/>
      <c r="V271" s="1129"/>
      <c r="W271" s="1129"/>
      <c r="X271" s="1129"/>
      <c r="Y271" s="1294"/>
    </row>
    <row r="272" spans="1:25" s="1179" customFormat="1" ht="9.75" customHeight="1">
      <c r="A272" s="1128"/>
      <c r="B272" s="1129"/>
      <c r="C272" s="1129"/>
      <c r="D272" s="1129"/>
      <c r="E272" s="1129"/>
      <c r="F272" s="1129"/>
      <c r="G272" s="1129"/>
      <c r="H272" s="1129"/>
      <c r="I272" s="1129"/>
      <c r="J272" s="1129"/>
      <c r="K272" s="1129"/>
      <c r="L272" s="1129"/>
      <c r="M272" s="1129"/>
      <c r="N272" s="1129"/>
      <c r="O272" s="1129"/>
      <c r="P272" s="1129"/>
      <c r="Q272" s="1129"/>
      <c r="R272" s="1129"/>
      <c r="S272" s="1129"/>
      <c r="T272" s="1129"/>
      <c r="U272" s="1129"/>
      <c r="V272" s="1129"/>
      <c r="W272" s="1129"/>
      <c r="X272" s="1129"/>
      <c r="Y272" s="1294"/>
    </row>
    <row r="273" spans="1:25" s="1179" customFormat="1" ht="12.75" customHeight="1">
      <c r="A273" s="1128"/>
      <c r="B273" s="1129"/>
      <c r="C273" s="1129"/>
      <c r="D273" s="1129"/>
      <c r="E273" s="1129"/>
      <c r="F273" s="1129"/>
      <c r="G273" s="1129"/>
      <c r="H273" s="1129"/>
      <c r="I273" s="1129"/>
      <c r="J273" s="1129"/>
      <c r="K273" s="1129"/>
      <c r="L273" s="1129"/>
      <c r="M273" s="1129"/>
      <c r="N273" s="1129"/>
      <c r="O273" s="1129"/>
      <c r="P273" s="1129"/>
      <c r="Q273" s="1129"/>
      <c r="R273" s="1129"/>
      <c r="S273" s="1129"/>
      <c r="T273" s="1129"/>
      <c r="U273" s="1129"/>
      <c r="V273" s="1129"/>
      <c r="W273" s="1129"/>
      <c r="X273" s="1129"/>
      <c r="Y273" s="1294"/>
    </row>
    <row r="274" spans="1:25" s="1179" customFormat="1">
      <c r="A274" s="1128"/>
      <c r="B274" s="1129"/>
      <c r="C274" s="1129"/>
      <c r="D274" s="1129"/>
      <c r="E274" s="1129"/>
      <c r="F274" s="1129"/>
      <c r="G274" s="1129"/>
      <c r="H274" s="1129"/>
      <c r="I274" s="1129"/>
      <c r="J274" s="1129"/>
      <c r="K274" s="1129"/>
      <c r="L274" s="1129"/>
      <c r="M274" s="1129"/>
      <c r="N274" s="1129"/>
      <c r="O274" s="1129"/>
      <c r="P274" s="1129"/>
      <c r="Q274" s="1129"/>
      <c r="R274" s="1129"/>
      <c r="S274" s="1129"/>
      <c r="T274" s="1129"/>
      <c r="U274" s="1129"/>
      <c r="V274" s="1129"/>
      <c r="W274" s="1129"/>
      <c r="X274" s="1129"/>
      <c r="Y274" s="1294"/>
    </row>
    <row r="275" spans="1:25" s="1179" customFormat="1">
      <c r="A275" s="1128"/>
      <c r="B275" s="1129"/>
      <c r="C275" s="1129"/>
      <c r="D275" s="1129"/>
      <c r="E275" s="1129"/>
      <c r="F275" s="1129"/>
      <c r="G275" s="1129"/>
      <c r="H275" s="1129"/>
      <c r="I275" s="1129"/>
      <c r="J275" s="1129"/>
      <c r="K275" s="1129"/>
      <c r="L275" s="1129"/>
      <c r="M275" s="1129"/>
      <c r="N275" s="1129"/>
      <c r="O275" s="1129"/>
      <c r="P275" s="1129"/>
      <c r="Q275" s="1129"/>
      <c r="R275" s="1129"/>
      <c r="S275" s="1129"/>
      <c r="T275" s="1129"/>
      <c r="U275" s="1129"/>
      <c r="V275" s="1129"/>
      <c r="W275" s="1129"/>
      <c r="X275" s="1129"/>
      <c r="Y275" s="1294"/>
    </row>
    <row r="276" spans="1:25" s="3574" customFormat="1" ht="24" customHeight="1">
      <c r="A276" s="1128"/>
      <c r="B276" s="1129"/>
      <c r="C276" s="1129"/>
      <c r="D276" s="1129"/>
      <c r="E276" s="1129"/>
      <c r="F276" s="1129"/>
      <c r="G276" s="1129"/>
      <c r="H276" s="1129"/>
      <c r="I276" s="1129"/>
      <c r="J276" s="1129"/>
      <c r="K276" s="1129"/>
      <c r="L276" s="1129"/>
      <c r="M276" s="1129"/>
      <c r="N276" s="1129"/>
      <c r="O276" s="1129"/>
      <c r="P276" s="1129"/>
      <c r="Q276" s="1129"/>
      <c r="R276" s="1129"/>
      <c r="S276" s="1129"/>
      <c r="T276" s="1129"/>
      <c r="U276" s="1129"/>
      <c r="V276" s="1129"/>
      <c r="W276" s="1129"/>
      <c r="X276" s="1129"/>
      <c r="Y276" s="1294"/>
    </row>
    <row r="277" spans="1:25" s="1179" customFormat="1" ht="11.25" customHeight="1">
      <c r="A277" s="1128"/>
      <c r="B277" s="1129"/>
      <c r="C277" s="1129"/>
      <c r="D277" s="1129"/>
      <c r="E277" s="1129"/>
      <c r="F277" s="1129"/>
      <c r="G277" s="1129"/>
      <c r="H277" s="1129"/>
      <c r="I277" s="1129"/>
      <c r="J277" s="1129"/>
      <c r="K277" s="1129"/>
      <c r="L277" s="1129"/>
      <c r="M277" s="1129"/>
      <c r="N277" s="1129"/>
      <c r="O277" s="1129"/>
      <c r="P277" s="1129"/>
      <c r="Q277" s="1129"/>
      <c r="R277" s="1129"/>
      <c r="S277" s="1129"/>
      <c r="T277" s="1129"/>
      <c r="U277" s="1129"/>
      <c r="V277" s="1129"/>
      <c r="W277" s="1129"/>
      <c r="X277" s="1129"/>
      <c r="Y277" s="1294"/>
    </row>
    <row r="278" spans="1:25" s="1179" customFormat="1" ht="12.75" customHeight="1">
      <c r="A278" s="1128"/>
      <c r="B278" s="1129"/>
      <c r="C278" s="1129"/>
      <c r="D278" s="1129"/>
      <c r="E278" s="1129"/>
      <c r="F278" s="1129"/>
      <c r="G278" s="1129"/>
      <c r="H278" s="1129"/>
      <c r="I278" s="1129"/>
      <c r="J278" s="1129"/>
      <c r="K278" s="1129"/>
      <c r="L278" s="1129"/>
      <c r="M278" s="1129"/>
      <c r="N278" s="1129"/>
      <c r="O278" s="1129"/>
      <c r="P278" s="1129"/>
      <c r="Q278" s="1129"/>
      <c r="R278" s="1129"/>
      <c r="S278" s="1129"/>
      <c r="T278" s="1129"/>
      <c r="U278" s="1129"/>
      <c r="V278" s="1129"/>
      <c r="W278" s="1129"/>
      <c r="X278" s="1129"/>
      <c r="Y278" s="1294"/>
    </row>
    <row r="279" spans="1:25" s="1179" customFormat="1">
      <c r="A279" s="1128"/>
      <c r="B279" s="1129"/>
      <c r="C279" s="1129"/>
      <c r="D279" s="1129"/>
      <c r="E279" s="1129"/>
      <c r="F279" s="1129"/>
      <c r="G279" s="1129"/>
      <c r="H279" s="1129"/>
      <c r="I279" s="1129"/>
      <c r="J279" s="1129"/>
      <c r="K279" s="1129"/>
      <c r="L279" s="1129"/>
      <c r="M279" s="1129"/>
      <c r="N279" s="1129"/>
      <c r="O279" s="1129"/>
      <c r="P279" s="1129"/>
      <c r="Q279" s="1129"/>
      <c r="R279" s="1129"/>
      <c r="S279" s="1129"/>
      <c r="T279" s="1129"/>
      <c r="U279" s="1129"/>
      <c r="V279" s="1129"/>
      <c r="W279" s="1129"/>
      <c r="X279" s="1129"/>
      <c r="Y279" s="1294"/>
    </row>
    <row r="280" spans="1:25" s="1179" customFormat="1">
      <c r="A280" s="1128"/>
      <c r="B280" s="1129"/>
      <c r="C280" s="1129"/>
      <c r="D280" s="1129"/>
      <c r="E280" s="1129"/>
      <c r="F280" s="1129"/>
      <c r="G280" s="1129"/>
      <c r="H280" s="1129"/>
      <c r="I280" s="1129"/>
      <c r="J280" s="1129"/>
      <c r="K280" s="1129"/>
      <c r="L280" s="1129"/>
      <c r="M280" s="1129"/>
      <c r="N280" s="1129"/>
      <c r="O280" s="1129"/>
      <c r="P280" s="1129"/>
      <c r="Q280" s="1129"/>
      <c r="R280" s="1129"/>
      <c r="S280" s="1129"/>
      <c r="T280" s="1129"/>
      <c r="U280" s="1129"/>
      <c r="V280" s="1129"/>
      <c r="W280" s="1129"/>
      <c r="X280" s="1129"/>
      <c r="Y280" s="1294"/>
    </row>
    <row r="281" spans="1:25" s="1179" customFormat="1">
      <c r="A281" s="1128"/>
      <c r="B281" s="1129"/>
      <c r="C281" s="1129"/>
      <c r="D281" s="1129"/>
      <c r="E281" s="1129"/>
      <c r="F281" s="1129"/>
      <c r="G281" s="1129"/>
      <c r="H281" s="1129"/>
      <c r="I281" s="1129"/>
      <c r="J281" s="1129"/>
      <c r="K281" s="1129"/>
      <c r="L281" s="1129"/>
      <c r="M281" s="1129"/>
      <c r="N281" s="1129"/>
      <c r="O281" s="1129"/>
      <c r="P281" s="1129"/>
      <c r="Q281" s="1129"/>
      <c r="R281" s="1129"/>
      <c r="S281" s="1129"/>
      <c r="T281" s="1129"/>
      <c r="U281" s="1129"/>
      <c r="V281" s="1129"/>
      <c r="W281" s="1129"/>
      <c r="X281" s="1129"/>
      <c r="Y281" s="1294"/>
    </row>
    <row r="282" spans="1:25" s="1179" customFormat="1">
      <c r="A282" s="1128"/>
      <c r="B282" s="1129"/>
      <c r="C282" s="1129"/>
      <c r="D282" s="1129"/>
      <c r="E282" s="1129"/>
      <c r="F282" s="1129"/>
      <c r="G282" s="1129"/>
      <c r="H282" s="1129"/>
      <c r="I282" s="1129"/>
      <c r="J282" s="1129"/>
      <c r="K282" s="1129"/>
      <c r="L282" s="1129"/>
      <c r="M282" s="1129"/>
      <c r="N282" s="1129"/>
      <c r="O282" s="1129"/>
      <c r="P282" s="1129"/>
      <c r="Q282" s="1129"/>
      <c r="R282" s="1129"/>
      <c r="S282" s="1129"/>
      <c r="T282" s="1129"/>
      <c r="U282" s="1129"/>
      <c r="V282" s="1129"/>
      <c r="W282" s="1129"/>
      <c r="X282" s="1129"/>
      <c r="Y282" s="1294"/>
    </row>
    <row r="283" spans="1:25" s="1179" customFormat="1" ht="12" customHeight="1">
      <c r="A283" s="1128"/>
      <c r="B283" s="1129"/>
      <c r="C283" s="1129"/>
      <c r="D283" s="1129"/>
      <c r="E283" s="1129"/>
      <c r="F283" s="1129"/>
      <c r="G283" s="1129"/>
      <c r="H283" s="1129"/>
      <c r="I283" s="1129"/>
      <c r="J283" s="1129"/>
      <c r="K283" s="1129"/>
      <c r="L283" s="1129"/>
      <c r="M283" s="1129"/>
      <c r="N283" s="1129"/>
      <c r="O283" s="1129"/>
      <c r="P283" s="1129"/>
      <c r="Q283" s="1129"/>
      <c r="R283" s="1129"/>
      <c r="S283" s="1129"/>
      <c r="T283" s="1129"/>
      <c r="U283" s="1129"/>
      <c r="V283" s="1129"/>
      <c r="W283" s="1129"/>
      <c r="X283" s="1129"/>
      <c r="Y283" s="1294"/>
    </row>
    <row r="284" spans="1:25" s="1179" customFormat="1" ht="10.5" customHeight="1">
      <c r="A284" s="1128"/>
      <c r="B284" s="1129"/>
      <c r="C284" s="1129"/>
      <c r="D284" s="1129"/>
      <c r="E284" s="1129"/>
      <c r="F284" s="1129"/>
      <c r="G284" s="1129"/>
      <c r="H284" s="1129"/>
      <c r="I284" s="1129"/>
      <c r="J284" s="1129"/>
      <c r="K284" s="1129"/>
      <c r="L284" s="1129"/>
      <c r="M284" s="1129"/>
      <c r="N284" s="1129"/>
      <c r="O284" s="1129"/>
      <c r="P284" s="1129"/>
      <c r="Q284" s="1129"/>
      <c r="R284" s="1129"/>
      <c r="S284" s="1129"/>
      <c r="T284" s="1129"/>
      <c r="U284" s="1129"/>
      <c r="V284" s="1129"/>
      <c r="W284" s="1129"/>
      <c r="X284" s="1129"/>
      <c r="Y284" s="1294"/>
    </row>
    <row r="285" spans="1:25" s="1179" customFormat="1">
      <c r="A285" s="1128"/>
      <c r="B285" s="1129"/>
      <c r="C285" s="1129"/>
      <c r="D285" s="1129"/>
      <c r="E285" s="1129"/>
      <c r="F285" s="1129"/>
      <c r="G285" s="1129"/>
      <c r="H285" s="1129"/>
      <c r="I285" s="1129"/>
      <c r="J285" s="1129"/>
      <c r="K285" s="1129"/>
      <c r="L285" s="1129"/>
      <c r="M285" s="1129"/>
      <c r="N285" s="1129"/>
      <c r="O285" s="1129"/>
      <c r="P285" s="1129"/>
      <c r="Q285" s="1129"/>
      <c r="R285" s="1129"/>
      <c r="S285" s="1129"/>
      <c r="T285" s="1129"/>
      <c r="U285" s="1129"/>
      <c r="V285" s="1129"/>
      <c r="W285" s="1129"/>
      <c r="X285" s="1129"/>
      <c r="Y285" s="1294"/>
    </row>
    <row r="286" spans="1:25" s="1179" customFormat="1">
      <c r="A286" s="1128"/>
      <c r="B286" s="1129"/>
      <c r="C286" s="1129"/>
      <c r="D286" s="1129"/>
      <c r="E286" s="1129"/>
      <c r="F286" s="1129"/>
      <c r="G286" s="1129"/>
      <c r="H286" s="1129"/>
      <c r="I286" s="1129"/>
      <c r="J286" s="1129"/>
      <c r="K286" s="1129"/>
      <c r="L286" s="1129"/>
      <c r="M286" s="1129"/>
      <c r="N286" s="1129"/>
      <c r="O286" s="1129"/>
      <c r="P286" s="1129"/>
      <c r="Q286" s="1129"/>
      <c r="R286" s="1129"/>
      <c r="S286" s="1129"/>
      <c r="T286" s="1129"/>
      <c r="U286" s="1129"/>
      <c r="V286" s="1129"/>
      <c r="W286" s="1129"/>
      <c r="X286" s="1129"/>
      <c r="Y286" s="1294"/>
    </row>
    <row r="287" spans="1:25" s="1179" customFormat="1">
      <c r="A287" s="1128"/>
      <c r="B287" s="1129"/>
      <c r="C287" s="1129"/>
      <c r="D287" s="1129"/>
      <c r="E287" s="1129"/>
      <c r="F287" s="1129"/>
      <c r="G287" s="1129"/>
      <c r="H287" s="1129"/>
      <c r="I287" s="1129"/>
      <c r="J287" s="1129"/>
      <c r="K287" s="1129"/>
      <c r="L287" s="1129"/>
      <c r="M287" s="1129"/>
      <c r="N287" s="1129"/>
      <c r="O287" s="1129"/>
      <c r="P287" s="1129"/>
      <c r="Q287" s="1129"/>
      <c r="R287" s="1129"/>
      <c r="S287" s="1129"/>
      <c r="T287" s="1129"/>
      <c r="U287" s="1129"/>
      <c r="V287" s="1129"/>
      <c r="W287" s="1129"/>
      <c r="X287" s="1129"/>
      <c r="Y287" s="1294"/>
    </row>
    <row r="288" spans="1:25" s="1179" customFormat="1">
      <c r="A288" s="1128"/>
      <c r="B288" s="1129"/>
      <c r="C288" s="1129"/>
      <c r="D288" s="1129"/>
      <c r="E288" s="1129"/>
      <c r="F288" s="1129"/>
      <c r="G288" s="1129"/>
      <c r="H288" s="1129"/>
      <c r="I288" s="1129"/>
      <c r="J288" s="1129"/>
      <c r="K288" s="1129"/>
      <c r="L288" s="1129"/>
      <c r="M288" s="1129"/>
      <c r="N288" s="1129"/>
      <c r="O288" s="1129"/>
      <c r="P288" s="1129"/>
      <c r="Q288" s="1129"/>
      <c r="R288" s="1129"/>
      <c r="S288" s="1129"/>
      <c r="T288" s="1129"/>
      <c r="U288" s="1129"/>
      <c r="V288" s="1129"/>
      <c r="W288" s="1129"/>
      <c r="X288" s="1129"/>
      <c r="Y288" s="1294"/>
    </row>
    <row r="289" spans="1:25" s="1179" customFormat="1">
      <c r="A289" s="1128"/>
      <c r="B289" s="1129"/>
      <c r="C289" s="1129"/>
      <c r="D289" s="1129"/>
      <c r="E289" s="1129"/>
      <c r="F289" s="1129"/>
      <c r="G289" s="1129"/>
      <c r="H289" s="1129"/>
      <c r="I289" s="1129"/>
      <c r="J289" s="1129"/>
      <c r="K289" s="1129"/>
      <c r="L289" s="1129"/>
      <c r="M289" s="1129"/>
      <c r="N289" s="1129"/>
      <c r="O289" s="1129"/>
      <c r="P289" s="1129"/>
      <c r="Q289" s="1129"/>
      <c r="R289" s="1129"/>
      <c r="S289" s="1129"/>
      <c r="T289" s="1129"/>
      <c r="U289" s="1129"/>
      <c r="V289" s="1129"/>
      <c r="W289" s="1129"/>
      <c r="X289" s="1129"/>
      <c r="Y289" s="1294"/>
    </row>
    <row r="290" spans="1:25" s="1179" customFormat="1" ht="32.25" customHeight="1">
      <c r="A290" s="1128"/>
      <c r="B290" s="1129"/>
      <c r="C290" s="1129"/>
      <c r="D290" s="1129"/>
      <c r="E290" s="1129"/>
      <c r="F290" s="1129"/>
      <c r="G290" s="1129"/>
      <c r="H290" s="1129"/>
      <c r="I290" s="1129"/>
      <c r="J290" s="1129"/>
      <c r="K290" s="1129"/>
      <c r="L290" s="1129"/>
      <c r="M290" s="1129"/>
      <c r="N290" s="1129"/>
      <c r="O290" s="1129"/>
      <c r="P290" s="1129"/>
      <c r="Q290" s="1129"/>
      <c r="R290" s="1129"/>
      <c r="S290" s="1129"/>
      <c r="T290" s="1129"/>
      <c r="U290" s="1129"/>
      <c r="V290" s="1129"/>
      <c r="W290" s="1129"/>
      <c r="X290" s="1129"/>
      <c r="Y290" s="1294"/>
    </row>
    <row r="291" spans="1:25" s="1179" customFormat="1" ht="15" customHeight="1">
      <c r="A291" s="1128"/>
      <c r="B291" s="1129"/>
      <c r="C291" s="1129"/>
      <c r="D291" s="1129"/>
      <c r="E291" s="1129"/>
      <c r="F291" s="1129"/>
      <c r="G291" s="1129"/>
      <c r="H291" s="1129"/>
      <c r="I291" s="1129"/>
      <c r="J291" s="1129"/>
      <c r="K291" s="1129"/>
      <c r="L291" s="1129"/>
      <c r="M291" s="1129"/>
      <c r="N291" s="1129"/>
      <c r="O291" s="1129"/>
      <c r="P291" s="1129"/>
      <c r="Q291" s="1129"/>
      <c r="R291" s="1129"/>
      <c r="S291" s="1129"/>
      <c r="T291" s="1129"/>
      <c r="U291" s="1129"/>
      <c r="V291" s="1129"/>
      <c r="W291" s="1129"/>
      <c r="X291" s="1129"/>
      <c r="Y291" s="1294"/>
    </row>
    <row r="292" spans="1:25" s="1179" customFormat="1" ht="12.75" customHeight="1">
      <c r="A292" s="1128"/>
      <c r="B292" s="1129"/>
      <c r="C292" s="1129"/>
      <c r="D292" s="1129"/>
      <c r="E292" s="1129"/>
      <c r="F292" s="1129"/>
      <c r="G292" s="1129"/>
      <c r="H292" s="1129"/>
      <c r="I292" s="1129"/>
      <c r="J292" s="1129"/>
      <c r="K292" s="1129"/>
      <c r="L292" s="1129"/>
      <c r="M292" s="1129"/>
      <c r="N292" s="1129"/>
      <c r="O292" s="1129"/>
      <c r="P292" s="1129"/>
      <c r="Q292" s="1129"/>
      <c r="R292" s="1129"/>
      <c r="S292" s="1129"/>
      <c r="T292" s="1129"/>
      <c r="U292" s="1129"/>
      <c r="V292" s="1129"/>
      <c r="W292" s="1129"/>
      <c r="X292" s="1129"/>
      <c r="Y292" s="1294"/>
    </row>
    <row r="293" spans="1:25" s="1179" customFormat="1">
      <c r="A293" s="1128"/>
      <c r="B293" s="1129"/>
      <c r="C293" s="1129"/>
      <c r="D293" s="1129"/>
      <c r="E293" s="1129"/>
      <c r="F293" s="1129"/>
      <c r="G293" s="1129"/>
      <c r="H293" s="1129"/>
      <c r="I293" s="1129"/>
      <c r="J293" s="1129"/>
      <c r="K293" s="1129"/>
      <c r="L293" s="1129"/>
      <c r="M293" s="1129"/>
      <c r="N293" s="1129"/>
      <c r="O293" s="1129"/>
      <c r="P293" s="1129"/>
      <c r="Q293" s="1129"/>
      <c r="R293" s="1129"/>
      <c r="S293" s="1129"/>
      <c r="T293" s="1129"/>
      <c r="U293" s="1129"/>
      <c r="V293" s="1129"/>
      <c r="W293" s="1129"/>
      <c r="X293" s="1129"/>
      <c r="Y293" s="1294"/>
    </row>
    <row r="294" spans="1:25" s="1179" customFormat="1">
      <c r="A294" s="1128"/>
      <c r="B294" s="1129"/>
      <c r="C294" s="1129"/>
      <c r="D294" s="1129"/>
      <c r="E294" s="1129"/>
      <c r="F294" s="1129"/>
      <c r="G294" s="1129"/>
      <c r="H294" s="1129"/>
      <c r="I294" s="1129"/>
      <c r="J294" s="1129"/>
      <c r="K294" s="1129"/>
      <c r="L294" s="1129"/>
      <c r="M294" s="1129"/>
      <c r="N294" s="1129"/>
      <c r="O294" s="1129"/>
      <c r="P294" s="1129"/>
      <c r="Q294" s="1129"/>
      <c r="R294" s="1129"/>
      <c r="S294" s="1129"/>
      <c r="T294" s="1129"/>
      <c r="U294" s="1129"/>
      <c r="V294" s="1129"/>
      <c r="W294" s="1129"/>
      <c r="X294" s="1129"/>
      <c r="Y294" s="3585"/>
    </row>
    <row r="295" spans="1:25" s="1179" customFormat="1">
      <c r="A295" s="1128"/>
      <c r="B295" s="1129"/>
      <c r="C295" s="1129"/>
      <c r="D295" s="1129"/>
      <c r="E295" s="1129"/>
      <c r="F295" s="1129"/>
      <c r="G295" s="1129"/>
      <c r="H295" s="1129"/>
      <c r="I295" s="1129"/>
      <c r="J295" s="1129"/>
      <c r="K295" s="1129"/>
      <c r="L295" s="1129"/>
      <c r="M295" s="1129"/>
      <c r="N295" s="1129"/>
      <c r="O295" s="1129"/>
      <c r="P295" s="1129"/>
      <c r="Q295" s="1129"/>
      <c r="R295" s="1129"/>
      <c r="S295" s="1129"/>
      <c r="T295" s="1129"/>
      <c r="U295" s="1129"/>
      <c r="V295" s="1129"/>
      <c r="W295" s="1129"/>
      <c r="X295" s="1129"/>
      <c r="Y295" s="3585"/>
    </row>
    <row r="296" spans="1:25" s="1179" customFormat="1" ht="21.75" customHeight="1">
      <c r="A296" s="1128"/>
      <c r="B296" s="1129"/>
      <c r="C296" s="1129"/>
      <c r="D296" s="1129"/>
      <c r="E296" s="1129"/>
      <c r="F296" s="1129"/>
      <c r="G296" s="1129"/>
      <c r="H296" s="1129"/>
      <c r="I296" s="1129"/>
      <c r="J296" s="1129"/>
      <c r="K296" s="1129"/>
      <c r="L296" s="1129"/>
      <c r="M296" s="1129"/>
      <c r="N296" s="1129"/>
      <c r="O296" s="1129"/>
      <c r="P296" s="1129"/>
      <c r="Q296" s="1129"/>
      <c r="R296" s="1129"/>
      <c r="S296" s="1129"/>
      <c r="T296" s="1129"/>
      <c r="U296" s="1129"/>
      <c r="V296" s="1129"/>
      <c r="W296" s="1129"/>
      <c r="X296" s="1129"/>
      <c r="Y296" s="3585"/>
    </row>
    <row r="297" spans="1:25" s="1179" customFormat="1" ht="12.75" customHeight="1">
      <c r="A297" s="1128"/>
      <c r="B297" s="1129"/>
      <c r="C297" s="1129"/>
      <c r="D297" s="1129"/>
      <c r="E297" s="1129"/>
      <c r="F297" s="1129"/>
      <c r="G297" s="1129"/>
      <c r="H297" s="1129"/>
      <c r="I297" s="1129"/>
      <c r="J297" s="1129"/>
      <c r="K297" s="1129"/>
      <c r="L297" s="1129"/>
      <c r="M297" s="1129"/>
      <c r="N297" s="1129"/>
      <c r="O297" s="1129"/>
      <c r="P297" s="1129"/>
      <c r="Q297" s="1129"/>
      <c r="R297" s="1129"/>
      <c r="S297" s="1129"/>
      <c r="T297" s="1129"/>
      <c r="U297" s="1129"/>
      <c r="V297" s="1129"/>
      <c r="W297" s="1129"/>
      <c r="X297" s="1129"/>
      <c r="Y297" s="3585"/>
    </row>
    <row r="298" spans="1:25" s="1179" customFormat="1" ht="12.75" customHeight="1">
      <c r="A298" s="1128"/>
      <c r="B298" s="1129"/>
      <c r="C298" s="1129"/>
      <c r="D298" s="1129"/>
      <c r="E298" s="1129"/>
      <c r="F298" s="1129"/>
      <c r="G298" s="1129"/>
      <c r="H298" s="1129"/>
      <c r="I298" s="1129"/>
      <c r="J298" s="1129"/>
      <c r="K298" s="1129"/>
      <c r="L298" s="1129"/>
      <c r="M298" s="1129"/>
      <c r="N298" s="1129"/>
      <c r="O298" s="1129"/>
      <c r="P298" s="1129"/>
      <c r="Q298" s="1129"/>
      <c r="R298" s="1129"/>
      <c r="S298" s="1129"/>
      <c r="T298" s="1129"/>
      <c r="U298" s="1129"/>
      <c r="V298" s="1129"/>
      <c r="W298" s="1129"/>
      <c r="X298" s="1129"/>
      <c r="Y298" s="3585"/>
    </row>
    <row r="299" spans="1:25" s="1179" customFormat="1">
      <c r="A299" s="1128"/>
      <c r="B299" s="1129"/>
      <c r="C299" s="1129"/>
      <c r="D299" s="1129"/>
      <c r="E299" s="1129"/>
      <c r="F299" s="1129"/>
      <c r="G299" s="1129"/>
      <c r="H299" s="1129"/>
      <c r="I299" s="1129"/>
      <c r="J299" s="1129"/>
      <c r="K299" s="1129"/>
      <c r="L299" s="1129"/>
      <c r="M299" s="1129"/>
      <c r="N299" s="1129"/>
      <c r="O299" s="1129"/>
      <c r="P299" s="1129"/>
      <c r="Q299" s="1129"/>
      <c r="R299" s="1129"/>
      <c r="S299" s="1129"/>
      <c r="T299" s="1129"/>
      <c r="U299" s="1129"/>
      <c r="V299" s="1129"/>
      <c r="W299" s="1129"/>
      <c r="X299" s="1129"/>
      <c r="Y299" s="3585"/>
    </row>
    <row r="300" spans="1:25" s="1179" customFormat="1">
      <c r="A300" s="1128"/>
      <c r="B300" s="1129"/>
      <c r="C300" s="1129"/>
      <c r="D300" s="1129"/>
      <c r="E300" s="1129"/>
      <c r="F300" s="1129"/>
      <c r="G300" s="1129"/>
      <c r="H300" s="1129"/>
      <c r="I300" s="1129"/>
      <c r="J300" s="1129"/>
      <c r="K300" s="1129"/>
      <c r="L300" s="1129"/>
      <c r="M300" s="1129"/>
      <c r="N300" s="1129"/>
      <c r="O300" s="1129"/>
      <c r="P300" s="1129"/>
      <c r="Q300" s="1129"/>
      <c r="R300" s="1129"/>
      <c r="S300" s="1129"/>
      <c r="T300" s="1129"/>
      <c r="U300" s="1129"/>
      <c r="V300" s="1129"/>
      <c r="W300" s="1129"/>
      <c r="X300" s="1129"/>
      <c r="Y300" s="3585"/>
    </row>
    <row r="301" spans="1:25" s="1179" customFormat="1">
      <c r="A301" s="1128"/>
      <c r="B301" s="1129"/>
      <c r="C301" s="1129"/>
      <c r="D301" s="1129"/>
      <c r="E301" s="1129"/>
      <c r="F301" s="1129"/>
      <c r="G301" s="1129"/>
      <c r="H301" s="1129"/>
      <c r="I301" s="1129"/>
      <c r="J301" s="1129"/>
      <c r="K301" s="1129"/>
      <c r="L301" s="1129"/>
      <c r="M301" s="1129"/>
      <c r="N301" s="1129"/>
      <c r="O301" s="1129"/>
      <c r="P301" s="1129"/>
      <c r="Q301" s="1129"/>
      <c r="R301" s="1129"/>
      <c r="S301" s="1129"/>
      <c r="T301" s="1129"/>
      <c r="U301" s="1129"/>
      <c r="V301" s="1129"/>
      <c r="W301" s="1129"/>
      <c r="X301" s="1129"/>
      <c r="Y301" s="3585"/>
    </row>
    <row r="302" spans="1:25" s="1179" customFormat="1">
      <c r="A302" s="1128"/>
      <c r="B302" s="1129"/>
      <c r="C302" s="1129"/>
      <c r="D302" s="1129"/>
      <c r="E302" s="1129"/>
      <c r="F302" s="1129"/>
      <c r="G302" s="1129"/>
      <c r="H302" s="1129"/>
      <c r="I302" s="1129"/>
      <c r="J302" s="1129"/>
      <c r="K302" s="1129"/>
      <c r="L302" s="1129"/>
      <c r="M302" s="1129"/>
      <c r="N302" s="1129"/>
      <c r="O302" s="1129"/>
      <c r="P302" s="1129"/>
      <c r="Q302" s="1129"/>
      <c r="R302" s="1129"/>
      <c r="S302" s="1129"/>
      <c r="T302" s="1129"/>
      <c r="U302" s="1129"/>
      <c r="V302" s="1129"/>
      <c r="W302" s="1129"/>
      <c r="X302" s="1129"/>
      <c r="Y302" s="3585"/>
    </row>
    <row r="303" spans="1:25" s="3574" customFormat="1" ht="35.25" customHeight="1">
      <c r="A303" s="1128"/>
      <c r="B303" s="1129"/>
      <c r="C303" s="1129"/>
      <c r="D303" s="1129"/>
      <c r="E303" s="1129"/>
      <c r="F303" s="1129"/>
      <c r="G303" s="1129"/>
      <c r="H303" s="1129"/>
      <c r="I303" s="1129"/>
      <c r="J303" s="1129"/>
      <c r="K303" s="1129"/>
      <c r="L303" s="1129"/>
      <c r="M303" s="1129"/>
      <c r="N303" s="1129"/>
      <c r="O303" s="1129"/>
      <c r="P303" s="1129"/>
      <c r="Q303" s="1129"/>
      <c r="R303" s="1129"/>
      <c r="S303" s="1129"/>
      <c r="T303" s="1129"/>
      <c r="U303" s="1129"/>
      <c r="V303" s="1129"/>
      <c r="W303" s="1129"/>
      <c r="X303" s="1129"/>
      <c r="Y303" s="3585"/>
    </row>
    <row r="304" spans="1:25" s="1179" customFormat="1" ht="11.25" customHeight="1">
      <c r="A304" s="1128"/>
      <c r="B304" s="1129"/>
      <c r="C304" s="1129"/>
      <c r="D304" s="1129"/>
      <c r="E304" s="1129"/>
      <c r="F304" s="1129"/>
      <c r="G304" s="1129"/>
      <c r="H304" s="1129"/>
      <c r="I304" s="1129"/>
      <c r="J304" s="1129"/>
      <c r="K304" s="1129"/>
      <c r="L304" s="1129"/>
      <c r="M304" s="1129"/>
      <c r="N304" s="1129"/>
      <c r="O304" s="1129"/>
      <c r="P304" s="1129"/>
      <c r="Q304" s="1129"/>
      <c r="R304" s="1129"/>
      <c r="S304" s="1129"/>
      <c r="T304" s="1129"/>
      <c r="U304" s="1129"/>
      <c r="V304" s="1129"/>
      <c r="W304" s="1129"/>
      <c r="X304" s="1129"/>
      <c r="Y304" s="3585"/>
    </row>
    <row r="305" spans="1:25" s="1179" customFormat="1" ht="12.75" customHeight="1">
      <c r="A305" s="1128"/>
      <c r="B305" s="1129"/>
      <c r="C305" s="1129"/>
      <c r="D305" s="1129"/>
      <c r="E305" s="1129"/>
      <c r="F305" s="1129"/>
      <c r="G305" s="1129"/>
      <c r="H305" s="1129"/>
      <c r="I305" s="1129"/>
      <c r="J305" s="1129"/>
      <c r="K305" s="1129"/>
      <c r="L305" s="1129"/>
      <c r="M305" s="1129"/>
      <c r="N305" s="1129"/>
      <c r="O305" s="1129"/>
      <c r="P305" s="1129"/>
      <c r="Q305" s="1129"/>
      <c r="R305" s="1129"/>
      <c r="S305" s="1129"/>
      <c r="T305" s="1129"/>
      <c r="U305" s="1129"/>
      <c r="V305" s="1129"/>
      <c r="W305" s="1129"/>
      <c r="X305" s="1129"/>
      <c r="Y305" s="3585"/>
    </row>
    <row r="306" spans="1:25" s="3574" customFormat="1" ht="14.25" customHeight="1">
      <c r="A306" s="1128"/>
      <c r="B306" s="1129"/>
      <c r="C306" s="1129"/>
      <c r="D306" s="1129"/>
      <c r="E306" s="1129"/>
      <c r="F306" s="1129"/>
      <c r="G306" s="1129"/>
      <c r="H306" s="1129"/>
      <c r="I306" s="1129"/>
      <c r="J306" s="1129"/>
      <c r="K306" s="1129"/>
      <c r="L306" s="1129"/>
      <c r="M306" s="1129"/>
      <c r="N306" s="1129"/>
      <c r="O306" s="1129"/>
      <c r="P306" s="1129"/>
      <c r="Q306" s="1129"/>
      <c r="R306" s="1129"/>
      <c r="S306" s="1129"/>
      <c r="T306" s="1129"/>
      <c r="U306" s="1129"/>
      <c r="V306" s="1129"/>
      <c r="W306" s="1129"/>
      <c r="X306" s="1129"/>
      <c r="Y306" s="3585"/>
    </row>
    <row r="307" spans="1:25" s="1179" customFormat="1" ht="11.25" customHeight="1">
      <c r="A307" s="1128"/>
      <c r="B307" s="1129"/>
      <c r="C307" s="1129"/>
      <c r="D307" s="1129"/>
      <c r="E307" s="1129"/>
      <c r="F307" s="1129"/>
      <c r="G307" s="1129"/>
      <c r="H307" s="1129"/>
      <c r="I307" s="1129"/>
      <c r="J307" s="1129"/>
      <c r="K307" s="1129"/>
      <c r="L307" s="1129"/>
      <c r="M307" s="1129"/>
      <c r="N307" s="1129"/>
      <c r="O307" s="1129"/>
      <c r="P307" s="1129"/>
      <c r="Q307" s="1129"/>
      <c r="R307" s="1129"/>
      <c r="S307" s="1129"/>
      <c r="T307" s="1129"/>
      <c r="U307" s="1129"/>
      <c r="V307" s="1129"/>
      <c r="W307" s="1129"/>
      <c r="X307" s="1129"/>
      <c r="Y307" s="3585"/>
    </row>
    <row r="308" spans="1:25" s="1179" customFormat="1" ht="12.75" customHeight="1">
      <c r="A308" s="1128"/>
      <c r="B308" s="1129"/>
      <c r="C308" s="1129"/>
      <c r="D308" s="1129"/>
      <c r="E308" s="1129"/>
      <c r="F308" s="1129"/>
      <c r="G308" s="1129"/>
      <c r="H308" s="1129"/>
      <c r="I308" s="1129"/>
      <c r="J308" s="1129"/>
      <c r="K308" s="1129"/>
      <c r="L308" s="1129"/>
      <c r="M308" s="1129"/>
      <c r="N308" s="1129"/>
      <c r="O308" s="1129"/>
      <c r="P308" s="1129"/>
      <c r="Q308" s="1129"/>
      <c r="R308" s="1129"/>
      <c r="S308" s="1129"/>
      <c r="T308" s="1129"/>
      <c r="U308" s="1129"/>
      <c r="V308" s="1129"/>
      <c r="W308" s="1129"/>
      <c r="X308" s="1129"/>
      <c r="Y308" s="3585"/>
    </row>
    <row r="309" spans="1:25" s="3574" customFormat="1" ht="23.25" customHeight="1">
      <c r="A309" s="1128"/>
      <c r="B309" s="1129"/>
      <c r="C309" s="1129"/>
      <c r="D309" s="1129"/>
      <c r="E309" s="1129"/>
      <c r="F309" s="1129"/>
      <c r="G309" s="1129"/>
      <c r="H309" s="1129"/>
      <c r="I309" s="1129"/>
      <c r="J309" s="1129"/>
      <c r="K309" s="1129"/>
      <c r="L309" s="1129"/>
      <c r="M309" s="1129"/>
      <c r="N309" s="1129"/>
      <c r="O309" s="1129"/>
      <c r="P309" s="1129"/>
      <c r="Q309" s="1129"/>
      <c r="R309" s="1129"/>
      <c r="S309" s="1129"/>
      <c r="T309" s="1129"/>
      <c r="U309" s="1129"/>
      <c r="V309" s="1129"/>
      <c r="W309" s="1129"/>
      <c r="X309" s="1129"/>
      <c r="Y309" s="3585"/>
    </row>
    <row r="310" spans="1:25" s="1179" customFormat="1" ht="11.25" customHeight="1">
      <c r="A310" s="1128"/>
      <c r="B310" s="1129"/>
      <c r="C310" s="1129"/>
      <c r="D310" s="1129"/>
      <c r="E310" s="1129"/>
      <c r="F310" s="1129"/>
      <c r="G310" s="1129"/>
      <c r="H310" s="1129"/>
      <c r="I310" s="1129"/>
      <c r="J310" s="1129"/>
      <c r="K310" s="1129"/>
      <c r="L310" s="1129"/>
      <c r="M310" s="1129"/>
      <c r="N310" s="1129"/>
      <c r="O310" s="1129"/>
      <c r="P310" s="1129"/>
      <c r="Q310" s="1129"/>
      <c r="R310" s="1129"/>
      <c r="S310" s="1129"/>
      <c r="T310" s="1129"/>
      <c r="U310" s="1129"/>
      <c r="V310" s="1129"/>
      <c r="W310" s="1129"/>
      <c r="X310" s="1129"/>
      <c r="Y310" s="3585"/>
    </row>
    <row r="311" spans="1:25" s="1179" customFormat="1">
      <c r="A311" s="1128"/>
      <c r="B311" s="1129"/>
      <c r="C311" s="1129"/>
      <c r="D311" s="1129"/>
      <c r="E311" s="1129"/>
      <c r="F311" s="1129"/>
      <c r="G311" s="1129"/>
      <c r="H311" s="1129"/>
      <c r="I311" s="1129"/>
      <c r="J311" s="1129"/>
      <c r="K311" s="1129"/>
      <c r="L311" s="1129"/>
      <c r="M311" s="1129"/>
      <c r="N311" s="1129"/>
      <c r="O311" s="1129"/>
      <c r="P311" s="1129"/>
      <c r="Q311" s="1129"/>
      <c r="R311" s="1129"/>
      <c r="S311" s="1129"/>
      <c r="T311" s="1129"/>
      <c r="U311" s="1129"/>
      <c r="V311" s="1129"/>
      <c r="W311" s="1129"/>
      <c r="X311" s="1129"/>
      <c r="Y311" s="3585"/>
    </row>
    <row r="312" spans="1:25" s="1179" customFormat="1">
      <c r="A312" s="1128"/>
      <c r="B312" s="1129"/>
      <c r="C312" s="1129"/>
      <c r="D312" s="1129"/>
      <c r="E312" s="1129"/>
      <c r="F312" s="1129"/>
      <c r="G312" s="1129"/>
      <c r="H312" s="1129"/>
      <c r="I312" s="1129"/>
      <c r="J312" s="1129"/>
      <c r="K312" s="1129"/>
      <c r="L312" s="1129"/>
      <c r="M312" s="1129"/>
      <c r="N312" s="1129"/>
      <c r="O312" s="1129"/>
      <c r="P312" s="1129"/>
      <c r="Q312" s="1129"/>
      <c r="R312" s="1129"/>
      <c r="S312" s="1129"/>
      <c r="T312" s="1129"/>
      <c r="U312" s="1129"/>
      <c r="V312" s="1129"/>
      <c r="W312" s="1129"/>
      <c r="X312" s="1129"/>
      <c r="Y312" s="3585"/>
    </row>
    <row r="313" spans="1:25" s="3574" customFormat="1" ht="23.25" customHeight="1">
      <c r="A313" s="1128"/>
      <c r="B313" s="1129"/>
      <c r="C313" s="1129"/>
      <c r="D313" s="1129"/>
      <c r="E313" s="1129"/>
      <c r="F313" s="1129"/>
      <c r="G313" s="1129"/>
      <c r="H313" s="1129"/>
      <c r="I313" s="1129"/>
      <c r="J313" s="1129"/>
      <c r="K313" s="1129"/>
      <c r="L313" s="1129"/>
      <c r="M313" s="1129"/>
      <c r="N313" s="1129"/>
      <c r="O313" s="1129"/>
      <c r="P313" s="1129"/>
      <c r="Q313" s="1129"/>
      <c r="R313" s="1129"/>
      <c r="S313" s="1129"/>
      <c r="T313" s="1129"/>
      <c r="U313" s="1129"/>
      <c r="V313" s="1129"/>
      <c r="W313" s="1129"/>
      <c r="X313" s="1129"/>
      <c r="Y313" s="3585"/>
    </row>
    <row r="314" spans="1:25" s="1179" customFormat="1" ht="11.25" customHeight="1">
      <c r="A314" s="1128"/>
      <c r="B314" s="1129"/>
      <c r="C314" s="1129"/>
      <c r="D314" s="1129"/>
      <c r="E314" s="1129"/>
      <c r="F314" s="1129"/>
      <c r="G314" s="1129"/>
      <c r="H314" s="1129"/>
      <c r="I314" s="1129"/>
      <c r="J314" s="1129"/>
      <c r="K314" s="1129"/>
      <c r="L314" s="1129"/>
      <c r="M314" s="1129"/>
      <c r="N314" s="1129"/>
      <c r="O314" s="1129"/>
      <c r="P314" s="1129"/>
      <c r="Q314" s="1129"/>
      <c r="R314" s="1129"/>
      <c r="S314" s="1129"/>
      <c r="T314" s="1129"/>
      <c r="U314" s="1129"/>
      <c r="V314" s="1129"/>
      <c r="W314" s="1129"/>
      <c r="X314" s="1129"/>
      <c r="Y314" s="3585"/>
    </row>
    <row r="315" spans="1:25" s="1179" customFormat="1">
      <c r="A315" s="1128"/>
      <c r="B315" s="1129"/>
      <c r="C315" s="1129"/>
      <c r="D315" s="1129"/>
      <c r="E315" s="1129"/>
      <c r="F315" s="1129"/>
      <c r="G315" s="1129"/>
      <c r="H315" s="1129"/>
      <c r="I315" s="1129"/>
      <c r="J315" s="1129"/>
      <c r="K315" s="1129"/>
      <c r="L315" s="1129"/>
      <c r="M315" s="1129"/>
      <c r="N315" s="1129"/>
      <c r="O315" s="1129"/>
      <c r="P315" s="1129"/>
      <c r="Q315" s="1129"/>
      <c r="R315" s="1129"/>
      <c r="S315" s="1129"/>
      <c r="T315" s="1129"/>
      <c r="U315" s="1129"/>
      <c r="V315" s="1129"/>
      <c r="W315" s="1129"/>
      <c r="X315" s="1129"/>
      <c r="Y315" s="3585"/>
    </row>
    <row r="316" spans="1:25">
      <c r="E316" s="1129"/>
      <c r="N316" s="1129"/>
      <c r="Y316" s="3585"/>
    </row>
    <row r="317" spans="1:25">
      <c r="E317" s="1129"/>
      <c r="N317" s="1129"/>
      <c r="Y317" s="3585"/>
    </row>
    <row r="318" spans="1:25">
      <c r="E318" s="1129"/>
      <c r="N318" s="1129"/>
      <c r="Y318" s="3585"/>
    </row>
    <row r="319" spans="1:25">
      <c r="E319" s="1129"/>
      <c r="N319" s="1129"/>
      <c r="Y319" s="3585"/>
    </row>
    <row r="320" spans="1:25">
      <c r="E320" s="1129"/>
      <c r="N320" s="1129"/>
      <c r="Y320" s="3585"/>
    </row>
    <row r="321" spans="5:25">
      <c r="E321" s="1129"/>
      <c r="N321" s="1129"/>
      <c r="Y321" s="3585"/>
    </row>
    <row r="322" spans="5:25">
      <c r="E322" s="1129"/>
      <c r="N322" s="1129"/>
      <c r="Y322" s="3585"/>
    </row>
    <row r="323" spans="5:25">
      <c r="E323" s="1129"/>
      <c r="N323" s="1129"/>
    </row>
    <row r="324" spans="5:25">
      <c r="E324" s="1129"/>
      <c r="N324" s="1129"/>
    </row>
    <row r="325" spans="5:25">
      <c r="E325" s="1129"/>
      <c r="N325" s="1129"/>
    </row>
    <row r="326" spans="5:25">
      <c r="E326" s="1129"/>
      <c r="N326" s="1129"/>
    </row>
    <row r="327" spans="5:25">
      <c r="E327" s="1129"/>
      <c r="N327" s="1129"/>
    </row>
    <row r="328" spans="5:25">
      <c r="E328" s="1129"/>
      <c r="N328" s="1129"/>
    </row>
    <row r="329" spans="5:25">
      <c r="E329" s="1129"/>
      <c r="N329" s="1129"/>
    </row>
    <row r="330" spans="5:25">
      <c r="E330" s="1129"/>
      <c r="N330" s="1129"/>
    </row>
    <row r="331" spans="5:25">
      <c r="E331" s="1129"/>
      <c r="N331" s="1129"/>
    </row>
    <row r="332" spans="5:25">
      <c r="E332" s="1129"/>
      <c r="N332" s="1129"/>
    </row>
    <row r="333" spans="5:25">
      <c r="E333" s="1129"/>
      <c r="N333" s="1129"/>
    </row>
    <row r="334" spans="5:25">
      <c r="E334" s="1129"/>
      <c r="N334" s="1129"/>
    </row>
    <row r="335" spans="5:25">
      <c r="E335" s="1129"/>
      <c r="N335" s="1129"/>
    </row>
    <row r="336" spans="5:25">
      <c r="E336" s="1129"/>
      <c r="N336" s="1129"/>
    </row>
    <row r="337" spans="5:14">
      <c r="E337" s="1129"/>
      <c r="N337" s="1129"/>
    </row>
    <row r="338" spans="5:14">
      <c r="E338" s="1129"/>
      <c r="N338" s="1129"/>
    </row>
    <row r="339" spans="5:14">
      <c r="E339" s="1129"/>
      <c r="N339" s="1129"/>
    </row>
    <row r="340" spans="5:14">
      <c r="E340" s="1129"/>
      <c r="N340" s="1129"/>
    </row>
    <row r="341" spans="5:14">
      <c r="E341" s="1129"/>
      <c r="N341" s="1129"/>
    </row>
    <row r="342" spans="5:14">
      <c r="E342" s="1129"/>
      <c r="N342" s="1129"/>
    </row>
    <row r="343" spans="5:14">
      <c r="E343" s="1129"/>
      <c r="N343" s="1129"/>
    </row>
    <row r="344" spans="5:14">
      <c r="E344" s="1129"/>
      <c r="N344" s="1129"/>
    </row>
    <row r="345" spans="5:14">
      <c r="E345" s="1129"/>
      <c r="N345" s="1129"/>
    </row>
    <row r="346" spans="5:14">
      <c r="E346" s="1129"/>
      <c r="N346" s="1129"/>
    </row>
    <row r="347" spans="5:14">
      <c r="E347" s="1129"/>
      <c r="N347" s="1129"/>
    </row>
    <row r="348" spans="5:14">
      <c r="E348" s="1129"/>
      <c r="N348" s="1129"/>
    </row>
    <row r="349" spans="5:14">
      <c r="E349" s="1129"/>
      <c r="N349" s="1129"/>
    </row>
    <row r="350" spans="5:14">
      <c r="E350" s="1129"/>
      <c r="N350" s="1129"/>
    </row>
    <row r="351" spans="5:14">
      <c r="E351" s="1129"/>
      <c r="N351" s="1129"/>
    </row>
    <row r="352" spans="5:14">
      <c r="E352" s="1129"/>
      <c r="N352" s="1129"/>
    </row>
    <row r="353" spans="5:14">
      <c r="E353" s="1129"/>
      <c r="N353" s="1129"/>
    </row>
    <row r="354" spans="5:14">
      <c r="E354" s="1129"/>
      <c r="N354" s="1129"/>
    </row>
    <row r="355" spans="5:14">
      <c r="E355" s="1129"/>
      <c r="N355" s="1129"/>
    </row>
    <row r="356" spans="5:14">
      <c r="E356" s="1129"/>
      <c r="N356" s="1129"/>
    </row>
    <row r="357" spans="5:14">
      <c r="E357" s="1129"/>
      <c r="N357" s="1129"/>
    </row>
    <row r="358" spans="5:14">
      <c r="E358" s="1129"/>
      <c r="N358" s="1129"/>
    </row>
    <row r="359" spans="5:14">
      <c r="E359" s="1129"/>
      <c r="N359" s="1129"/>
    </row>
    <row r="360" spans="5:14">
      <c r="E360" s="1129"/>
      <c r="N360" s="1129"/>
    </row>
    <row r="361" spans="5:14">
      <c r="E361" s="1129"/>
      <c r="N361" s="1129"/>
    </row>
    <row r="362" spans="5:14">
      <c r="E362" s="1129"/>
      <c r="N362" s="1129"/>
    </row>
    <row r="363" spans="5:14">
      <c r="E363" s="1129"/>
      <c r="N363" s="1129"/>
    </row>
    <row r="364" spans="5:14">
      <c r="E364" s="1129"/>
      <c r="N364" s="1129"/>
    </row>
    <row r="365" spans="5:14">
      <c r="E365" s="1129"/>
      <c r="N365" s="1129"/>
    </row>
    <row r="366" spans="5:14">
      <c r="E366" s="1129"/>
      <c r="N366" s="1129"/>
    </row>
    <row r="367" spans="5:14">
      <c r="E367" s="1129"/>
      <c r="N367" s="1129"/>
    </row>
    <row r="368" spans="5:14">
      <c r="E368" s="1129"/>
      <c r="N368" s="1129"/>
    </row>
    <row r="369" spans="5:14">
      <c r="E369" s="1129"/>
      <c r="N369" s="1129"/>
    </row>
    <row r="370" spans="5:14">
      <c r="E370" s="1129"/>
      <c r="N370" s="1129"/>
    </row>
    <row r="371" spans="5:14">
      <c r="E371" s="1129"/>
      <c r="N371" s="1129"/>
    </row>
    <row r="372" spans="5:14">
      <c r="E372" s="1129"/>
      <c r="N372" s="1129"/>
    </row>
    <row r="373" spans="5:14">
      <c r="E373" s="1129"/>
      <c r="N373" s="1129"/>
    </row>
    <row r="374" spans="5:14">
      <c r="E374" s="1129"/>
      <c r="N374" s="1129"/>
    </row>
    <row r="375" spans="5:14">
      <c r="E375" s="1129"/>
      <c r="N375" s="1129"/>
    </row>
    <row r="376" spans="5:14">
      <c r="E376" s="1129"/>
      <c r="N376" s="1129"/>
    </row>
    <row r="377" spans="5:14">
      <c r="E377" s="1129"/>
      <c r="N377" s="1129"/>
    </row>
    <row r="378" spans="5:14">
      <c r="E378" s="1129"/>
      <c r="N378" s="1129"/>
    </row>
    <row r="379" spans="5:14">
      <c r="E379" s="1129"/>
      <c r="N379" s="1129"/>
    </row>
    <row r="380" spans="5:14">
      <c r="E380" s="1129"/>
      <c r="N380" s="1129"/>
    </row>
    <row r="381" spans="5:14">
      <c r="E381" s="1129"/>
      <c r="N381" s="1129"/>
    </row>
    <row r="382" spans="5:14">
      <c r="E382" s="1129"/>
      <c r="N382" s="1129"/>
    </row>
    <row r="383" spans="5:14">
      <c r="E383" s="1129"/>
      <c r="N383" s="1129"/>
    </row>
    <row r="384" spans="5:14">
      <c r="E384" s="1129"/>
      <c r="N384" s="1129"/>
    </row>
    <row r="385" spans="5:14">
      <c r="E385" s="1129"/>
      <c r="N385" s="1129"/>
    </row>
    <row r="386" spans="5:14">
      <c r="E386" s="1129"/>
      <c r="N386" s="1129"/>
    </row>
    <row r="387" spans="5:14">
      <c r="E387" s="1129"/>
      <c r="N387" s="1129"/>
    </row>
    <row r="388" spans="5:14">
      <c r="E388" s="1129"/>
      <c r="N388" s="1129"/>
    </row>
    <row r="389" spans="5:14">
      <c r="E389" s="1129"/>
      <c r="N389" s="1129"/>
    </row>
    <row r="390" spans="5:14">
      <c r="E390" s="1129"/>
      <c r="N390" s="1129"/>
    </row>
    <row r="391" spans="5:14">
      <c r="E391" s="1129"/>
      <c r="N391" s="1129"/>
    </row>
    <row r="392" spans="5:14">
      <c r="E392" s="1129"/>
      <c r="N392" s="1129"/>
    </row>
    <row r="393" spans="5:14">
      <c r="E393" s="1129"/>
      <c r="N393" s="1129"/>
    </row>
    <row r="394" spans="5:14">
      <c r="E394" s="1129"/>
      <c r="N394" s="1129"/>
    </row>
    <row r="395" spans="5:14">
      <c r="E395" s="1129"/>
      <c r="N395" s="1129"/>
    </row>
    <row r="396" spans="5:14">
      <c r="E396" s="1129"/>
      <c r="N396" s="1129"/>
    </row>
    <row r="397" spans="5:14">
      <c r="E397" s="1129"/>
      <c r="N397" s="1129"/>
    </row>
    <row r="398" spans="5:14">
      <c r="E398" s="1129"/>
      <c r="N398" s="1129"/>
    </row>
    <row r="399" spans="5:14">
      <c r="E399" s="1129"/>
      <c r="N399" s="1129"/>
    </row>
    <row r="400" spans="5:14">
      <c r="E400" s="1129"/>
      <c r="N400" s="1129"/>
    </row>
    <row r="401" spans="5:14">
      <c r="E401" s="1129"/>
      <c r="N401" s="1129"/>
    </row>
    <row r="402" spans="5:14">
      <c r="E402" s="1129"/>
      <c r="N402" s="1129"/>
    </row>
    <row r="403" spans="5:14">
      <c r="E403" s="1129"/>
      <c r="N403" s="1129"/>
    </row>
    <row r="404" spans="5:14">
      <c r="E404" s="1129"/>
      <c r="N404" s="1129"/>
    </row>
    <row r="405" spans="5:14">
      <c r="E405" s="1129"/>
      <c r="N405" s="1129"/>
    </row>
    <row r="406" spans="5:14">
      <c r="E406" s="1129"/>
      <c r="N406" s="1129"/>
    </row>
    <row r="407" spans="5:14">
      <c r="E407" s="1129"/>
      <c r="N407" s="1129"/>
    </row>
    <row r="408" spans="5:14">
      <c r="E408" s="1129"/>
      <c r="N408" s="1129"/>
    </row>
    <row r="409" spans="5:14">
      <c r="E409" s="1129"/>
      <c r="N409" s="1129"/>
    </row>
    <row r="410" spans="5:14">
      <c r="E410" s="1129"/>
      <c r="N410" s="1129"/>
    </row>
    <row r="411" spans="5:14">
      <c r="E411" s="1129"/>
      <c r="N411" s="1129"/>
    </row>
    <row r="412" spans="5:14">
      <c r="E412" s="1129"/>
      <c r="N412" s="1129"/>
    </row>
    <row r="413" spans="5:14">
      <c r="E413" s="1129"/>
      <c r="N413" s="1129"/>
    </row>
    <row r="414" spans="5:14">
      <c r="E414" s="1129"/>
      <c r="N414" s="1129"/>
    </row>
    <row r="415" spans="5:14">
      <c r="E415" s="1129"/>
      <c r="N415" s="1129"/>
    </row>
    <row r="416" spans="5:14">
      <c r="E416" s="1129"/>
      <c r="N416" s="1129"/>
    </row>
    <row r="417" spans="5:14">
      <c r="E417" s="1129"/>
      <c r="N417" s="1129"/>
    </row>
    <row r="418" spans="5:14">
      <c r="E418" s="1129"/>
      <c r="N418" s="1129"/>
    </row>
    <row r="419" spans="5:14">
      <c r="E419" s="1129"/>
      <c r="N419" s="1129"/>
    </row>
    <row r="420" spans="5:14">
      <c r="E420" s="1129"/>
      <c r="N420" s="1129"/>
    </row>
    <row r="421" spans="5:14">
      <c r="E421" s="1129"/>
      <c r="N421" s="1129"/>
    </row>
    <row r="422" spans="5:14">
      <c r="E422" s="1129"/>
      <c r="N422" s="1129"/>
    </row>
    <row r="423" spans="5:14">
      <c r="E423" s="1129"/>
      <c r="N423" s="1129"/>
    </row>
    <row r="424" spans="5:14">
      <c r="E424" s="1129"/>
      <c r="N424" s="1129"/>
    </row>
    <row r="425" spans="5:14">
      <c r="E425" s="1129"/>
      <c r="N425" s="1129"/>
    </row>
    <row r="426" spans="5:14">
      <c r="E426" s="1129"/>
      <c r="N426" s="1129"/>
    </row>
    <row r="427" spans="5:14">
      <c r="E427" s="1129"/>
      <c r="N427" s="1129"/>
    </row>
    <row r="428" spans="5:14">
      <c r="E428" s="1129"/>
      <c r="N428" s="1129"/>
    </row>
    <row r="429" spans="5:14">
      <c r="E429" s="1129"/>
      <c r="N429" s="1129"/>
    </row>
    <row r="430" spans="5:14">
      <c r="E430" s="1129"/>
      <c r="N430" s="1129"/>
    </row>
    <row r="431" spans="5:14">
      <c r="E431" s="1129"/>
      <c r="N431" s="1129"/>
    </row>
    <row r="432" spans="5:14">
      <c r="E432" s="1129"/>
      <c r="N432" s="1129"/>
    </row>
    <row r="433" spans="5:14">
      <c r="E433" s="1129"/>
      <c r="N433" s="1129"/>
    </row>
    <row r="434" spans="5:14">
      <c r="E434" s="1129"/>
      <c r="N434" s="1129"/>
    </row>
    <row r="435" spans="5:14">
      <c r="E435" s="1129"/>
      <c r="N435" s="1129"/>
    </row>
    <row r="436" spans="5:14">
      <c r="E436" s="1129"/>
      <c r="N436" s="1129"/>
    </row>
    <row r="437" spans="5:14">
      <c r="E437" s="1129"/>
      <c r="N437" s="1129"/>
    </row>
    <row r="438" spans="5:14">
      <c r="E438" s="1129"/>
      <c r="N438" s="1129"/>
    </row>
    <row r="439" spans="5:14">
      <c r="E439" s="1129"/>
      <c r="N439" s="1129"/>
    </row>
    <row r="440" spans="5:14">
      <c r="E440" s="1129"/>
      <c r="N440" s="1129"/>
    </row>
    <row r="441" spans="5:14">
      <c r="E441" s="1129"/>
      <c r="N441" s="1129"/>
    </row>
    <row r="442" spans="5:14">
      <c r="E442" s="1129"/>
      <c r="N442" s="1129"/>
    </row>
    <row r="443" spans="5:14">
      <c r="E443" s="1129"/>
      <c r="N443" s="1129"/>
    </row>
    <row r="444" spans="5:14">
      <c r="E444" s="1129"/>
      <c r="N444" s="1129"/>
    </row>
    <row r="445" spans="5:14">
      <c r="E445" s="1129"/>
      <c r="N445" s="1129"/>
    </row>
    <row r="446" spans="5:14">
      <c r="E446" s="1129"/>
      <c r="N446" s="1129"/>
    </row>
    <row r="447" spans="5:14">
      <c r="E447" s="1129"/>
      <c r="N447" s="1129"/>
    </row>
    <row r="448" spans="5:14">
      <c r="E448" s="1129"/>
      <c r="N448" s="1129"/>
    </row>
    <row r="449" spans="5:14">
      <c r="E449" s="1129"/>
      <c r="N449" s="1129"/>
    </row>
    <row r="450" spans="5:14">
      <c r="E450" s="1129"/>
      <c r="N450" s="1129"/>
    </row>
    <row r="451" spans="5:14">
      <c r="E451" s="1129"/>
      <c r="N451" s="1129"/>
    </row>
    <row r="452" spans="5:14">
      <c r="E452" s="1129"/>
      <c r="N452" s="1129"/>
    </row>
    <row r="453" spans="5:14">
      <c r="E453" s="1129"/>
      <c r="N453" s="1129"/>
    </row>
    <row r="454" spans="5:14">
      <c r="E454" s="1129"/>
      <c r="N454" s="1129"/>
    </row>
    <row r="455" spans="5:14">
      <c r="E455" s="1129"/>
      <c r="N455" s="1129"/>
    </row>
    <row r="456" spans="5:14">
      <c r="E456" s="1129"/>
      <c r="N456" s="1129"/>
    </row>
    <row r="457" spans="5:14">
      <c r="E457" s="1129"/>
      <c r="N457" s="1129"/>
    </row>
    <row r="458" spans="5:14">
      <c r="E458" s="1129"/>
      <c r="N458" s="1129"/>
    </row>
    <row r="459" spans="5:14">
      <c r="E459" s="1129"/>
      <c r="N459" s="1129"/>
    </row>
    <row r="460" spans="5:14">
      <c r="E460" s="1129"/>
      <c r="N460" s="1129"/>
    </row>
    <row r="461" spans="5:14">
      <c r="E461" s="1129"/>
      <c r="N461" s="1129"/>
    </row>
    <row r="462" spans="5:14">
      <c r="E462" s="1129"/>
      <c r="N462" s="1129"/>
    </row>
    <row r="463" spans="5:14">
      <c r="E463" s="1129"/>
      <c r="N463" s="1129"/>
    </row>
    <row r="464" spans="5:14">
      <c r="E464" s="1129"/>
      <c r="N464" s="1129"/>
    </row>
    <row r="465" spans="5:14">
      <c r="E465" s="1129"/>
      <c r="N465" s="1129"/>
    </row>
    <row r="466" spans="5:14">
      <c r="E466" s="1129"/>
      <c r="N466" s="1129"/>
    </row>
    <row r="467" spans="5:14">
      <c r="E467" s="1129"/>
      <c r="N467" s="1129"/>
    </row>
    <row r="468" spans="5:14">
      <c r="E468" s="1129"/>
      <c r="N468" s="1129"/>
    </row>
    <row r="469" spans="5:14">
      <c r="E469" s="1129"/>
      <c r="N469" s="1129"/>
    </row>
    <row r="470" spans="5:14">
      <c r="E470" s="1129"/>
      <c r="N470" s="1129"/>
    </row>
    <row r="471" spans="5:14">
      <c r="E471" s="1129"/>
      <c r="N471" s="1129"/>
    </row>
    <row r="472" spans="5:14">
      <c r="E472" s="1129"/>
      <c r="N472" s="1129"/>
    </row>
    <row r="473" spans="5:14">
      <c r="E473" s="1129"/>
      <c r="N473" s="1129"/>
    </row>
    <row r="474" spans="5:14">
      <c r="E474" s="1129"/>
      <c r="N474" s="1129"/>
    </row>
    <row r="475" spans="5:14">
      <c r="E475" s="1129"/>
      <c r="N475" s="1129"/>
    </row>
    <row r="476" spans="5:14">
      <c r="E476" s="1129"/>
      <c r="N476" s="1129"/>
    </row>
    <row r="477" spans="5:14">
      <c r="E477" s="1129"/>
      <c r="N477" s="1129"/>
    </row>
    <row r="478" spans="5:14">
      <c r="E478" s="1129"/>
      <c r="N478" s="1129"/>
    </row>
    <row r="479" spans="5:14">
      <c r="E479" s="1129"/>
      <c r="N479" s="1129"/>
    </row>
    <row r="480" spans="5:14">
      <c r="E480" s="1129"/>
      <c r="N480" s="1129"/>
    </row>
    <row r="481" spans="5:14">
      <c r="E481" s="1129"/>
      <c r="N481" s="1129"/>
    </row>
    <row r="482" spans="5:14">
      <c r="E482" s="1129"/>
      <c r="N482" s="1129"/>
    </row>
    <row r="483" spans="5:14">
      <c r="E483" s="1129"/>
      <c r="N483" s="1129"/>
    </row>
    <row r="484" spans="5:14">
      <c r="E484" s="1129"/>
      <c r="N484" s="1129"/>
    </row>
    <row r="485" spans="5:14">
      <c r="E485" s="1129"/>
      <c r="N485" s="1129"/>
    </row>
    <row r="486" spans="5:14">
      <c r="E486" s="1129"/>
      <c r="N486" s="1129"/>
    </row>
    <row r="487" spans="5:14">
      <c r="E487" s="1129"/>
      <c r="N487" s="1129"/>
    </row>
    <row r="488" spans="5:14">
      <c r="E488" s="1129"/>
      <c r="N488" s="1129"/>
    </row>
    <row r="489" spans="5:14">
      <c r="E489" s="1129"/>
      <c r="N489" s="1129"/>
    </row>
    <row r="490" spans="5:14">
      <c r="E490" s="1129"/>
      <c r="N490" s="1129"/>
    </row>
    <row r="491" spans="5:14">
      <c r="E491" s="1129"/>
      <c r="N491" s="1129"/>
    </row>
    <row r="492" spans="5:14">
      <c r="E492" s="1129"/>
      <c r="N492" s="1129"/>
    </row>
    <row r="493" spans="5:14">
      <c r="E493" s="1129"/>
      <c r="N493" s="1129"/>
    </row>
    <row r="494" spans="5:14">
      <c r="E494" s="1129"/>
      <c r="N494" s="1129"/>
    </row>
    <row r="495" spans="5:14">
      <c r="E495" s="1129"/>
      <c r="N495" s="1129"/>
    </row>
    <row r="496" spans="5:14">
      <c r="E496" s="1129"/>
      <c r="N496" s="1129"/>
    </row>
    <row r="497" spans="5:14">
      <c r="E497" s="1129"/>
      <c r="N497" s="1129"/>
    </row>
    <row r="498" spans="5:14">
      <c r="E498" s="1129"/>
      <c r="N498" s="1129"/>
    </row>
    <row r="499" spans="5:14">
      <c r="E499" s="1129"/>
      <c r="N499" s="1129"/>
    </row>
    <row r="500" spans="5:14">
      <c r="E500" s="1129"/>
      <c r="N500" s="1129"/>
    </row>
    <row r="501" spans="5:14">
      <c r="E501" s="1129"/>
      <c r="N501" s="1129"/>
    </row>
    <row r="502" spans="5:14">
      <c r="E502" s="1129"/>
      <c r="N502" s="1129"/>
    </row>
    <row r="503" spans="5:14">
      <c r="E503" s="1129"/>
      <c r="N503" s="1129"/>
    </row>
    <row r="504" spans="5:14">
      <c r="E504" s="1129"/>
      <c r="N504" s="1129"/>
    </row>
    <row r="505" spans="5:14">
      <c r="E505" s="1129"/>
      <c r="N505" s="1129"/>
    </row>
    <row r="506" spans="5:14">
      <c r="E506" s="1129"/>
      <c r="N506" s="1129"/>
    </row>
    <row r="507" spans="5:14">
      <c r="E507" s="1129"/>
      <c r="N507" s="1129"/>
    </row>
    <row r="508" spans="5:14">
      <c r="E508" s="1129"/>
      <c r="N508" s="1129"/>
    </row>
    <row r="509" spans="5:14">
      <c r="E509" s="1129"/>
      <c r="N509" s="1129"/>
    </row>
    <row r="510" spans="5:14">
      <c r="E510" s="1129"/>
      <c r="N510" s="1129"/>
    </row>
    <row r="511" spans="5:14">
      <c r="E511" s="1129"/>
      <c r="N511" s="1129"/>
    </row>
    <row r="512" spans="5:14">
      <c r="E512" s="1129"/>
      <c r="N512" s="1129"/>
    </row>
    <row r="513" spans="5:14">
      <c r="E513" s="1129"/>
      <c r="N513" s="1129"/>
    </row>
    <row r="514" spans="5:14">
      <c r="E514" s="1129"/>
      <c r="N514" s="1129"/>
    </row>
    <row r="515" spans="5:14">
      <c r="E515" s="1129"/>
      <c r="N515" s="1129"/>
    </row>
    <row r="516" spans="5:14">
      <c r="E516" s="1129"/>
      <c r="N516" s="1129"/>
    </row>
    <row r="517" spans="5:14">
      <c r="E517" s="1129"/>
      <c r="N517" s="1129"/>
    </row>
    <row r="518" spans="5:14">
      <c r="E518" s="1129"/>
      <c r="N518" s="1129"/>
    </row>
    <row r="519" spans="5:14">
      <c r="E519" s="1129"/>
      <c r="N519" s="1129"/>
    </row>
    <row r="520" spans="5:14">
      <c r="E520" s="1129"/>
      <c r="N520" s="1129"/>
    </row>
    <row r="521" spans="5:14">
      <c r="E521" s="1129"/>
      <c r="N521" s="1129"/>
    </row>
    <row r="522" spans="5:14">
      <c r="E522" s="1129"/>
      <c r="N522" s="1129"/>
    </row>
    <row r="523" spans="5:14">
      <c r="E523" s="1129"/>
      <c r="N523" s="1129"/>
    </row>
    <row r="524" spans="5:14">
      <c r="E524" s="1129"/>
      <c r="N524" s="1129"/>
    </row>
    <row r="525" spans="5:14">
      <c r="E525" s="1129"/>
      <c r="N525" s="1129"/>
    </row>
    <row r="526" spans="5:14">
      <c r="E526" s="1129"/>
      <c r="N526" s="1129"/>
    </row>
    <row r="527" spans="5:14">
      <c r="E527" s="1129"/>
      <c r="N527" s="1129"/>
    </row>
    <row r="528" spans="5:14">
      <c r="E528" s="1129"/>
      <c r="N528" s="1129"/>
    </row>
    <row r="529" spans="1:25">
      <c r="E529" s="1129"/>
      <c r="N529" s="1129"/>
    </row>
    <row r="530" spans="1:25">
      <c r="E530" s="1129"/>
      <c r="N530" s="1129"/>
    </row>
    <row r="531" spans="1:25">
      <c r="E531" s="1129"/>
      <c r="N531" s="1129"/>
    </row>
    <row r="532" spans="1:25">
      <c r="E532" s="1129"/>
      <c r="N532" s="1129"/>
    </row>
    <row r="533" spans="1:25">
      <c r="E533" s="1129"/>
      <c r="N533" s="1129"/>
    </row>
    <row r="534" spans="1:25">
      <c r="E534" s="1129"/>
      <c r="N534" s="1129"/>
    </row>
    <row r="535" spans="1:25">
      <c r="E535" s="1129"/>
      <c r="N535" s="1129"/>
    </row>
    <row r="536" spans="1:25">
      <c r="E536" s="1129"/>
      <c r="N536" s="1129"/>
    </row>
    <row r="537" spans="1:25" ht="13.5" thickBot="1">
      <c r="E537" s="1129"/>
      <c r="N537" s="1129"/>
    </row>
    <row r="538" spans="1:25" ht="33.75">
      <c r="A538" s="1297"/>
      <c r="B538" s="1298" t="s">
        <v>85</v>
      </c>
      <c r="C538" s="1298"/>
      <c r="D538" s="1299"/>
      <c r="E538" s="1299"/>
      <c r="F538" s="1299"/>
      <c r="G538" s="1299"/>
      <c r="H538" s="1299"/>
      <c r="I538" s="1299"/>
      <c r="J538" s="1299"/>
      <c r="K538" s="1299"/>
      <c r="L538" s="1299"/>
      <c r="M538" s="1299"/>
      <c r="N538" s="1299"/>
      <c r="O538" s="1299"/>
      <c r="P538" s="1299"/>
      <c r="Q538" s="1299"/>
      <c r="R538" s="1299"/>
      <c r="S538" s="1299"/>
      <c r="T538" s="1299"/>
      <c r="U538" s="1299"/>
      <c r="V538" s="1299"/>
      <c r="W538" s="1299"/>
      <c r="X538" s="1299"/>
      <c r="Y538" s="1303"/>
    </row>
    <row r="539" spans="1:25">
      <c r="A539" s="1304"/>
      <c r="E539" s="1129"/>
      <c r="N539" s="1129"/>
      <c r="Y539" s="1305"/>
    </row>
    <row r="540" spans="1:25">
      <c r="A540" s="1304"/>
      <c r="E540" s="1129"/>
      <c r="N540" s="1129"/>
      <c r="Y540" s="1305"/>
    </row>
    <row r="541" spans="1:25">
      <c r="A541" s="1304"/>
      <c r="E541" s="1129"/>
      <c r="N541" s="1129"/>
      <c r="Y541" s="1305"/>
    </row>
    <row r="542" spans="1:25">
      <c r="A542" s="1304"/>
      <c r="E542" s="1129"/>
      <c r="N542" s="1129"/>
      <c r="Y542" s="1305"/>
    </row>
    <row r="543" spans="1:25">
      <c r="A543" s="1304"/>
      <c r="E543" s="1129"/>
      <c r="N543" s="1129"/>
      <c r="Y543" s="1305"/>
    </row>
    <row r="544" spans="1:25">
      <c r="A544" s="1304"/>
      <c r="E544" s="1129"/>
      <c r="N544" s="1129"/>
      <c r="Y544" s="1305"/>
    </row>
    <row r="545" spans="1:25">
      <c r="A545" s="1304"/>
      <c r="E545" s="1129"/>
      <c r="N545" s="1129"/>
      <c r="Y545" s="1305"/>
    </row>
    <row r="546" spans="1:25">
      <c r="A546" s="1304"/>
      <c r="E546" s="1129"/>
      <c r="N546" s="1129"/>
      <c r="Y546" s="1305"/>
    </row>
    <row r="547" spans="1:25">
      <c r="A547" s="1304"/>
      <c r="E547" s="1129"/>
      <c r="N547" s="1129"/>
      <c r="Y547" s="1305"/>
    </row>
    <row r="548" spans="1:25">
      <c r="A548" s="1304"/>
      <c r="E548" s="1129"/>
      <c r="N548" s="1129"/>
      <c r="Y548" s="1305"/>
    </row>
    <row r="549" spans="1:25" ht="13.5" thickBot="1">
      <c r="A549" s="1306"/>
      <c r="B549" s="1307"/>
      <c r="C549" s="1307"/>
      <c r="D549" s="1307"/>
      <c r="E549" s="1307"/>
      <c r="F549" s="1307"/>
      <c r="G549" s="1307"/>
      <c r="H549" s="1307"/>
      <c r="I549" s="1307"/>
      <c r="J549" s="1307"/>
      <c r="K549" s="1307"/>
      <c r="L549" s="1307"/>
      <c r="M549" s="1307"/>
      <c r="N549" s="1307"/>
      <c r="O549" s="1307"/>
      <c r="P549" s="1307"/>
      <c r="Q549" s="1307"/>
      <c r="R549" s="1307"/>
      <c r="S549" s="1307"/>
      <c r="T549" s="1307"/>
      <c r="U549" s="1307"/>
      <c r="V549" s="1307"/>
      <c r="W549" s="1307"/>
      <c r="X549" s="1307"/>
      <c r="Y549" s="1311"/>
    </row>
    <row r="550" spans="1:25">
      <c r="E550" s="1129"/>
      <c r="N550" s="1129"/>
    </row>
    <row r="551" spans="1:25">
      <c r="E551" s="1129"/>
      <c r="N551" s="1129"/>
    </row>
    <row r="552" spans="1:25">
      <c r="E552" s="1129"/>
      <c r="N552" s="1129"/>
    </row>
    <row r="553" spans="1:25">
      <c r="E553" s="1129"/>
      <c r="N553" s="1129"/>
    </row>
    <row r="554" spans="1:25">
      <c r="E554" s="1129"/>
      <c r="N554" s="1129"/>
    </row>
    <row r="555" spans="1:25">
      <c r="E555" s="1129"/>
      <c r="N555" s="1129"/>
    </row>
    <row r="556" spans="1:25">
      <c r="E556" s="1129"/>
      <c r="N556" s="1129"/>
    </row>
    <row r="557" spans="1:25">
      <c r="E557" s="1129"/>
      <c r="N557" s="1129"/>
    </row>
    <row r="558" spans="1:25">
      <c r="E558" s="1129"/>
      <c r="N558" s="1129"/>
    </row>
    <row r="559" spans="1:25">
      <c r="E559" s="1129"/>
      <c r="N559" s="1129"/>
    </row>
    <row r="560" spans="1:25">
      <c r="E560" s="1129"/>
      <c r="N560" s="1129"/>
    </row>
    <row r="561" spans="5:14">
      <c r="E561" s="1129"/>
      <c r="N561" s="1129"/>
    </row>
    <row r="562" spans="5:14">
      <c r="E562" s="1129"/>
      <c r="N562" s="1129"/>
    </row>
    <row r="563" spans="5:14">
      <c r="E563" s="1129"/>
      <c r="N563" s="1129"/>
    </row>
    <row r="564" spans="5:14">
      <c r="E564" s="1129"/>
      <c r="N564" s="1129"/>
    </row>
    <row r="565" spans="5:14">
      <c r="E565" s="1129"/>
      <c r="N565" s="1129"/>
    </row>
    <row r="566" spans="5:14">
      <c r="E566" s="1129"/>
      <c r="N566" s="1129"/>
    </row>
    <row r="567" spans="5:14">
      <c r="E567" s="1129"/>
      <c r="N567" s="1129"/>
    </row>
    <row r="568" spans="5:14">
      <c r="E568" s="1129"/>
      <c r="N568" s="1129"/>
    </row>
    <row r="569" spans="5:14">
      <c r="E569" s="1129"/>
      <c r="N569" s="1129"/>
    </row>
    <row r="570" spans="5:14">
      <c r="E570" s="1129"/>
      <c r="N570" s="1129"/>
    </row>
    <row r="571" spans="5:14">
      <c r="E571" s="1129"/>
      <c r="N571" s="1129"/>
    </row>
    <row r="572" spans="5:14">
      <c r="E572" s="1129"/>
      <c r="N572" s="1129"/>
    </row>
    <row r="573" spans="5:14">
      <c r="E573" s="1129"/>
      <c r="N573" s="1129"/>
    </row>
    <row r="574" spans="5:14">
      <c r="E574" s="1129"/>
      <c r="N574" s="1129"/>
    </row>
    <row r="575" spans="5:14">
      <c r="E575" s="1129"/>
      <c r="N575" s="1129"/>
    </row>
    <row r="576" spans="5:14">
      <c r="E576" s="1129"/>
      <c r="N576" s="1129"/>
    </row>
    <row r="577" spans="5:14">
      <c r="E577" s="1129"/>
      <c r="N577" s="1129"/>
    </row>
    <row r="578" spans="5:14">
      <c r="E578" s="1129"/>
      <c r="N578" s="1129"/>
    </row>
    <row r="579" spans="5:14">
      <c r="E579" s="1129"/>
      <c r="N579" s="1129"/>
    </row>
    <row r="580" spans="5:14">
      <c r="E580" s="1129"/>
      <c r="N580" s="1129"/>
    </row>
    <row r="581" spans="5:14">
      <c r="E581" s="1129"/>
      <c r="N581" s="1129"/>
    </row>
    <row r="582" spans="5:14">
      <c r="E582" s="1129"/>
      <c r="N582" s="1129"/>
    </row>
    <row r="583" spans="5:14">
      <c r="E583" s="1129"/>
      <c r="N583" s="1129"/>
    </row>
    <row r="584" spans="5:14">
      <c r="E584" s="1129"/>
      <c r="N584" s="1129"/>
    </row>
    <row r="585" spans="5:14">
      <c r="E585" s="1129"/>
      <c r="N585" s="1129"/>
    </row>
    <row r="586" spans="5:14">
      <c r="E586" s="1129"/>
      <c r="N586" s="1129"/>
    </row>
    <row r="587" spans="5:14">
      <c r="E587" s="1129"/>
      <c r="N587" s="1129"/>
    </row>
    <row r="588" spans="5:14">
      <c r="E588" s="1129"/>
      <c r="N588" s="1129"/>
    </row>
    <row r="589" spans="5:14">
      <c r="E589" s="1129"/>
      <c r="N589" s="1129"/>
    </row>
    <row r="590" spans="5:14">
      <c r="E590" s="1129"/>
      <c r="N590" s="1129"/>
    </row>
    <row r="591" spans="5:14">
      <c r="E591" s="1129"/>
      <c r="N591" s="1129"/>
    </row>
    <row r="592" spans="5:14">
      <c r="E592" s="1129"/>
      <c r="N592" s="1129"/>
    </row>
    <row r="593" spans="5:14">
      <c r="E593" s="1129"/>
      <c r="N593" s="1129"/>
    </row>
    <row r="594" spans="5:14">
      <c r="E594" s="1129"/>
      <c r="N594" s="1129"/>
    </row>
    <row r="595" spans="5:14">
      <c r="E595" s="1129"/>
      <c r="N595" s="1129"/>
    </row>
    <row r="596" spans="5:14">
      <c r="E596" s="1129"/>
      <c r="N596" s="1129"/>
    </row>
    <row r="597" spans="5:14">
      <c r="E597" s="1129"/>
      <c r="N597" s="1129"/>
    </row>
    <row r="598" spans="5:14">
      <c r="E598" s="1129"/>
      <c r="N598" s="1129"/>
    </row>
    <row r="599" spans="5:14">
      <c r="E599" s="1129"/>
      <c r="N599" s="1129"/>
    </row>
    <row r="600" spans="5:14">
      <c r="E600" s="1129"/>
      <c r="N600" s="1129"/>
    </row>
    <row r="601" spans="5:14">
      <c r="E601" s="1129"/>
      <c r="N601" s="1129"/>
    </row>
    <row r="602" spans="5:14">
      <c r="E602" s="1129"/>
      <c r="N602" s="1129"/>
    </row>
    <row r="603" spans="5:14">
      <c r="E603" s="1129"/>
      <c r="N603" s="1129"/>
    </row>
    <row r="604" spans="5:14">
      <c r="E604" s="1129"/>
      <c r="N604" s="1129"/>
    </row>
    <row r="605" spans="5:14">
      <c r="E605" s="1129"/>
      <c r="N605" s="1129"/>
    </row>
    <row r="606" spans="5:14">
      <c r="E606" s="1129"/>
      <c r="N606" s="1129"/>
    </row>
    <row r="607" spans="5:14">
      <c r="E607" s="1129"/>
      <c r="N607" s="1129"/>
    </row>
    <row r="608" spans="5:14">
      <c r="E608" s="1129"/>
      <c r="N608" s="1129"/>
    </row>
    <row r="609" spans="5:14">
      <c r="E609" s="1129"/>
      <c r="N609" s="1129"/>
    </row>
    <row r="610" spans="5:14">
      <c r="E610" s="1129"/>
      <c r="N610" s="1129"/>
    </row>
    <row r="611" spans="5:14">
      <c r="E611" s="1129"/>
      <c r="N611" s="1129"/>
    </row>
    <row r="612" spans="5:14">
      <c r="E612" s="1129"/>
      <c r="N612" s="1129"/>
    </row>
    <row r="613" spans="5:14">
      <c r="E613" s="1129"/>
      <c r="N613" s="1129"/>
    </row>
    <row r="614" spans="5:14">
      <c r="E614" s="1129"/>
      <c r="N614" s="1129"/>
    </row>
    <row r="615" spans="5:14">
      <c r="E615" s="1129"/>
      <c r="N615" s="1129"/>
    </row>
    <row r="616" spans="5:14">
      <c r="E616" s="1129"/>
      <c r="N616" s="1129"/>
    </row>
    <row r="617" spans="5:14">
      <c r="E617" s="1129"/>
      <c r="N617" s="1129"/>
    </row>
    <row r="618" spans="5:14">
      <c r="E618" s="1129"/>
      <c r="N618" s="1129"/>
    </row>
    <row r="619" spans="5:14">
      <c r="E619" s="1129"/>
      <c r="N619" s="1129"/>
    </row>
    <row r="620" spans="5:14">
      <c r="E620" s="1129"/>
      <c r="N620" s="1129"/>
    </row>
    <row r="621" spans="5:14">
      <c r="E621" s="1129"/>
      <c r="N621" s="1129"/>
    </row>
    <row r="622" spans="5:14">
      <c r="E622" s="1129"/>
      <c r="N622" s="1129"/>
    </row>
    <row r="623" spans="5:14">
      <c r="E623" s="1129"/>
      <c r="N623" s="1129"/>
    </row>
    <row r="624" spans="5:14">
      <c r="E624" s="1129"/>
      <c r="N624" s="1129"/>
    </row>
    <row r="625" spans="5:14">
      <c r="E625" s="1129"/>
      <c r="N625" s="1129"/>
    </row>
    <row r="626" spans="5:14">
      <c r="E626" s="1129"/>
      <c r="N626" s="1129"/>
    </row>
    <row r="627" spans="5:14">
      <c r="E627" s="1129"/>
      <c r="N627" s="1129"/>
    </row>
    <row r="628" spans="5:14">
      <c r="E628" s="1129"/>
      <c r="N628" s="1129"/>
    </row>
    <row r="629" spans="5:14">
      <c r="E629" s="1129"/>
      <c r="N629" s="1129"/>
    </row>
    <row r="630" spans="5:14">
      <c r="E630" s="1129"/>
      <c r="N630" s="1129"/>
    </row>
    <row r="631" spans="5:14">
      <c r="E631" s="1129"/>
      <c r="N631" s="1129"/>
    </row>
    <row r="632" spans="5:14">
      <c r="E632" s="1129"/>
      <c r="N632" s="1129"/>
    </row>
    <row r="633" spans="5:14">
      <c r="E633" s="1129"/>
      <c r="N633" s="1129"/>
    </row>
    <row r="634" spans="5:14">
      <c r="E634" s="1129"/>
      <c r="N634" s="1129"/>
    </row>
    <row r="635" spans="5:14">
      <c r="E635" s="1129"/>
      <c r="N635" s="1129"/>
    </row>
    <row r="636" spans="5:14">
      <c r="E636" s="1129"/>
      <c r="N636" s="1129"/>
    </row>
    <row r="637" spans="5:14">
      <c r="E637" s="1129"/>
      <c r="N637" s="1129"/>
    </row>
    <row r="638" spans="5:14">
      <c r="E638" s="1129"/>
      <c r="N638" s="1129"/>
    </row>
    <row r="639" spans="5:14">
      <c r="E639" s="1129"/>
      <c r="N639" s="1129"/>
    </row>
    <row r="640" spans="5:14">
      <c r="E640" s="1129"/>
      <c r="N640" s="1129"/>
    </row>
    <row r="641" spans="5:14">
      <c r="E641" s="1129"/>
      <c r="N641" s="1129"/>
    </row>
    <row r="642" spans="5:14">
      <c r="E642" s="1129"/>
      <c r="N642" s="1129"/>
    </row>
    <row r="643" spans="5:14">
      <c r="E643" s="1129"/>
      <c r="N643" s="1129"/>
    </row>
    <row r="644" spans="5:14">
      <c r="E644" s="1129"/>
      <c r="N644" s="1129"/>
    </row>
    <row r="645" spans="5:14">
      <c r="E645" s="1129"/>
      <c r="N645" s="1129"/>
    </row>
    <row r="646" spans="5:14">
      <c r="E646" s="1129"/>
      <c r="N646" s="1129"/>
    </row>
    <row r="647" spans="5:14">
      <c r="E647" s="1129"/>
      <c r="N647" s="1129"/>
    </row>
    <row r="648" spans="5:14">
      <c r="E648" s="1129"/>
      <c r="N648" s="1129"/>
    </row>
    <row r="649" spans="5:14">
      <c r="E649" s="1129"/>
      <c r="N649" s="1129"/>
    </row>
    <row r="650" spans="5:14">
      <c r="E650" s="1129"/>
      <c r="N650" s="1129"/>
    </row>
    <row r="651" spans="5:14">
      <c r="E651" s="1129"/>
      <c r="N651" s="1129"/>
    </row>
    <row r="652" spans="5:14">
      <c r="E652" s="1129"/>
      <c r="N652" s="1129"/>
    </row>
    <row r="653" spans="5:14">
      <c r="E653" s="1129"/>
      <c r="N653" s="1129"/>
    </row>
    <row r="654" spans="5:14">
      <c r="E654" s="1129"/>
      <c r="N654" s="1129"/>
    </row>
    <row r="655" spans="5:14">
      <c r="E655" s="1129"/>
      <c r="N655" s="1129"/>
    </row>
    <row r="656" spans="5:14">
      <c r="E656" s="1129"/>
      <c r="N656" s="1129"/>
    </row>
    <row r="657" spans="5:14">
      <c r="E657" s="1129"/>
      <c r="N657" s="1129"/>
    </row>
    <row r="658" spans="5:14">
      <c r="E658" s="1129"/>
      <c r="N658" s="1129"/>
    </row>
    <row r="659" spans="5:14">
      <c r="E659" s="1129"/>
      <c r="N659" s="1129"/>
    </row>
    <row r="660" spans="5:14">
      <c r="E660" s="1129"/>
      <c r="N660" s="1129"/>
    </row>
    <row r="661" spans="5:14">
      <c r="E661" s="1129"/>
      <c r="N661" s="1129"/>
    </row>
    <row r="662" spans="5:14">
      <c r="E662" s="1129"/>
      <c r="N662" s="1129"/>
    </row>
    <row r="663" spans="5:14">
      <c r="E663" s="1129"/>
      <c r="N663" s="1129"/>
    </row>
    <row r="664" spans="5:14">
      <c r="E664" s="1129"/>
      <c r="N664" s="1129"/>
    </row>
    <row r="665" spans="5:14">
      <c r="E665" s="1129"/>
      <c r="N665" s="1129"/>
    </row>
    <row r="666" spans="5:14">
      <c r="E666" s="1129"/>
      <c r="N666" s="1129"/>
    </row>
    <row r="667" spans="5:14">
      <c r="E667" s="1129"/>
      <c r="N667" s="1129"/>
    </row>
    <row r="668" spans="5:14">
      <c r="E668" s="1129"/>
      <c r="N668" s="1129"/>
    </row>
    <row r="669" spans="5:14">
      <c r="E669" s="1129"/>
      <c r="N669" s="1129"/>
    </row>
    <row r="670" spans="5:14">
      <c r="E670" s="1129"/>
      <c r="N670" s="1129"/>
    </row>
    <row r="671" spans="5:14">
      <c r="E671" s="1129"/>
      <c r="N671" s="1129"/>
    </row>
    <row r="672" spans="5:14">
      <c r="E672" s="1129"/>
      <c r="N672" s="1129"/>
    </row>
    <row r="673" spans="5:14">
      <c r="E673" s="1129"/>
      <c r="N673" s="1129"/>
    </row>
    <row r="674" spans="5:14">
      <c r="E674" s="1129"/>
      <c r="N674" s="1129"/>
    </row>
    <row r="675" spans="5:14">
      <c r="E675" s="1129"/>
      <c r="N675" s="1129"/>
    </row>
    <row r="676" spans="5:14">
      <c r="E676" s="1129"/>
      <c r="N676" s="1129"/>
    </row>
    <row r="677" spans="5:14">
      <c r="E677" s="1129"/>
      <c r="N677" s="1129"/>
    </row>
    <row r="678" spans="5:14">
      <c r="E678" s="1129"/>
      <c r="N678" s="1129"/>
    </row>
    <row r="679" spans="5:14">
      <c r="E679" s="1129"/>
      <c r="N679" s="1129"/>
    </row>
    <row r="680" spans="5:14">
      <c r="E680" s="1129"/>
      <c r="N680" s="1129"/>
    </row>
    <row r="681" spans="5:14">
      <c r="E681" s="1129"/>
      <c r="N681" s="1129"/>
    </row>
    <row r="682" spans="5:14">
      <c r="E682" s="1129"/>
      <c r="N682" s="1129"/>
    </row>
    <row r="683" spans="5:14">
      <c r="E683" s="1129"/>
      <c r="N683" s="1129"/>
    </row>
    <row r="684" spans="5:14">
      <c r="E684" s="1129"/>
      <c r="N684" s="1129"/>
    </row>
    <row r="685" spans="5:14">
      <c r="E685" s="1129"/>
      <c r="N685" s="1129"/>
    </row>
    <row r="686" spans="5:14">
      <c r="E686" s="1129"/>
      <c r="N686" s="1129"/>
    </row>
    <row r="687" spans="5:14">
      <c r="E687" s="1129"/>
      <c r="N687" s="1129"/>
    </row>
    <row r="688" spans="5:14">
      <c r="E688" s="1129"/>
      <c r="N688" s="1129"/>
    </row>
    <row r="689" spans="5:14">
      <c r="E689" s="1129"/>
      <c r="N689" s="1129"/>
    </row>
    <row r="690" spans="5:14">
      <c r="E690" s="1129"/>
      <c r="N690" s="1129"/>
    </row>
    <row r="691" spans="5:14">
      <c r="E691" s="1129"/>
      <c r="N691" s="1129"/>
    </row>
    <row r="692" spans="5:14">
      <c r="E692" s="1129"/>
      <c r="N692" s="1129"/>
    </row>
    <row r="693" spans="5:14">
      <c r="E693" s="1129"/>
      <c r="N693" s="1129"/>
    </row>
    <row r="694" spans="5:14">
      <c r="E694" s="1129"/>
      <c r="N694" s="1129"/>
    </row>
    <row r="695" spans="5:14">
      <c r="E695" s="1129"/>
      <c r="N695" s="1129"/>
    </row>
    <row r="696" spans="5:14">
      <c r="E696" s="1129"/>
      <c r="N696" s="1129"/>
    </row>
    <row r="697" spans="5:14">
      <c r="E697" s="1129"/>
      <c r="N697" s="1129"/>
    </row>
    <row r="698" spans="5:14">
      <c r="E698" s="1129"/>
      <c r="N698" s="1129"/>
    </row>
    <row r="699" spans="5:14">
      <c r="E699" s="1129"/>
      <c r="N699" s="1129"/>
    </row>
    <row r="700" spans="5:14">
      <c r="E700" s="1129"/>
      <c r="N700" s="1129"/>
    </row>
    <row r="701" spans="5:14">
      <c r="E701" s="1129"/>
      <c r="N701" s="1129"/>
    </row>
    <row r="702" spans="5:14">
      <c r="E702" s="1129"/>
      <c r="N702" s="1129"/>
    </row>
    <row r="703" spans="5:14">
      <c r="E703" s="1129"/>
      <c r="N703" s="1129"/>
    </row>
    <row r="704" spans="5:14">
      <c r="E704" s="1129"/>
      <c r="N704" s="1129"/>
    </row>
    <row r="705" spans="5:14">
      <c r="E705" s="1129"/>
      <c r="N705" s="1129"/>
    </row>
    <row r="706" spans="5:14">
      <c r="E706" s="1129"/>
      <c r="N706" s="1129"/>
    </row>
    <row r="707" spans="5:14">
      <c r="E707" s="1129"/>
      <c r="N707" s="1129"/>
    </row>
    <row r="708" spans="5:14">
      <c r="E708" s="1129"/>
      <c r="N708" s="1129"/>
    </row>
    <row r="709" spans="5:14">
      <c r="E709" s="1129"/>
      <c r="N709" s="1129"/>
    </row>
    <row r="710" spans="5:14">
      <c r="E710" s="1129"/>
      <c r="N710" s="1129"/>
    </row>
    <row r="711" spans="5:14">
      <c r="E711" s="1129"/>
      <c r="N711" s="1129"/>
    </row>
    <row r="712" spans="5:14">
      <c r="E712" s="1129"/>
      <c r="N712" s="1129"/>
    </row>
    <row r="713" spans="5:14">
      <c r="E713" s="1129"/>
      <c r="N713" s="1129"/>
    </row>
    <row r="714" spans="5:14">
      <c r="E714" s="1129"/>
      <c r="N714" s="1129"/>
    </row>
    <row r="715" spans="5:14">
      <c r="E715" s="1129"/>
      <c r="N715" s="1129"/>
    </row>
    <row r="716" spans="5:14">
      <c r="E716" s="1129"/>
      <c r="N716" s="1129"/>
    </row>
    <row r="717" spans="5:14">
      <c r="E717" s="1129"/>
      <c r="N717" s="1129"/>
    </row>
    <row r="718" spans="5:14">
      <c r="E718" s="1129"/>
      <c r="N718" s="1129"/>
    </row>
    <row r="719" spans="5:14">
      <c r="E719" s="1129"/>
      <c r="N719" s="1129"/>
    </row>
    <row r="720" spans="5:14">
      <c r="E720" s="1129"/>
      <c r="N720" s="1129"/>
    </row>
    <row r="721" spans="5:14">
      <c r="E721" s="1129"/>
      <c r="N721" s="1129"/>
    </row>
    <row r="722" spans="5:14">
      <c r="E722" s="1129"/>
      <c r="N722" s="1129"/>
    </row>
    <row r="723" spans="5:14">
      <c r="E723" s="1129"/>
      <c r="N723" s="1129"/>
    </row>
    <row r="724" spans="5:14">
      <c r="E724" s="1129"/>
      <c r="N724" s="1129"/>
    </row>
    <row r="725" spans="5:14">
      <c r="E725" s="1129"/>
      <c r="N725" s="1129"/>
    </row>
    <row r="726" spans="5:14">
      <c r="E726" s="1129"/>
      <c r="N726" s="1129"/>
    </row>
    <row r="727" spans="5:14">
      <c r="E727" s="1129"/>
      <c r="N727" s="1129"/>
    </row>
    <row r="728" spans="5:14">
      <c r="E728" s="1129"/>
      <c r="N728" s="1129"/>
    </row>
    <row r="729" spans="5:14">
      <c r="E729" s="1129"/>
      <c r="N729" s="1129"/>
    </row>
    <row r="730" spans="5:14">
      <c r="E730" s="1129"/>
      <c r="N730" s="1129"/>
    </row>
    <row r="731" spans="5:14">
      <c r="E731" s="1129"/>
      <c r="N731" s="1129"/>
    </row>
    <row r="732" spans="5:14">
      <c r="E732" s="1129"/>
      <c r="N732" s="1129"/>
    </row>
    <row r="733" spans="5:14">
      <c r="E733" s="1129"/>
      <c r="N733" s="1129"/>
    </row>
    <row r="734" spans="5:14">
      <c r="E734" s="1129"/>
      <c r="N734" s="1129"/>
    </row>
    <row r="735" spans="5:14">
      <c r="E735" s="1129"/>
      <c r="N735" s="1129"/>
    </row>
    <row r="736" spans="5:14">
      <c r="E736" s="1129"/>
      <c r="N736" s="1129"/>
    </row>
    <row r="737" spans="5:14">
      <c r="E737" s="1129"/>
      <c r="N737" s="1129"/>
    </row>
    <row r="738" spans="5:14">
      <c r="E738" s="1129"/>
      <c r="N738" s="1129"/>
    </row>
    <row r="739" spans="5:14">
      <c r="E739" s="1129"/>
      <c r="N739" s="1129"/>
    </row>
    <row r="740" spans="5:14">
      <c r="E740" s="1129"/>
      <c r="N740" s="1129"/>
    </row>
    <row r="741" spans="5:14">
      <c r="E741" s="1129"/>
      <c r="N741" s="1129"/>
    </row>
    <row r="742" spans="5:14">
      <c r="E742" s="1129"/>
      <c r="N742" s="1129"/>
    </row>
    <row r="743" spans="5:14">
      <c r="E743" s="1129"/>
      <c r="N743" s="1129"/>
    </row>
    <row r="744" spans="5:14">
      <c r="E744" s="1129"/>
      <c r="N744" s="1129"/>
    </row>
    <row r="745" spans="5:14">
      <c r="E745" s="1129"/>
      <c r="N745" s="1129"/>
    </row>
    <row r="746" spans="5:14">
      <c r="E746" s="1129"/>
      <c r="N746" s="1129"/>
    </row>
    <row r="747" spans="5:14">
      <c r="E747" s="1129"/>
      <c r="N747" s="1129"/>
    </row>
    <row r="748" spans="5:14">
      <c r="E748" s="1129"/>
      <c r="N748" s="1129"/>
    </row>
    <row r="749" spans="5:14">
      <c r="E749" s="1129"/>
      <c r="N749" s="1129"/>
    </row>
    <row r="750" spans="5:14">
      <c r="E750" s="1129"/>
      <c r="N750" s="1129"/>
    </row>
    <row r="751" spans="5:14">
      <c r="E751" s="1129"/>
      <c r="N751" s="1129"/>
    </row>
    <row r="752" spans="5:14">
      <c r="E752" s="1129"/>
      <c r="N752" s="1129"/>
    </row>
    <row r="753" spans="5:14">
      <c r="E753" s="1129"/>
      <c r="N753" s="1129"/>
    </row>
    <row r="754" spans="5:14">
      <c r="E754" s="1129"/>
      <c r="N754" s="1129"/>
    </row>
    <row r="755" spans="5:14">
      <c r="E755" s="1129"/>
      <c r="N755" s="1129"/>
    </row>
    <row r="756" spans="5:14">
      <c r="E756" s="1129"/>
      <c r="N756" s="1129"/>
    </row>
    <row r="757" spans="5:14">
      <c r="E757" s="1129"/>
      <c r="N757" s="1129"/>
    </row>
    <row r="758" spans="5:14">
      <c r="E758" s="1129"/>
      <c r="N758" s="1129"/>
    </row>
    <row r="759" spans="5:14">
      <c r="E759" s="1129"/>
      <c r="N759" s="1129"/>
    </row>
    <row r="760" spans="5:14">
      <c r="E760" s="1129"/>
      <c r="N760" s="1129"/>
    </row>
    <row r="761" spans="5:14">
      <c r="E761" s="1129"/>
      <c r="N761" s="1129"/>
    </row>
    <row r="762" spans="5:14">
      <c r="E762" s="1129"/>
      <c r="N762" s="1129"/>
    </row>
    <row r="763" spans="5:14">
      <c r="E763" s="1129"/>
      <c r="N763" s="1129"/>
    </row>
    <row r="764" spans="5:14">
      <c r="E764" s="1129"/>
      <c r="N764" s="1129"/>
    </row>
    <row r="765" spans="5:14">
      <c r="E765" s="1129"/>
      <c r="N765" s="1129"/>
    </row>
    <row r="766" spans="5:14">
      <c r="E766" s="1129"/>
      <c r="N766" s="1129"/>
    </row>
    <row r="767" spans="5:14">
      <c r="E767" s="1129"/>
      <c r="N767" s="1129"/>
    </row>
    <row r="768" spans="5:14">
      <c r="E768" s="1129"/>
      <c r="N768" s="1129"/>
    </row>
    <row r="769" spans="5:14">
      <c r="E769" s="1129"/>
      <c r="N769" s="1129"/>
    </row>
    <row r="770" spans="5:14">
      <c r="E770" s="1129"/>
      <c r="N770" s="1129"/>
    </row>
    <row r="771" spans="5:14">
      <c r="E771" s="1129"/>
      <c r="N771" s="1129"/>
    </row>
    <row r="772" spans="5:14">
      <c r="E772" s="1129"/>
      <c r="N772" s="1129"/>
    </row>
    <row r="773" spans="5:14">
      <c r="E773" s="1129"/>
      <c r="N773" s="1129"/>
    </row>
    <row r="774" spans="5:14">
      <c r="E774" s="1129"/>
      <c r="N774" s="1129"/>
    </row>
    <row r="775" spans="5:14">
      <c r="E775" s="1129"/>
      <c r="N775" s="1129"/>
    </row>
    <row r="776" spans="5:14">
      <c r="E776" s="1129"/>
      <c r="N776" s="1129"/>
    </row>
    <row r="777" spans="5:14">
      <c r="E777" s="1129"/>
      <c r="N777" s="1129"/>
    </row>
    <row r="778" spans="5:14">
      <c r="E778" s="1129"/>
      <c r="N778" s="1129"/>
    </row>
    <row r="779" spans="5:14">
      <c r="E779" s="1129"/>
      <c r="N779" s="1129"/>
    </row>
    <row r="780" spans="5:14">
      <c r="E780" s="1129"/>
      <c r="N780" s="1129"/>
    </row>
    <row r="781" spans="5:14">
      <c r="E781" s="1129"/>
      <c r="N781" s="1129"/>
    </row>
    <row r="782" spans="5:14">
      <c r="E782" s="1129"/>
      <c r="N782" s="1129"/>
    </row>
    <row r="783" spans="5:14">
      <c r="E783" s="1129"/>
      <c r="N783" s="1129"/>
    </row>
    <row r="784" spans="5:14">
      <c r="E784" s="1129"/>
      <c r="N784" s="1129"/>
    </row>
    <row r="785" spans="5:14">
      <c r="E785" s="1129"/>
      <c r="N785" s="1129"/>
    </row>
    <row r="786" spans="5:14">
      <c r="E786" s="1129"/>
      <c r="N786" s="1129"/>
    </row>
    <row r="787" spans="5:14">
      <c r="E787" s="1129"/>
      <c r="N787" s="1129"/>
    </row>
    <row r="788" spans="5:14">
      <c r="E788" s="1129"/>
      <c r="N788" s="1129"/>
    </row>
    <row r="789" spans="5:14">
      <c r="E789" s="1129"/>
      <c r="N789" s="1129"/>
    </row>
    <row r="790" spans="5:14">
      <c r="E790" s="1129"/>
      <c r="N790" s="1129"/>
    </row>
    <row r="791" spans="5:14">
      <c r="E791" s="1129"/>
      <c r="N791" s="1129"/>
    </row>
    <row r="792" spans="5:14">
      <c r="E792" s="1129"/>
      <c r="N792" s="1129"/>
    </row>
    <row r="793" spans="5:14">
      <c r="E793" s="1129"/>
      <c r="N793" s="1129"/>
    </row>
    <row r="794" spans="5:14">
      <c r="E794" s="1129"/>
      <c r="N794" s="1129"/>
    </row>
    <row r="795" spans="5:14">
      <c r="E795" s="1129"/>
      <c r="N795" s="1129"/>
    </row>
    <row r="796" spans="5:14">
      <c r="E796" s="1129"/>
      <c r="N796" s="1129"/>
    </row>
    <row r="797" spans="5:14">
      <c r="E797" s="1129"/>
      <c r="N797" s="1129"/>
    </row>
    <row r="798" spans="5:14">
      <c r="E798" s="1129"/>
      <c r="N798" s="1129"/>
    </row>
    <row r="799" spans="5:14">
      <c r="E799" s="1129"/>
      <c r="N799" s="1129"/>
    </row>
    <row r="800" spans="5:14">
      <c r="E800" s="1129"/>
      <c r="N800" s="1129"/>
    </row>
    <row r="801" spans="5:14">
      <c r="E801" s="1129"/>
      <c r="N801" s="1129"/>
    </row>
    <row r="802" spans="5:14">
      <c r="E802" s="1129"/>
      <c r="N802" s="1129"/>
    </row>
    <row r="803" spans="5:14">
      <c r="E803" s="1129"/>
      <c r="N803" s="1129"/>
    </row>
    <row r="804" spans="5:14">
      <c r="E804" s="1129"/>
      <c r="N804" s="1129"/>
    </row>
    <row r="805" spans="5:14">
      <c r="E805" s="1129"/>
      <c r="N805" s="1129"/>
    </row>
    <row r="806" spans="5:14">
      <c r="E806" s="1129"/>
      <c r="N806" s="1129"/>
    </row>
    <row r="807" spans="5:14">
      <c r="E807" s="1129"/>
      <c r="N807" s="1129"/>
    </row>
    <row r="808" spans="5:14">
      <c r="E808" s="1129"/>
      <c r="N808" s="1129"/>
    </row>
    <row r="809" spans="5:14">
      <c r="E809" s="1129"/>
      <c r="N809" s="1129"/>
    </row>
    <row r="810" spans="5:14">
      <c r="E810" s="1129"/>
      <c r="N810" s="1129"/>
    </row>
    <row r="811" spans="5:14">
      <c r="E811" s="1129"/>
      <c r="N811" s="1129"/>
    </row>
    <row r="812" spans="5:14">
      <c r="E812" s="1129"/>
      <c r="N812" s="1129"/>
    </row>
    <row r="813" spans="5:14">
      <c r="E813" s="1129"/>
      <c r="N813" s="1129"/>
    </row>
    <row r="814" spans="5:14">
      <c r="E814" s="1129"/>
      <c r="N814" s="1129"/>
    </row>
    <row r="815" spans="5:14">
      <c r="E815" s="1129"/>
      <c r="N815" s="1129"/>
    </row>
    <row r="816" spans="5:14">
      <c r="E816" s="1129"/>
      <c r="N816" s="1129"/>
    </row>
    <row r="817" spans="5:14">
      <c r="E817" s="1129"/>
      <c r="N817" s="1129"/>
    </row>
    <row r="818" spans="5:14">
      <c r="E818" s="1129"/>
      <c r="N818" s="1129"/>
    </row>
    <row r="819" spans="5:14">
      <c r="E819" s="1129"/>
      <c r="N819" s="1129"/>
    </row>
    <row r="820" spans="5:14">
      <c r="E820" s="1129"/>
      <c r="N820" s="1129"/>
    </row>
    <row r="821" spans="5:14">
      <c r="E821" s="1129"/>
      <c r="N821" s="1129"/>
    </row>
    <row r="822" spans="5:14">
      <c r="E822" s="1129"/>
      <c r="N822" s="1129"/>
    </row>
    <row r="823" spans="5:14">
      <c r="E823" s="1129"/>
      <c r="N823" s="1129"/>
    </row>
    <row r="824" spans="5:14">
      <c r="E824" s="1129"/>
      <c r="N824" s="1129"/>
    </row>
    <row r="825" spans="5:14">
      <c r="E825" s="1129"/>
      <c r="N825" s="1129"/>
    </row>
    <row r="826" spans="5:14">
      <c r="E826" s="1129"/>
      <c r="N826" s="1129"/>
    </row>
    <row r="827" spans="5:14">
      <c r="E827" s="1129"/>
      <c r="N827" s="1129"/>
    </row>
    <row r="828" spans="5:14">
      <c r="E828" s="1129"/>
      <c r="N828" s="1129"/>
    </row>
    <row r="829" spans="5:14">
      <c r="E829" s="1129"/>
      <c r="N829" s="1129"/>
    </row>
    <row r="830" spans="5:14">
      <c r="E830" s="1129"/>
      <c r="N830" s="1129"/>
    </row>
    <row r="831" spans="5:14">
      <c r="E831" s="1129"/>
      <c r="N831" s="1129"/>
    </row>
    <row r="832" spans="5:14">
      <c r="E832" s="1129"/>
      <c r="N832" s="1129"/>
    </row>
    <row r="833" spans="5:14">
      <c r="E833" s="1129"/>
      <c r="N833" s="1129"/>
    </row>
    <row r="834" spans="5:14">
      <c r="E834" s="1129"/>
      <c r="N834" s="1129"/>
    </row>
    <row r="835" spans="5:14">
      <c r="E835" s="1129"/>
      <c r="N835" s="1129"/>
    </row>
    <row r="836" spans="5:14">
      <c r="E836" s="1129"/>
      <c r="N836" s="1129"/>
    </row>
    <row r="837" spans="5:14">
      <c r="E837" s="1129"/>
      <c r="N837" s="1129"/>
    </row>
    <row r="838" spans="5:14">
      <c r="E838" s="1129"/>
      <c r="N838" s="1129"/>
    </row>
    <row r="839" spans="5:14">
      <c r="E839" s="1129"/>
      <c r="N839" s="1129"/>
    </row>
    <row r="840" spans="5:14">
      <c r="E840" s="1129"/>
      <c r="N840" s="1129"/>
    </row>
    <row r="841" spans="5:14">
      <c r="E841" s="1129"/>
      <c r="N841" s="1129"/>
    </row>
    <row r="842" spans="5:14">
      <c r="E842" s="1129"/>
      <c r="N842" s="1129"/>
    </row>
    <row r="843" spans="5:14">
      <c r="E843" s="1129"/>
      <c r="N843" s="1129"/>
    </row>
    <row r="844" spans="5:14">
      <c r="E844" s="1129"/>
      <c r="N844" s="1129"/>
    </row>
    <row r="845" spans="5:14">
      <c r="E845" s="1129"/>
      <c r="N845" s="1129"/>
    </row>
    <row r="846" spans="5:14">
      <c r="E846" s="1129"/>
      <c r="N846" s="1129"/>
    </row>
    <row r="847" spans="5:14">
      <c r="E847" s="1129"/>
      <c r="N847" s="1129"/>
    </row>
    <row r="848" spans="5:14">
      <c r="E848" s="1129"/>
      <c r="N848" s="1129"/>
    </row>
    <row r="849" spans="5:14">
      <c r="E849" s="1129"/>
      <c r="N849" s="1129"/>
    </row>
    <row r="850" spans="5:14">
      <c r="E850" s="1129"/>
      <c r="N850" s="1129"/>
    </row>
    <row r="851" spans="5:14">
      <c r="E851" s="1129"/>
      <c r="N851" s="1129"/>
    </row>
    <row r="852" spans="5:14">
      <c r="E852" s="1129"/>
      <c r="N852" s="1129"/>
    </row>
    <row r="853" spans="5:14">
      <c r="E853" s="1129"/>
      <c r="N853" s="1129"/>
    </row>
    <row r="854" spans="5:14">
      <c r="E854" s="1129"/>
      <c r="N854" s="1129"/>
    </row>
    <row r="855" spans="5:14">
      <c r="E855" s="1129"/>
      <c r="N855" s="1129"/>
    </row>
    <row r="856" spans="5:14">
      <c r="E856" s="1129"/>
      <c r="N856" s="1129"/>
    </row>
    <row r="857" spans="5:14">
      <c r="E857" s="1129"/>
      <c r="N857" s="1129"/>
    </row>
    <row r="858" spans="5:14">
      <c r="E858" s="1129"/>
      <c r="N858" s="1129"/>
    </row>
    <row r="859" spans="5:14">
      <c r="E859" s="1129"/>
      <c r="N859" s="1129"/>
    </row>
    <row r="860" spans="5:14">
      <c r="E860" s="1129"/>
      <c r="N860" s="1129"/>
    </row>
    <row r="861" spans="5:14">
      <c r="E861" s="1129"/>
      <c r="N861" s="1129"/>
    </row>
    <row r="862" spans="5:14">
      <c r="E862" s="1129"/>
      <c r="N862" s="1129"/>
    </row>
    <row r="863" spans="5:14">
      <c r="E863" s="1129"/>
      <c r="N863" s="1129"/>
    </row>
    <row r="864" spans="5:14">
      <c r="E864" s="1129"/>
      <c r="N864" s="1129"/>
    </row>
    <row r="865" spans="5:14">
      <c r="E865" s="1129"/>
      <c r="N865" s="1129"/>
    </row>
    <row r="866" spans="5:14">
      <c r="E866" s="1129"/>
      <c r="N866" s="1129"/>
    </row>
    <row r="867" spans="5:14">
      <c r="E867" s="1129"/>
      <c r="N867" s="1129"/>
    </row>
    <row r="868" spans="5:14">
      <c r="E868" s="1129"/>
      <c r="N868" s="1129"/>
    </row>
    <row r="869" spans="5:14">
      <c r="E869" s="1129"/>
      <c r="N869" s="1129"/>
    </row>
    <row r="870" spans="5:14">
      <c r="E870" s="1129"/>
      <c r="N870" s="1129"/>
    </row>
    <row r="871" spans="5:14">
      <c r="E871" s="1129"/>
      <c r="N871" s="1129"/>
    </row>
    <row r="872" spans="5:14">
      <c r="E872" s="1129"/>
      <c r="N872" s="1129"/>
    </row>
    <row r="873" spans="5:14">
      <c r="E873" s="1129"/>
      <c r="N873" s="1129"/>
    </row>
    <row r="874" spans="5:14">
      <c r="E874" s="1129"/>
      <c r="N874" s="1129"/>
    </row>
    <row r="875" spans="5:14">
      <c r="E875" s="1129"/>
      <c r="N875" s="1129"/>
    </row>
    <row r="876" spans="5:14">
      <c r="E876" s="1129"/>
      <c r="N876" s="1129"/>
    </row>
    <row r="877" spans="5:14">
      <c r="E877" s="1129"/>
      <c r="N877" s="1129"/>
    </row>
    <row r="878" spans="5:14">
      <c r="E878" s="1129"/>
      <c r="N878" s="1129"/>
    </row>
    <row r="879" spans="5:14">
      <c r="E879" s="1129"/>
      <c r="N879" s="1129"/>
    </row>
    <row r="880" spans="5:14">
      <c r="E880" s="1129"/>
      <c r="N880" s="1129"/>
    </row>
    <row r="881" spans="5:14">
      <c r="E881" s="1129"/>
      <c r="N881" s="1129"/>
    </row>
    <row r="882" spans="5:14">
      <c r="E882" s="1129"/>
      <c r="N882" s="1129"/>
    </row>
    <row r="883" spans="5:14">
      <c r="E883" s="1129"/>
      <c r="N883" s="1129"/>
    </row>
    <row r="884" spans="5:14">
      <c r="E884" s="1129"/>
      <c r="N884" s="1129"/>
    </row>
    <row r="885" spans="5:14">
      <c r="E885" s="1129"/>
      <c r="N885" s="1129"/>
    </row>
    <row r="886" spans="5:14">
      <c r="E886" s="1129"/>
      <c r="N886" s="1129"/>
    </row>
    <row r="887" spans="5:14">
      <c r="E887" s="1129"/>
      <c r="N887" s="1129"/>
    </row>
    <row r="888" spans="5:14">
      <c r="E888" s="1129"/>
      <c r="N888" s="1129"/>
    </row>
    <row r="889" spans="5:14">
      <c r="E889" s="1129"/>
      <c r="N889" s="1129"/>
    </row>
    <row r="890" spans="5:14">
      <c r="E890" s="1129"/>
      <c r="N890" s="1129"/>
    </row>
    <row r="891" spans="5:14">
      <c r="E891" s="1129"/>
      <c r="N891" s="1129"/>
    </row>
    <row r="892" spans="5:14">
      <c r="E892" s="1129"/>
      <c r="N892" s="1129"/>
    </row>
    <row r="893" spans="5:14">
      <c r="E893" s="1129"/>
      <c r="N893" s="1129"/>
    </row>
    <row r="894" spans="5:14">
      <c r="E894" s="1129"/>
      <c r="N894" s="1129"/>
    </row>
    <row r="895" spans="5:14">
      <c r="E895" s="1129"/>
      <c r="N895" s="1129"/>
    </row>
    <row r="896" spans="5:14">
      <c r="E896" s="1129"/>
      <c r="N896" s="1129"/>
    </row>
    <row r="897" spans="5:14">
      <c r="E897" s="1129"/>
      <c r="N897" s="1129"/>
    </row>
    <row r="898" spans="5:14">
      <c r="E898" s="1129"/>
      <c r="N898" s="1129"/>
    </row>
    <row r="899" spans="5:14">
      <c r="E899" s="1129"/>
      <c r="N899" s="1129"/>
    </row>
    <row r="900" spans="5:14">
      <c r="E900" s="1129"/>
      <c r="N900" s="1129"/>
    </row>
    <row r="901" spans="5:14">
      <c r="E901" s="1129"/>
      <c r="N901" s="1129"/>
    </row>
    <row r="902" spans="5:14">
      <c r="E902" s="1129"/>
      <c r="N902" s="1129"/>
    </row>
    <row r="903" spans="5:14">
      <c r="E903" s="1129"/>
      <c r="N903" s="1129"/>
    </row>
    <row r="904" spans="5:14">
      <c r="E904" s="1129"/>
      <c r="N904" s="1129"/>
    </row>
    <row r="905" spans="5:14">
      <c r="E905" s="1129"/>
      <c r="N905" s="1129"/>
    </row>
    <row r="906" spans="5:14">
      <c r="E906" s="1129"/>
      <c r="N906" s="1129"/>
    </row>
    <row r="907" spans="5:14">
      <c r="E907" s="1129"/>
      <c r="N907" s="1129"/>
    </row>
    <row r="908" spans="5:14">
      <c r="E908" s="1129"/>
      <c r="N908" s="1129"/>
    </row>
    <row r="909" spans="5:14">
      <c r="E909" s="1129"/>
      <c r="N909" s="1129"/>
    </row>
    <row r="910" spans="5:14">
      <c r="E910" s="1129"/>
      <c r="N910" s="1129"/>
    </row>
    <row r="911" spans="5:14">
      <c r="E911" s="1129"/>
      <c r="N911" s="1129"/>
    </row>
    <row r="912" spans="5:14">
      <c r="E912" s="1129"/>
      <c r="N912" s="1129"/>
    </row>
    <row r="913" spans="5:14">
      <c r="E913" s="1129"/>
      <c r="N913" s="1129"/>
    </row>
    <row r="914" spans="5:14">
      <c r="E914" s="1129"/>
      <c r="N914" s="1129"/>
    </row>
    <row r="915" spans="5:14">
      <c r="E915" s="1129"/>
      <c r="N915" s="1129"/>
    </row>
    <row r="916" spans="5:14">
      <c r="E916" s="1129"/>
      <c r="N916" s="1129"/>
    </row>
    <row r="917" spans="5:14">
      <c r="E917" s="1129"/>
      <c r="N917" s="1129"/>
    </row>
    <row r="918" spans="5:14">
      <c r="E918" s="1129"/>
      <c r="N918" s="1129"/>
    </row>
    <row r="919" spans="5:14">
      <c r="E919" s="1129"/>
      <c r="N919" s="1129"/>
    </row>
    <row r="920" spans="5:14">
      <c r="E920" s="1129"/>
      <c r="N920" s="1129"/>
    </row>
    <row r="921" spans="5:14">
      <c r="E921" s="1129"/>
      <c r="N921" s="1129"/>
    </row>
    <row r="922" spans="5:14">
      <c r="E922" s="1129"/>
      <c r="N922" s="1129"/>
    </row>
    <row r="923" spans="5:14">
      <c r="E923" s="1129"/>
      <c r="N923" s="1129"/>
    </row>
    <row r="924" spans="5:14">
      <c r="E924" s="1129"/>
      <c r="N924" s="1129"/>
    </row>
    <row r="925" spans="5:14">
      <c r="E925" s="1129"/>
      <c r="N925" s="1129"/>
    </row>
    <row r="926" spans="5:14">
      <c r="E926" s="1129"/>
      <c r="N926" s="1129"/>
    </row>
    <row r="927" spans="5:14">
      <c r="E927" s="1129"/>
      <c r="N927" s="1129"/>
    </row>
    <row r="928" spans="5:14">
      <c r="E928" s="1129"/>
      <c r="N928" s="1129"/>
    </row>
    <row r="929" spans="5:14">
      <c r="E929" s="1129"/>
      <c r="N929" s="1129"/>
    </row>
    <row r="930" spans="5:14">
      <c r="E930" s="1129"/>
      <c r="N930" s="1129"/>
    </row>
    <row r="931" spans="5:14">
      <c r="E931" s="1129"/>
      <c r="N931" s="1129"/>
    </row>
    <row r="932" spans="5:14">
      <c r="E932" s="1129"/>
      <c r="N932" s="1129"/>
    </row>
    <row r="933" spans="5:14">
      <c r="E933" s="1129"/>
      <c r="N933" s="1129"/>
    </row>
    <row r="934" spans="5:14">
      <c r="E934" s="1129"/>
      <c r="N934" s="1129"/>
    </row>
    <row r="935" spans="5:14">
      <c r="E935" s="1129"/>
      <c r="N935" s="1129"/>
    </row>
    <row r="936" spans="5:14">
      <c r="E936" s="1129"/>
      <c r="N936" s="1129"/>
    </row>
    <row r="937" spans="5:14">
      <c r="E937" s="1129"/>
      <c r="N937" s="1129"/>
    </row>
    <row r="938" spans="5:14">
      <c r="E938" s="1129"/>
      <c r="N938" s="1129"/>
    </row>
    <row r="939" spans="5:14">
      <c r="E939" s="1129"/>
      <c r="N939" s="1129"/>
    </row>
    <row r="940" spans="5:14">
      <c r="E940" s="1129"/>
      <c r="N940" s="1129"/>
    </row>
    <row r="941" spans="5:14">
      <c r="E941" s="1129"/>
      <c r="N941" s="1129"/>
    </row>
    <row r="942" spans="5:14">
      <c r="E942" s="1129"/>
      <c r="N942" s="1129"/>
    </row>
    <row r="943" spans="5:14">
      <c r="E943" s="1129"/>
      <c r="N943" s="1129"/>
    </row>
    <row r="944" spans="5:14">
      <c r="E944" s="1129"/>
      <c r="N944" s="1129"/>
    </row>
    <row r="945" spans="5:14">
      <c r="E945" s="1129"/>
      <c r="N945" s="1129"/>
    </row>
    <row r="946" spans="5:14">
      <c r="E946" s="1129"/>
      <c r="N946" s="1129"/>
    </row>
    <row r="947" spans="5:14">
      <c r="E947" s="1129"/>
      <c r="N947" s="1129"/>
    </row>
    <row r="948" spans="5:14">
      <c r="E948" s="1129"/>
      <c r="N948" s="1129"/>
    </row>
    <row r="949" spans="5:14">
      <c r="E949" s="1129"/>
      <c r="N949" s="1129"/>
    </row>
    <row r="950" spans="5:14">
      <c r="E950" s="1129"/>
      <c r="N950" s="1129"/>
    </row>
    <row r="951" spans="5:14">
      <c r="E951" s="1129"/>
      <c r="N951" s="1129"/>
    </row>
    <row r="952" spans="5:14">
      <c r="E952" s="1129"/>
      <c r="N952" s="1129"/>
    </row>
    <row r="953" spans="5:14">
      <c r="E953" s="1129"/>
      <c r="N953" s="1129"/>
    </row>
    <row r="954" spans="5:14">
      <c r="E954" s="1129"/>
      <c r="N954" s="1129"/>
    </row>
    <row r="955" spans="5:14">
      <c r="E955" s="1129"/>
      <c r="N955" s="1129"/>
    </row>
    <row r="956" spans="5:14">
      <c r="E956" s="1129"/>
      <c r="N956" s="1129"/>
    </row>
    <row r="957" spans="5:14">
      <c r="E957" s="1129"/>
      <c r="N957" s="1129"/>
    </row>
    <row r="958" spans="5:14">
      <c r="E958" s="1129"/>
      <c r="N958" s="1129"/>
    </row>
    <row r="959" spans="5:14">
      <c r="E959" s="1129"/>
      <c r="N959" s="1129"/>
    </row>
    <row r="960" spans="5:14">
      <c r="E960" s="1129"/>
      <c r="N960" s="1129"/>
    </row>
    <row r="961" spans="5:14">
      <c r="E961" s="1129"/>
      <c r="N961" s="1129"/>
    </row>
    <row r="962" spans="5:14">
      <c r="E962" s="1129"/>
      <c r="N962" s="1129"/>
    </row>
    <row r="963" spans="5:14">
      <c r="E963" s="1129"/>
      <c r="N963" s="1129"/>
    </row>
    <row r="964" spans="5:14">
      <c r="E964" s="1129"/>
      <c r="N964" s="1129"/>
    </row>
    <row r="965" spans="5:14">
      <c r="E965" s="1129"/>
      <c r="N965" s="1129"/>
    </row>
    <row r="966" spans="5:14">
      <c r="E966" s="1129"/>
      <c r="N966" s="1129"/>
    </row>
    <row r="967" spans="5:14">
      <c r="E967" s="1129"/>
      <c r="N967" s="1129"/>
    </row>
    <row r="968" spans="5:14">
      <c r="E968" s="1129"/>
      <c r="N968" s="1129"/>
    </row>
    <row r="969" spans="5:14">
      <c r="E969" s="1129"/>
      <c r="N969" s="1129"/>
    </row>
    <row r="970" spans="5:14">
      <c r="E970" s="1129"/>
      <c r="N970" s="1129"/>
    </row>
    <row r="971" spans="5:14">
      <c r="E971" s="1129"/>
      <c r="N971" s="1129"/>
    </row>
    <row r="972" spans="5:14">
      <c r="E972" s="1129"/>
      <c r="N972" s="1129"/>
    </row>
    <row r="973" spans="5:14">
      <c r="E973" s="1129"/>
      <c r="N973" s="1129"/>
    </row>
    <row r="974" spans="5:14">
      <c r="E974" s="1129"/>
      <c r="N974" s="1129"/>
    </row>
    <row r="975" spans="5:14">
      <c r="E975" s="1129"/>
      <c r="N975" s="1129"/>
    </row>
    <row r="976" spans="5:14">
      <c r="E976" s="1129"/>
      <c r="N976" s="1129"/>
    </row>
    <row r="977" spans="5:14">
      <c r="E977" s="1129"/>
      <c r="N977" s="1129"/>
    </row>
    <row r="978" spans="5:14">
      <c r="E978" s="1129"/>
      <c r="N978" s="1129"/>
    </row>
    <row r="979" spans="5:14">
      <c r="E979" s="1129"/>
      <c r="N979" s="1129"/>
    </row>
    <row r="980" spans="5:14">
      <c r="E980" s="1129"/>
      <c r="N980" s="1129"/>
    </row>
    <row r="981" spans="5:14">
      <c r="E981" s="1129"/>
      <c r="N981" s="1129"/>
    </row>
    <row r="982" spans="5:14">
      <c r="E982" s="1129"/>
      <c r="N982" s="1129"/>
    </row>
    <row r="983" spans="5:14">
      <c r="E983" s="1129"/>
      <c r="N983" s="1129"/>
    </row>
    <row r="984" spans="5:14">
      <c r="E984" s="1129"/>
      <c r="N984" s="1129"/>
    </row>
    <row r="985" spans="5:14">
      <c r="E985" s="1129"/>
      <c r="N985" s="1129"/>
    </row>
    <row r="986" spans="5:14">
      <c r="E986" s="1129"/>
      <c r="N986" s="1129"/>
    </row>
    <row r="987" spans="5:14">
      <c r="E987" s="1129"/>
      <c r="N987" s="1129"/>
    </row>
    <row r="988" spans="5:14">
      <c r="E988" s="1129"/>
      <c r="N988" s="1129"/>
    </row>
    <row r="989" spans="5:14">
      <c r="E989" s="1129"/>
      <c r="N989" s="1129"/>
    </row>
    <row r="990" spans="5:14">
      <c r="E990" s="1129"/>
      <c r="N990" s="1129"/>
    </row>
    <row r="991" spans="5:14">
      <c r="E991" s="1129"/>
      <c r="N991" s="1129"/>
    </row>
    <row r="992" spans="5:14">
      <c r="E992" s="1129"/>
      <c r="N992" s="1129"/>
    </row>
    <row r="993" spans="5:14">
      <c r="E993" s="1129"/>
      <c r="N993" s="1129"/>
    </row>
    <row r="994" spans="5:14">
      <c r="E994" s="1129"/>
      <c r="N994" s="1129"/>
    </row>
    <row r="995" spans="5:14">
      <c r="E995" s="1129"/>
      <c r="N995" s="1129"/>
    </row>
    <row r="996" spans="5:14">
      <c r="E996" s="1129"/>
      <c r="N996" s="1129"/>
    </row>
    <row r="997" spans="5:14">
      <c r="E997" s="1129"/>
      <c r="N997" s="1129"/>
    </row>
    <row r="998" spans="5:14">
      <c r="E998" s="1129"/>
      <c r="N998" s="1129"/>
    </row>
    <row r="999" spans="5:14">
      <c r="E999" s="1129"/>
      <c r="N999" s="1129"/>
    </row>
    <row r="1000" spans="5:14">
      <c r="E1000" s="1129"/>
      <c r="N1000" s="1129"/>
    </row>
    <row r="1001" spans="5:14">
      <c r="E1001" s="1129"/>
      <c r="N1001" s="1129"/>
    </row>
    <row r="1002" spans="5:14">
      <c r="E1002" s="1129"/>
      <c r="N1002" s="1129"/>
    </row>
    <row r="1003" spans="5:14">
      <c r="E1003" s="1129"/>
      <c r="N1003" s="1129"/>
    </row>
    <row r="1004" spans="5:14">
      <c r="E1004" s="1129"/>
      <c r="N1004" s="1129"/>
    </row>
    <row r="1005" spans="5:14">
      <c r="E1005" s="1129"/>
      <c r="N1005" s="1129"/>
    </row>
    <row r="1006" spans="5:14">
      <c r="E1006" s="1129"/>
      <c r="N1006" s="1129"/>
    </row>
    <row r="1007" spans="5:14">
      <c r="E1007" s="1129"/>
      <c r="N1007" s="1129"/>
    </row>
    <row r="1008" spans="5:14">
      <c r="E1008" s="1129"/>
      <c r="N1008" s="1129"/>
    </row>
    <row r="1009" spans="5:14">
      <c r="E1009" s="1129"/>
      <c r="N1009" s="1129"/>
    </row>
    <row r="1010" spans="5:14">
      <c r="E1010" s="1129"/>
      <c r="N1010" s="1129"/>
    </row>
    <row r="1011" spans="5:14">
      <c r="E1011" s="1129"/>
      <c r="N1011" s="1129"/>
    </row>
    <row r="1012" spans="5:14">
      <c r="E1012" s="1129"/>
      <c r="N1012" s="1129"/>
    </row>
    <row r="1013" spans="5:14">
      <c r="E1013" s="1129"/>
      <c r="N1013" s="1129"/>
    </row>
    <row r="1014" spans="5:14">
      <c r="E1014" s="1129"/>
      <c r="N1014" s="1129"/>
    </row>
    <row r="1015" spans="5:14">
      <c r="E1015" s="1129"/>
      <c r="N1015" s="1129"/>
    </row>
    <row r="1016" spans="5:14">
      <c r="E1016" s="1129"/>
      <c r="N1016" s="1129"/>
    </row>
    <row r="1017" spans="5:14">
      <c r="E1017" s="1129"/>
      <c r="N1017" s="1129"/>
    </row>
    <row r="1018" spans="5:14">
      <c r="E1018" s="1129"/>
      <c r="N1018" s="1129"/>
    </row>
    <row r="1019" spans="5:14">
      <c r="E1019" s="1129"/>
      <c r="N1019" s="1129"/>
    </row>
    <row r="1020" spans="5:14">
      <c r="E1020" s="1129"/>
      <c r="N1020" s="1129"/>
    </row>
    <row r="1021" spans="5:14">
      <c r="E1021" s="1129"/>
      <c r="N1021" s="1129"/>
    </row>
    <row r="1022" spans="5:14">
      <c r="E1022" s="1129"/>
      <c r="N1022" s="1129"/>
    </row>
    <row r="1023" spans="5:14">
      <c r="E1023" s="1129"/>
      <c r="N1023" s="1129"/>
    </row>
    <row r="1024" spans="5:14">
      <c r="E1024" s="1129"/>
      <c r="N1024" s="1129"/>
    </row>
    <row r="1025" spans="5:14">
      <c r="E1025" s="1129"/>
      <c r="N1025" s="1129"/>
    </row>
    <row r="1026" spans="5:14">
      <c r="E1026" s="1129"/>
      <c r="N1026" s="1129"/>
    </row>
    <row r="1027" spans="5:14">
      <c r="E1027" s="1129"/>
      <c r="N1027" s="1129"/>
    </row>
    <row r="1028" spans="5:14">
      <c r="E1028" s="1129"/>
      <c r="N1028" s="1129"/>
    </row>
    <row r="1029" spans="5:14">
      <c r="E1029" s="1129"/>
      <c r="N1029" s="1129"/>
    </row>
    <row r="1030" spans="5:14">
      <c r="E1030" s="1129"/>
      <c r="N1030" s="1129"/>
    </row>
    <row r="1031" spans="5:14">
      <c r="E1031" s="1129"/>
      <c r="N1031" s="1129"/>
    </row>
    <row r="1032" spans="5:14">
      <c r="E1032" s="1129"/>
      <c r="N1032" s="1129"/>
    </row>
    <row r="1033" spans="5:14">
      <c r="E1033" s="1129"/>
      <c r="N1033" s="1129"/>
    </row>
    <row r="1034" spans="5:14">
      <c r="E1034" s="1129"/>
      <c r="N1034" s="1129"/>
    </row>
    <row r="1035" spans="5:14">
      <c r="E1035" s="1129"/>
      <c r="N1035" s="1129"/>
    </row>
    <row r="1036" spans="5:14">
      <c r="E1036" s="1129"/>
      <c r="N1036" s="1129"/>
    </row>
    <row r="1037" spans="5:14">
      <c r="E1037" s="1129"/>
      <c r="N1037" s="1129"/>
    </row>
    <row r="1038" spans="5:14">
      <c r="E1038" s="1129"/>
      <c r="N1038" s="1129"/>
    </row>
    <row r="1039" spans="5:14">
      <c r="E1039" s="1129"/>
      <c r="N1039" s="1129"/>
    </row>
    <row r="1040" spans="5:14">
      <c r="E1040" s="1129"/>
      <c r="N1040" s="1129"/>
    </row>
    <row r="1041" spans="5:14">
      <c r="E1041" s="1129"/>
      <c r="N1041" s="1129"/>
    </row>
    <row r="1042" spans="5:14">
      <c r="E1042" s="1129"/>
      <c r="N1042" s="1129"/>
    </row>
    <row r="1043" spans="5:14">
      <c r="E1043" s="1129"/>
      <c r="N1043" s="1129"/>
    </row>
    <row r="1044" spans="5:14">
      <c r="E1044" s="1129"/>
      <c r="N1044" s="1129"/>
    </row>
    <row r="1045" spans="5:14">
      <c r="E1045" s="1129"/>
      <c r="N1045" s="1129"/>
    </row>
    <row r="1046" spans="5:14">
      <c r="E1046" s="1129"/>
      <c r="N1046" s="1129"/>
    </row>
    <row r="1047" spans="5:14">
      <c r="E1047" s="1129"/>
      <c r="N1047" s="1129"/>
    </row>
    <row r="1048" spans="5:14">
      <c r="E1048" s="1129"/>
      <c r="N1048" s="1129"/>
    </row>
    <row r="1049" spans="5:14">
      <c r="E1049" s="1129"/>
      <c r="N1049" s="1129"/>
    </row>
    <row r="1050" spans="5:14">
      <c r="E1050" s="1129"/>
      <c r="N1050" s="1129"/>
    </row>
    <row r="1051" spans="5:14">
      <c r="E1051" s="1129"/>
      <c r="N1051" s="1129"/>
    </row>
    <row r="1052" spans="5:14">
      <c r="E1052" s="1129"/>
      <c r="N1052" s="1129"/>
    </row>
    <row r="1053" spans="5:14">
      <c r="E1053" s="1129"/>
      <c r="N1053" s="1129"/>
    </row>
    <row r="1054" spans="5:14">
      <c r="E1054" s="1129"/>
      <c r="N1054" s="1129"/>
    </row>
    <row r="1055" spans="5:14">
      <c r="E1055" s="1129"/>
      <c r="N1055" s="1129"/>
    </row>
    <row r="1056" spans="5:14">
      <c r="E1056" s="1129"/>
      <c r="N1056" s="1129"/>
    </row>
    <row r="1057" spans="5:14">
      <c r="E1057" s="1129"/>
      <c r="N1057" s="1129"/>
    </row>
    <row r="1058" spans="5:14">
      <c r="E1058" s="1129"/>
      <c r="N1058" s="1129"/>
    </row>
    <row r="1059" spans="5:14">
      <c r="E1059" s="1129"/>
      <c r="N1059" s="1129"/>
    </row>
    <row r="1060" spans="5:14">
      <c r="E1060" s="1129"/>
      <c r="N1060" s="1129"/>
    </row>
    <row r="1061" spans="5:14">
      <c r="E1061" s="1129"/>
      <c r="N1061" s="1129"/>
    </row>
    <row r="1062" spans="5:14">
      <c r="E1062" s="1129"/>
      <c r="N1062" s="1129"/>
    </row>
    <row r="1063" spans="5:14">
      <c r="E1063" s="1129"/>
      <c r="N1063" s="1129"/>
    </row>
    <row r="1064" spans="5:14">
      <c r="E1064" s="1129"/>
      <c r="N1064" s="1129"/>
    </row>
    <row r="1065" spans="5:14">
      <c r="E1065" s="1129"/>
      <c r="N1065" s="1129"/>
    </row>
    <row r="1066" spans="5:14">
      <c r="E1066" s="1129"/>
      <c r="N1066" s="1129"/>
    </row>
    <row r="1067" spans="5:14">
      <c r="E1067" s="1129"/>
      <c r="N1067" s="1129"/>
    </row>
    <row r="1068" spans="5:14">
      <c r="E1068" s="1129"/>
      <c r="N1068" s="1129"/>
    </row>
    <row r="1069" spans="5:14">
      <c r="E1069" s="1129"/>
      <c r="N1069" s="1129"/>
    </row>
    <row r="1070" spans="5:14">
      <c r="E1070" s="1129"/>
      <c r="N1070" s="1129"/>
    </row>
    <row r="1071" spans="5:14">
      <c r="E1071" s="1129"/>
      <c r="N1071" s="1129"/>
    </row>
    <row r="1072" spans="5:14">
      <c r="E1072" s="1129"/>
      <c r="N1072" s="1129"/>
    </row>
    <row r="1073" spans="5:14">
      <c r="E1073" s="1129"/>
      <c r="N1073" s="1129"/>
    </row>
    <row r="1074" spans="5:14">
      <c r="E1074" s="1129"/>
      <c r="N1074" s="1129"/>
    </row>
    <row r="1075" spans="5:14">
      <c r="E1075" s="1129"/>
      <c r="N1075" s="1129"/>
    </row>
    <row r="1076" spans="5:14">
      <c r="E1076" s="1129"/>
      <c r="N1076" s="1129"/>
    </row>
    <row r="1077" spans="5:14">
      <c r="E1077" s="1129"/>
      <c r="N1077" s="1129"/>
    </row>
    <row r="1078" spans="5:14">
      <c r="E1078" s="1129"/>
      <c r="N1078" s="1129"/>
    </row>
    <row r="1079" spans="5:14">
      <c r="E1079" s="1129"/>
      <c r="N1079" s="1129"/>
    </row>
    <row r="1080" spans="5:14">
      <c r="E1080" s="1129"/>
      <c r="N1080" s="1129"/>
    </row>
    <row r="1081" spans="5:14">
      <c r="E1081" s="1129"/>
      <c r="N1081" s="1129"/>
    </row>
    <row r="1082" spans="5:14">
      <c r="E1082" s="1129"/>
      <c r="N1082" s="1129"/>
    </row>
    <row r="1083" spans="5:14">
      <c r="E1083" s="1129"/>
      <c r="N1083" s="1129"/>
    </row>
    <row r="1084" spans="5:14">
      <c r="E1084" s="1129"/>
      <c r="N1084" s="1129"/>
    </row>
    <row r="1085" spans="5:14">
      <c r="E1085" s="1129"/>
      <c r="N1085" s="1129"/>
    </row>
    <row r="1086" spans="5:14">
      <c r="E1086" s="1129"/>
      <c r="N1086" s="1129"/>
    </row>
    <row r="1087" spans="5:14">
      <c r="E1087" s="1129"/>
      <c r="N1087" s="1129"/>
    </row>
    <row r="1088" spans="5:14">
      <c r="E1088" s="1129"/>
      <c r="N1088" s="1129"/>
    </row>
    <row r="1089" spans="5:14">
      <c r="E1089" s="1129"/>
      <c r="N1089" s="1129"/>
    </row>
    <row r="1090" spans="5:14">
      <c r="E1090" s="1129"/>
      <c r="N1090" s="1129"/>
    </row>
    <row r="1091" spans="5:14">
      <c r="E1091" s="1129"/>
      <c r="N1091" s="1129"/>
    </row>
    <row r="1092" spans="5:14">
      <c r="E1092" s="1129"/>
      <c r="N1092" s="1129"/>
    </row>
    <row r="1093" spans="5:14">
      <c r="E1093" s="1129"/>
      <c r="N1093" s="1129"/>
    </row>
    <row r="1094" spans="5:14">
      <c r="E1094" s="1129"/>
      <c r="N1094" s="1129"/>
    </row>
    <row r="1095" spans="5:14">
      <c r="E1095" s="1129"/>
      <c r="N1095" s="1129"/>
    </row>
    <row r="1096" spans="5:14">
      <c r="E1096" s="1129"/>
      <c r="N1096" s="1129"/>
    </row>
    <row r="1097" spans="5:14">
      <c r="E1097" s="1129"/>
      <c r="N1097" s="1129"/>
    </row>
    <row r="1098" spans="5:14">
      <c r="E1098" s="1129"/>
      <c r="N1098" s="1129"/>
    </row>
    <row r="1099" spans="5:14">
      <c r="E1099" s="1129"/>
      <c r="N1099" s="1129"/>
    </row>
    <row r="1100" spans="5:14">
      <c r="E1100" s="1129"/>
      <c r="N1100" s="1129"/>
    </row>
    <row r="1101" spans="5:14">
      <c r="E1101" s="1129"/>
      <c r="N1101" s="1129"/>
    </row>
    <row r="1102" spans="5:14">
      <c r="E1102" s="1129"/>
      <c r="N1102" s="1129"/>
    </row>
    <row r="1103" spans="5:14">
      <c r="E1103" s="1129"/>
      <c r="N1103" s="1129"/>
    </row>
    <row r="1104" spans="5:14">
      <c r="E1104" s="1129"/>
      <c r="N1104" s="1129"/>
    </row>
    <row r="1105" spans="5:14">
      <c r="E1105" s="1129"/>
      <c r="N1105" s="1129"/>
    </row>
    <row r="1106" spans="5:14">
      <c r="E1106" s="1129"/>
      <c r="N1106" s="1129"/>
    </row>
    <row r="1107" spans="5:14">
      <c r="E1107" s="1129"/>
      <c r="N1107" s="1129"/>
    </row>
    <row r="1108" spans="5:14">
      <c r="E1108" s="1129"/>
      <c r="N1108" s="1129"/>
    </row>
    <row r="1109" spans="5:14">
      <c r="E1109" s="1129"/>
      <c r="N1109" s="1129"/>
    </row>
    <row r="1110" spans="5:14">
      <c r="E1110" s="1129"/>
      <c r="N1110" s="1129"/>
    </row>
    <row r="1111" spans="5:14">
      <c r="E1111" s="1129"/>
      <c r="N1111" s="1129"/>
    </row>
    <row r="1112" spans="5:14">
      <c r="E1112" s="1129"/>
      <c r="N1112" s="1129"/>
    </row>
    <row r="1113" spans="5:14">
      <c r="E1113" s="1129"/>
      <c r="N1113" s="1129"/>
    </row>
    <row r="1114" spans="5:14">
      <c r="E1114" s="1129"/>
      <c r="N1114" s="1129"/>
    </row>
    <row r="1115" spans="5:14">
      <c r="E1115" s="1129"/>
      <c r="N1115" s="1129"/>
    </row>
    <row r="1116" spans="5:14">
      <c r="E1116" s="1129"/>
      <c r="N1116" s="1129"/>
    </row>
    <row r="1117" spans="5:14">
      <c r="E1117" s="1129"/>
      <c r="N1117" s="1129"/>
    </row>
    <row r="1118" spans="5:14">
      <c r="E1118" s="1129"/>
      <c r="N1118" s="1129"/>
    </row>
    <row r="1119" spans="5:14">
      <c r="E1119" s="1129"/>
      <c r="N1119" s="1129"/>
    </row>
    <row r="1120" spans="5:14">
      <c r="E1120" s="1129"/>
      <c r="N1120" s="1129"/>
    </row>
    <row r="1121" spans="5:14">
      <c r="E1121" s="1129"/>
      <c r="N1121" s="1129"/>
    </row>
    <row r="1122" spans="5:14">
      <c r="E1122" s="1129"/>
      <c r="N1122" s="1129"/>
    </row>
    <row r="1123" spans="5:14">
      <c r="E1123" s="1129"/>
      <c r="N1123" s="1129"/>
    </row>
    <row r="1124" spans="5:14">
      <c r="E1124" s="1129"/>
      <c r="N1124" s="1129"/>
    </row>
    <row r="1125" spans="5:14">
      <c r="E1125" s="1129"/>
      <c r="N1125" s="1129"/>
    </row>
    <row r="1126" spans="5:14">
      <c r="E1126" s="1129"/>
      <c r="N1126" s="1129"/>
    </row>
    <row r="1127" spans="5:14">
      <c r="E1127" s="1129"/>
      <c r="N1127" s="1129"/>
    </row>
    <row r="1128" spans="5:14">
      <c r="E1128" s="1129"/>
      <c r="N1128" s="1129"/>
    </row>
    <row r="1129" spans="5:14">
      <c r="E1129" s="1129"/>
      <c r="N1129" s="1129"/>
    </row>
    <row r="1130" spans="5:14">
      <c r="E1130" s="1129"/>
      <c r="N1130" s="1129"/>
    </row>
    <row r="1131" spans="5:14">
      <c r="E1131" s="1129"/>
      <c r="N1131" s="1129"/>
    </row>
    <row r="1132" spans="5:14">
      <c r="E1132" s="1129"/>
      <c r="N1132" s="1129"/>
    </row>
    <row r="1133" spans="5:14">
      <c r="E1133" s="1129"/>
      <c r="N1133" s="1129"/>
    </row>
    <row r="1134" spans="5:14">
      <c r="E1134" s="1129"/>
      <c r="N1134" s="1129"/>
    </row>
    <row r="1135" spans="5:14">
      <c r="E1135" s="1129"/>
      <c r="N1135" s="1129"/>
    </row>
    <row r="1136" spans="5:14">
      <c r="E1136" s="1129"/>
      <c r="N1136" s="1129"/>
    </row>
    <row r="1137" spans="5:14">
      <c r="E1137" s="1129"/>
      <c r="N1137" s="1129"/>
    </row>
    <row r="1138" spans="5:14">
      <c r="E1138" s="1129"/>
      <c r="N1138" s="1129"/>
    </row>
    <row r="1139" spans="5:14">
      <c r="E1139" s="1129"/>
      <c r="N1139" s="1129"/>
    </row>
    <row r="1140" spans="5:14">
      <c r="E1140" s="1129"/>
      <c r="N1140" s="1129"/>
    </row>
    <row r="1141" spans="5:14">
      <c r="E1141" s="1129"/>
      <c r="N1141" s="1129"/>
    </row>
    <row r="1142" spans="5:14">
      <c r="E1142" s="1129"/>
      <c r="N1142" s="1129"/>
    </row>
    <row r="1143" spans="5:14">
      <c r="E1143" s="1129"/>
      <c r="N1143" s="1129"/>
    </row>
    <row r="1144" spans="5:14">
      <c r="E1144" s="1129"/>
      <c r="N1144" s="1129"/>
    </row>
    <row r="1145" spans="5:14">
      <c r="E1145" s="1129"/>
      <c r="N1145" s="1129"/>
    </row>
    <row r="1146" spans="5:14">
      <c r="E1146" s="1129"/>
      <c r="N1146" s="1129"/>
    </row>
    <row r="1147" spans="5:14">
      <c r="E1147" s="1129"/>
      <c r="N1147" s="1129"/>
    </row>
    <row r="1148" spans="5:14">
      <c r="E1148" s="1129"/>
      <c r="N1148" s="1129"/>
    </row>
    <row r="1149" spans="5:14">
      <c r="E1149" s="1129"/>
      <c r="N1149" s="1129"/>
    </row>
    <row r="1150" spans="5:14">
      <c r="E1150" s="1129"/>
      <c r="N1150" s="1129"/>
    </row>
    <row r="1151" spans="5:14">
      <c r="E1151" s="1129"/>
      <c r="N1151" s="1129"/>
    </row>
    <row r="1152" spans="5:14">
      <c r="E1152" s="1129"/>
      <c r="N1152" s="1129"/>
    </row>
    <row r="1153" spans="5:14">
      <c r="E1153" s="1129"/>
      <c r="N1153" s="1129"/>
    </row>
    <row r="1154" spans="5:14">
      <c r="E1154" s="1129"/>
      <c r="N1154" s="1129"/>
    </row>
    <row r="1155" spans="5:14">
      <c r="E1155" s="1129"/>
      <c r="N1155" s="1129"/>
    </row>
    <row r="1156" spans="5:14">
      <c r="E1156" s="1129"/>
      <c r="N1156" s="1129"/>
    </row>
    <row r="1157" spans="5:14">
      <c r="E1157" s="1129"/>
      <c r="N1157" s="1129"/>
    </row>
    <row r="1158" spans="5:14">
      <c r="E1158" s="1129"/>
      <c r="N1158" s="1129"/>
    </row>
    <row r="1159" spans="5:14">
      <c r="E1159" s="1129"/>
      <c r="N1159" s="1129"/>
    </row>
    <row r="1160" spans="5:14">
      <c r="E1160" s="1129"/>
      <c r="N1160" s="1129"/>
    </row>
    <row r="1161" spans="5:14">
      <c r="E1161" s="1129"/>
      <c r="N1161" s="1129"/>
    </row>
    <row r="1162" spans="5:14">
      <c r="E1162" s="1129"/>
      <c r="N1162" s="1129"/>
    </row>
    <row r="1163" spans="5:14">
      <c r="E1163" s="1129"/>
      <c r="N1163" s="1129"/>
    </row>
    <row r="1164" spans="5:14">
      <c r="E1164" s="1129"/>
      <c r="N1164" s="1129"/>
    </row>
    <row r="1165" spans="5:14">
      <c r="E1165" s="1129"/>
      <c r="N1165" s="1129"/>
    </row>
    <row r="1166" spans="5:14">
      <c r="E1166" s="1129"/>
      <c r="N1166" s="1129"/>
    </row>
    <row r="1167" spans="5:14">
      <c r="E1167" s="1129"/>
      <c r="N1167" s="1129"/>
    </row>
    <row r="1168" spans="5:14">
      <c r="E1168" s="1129"/>
      <c r="N1168" s="1129"/>
    </row>
    <row r="1169" spans="5:14">
      <c r="E1169" s="1129"/>
      <c r="N1169" s="1129"/>
    </row>
    <row r="1170" spans="5:14">
      <c r="E1170" s="1129"/>
      <c r="N1170" s="1129"/>
    </row>
    <row r="1171" spans="5:14">
      <c r="E1171" s="1129"/>
      <c r="N1171" s="1129"/>
    </row>
    <row r="1172" spans="5:14">
      <c r="E1172" s="1129"/>
      <c r="N1172" s="1129"/>
    </row>
    <row r="1173" spans="5:14">
      <c r="E1173" s="1129"/>
      <c r="N1173" s="1129"/>
    </row>
    <row r="1174" spans="5:14">
      <c r="E1174" s="1129"/>
      <c r="N1174" s="1129"/>
    </row>
    <row r="1175" spans="5:14">
      <c r="E1175" s="1129"/>
      <c r="N1175" s="1129"/>
    </row>
    <row r="1176" spans="5:14">
      <c r="E1176" s="1129"/>
      <c r="N1176" s="1129"/>
    </row>
    <row r="1177" spans="5:14">
      <c r="E1177" s="1129"/>
      <c r="N1177" s="1129"/>
    </row>
    <row r="1178" spans="5:14">
      <c r="E1178" s="1129"/>
      <c r="N1178" s="1129"/>
    </row>
    <row r="1179" spans="5:14">
      <c r="E1179" s="1129"/>
      <c r="N1179" s="1129"/>
    </row>
    <row r="1180" spans="5:14">
      <c r="E1180" s="1129"/>
      <c r="N1180" s="1129"/>
    </row>
    <row r="1181" spans="5:14">
      <c r="E1181" s="1129"/>
      <c r="N1181" s="1129"/>
    </row>
    <row r="1182" spans="5:14">
      <c r="E1182" s="1129"/>
      <c r="N1182" s="1129"/>
    </row>
    <row r="1183" spans="5:14">
      <c r="E1183" s="1129"/>
      <c r="N1183" s="1129"/>
    </row>
    <row r="1184" spans="5:14">
      <c r="E1184" s="1129"/>
      <c r="N1184" s="1129"/>
    </row>
    <row r="1185" spans="5:14">
      <c r="E1185" s="1129"/>
      <c r="N1185" s="1129"/>
    </row>
    <row r="1186" spans="5:14">
      <c r="E1186" s="1129"/>
      <c r="N1186" s="1129"/>
    </row>
    <row r="1187" spans="5:14">
      <c r="E1187" s="1129"/>
      <c r="N1187" s="1129"/>
    </row>
    <row r="1188" spans="5:14">
      <c r="E1188" s="1129"/>
      <c r="N1188" s="1129"/>
    </row>
    <row r="1189" spans="5:14">
      <c r="E1189" s="1129"/>
      <c r="N1189" s="1129"/>
    </row>
    <row r="1190" spans="5:14">
      <c r="E1190" s="1129"/>
      <c r="N1190" s="1129"/>
    </row>
    <row r="1191" spans="5:14">
      <c r="E1191" s="1129"/>
      <c r="N1191" s="1129"/>
    </row>
    <row r="1192" spans="5:14">
      <c r="E1192" s="1129"/>
      <c r="N1192" s="1129"/>
    </row>
    <row r="1193" spans="5:14">
      <c r="E1193" s="1129"/>
      <c r="N1193" s="1129"/>
    </row>
    <row r="1194" spans="5:14">
      <c r="E1194" s="1129"/>
      <c r="N1194" s="1129"/>
    </row>
    <row r="1195" spans="5:14">
      <c r="E1195" s="1129"/>
      <c r="N1195" s="1129"/>
    </row>
    <row r="1196" spans="5:14">
      <c r="E1196" s="1129"/>
      <c r="N1196" s="1129"/>
    </row>
    <row r="1197" spans="5:14">
      <c r="E1197" s="1129"/>
      <c r="N1197" s="1129"/>
    </row>
    <row r="1198" spans="5:14">
      <c r="E1198" s="1129"/>
      <c r="N1198" s="1129"/>
    </row>
    <row r="1199" spans="5:14">
      <c r="E1199" s="1129"/>
      <c r="N1199" s="1129"/>
    </row>
    <row r="1200" spans="5:14">
      <c r="E1200" s="1129"/>
      <c r="N1200" s="1129"/>
    </row>
    <row r="1201" spans="5:14">
      <c r="E1201" s="1129"/>
      <c r="N1201" s="1129"/>
    </row>
    <row r="1202" spans="5:14">
      <c r="E1202" s="1129"/>
      <c r="N1202" s="1129"/>
    </row>
    <row r="1203" spans="5:14">
      <c r="E1203" s="1129"/>
      <c r="N1203" s="1129"/>
    </row>
    <row r="1204" spans="5:14">
      <c r="E1204" s="1129"/>
      <c r="N1204" s="1129"/>
    </row>
    <row r="1205" spans="5:14">
      <c r="E1205" s="1129"/>
      <c r="N1205" s="1129"/>
    </row>
    <row r="1206" spans="5:14">
      <c r="E1206" s="1129"/>
      <c r="N1206" s="1129"/>
    </row>
    <row r="1207" spans="5:14">
      <c r="E1207" s="1129"/>
      <c r="N1207" s="1129"/>
    </row>
    <row r="1208" spans="5:14">
      <c r="E1208" s="1129"/>
      <c r="N1208" s="1129"/>
    </row>
    <row r="1209" spans="5:14">
      <c r="E1209" s="1129"/>
      <c r="N1209" s="1129"/>
    </row>
    <row r="1210" spans="5:14">
      <c r="E1210" s="1129"/>
      <c r="N1210" s="1129"/>
    </row>
    <row r="1211" spans="5:14">
      <c r="E1211" s="1129"/>
      <c r="N1211" s="1129"/>
    </row>
    <row r="1212" spans="5:14">
      <c r="E1212" s="1129"/>
      <c r="N1212" s="1129"/>
    </row>
    <row r="1213" spans="5:14">
      <c r="E1213" s="1129"/>
      <c r="N1213" s="1129"/>
    </row>
    <row r="1214" spans="5:14">
      <c r="E1214" s="1129"/>
      <c r="N1214" s="1129"/>
    </row>
    <row r="1215" spans="5:14">
      <c r="E1215" s="1129"/>
      <c r="N1215" s="1129"/>
    </row>
    <row r="1216" spans="5:14">
      <c r="E1216" s="1129"/>
      <c r="N1216" s="1129"/>
    </row>
    <row r="1217" spans="5:14">
      <c r="E1217" s="1129"/>
      <c r="N1217" s="1129"/>
    </row>
    <row r="1218" spans="5:14">
      <c r="E1218" s="1129"/>
      <c r="N1218" s="1129"/>
    </row>
    <row r="1219" spans="5:14">
      <c r="E1219" s="1129"/>
      <c r="N1219" s="1129"/>
    </row>
    <row r="1220" spans="5:14">
      <c r="E1220" s="1129"/>
      <c r="N1220" s="1129"/>
    </row>
    <row r="1221" spans="5:14">
      <c r="E1221" s="1129"/>
      <c r="N1221" s="1129"/>
    </row>
    <row r="1222" spans="5:14">
      <c r="E1222" s="1129"/>
      <c r="N1222" s="1129"/>
    </row>
    <row r="1223" spans="5:14">
      <c r="E1223" s="1129"/>
      <c r="N1223" s="1129"/>
    </row>
    <row r="1224" spans="5:14">
      <c r="E1224" s="1129"/>
      <c r="N1224" s="1129"/>
    </row>
    <row r="1225" spans="5:14">
      <c r="E1225" s="1129"/>
      <c r="N1225" s="1129"/>
    </row>
    <row r="1226" spans="5:14">
      <c r="E1226" s="1129"/>
      <c r="N1226" s="1129"/>
    </row>
    <row r="1227" spans="5:14">
      <c r="E1227" s="1129"/>
      <c r="N1227" s="1129"/>
    </row>
    <row r="1228" spans="5:14">
      <c r="E1228" s="1129"/>
      <c r="N1228" s="1129"/>
    </row>
    <row r="1229" spans="5:14">
      <c r="E1229" s="1129"/>
      <c r="N1229" s="1129"/>
    </row>
    <row r="1230" spans="5:14">
      <c r="E1230" s="1129"/>
      <c r="N1230" s="1129"/>
    </row>
    <row r="1231" spans="5:14">
      <c r="E1231" s="1129"/>
      <c r="N1231" s="1129"/>
    </row>
    <row r="1232" spans="5:14">
      <c r="E1232" s="1129"/>
      <c r="N1232" s="1129"/>
    </row>
    <row r="1233" spans="5:14">
      <c r="E1233" s="1129"/>
      <c r="N1233" s="1129"/>
    </row>
    <row r="1234" spans="5:14">
      <c r="E1234" s="1129"/>
      <c r="N1234" s="1129"/>
    </row>
    <row r="1235" spans="5:14">
      <c r="E1235" s="1129"/>
      <c r="N1235" s="1129"/>
    </row>
    <row r="1236" spans="5:14">
      <c r="E1236" s="1129"/>
      <c r="N1236" s="1129"/>
    </row>
    <row r="1237" spans="5:14">
      <c r="E1237" s="1129"/>
      <c r="N1237" s="1129"/>
    </row>
    <row r="1238" spans="5:14">
      <c r="E1238" s="1129"/>
      <c r="N1238" s="1129"/>
    </row>
    <row r="1239" spans="5:14">
      <c r="E1239" s="1129"/>
      <c r="N1239" s="1129"/>
    </row>
    <row r="1240" spans="5:14">
      <c r="E1240" s="1129"/>
      <c r="N1240" s="1129"/>
    </row>
    <row r="1241" spans="5:14">
      <c r="E1241" s="1129"/>
      <c r="N1241" s="1129"/>
    </row>
    <row r="1242" spans="5:14">
      <c r="E1242" s="1129"/>
      <c r="N1242" s="1129"/>
    </row>
    <row r="1243" spans="5:14">
      <c r="E1243" s="1129"/>
      <c r="N1243" s="1129"/>
    </row>
    <row r="1244" spans="5:14">
      <c r="E1244" s="1129"/>
      <c r="N1244" s="1129"/>
    </row>
    <row r="1245" spans="5:14">
      <c r="E1245" s="1129"/>
      <c r="N1245" s="1129"/>
    </row>
    <row r="1246" spans="5:14">
      <c r="E1246" s="1129"/>
      <c r="N1246" s="1129"/>
    </row>
    <row r="1247" spans="5:14">
      <c r="E1247" s="1129"/>
      <c r="N1247" s="1129"/>
    </row>
    <row r="1248" spans="5:14">
      <c r="E1248" s="1129"/>
      <c r="N1248" s="1129"/>
    </row>
    <row r="1249" spans="5:14">
      <c r="E1249" s="1129"/>
      <c r="N1249" s="1129"/>
    </row>
    <row r="1250" spans="5:14">
      <c r="E1250" s="1129"/>
      <c r="N1250" s="1129"/>
    </row>
    <row r="1251" spans="5:14">
      <c r="E1251" s="1129"/>
      <c r="N1251" s="1129"/>
    </row>
    <row r="1252" spans="5:14">
      <c r="E1252" s="1129"/>
      <c r="N1252" s="1129"/>
    </row>
    <row r="1253" spans="5:14">
      <c r="E1253" s="1129"/>
      <c r="N1253" s="1129"/>
    </row>
    <row r="1254" spans="5:14">
      <c r="E1254" s="1129"/>
      <c r="N1254" s="1129"/>
    </row>
    <row r="1255" spans="5:14">
      <c r="E1255" s="1129"/>
      <c r="N1255" s="1129"/>
    </row>
    <row r="1256" spans="5:14">
      <c r="E1256" s="1129"/>
      <c r="N1256" s="1129"/>
    </row>
    <row r="1257" spans="5:14">
      <c r="E1257" s="1129"/>
      <c r="N1257" s="1129"/>
    </row>
    <row r="1258" spans="5:14">
      <c r="E1258" s="1129"/>
      <c r="N1258" s="1129"/>
    </row>
    <row r="1259" spans="5:14">
      <c r="E1259" s="1129"/>
      <c r="N1259" s="1129"/>
    </row>
    <row r="1260" spans="5:14">
      <c r="E1260" s="1129"/>
      <c r="N1260" s="1129"/>
    </row>
    <row r="1261" spans="5:14">
      <c r="E1261" s="1129"/>
      <c r="N1261" s="1129"/>
    </row>
    <row r="1262" spans="5:14">
      <c r="E1262" s="1129"/>
      <c r="N1262" s="1129"/>
    </row>
    <row r="1263" spans="5:14">
      <c r="E1263" s="1129"/>
      <c r="N1263" s="1129"/>
    </row>
    <row r="1264" spans="5:14">
      <c r="E1264" s="1129"/>
      <c r="N1264" s="1129"/>
    </row>
    <row r="1265" spans="5:14">
      <c r="E1265" s="1129"/>
      <c r="N1265" s="1129"/>
    </row>
    <row r="1266" spans="5:14">
      <c r="E1266" s="1129"/>
      <c r="N1266" s="1129"/>
    </row>
    <row r="1267" spans="5:14">
      <c r="E1267" s="1129"/>
      <c r="N1267" s="1129"/>
    </row>
    <row r="1268" spans="5:14">
      <c r="E1268" s="1129"/>
      <c r="N1268" s="1129"/>
    </row>
    <row r="1269" spans="5:14">
      <c r="E1269" s="1129"/>
      <c r="N1269" s="1129"/>
    </row>
    <row r="1270" spans="5:14">
      <c r="E1270" s="1129"/>
      <c r="N1270" s="1129"/>
    </row>
    <row r="1271" spans="5:14">
      <c r="E1271" s="1129"/>
      <c r="N1271" s="1129"/>
    </row>
    <row r="1272" spans="5:14">
      <c r="E1272" s="1129"/>
      <c r="N1272" s="1129"/>
    </row>
    <row r="1273" spans="5:14">
      <c r="E1273" s="1129"/>
      <c r="N1273" s="1129"/>
    </row>
    <row r="1274" spans="5:14">
      <c r="E1274" s="1129"/>
      <c r="N1274" s="1129"/>
    </row>
    <row r="1275" spans="5:14">
      <c r="E1275" s="1129"/>
      <c r="N1275" s="1129"/>
    </row>
    <row r="1276" spans="5:14">
      <c r="E1276" s="1129"/>
      <c r="N1276" s="1129"/>
    </row>
    <row r="1277" spans="5:14">
      <c r="E1277" s="1129"/>
      <c r="N1277" s="1129"/>
    </row>
    <row r="1278" spans="5:14">
      <c r="E1278" s="1129"/>
      <c r="N1278" s="1129"/>
    </row>
    <row r="1279" spans="5:14">
      <c r="E1279" s="1129"/>
      <c r="N1279" s="1129"/>
    </row>
    <row r="1280" spans="5:14">
      <c r="E1280" s="1129"/>
      <c r="N1280" s="1129"/>
    </row>
    <row r="1281" spans="5:14">
      <c r="E1281" s="1129"/>
      <c r="N1281" s="1129"/>
    </row>
    <row r="1282" spans="5:14">
      <c r="E1282" s="1129"/>
      <c r="N1282" s="1129"/>
    </row>
    <row r="1283" spans="5:14">
      <c r="E1283" s="1129"/>
      <c r="N1283" s="1129"/>
    </row>
    <row r="1284" spans="5:14">
      <c r="E1284" s="1129"/>
      <c r="N1284" s="1129"/>
    </row>
    <row r="1285" spans="5:14">
      <c r="E1285" s="1129"/>
      <c r="N1285" s="1129"/>
    </row>
    <row r="1286" spans="5:14">
      <c r="E1286" s="1129"/>
      <c r="N1286" s="1129"/>
    </row>
    <row r="1287" spans="5:14">
      <c r="E1287" s="1129"/>
      <c r="N1287" s="1129"/>
    </row>
    <row r="1288" spans="5:14">
      <c r="E1288" s="1129"/>
      <c r="N1288" s="1129"/>
    </row>
    <row r="1289" spans="5:14">
      <c r="E1289" s="1129"/>
      <c r="N1289" s="1129"/>
    </row>
    <row r="1290" spans="5:14">
      <c r="E1290" s="1129"/>
      <c r="N1290" s="1129"/>
    </row>
    <row r="1291" spans="5:14">
      <c r="E1291" s="1129"/>
      <c r="N1291" s="1129"/>
    </row>
    <row r="1292" spans="5:14">
      <c r="E1292" s="1129"/>
      <c r="N1292" s="1129"/>
    </row>
    <row r="1293" spans="5:14">
      <c r="E1293" s="1129"/>
      <c r="N1293" s="1129"/>
    </row>
    <row r="1294" spans="5:14">
      <c r="E1294" s="1129"/>
      <c r="N1294" s="1129"/>
    </row>
    <row r="1295" spans="5:14">
      <c r="E1295" s="1129"/>
      <c r="N1295" s="1129"/>
    </row>
    <row r="1296" spans="5:14">
      <c r="E1296" s="1129"/>
      <c r="N1296" s="1129"/>
    </row>
    <row r="1297" spans="5:14">
      <c r="E1297" s="1129"/>
      <c r="N1297" s="1129"/>
    </row>
    <row r="1298" spans="5:14">
      <c r="E1298" s="1129"/>
      <c r="N1298" s="1129"/>
    </row>
    <row r="1299" spans="5:14">
      <c r="E1299" s="1129"/>
      <c r="N1299" s="1129"/>
    </row>
    <row r="1300" spans="5:14">
      <c r="E1300" s="1129"/>
      <c r="N1300" s="1129"/>
    </row>
    <row r="1301" spans="5:14">
      <c r="E1301" s="1129"/>
      <c r="N1301" s="1129"/>
    </row>
    <row r="1302" spans="5:14">
      <c r="E1302" s="1129"/>
      <c r="N1302" s="1129"/>
    </row>
    <row r="1303" spans="5:14">
      <c r="E1303" s="1129"/>
      <c r="N1303" s="1129"/>
    </row>
    <row r="1304" spans="5:14">
      <c r="E1304" s="1129"/>
      <c r="N1304" s="1129"/>
    </row>
    <row r="1305" spans="5:14">
      <c r="E1305" s="1129"/>
      <c r="N1305" s="1129"/>
    </row>
    <row r="1306" spans="5:14">
      <c r="E1306" s="1129"/>
      <c r="N1306" s="1129"/>
    </row>
    <row r="1307" spans="5:14">
      <c r="E1307" s="1129"/>
      <c r="N1307" s="1129"/>
    </row>
    <row r="1308" spans="5:14">
      <c r="E1308" s="1129"/>
      <c r="N1308" s="1129"/>
    </row>
    <row r="1309" spans="5:14">
      <c r="E1309" s="1129"/>
      <c r="N1309" s="1129"/>
    </row>
    <row r="1310" spans="5:14">
      <c r="E1310" s="1129"/>
      <c r="N1310" s="1129"/>
    </row>
    <row r="1311" spans="5:14">
      <c r="E1311" s="1129"/>
      <c r="N1311" s="1129"/>
    </row>
    <row r="1312" spans="5:14">
      <c r="E1312" s="1129"/>
      <c r="N1312" s="1129"/>
    </row>
    <row r="1313" spans="5:14">
      <c r="E1313" s="1129"/>
      <c r="N1313" s="1129"/>
    </row>
    <row r="1314" spans="5:14">
      <c r="E1314" s="1129"/>
      <c r="N1314" s="1129"/>
    </row>
    <row r="1315" spans="5:14">
      <c r="E1315" s="1129"/>
      <c r="N1315" s="1129"/>
    </row>
    <row r="1316" spans="5:14">
      <c r="E1316" s="1129"/>
      <c r="N1316" s="1129"/>
    </row>
    <row r="1317" spans="5:14">
      <c r="E1317" s="1129"/>
      <c r="N1317" s="1129"/>
    </row>
    <row r="1318" spans="5:14">
      <c r="E1318" s="1129"/>
      <c r="N1318" s="1129"/>
    </row>
    <row r="1319" spans="5:14">
      <c r="E1319" s="1129"/>
      <c r="N1319" s="1129"/>
    </row>
    <row r="1320" spans="5:14">
      <c r="E1320" s="1129"/>
      <c r="N1320" s="1129"/>
    </row>
    <row r="1321" spans="5:14">
      <c r="E1321" s="1129"/>
      <c r="N1321" s="1129"/>
    </row>
    <row r="1322" spans="5:14">
      <c r="E1322" s="1129"/>
      <c r="N1322" s="1129"/>
    </row>
    <row r="1323" spans="5:14">
      <c r="E1323" s="1129"/>
      <c r="N1323" s="1129"/>
    </row>
    <row r="1324" spans="5:14">
      <c r="E1324" s="1129"/>
      <c r="N1324" s="1129"/>
    </row>
    <row r="1325" spans="5:14">
      <c r="E1325" s="1129"/>
      <c r="N1325" s="1129"/>
    </row>
    <row r="1326" spans="5:14">
      <c r="E1326" s="1129"/>
      <c r="N1326" s="1129"/>
    </row>
    <row r="1327" spans="5:14">
      <c r="E1327" s="1129"/>
      <c r="N1327" s="1129"/>
    </row>
    <row r="1328" spans="5:14">
      <c r="E1328" s="1129"/>
      <c r="N1328" s="1129"/>
    </row>
    <row r="1329" spans="5:14">
      <c r="E1329" s="1129"/>
      <c r="N1329" s="1129"/>
    </row>
    <row r="1330" spans="5:14">
      <c r="E1330" s="1129"/>
      <c r="N1330" s="1129"/>
    </row>
    <row r="1331" spans="5:14">
      <c r="E1331" s="1129"/>
      <c r="N1331" s="1129"/>
    </row>
    <row r="1332" spans="5:14">
      <c r="E1332" s="1129"/>
      <c r="N1332" s="1129"/>
    </row>
    <row r="1333" spans="5:14">
      <c r="E1333" s="1129"/>
      <c r="N1333" s="1129"/>
    </row>
    <row r="1334" spans="5:14">
      <c r="E1334" s="1129"/>
      <c r="N1334" s="1129"/>
    </row>
    <row r="1335" spans="5:14">
      <c r="E1335" s="1129"/>
      <c r="N1335" s="1129"/>
    </row>
    <row r="1336" spans="5:14">
      <c r="E1336" s="1129"/>
      <c r="N1336" s="1129"/>
    </row>
    <row r="1337" spans="5:14">
      <c r="E1337" s="1129"/>
      <c r="N1337" s="1129"/>
    </row>
    <row r="1338" spans="5:14">
      <c r="E1338" s="1129"/>
      <c r="N1338" s="1129"/>
    </row>
    <row r="1339" spans="5:14">
      <c r="E1339" s="1129"/>
      <c r="N1339" s="1129"/>
    </row>
    <row r="1340" spans="5:14">
      <c r="E1340" s="1129"/>
      <c r="N1340" s="1129"/>
    </row>
    <row r="1341" spans="5:14">
      <c r="E1341" s="1129"/>
      <c r="N1341" s="1129"/>
    </row>
    <row r="1342" spans="5:14">
      <c r="E1342" s="1129"/>
      <c r="N1342" s="1129"/>
    </row>
    <row r="1343" spans="5:14">
      <c r="E1343" s="1129"/>
      <c r="N1343" s="1129"/>
    </row>
    <row r="1344" spans="5:14">
      <c r="E1344" s="1129"/>
      <c r="N1344" s="1129"/>
    </row>
    <row r="1345" spans="5:14">
      <c r="E1345" s="1129"/>
      <c r="N1345" s="1129"/>
    </row>
    <row r="1346" spans="5:14">
      <c r="E1346" s="1129"/>
      <c r="N1346" s="1129"/>
    </row>
    <row r="1347" spans="5:14">
      <c r="E1347" s="1129"/>
      <c r="N1347" s="1129"/>
    </row>
    <row r="1348" spans="5:14">
      <c r="E1348" s="1129"/>
      <c r="N1348" s="1129"/>
    </row>
    <row r="1349" spans="5:14">
      <c r="E1349" s="1129"/>
      <c r="N1349" s="1129"/>
    </row>
    <row r="1350" spans="5:14">
      <c r="E1350" s="1129"/>
      <c r="N1350" s="1129"/>
    </row>
    <row r="1351" spans="5:14">
      <c r="E1351" s="1129"/>
      <c r="N1351" s="1129"/>
    </row>
    <row r="1352" spans="5:14">
      <c r="E1352" s="1129"/>
      <c r="N1352" s="1129"/>
    </row>
    <row r="1353" spans="5:14">
      <c r="E1353" s="1129"/>
      <c r="N1353" s="1129"/>
    </row>
    <row r="1354" spans="5:14">
      <c r="E1354" s="1129"/>
      <c r="N1354" s="1129"/>
    </row>
    <row r="1355" spans="5:14">
      <c r="E1355" s="1129"/>
      <c r="N1355" s="1129"/>
    </row>
    <row r="1356" spans="5:14">
      <c r="E1356" s="1129"/>
      <c r="N1356" s="1129"/>
    </row>
    <row r="1357" spans="5:14">
      <c r="E1357" s="1129"/>
      <c r="N1357" s="1129"/>
    </row>
    <row r="1358" spans="5:14">
      <c r="E1358" s="1129"/>
      <c r="N1358" s="1129"/>
    </row>
    <row r="1359" spans="5:14">
      <c r="E1359" s="1129"/>
      <c r="N1359" s="1129"/>
    </row>
    <row r="1360" spans="5:14">
      <c r="E1360" s="1129"/>
      <c r="N1360" s="1129"/>
    </row>
    <row r="1361" spans="5:14">
      <c r="E1361" s="1129"/>
      <c r="N1361" s="1129"/>
    </row>
    <row r="1362" spans="5:14">
      <c r="E1362" s="1129"/>
      <c r="N1362" s="1129"/>
    </row>
    <row r="1363" spans="5:14">
      <c r="E1363" s="1129"/>
      <c r="N1363" s="1129"/>
    </row>
    <row r="1364" spans="5:14">
      <c r="E1364" s="1129"/>
      <c r="N1364" s="1129"/>
    </row>
    <row r="1365" spans="5:14">
      <c r="E1365" s="1129"/>
      <c r="N1365" s="1129"/>
    </row>
    <row r="1366" spans="5:14">
      <c r="E1366" s="1129"/>
      <c r="N1366" s="1129"/>
    </row>
    <row r="1367" spans="5:14">
      <c r="E1367" s="1129"/>
      <c r="N1367" s="1129"/>
    </row>
    <row r="1368" spans="5:14">
      <c r="E1368" s="1129"/>
      <c r="N1368" s="1129"/>
    </row>
    <row r="1369" spans="5:14">
      <c r="E1369" s="1129"/>
      <c r="N1369" s="1129"/>
    </row>
    <row r="1370" spans="5:14">
      <c r="E1370" s="1129"/>
      <c r="N1370" s="1129"/>
    </row>
    <row r="1371" spans="5:14">
      <c r="E1371" s="1129"/>
      <c r="N1371" s="1129"/>
    </row>
    <row r="1372" spans="5:14">
      <c r="E1372" s="1129"/>
      <c r="N1372" s="1129"/>
    </row>
    <row r="1373" spans="5:14">
      <c r="E1373" s="1129"/>
      <c r="N1373" s="1129"/>
    </row>
    <row r="1374" spans="5:14">
      <c r="E1374" s="1129"/>
      <c r="N1374" s="1129"/>
    </row>
    <row r="1375" spans="5:14">
      <c r="E1375" s="1129"/>
      <c r="N1375" s="1129"/>
    </row>
    <row r="1376" spans="5:14">
      <c r="E1376" s="1129"/>
      <c r="N1376" s="1129"/>
    </row>
    <row r="1377" spans="5:14">
      <c r="E1377" s="1129"/>
      <c r="N1377" s="1129"/>
    </row>
    <row r="1378" spans="5:14">
      <c r="E1378" s="1129"/>
      <c r="N1378" s="1129"/>
    </row>
    <row r="1379" spans="5:14">
      <c r="E1379" s="1129"/>
      <c r="N1379" s="1129"/>
    </row>
    <row r="1380" spans="5:14">
      <c r="E1380" s="1129"/>
      <c r="N1380" s="1129"/>
    </row>
    <row r="1381" spans="5:14">
      <c r="E1381" s="1129"/>
      <c r="N1381" s="1129"/>
    </row>
    <row r="1382" spans="5:14">
      <c r="E1382" s="1129"/>
      <c r="N1382" s="1129"/>
    </row>
    <row r="1383" spans="5:14">
      <c r="E1383" s="1129"/>
      <c r="N1383" s="1129"/>
    </row>
    <row r="1384" spans="5:14">
      <c r="E1384" s="1129"/>
      <c r="N1384" s="1129"/>
    </row>
    <row r="1385" spans="5:14">
      <c r="E1385" s="1129"/>
      <c r="N1385" s="1129"/>
    </row>
    <row r="1386" spans="5:14">
      <c r="E1386" s="1129"/>
      <c r="N1386" s="1129"/>
    </row>
    <row r="1387" spans="5:14">
      <c r="E1387" s="1129"/>
      <c r="N1387" s="1129"/>
    </row>
    <row r="1388" spans="5:14">
      <c r="E1388" s="1129"/>
      <c r="N1388" s="1129"/>
    </row>
    <row r="1389" spans="5:14">
      <c r="E1389" s="1129"/>
      <c r="N1389" s="1129"/>
    </row>
    <row r="1390" spans="5:14">
      <c r="E1390" s="1129"/>
      <c r="N1390" s="1129"/>
    </row>
    <row r="1391" spans="5:14">
      <c r="E1391" s="1129"/>
      <c r="N1391" s="1129"/>
    </row>
    <row r="1392" spans="5:14">
      <c r="E1392" s="1129"/>
      <c r="N1392" s="1129"/>
    </row>
    <row r="1393" spans="5:14">
      <c r="E1393" s="1129"/>
      <c r="N1393" s="1129"/>
    </row>
    <row r="1394" spans="5:14">
      <c r="E1394" s="1129"/>
      <c r="N1394" s="1129"/>
    </row>
    <row r="1395" spans="5:14">
      <c r="E1395" s="1129"/>
      <c r="N1395" s="1129"/>
    </row>
    <row r="1396" spans="5:14">
      <c r="E1396" s="1129"/>
      <c r="N1396" s="1129"/>
    </row>
    <row r="1397" spans="5:14">
      <c r="E1397" s="1129"/>
      <c r="N1397" s="1129"/>
    </row>
    <row r="1398" spans="5:14">
      <c r="E1398" s="1129"/>
      <c r="N1398" s="1129"/>
    </row>
    <row r="1399" spans="5:14">
      <c r="E1399" s="1129"/>
      <c r="N1399" s="1129"/>
    </row>
    <row r="1400" spans="5:14">
      <c r="E1400" s="1129"/>
      <c r="N1400" s="1129"/>
    </row>
    <row r="1401" spans="5:14">
      <c r="E1401" s="1129"/>
      <c r="N1401" s="1129"/>
    </row>
    <row r="1402" spans="5:14">
      <c r="E1402" s="1129"/>
      <c r="N1402" s="1129"/>
    </row>
    <row r="1403" spans="5:14">
      <c r="E1403" s="1129"/>
      <c r="N1403" s="1129"/>
    </row>
    <row r="1404" spans="5:14">
      <c r="E1404" s="1129"/>
      <c r="N1404" s="1129"/>
    </row>
    <row r="1405" spans="5:14">
      <c r="E1405" s="1129"/>
      <c r="N1405" s="1129"/>
    </row>
    <row r="1406" spans="5:14">
      <c r="E1406" s="1129"/>
      <c r="N1406" s="1129"/>
    </row>
    <row r="1407" spans="5:14">
      <c r="E1407" s="1129"/>
      <c r="N1407" s="1129"/>
    </row>
    <row r="1408" spans="5:14">
      <c r="E1408" s="1129"/>
      <c r="N1408" s="1129"/>
    </row>
    <row r="1409" spans="5:14">
      <c r="E1409" s="1129"/>
      <c r="N1409" s="1129"/>
    </row>
    <row r="1410" spans="5:14">
      <c r="E1410" s="1129"/>
      <c r="N1410" s="1129"/>
    </row>
    <row r="1411" spans="5:14">
      <c r="E1411" s="1129"/>
      <c r="N1411" s="1129"/>
    </row>
    <row r="1412" spans="5:14">
      <c r="E1412" s="1129"/>
      <c r="N1412" s="1129"/>
    </row>
    <row r="1413" spans="5:14">
      <c r="E1413" s="1129"/>
      <c r="N1413" s="1129"/>
    </row>
    <row r="1414" spans="5:14">
      <c r="E1414" s="1129"/>
      <c r="N1414" s="1129"/>
    </row>
    <row r="1415" spans="5:14">
      <c r="E1415" s="1129"/>
      <c r="N1415" s="1129"/>
    </row>
    <row r="1416" spans="5:14">
      <c r="E1416" s="1129"/>
      <c r="N1416" s="1129"/>
    </row>
    <row r="1417" spans="5:14">
      <c r="E1417" s="1129"/>
      <c r="N1417" s="1129"/>
    </row>
    <row r="1418" spans="5:14">
      <c r="E1418" s="1129"/>
      <c r="N1418" s="1129"/>
    </row>
    <row r="1419" spans="5:14">
      <c r="E1419" s="1129"/>
      <c r="N1419" s="1129"/>
    </row>
    <row r="1420" spans="5:14">
      <c r="E1420" s="1129"/>
      <c r="N1420" s="1129"/>
    </row>
    <row r="1421" spans="5:14">
      <c r="E1421" s="1129"/>
      <c r="N1421" s="1129"/>
    </row>
    <row r="1422" spans="5:14">
      <c r="E1422" s="1129"/>
      <c r="N1422" s="1129"/>
    </row>
    <row r="1423" spans="5:14">
      <c r="E1423" s="1129"/>
      <c r="N1423" s="1129"/>
    </row>
    <row r="1424" spans="5:14">
      <c r="E1424" s="1129"/>
      <c r="N1424" s="1129"/>
    </row>
    <row r="1425" spans="5:14">
      <c r="E1425" s="1129"/>
      <c r="N1425" s="1129"/>
    </row>
    <row r="1426" spans="5:14">
      <c r="E1426" s="1129"/>
      <c r="N1426" s="1129"/>
    </row>
    <row r="1427" spans="5:14">
      <c r="E1427" s="1129"/>
      <c r="N1427" s="1129"/>
    </row>
    <row r="1428" spans="5:14">
      <c r="E1428" s="1129"/>
      <c r="N1428" s="1129"/>
    </row>
    <row r="1429" spans="5:14">
      <c r="E1429" s="1129"/>
      <c r="N1429" s="1129"/>
    </row>
    <row r="1430" spans="5:14">
      <c r="E1430" s="1129"/>
      <c r="N1430" s="1129"/>
    </row>
    <row r="1431" spans="5:14">
      <c r="E1431" s="1129"/>
      <c r="N1431" s="1129"/>
    </row>
    <row r="1432" spans="5:14">
      <c r="E1432" s="1129"/>
      <c r="N1432" s="1129"/>
    </row>
    <row r="1433" spans="5:14">
      <c r="E1433" s="1129"/>
      <c r="N1433" s="1129"/>
    </row>
    <row r="1434" spans="5:14">
      <c r="E1434" s="1129"/>
      <c r="N1434" s="1129"/>
    </row>
    <row r="1435" spans="5:14">
      <c r="E1435" s="1129"/>
      <c r="N1435" s="1129"/>
    </row>
    <row r="1436" spans="5:14">
      <c r="E1436" s="1129"/>
      <c r="N1436" s="1129"/>
    </row>
    <row r="1437" spans="5:14">
      <c r="E1437" s="1129"/>
      <c r="N1437" s="1129"/>
    </row>
    <row r="1438" spans="5:14">
      <c r="E1438" s="1129"/>
      <c r="N1438" s="1129"/>
    </row>
    <row r="1439" spans="5:14">
      <c r="E1439" s="1129"/>
      <c r="N1439" s="1129"/>
    </row>
    <row r="1440" spans="5:14">
      <c r="E1440" s="1129"/>
      <c r="N1440" s="1129"/>
    </row>
    <row r="1441" spans="5:14">
      <c r="E1441" s="1129"/>
      <c r="N1441" s="1129"/>
    </row>
    <row r="1442" spans="5:14">
      <c r="E1442" s="1129"/>
      <c r="N1442" s="1129"/>
    </row>
    <row r="1443" spans="5:14">
      <c r="E1443" s="1129"/>
      <c r="N1443" s="1129"/>
    </row>
    <row r="1444" spans="5:14">
      <c r="E1444" s="1129"/>
      <c r="N1444" s="1129"/>
    </row>
    <row r="1445" spans="5:14">
      <c r="E1445" s="1129"/>
      <c r="N1445" s="1129"/>
    </row>
    <row r="1446" spans="5:14">
      <c r="E1446" s="1129"/>
      <c r="N1446" s="1129"/>
    </row>
    <row r="1447" spans="5:14">
      <c r="E1447" s="1129"/>
      <c r="N1447" s="1129"/>
    </row>
    <row r="1448" spans="5:14">
      <c r="E1448" s="1129"/>
      <c r="N1448" s="1129"/>
    </row>
    <row r="1449" spans="5:14">
      <c r="E1449" s="1129"/>
      <c r="N1449" s="1129"/>
    </row>
    <row r="1450" spans="5:14">
      <c r="E1450" s="1129"/>
      <c r="N1450" s="1129"/>
    </row>
    <row r="1451" spans="5:14">
      <c r="E1451" s="1129"/>
      <c r="N1451" s="1129"/>
    </row>
    <row r="1452" spans="5:14">
      <c r="E1452" s="1129"/>
      <c r="N1452" s="1129"/>
    </row>
    <row r="1453" spans="5:14">
      <c r="E1453" s="1129"/>
      <c r="N1453" s="1129"/>
    </row>
    <row r="1454" spans="5:14">
      <c r="E1454" s="1129"/>
      <c r="N1454" s="1129"/>
    </row>
    <row r="1455" spans="5:14">
      <c r="E1455" s="1129"/>
      <c r="N1455" s="1129"/>
    </row>
    <row r="1456" spans="5:14">
      <c r="E1456" s="1129"/>
      <c r="N1456" s="1129"/>
    </row>
    <row r="1457" spans="5:14">
      <c r="E1457" s="1129"/>
      <c r="N1457" s="1129"/>
    </row>
    <row r="1458" spans="5:14">
      <c r="E1458" s="1129"/>
      <c r="N1458" s="1129"/>
    </row>
    <row r="1459" spans="5:14">
      <c r="E1459" s="1129"/>
      <c r="N1459" s="1129"/>
    </row>
    <row r="1460" spans="5:14">
      <c r="E1460" s="1129"/>
      <c r="N1460" s="1129"/>
    </row>
    <row r="1461" spans="5:14">
      <c r="E1461" s="1129"/>
      <c r="N1461" s="1129"/>
    </row>
    <row r="1462" spans="5:14">
      <c r="E1462" s="1129"/>
      <c r="N1462" s="1129"/>
    </row>
    <row r="1463" spans="5:14">
      <c r="E1463" s="1129"/>
      <c r="N1463" s="1129"/>
    </row>
    <row r="1464" spans="5:14">
      <c r="E1464" s="1129"/>
      <c r="N1464" s="1129"/>
    </row>
    <row r="1465" spans="5:14">
      <c r="E1465" s="1129"/>
      <c r="N1465" s="1129"/>
    </row>
    <row r="1466" spans="5:14">
      <c r="E1466" s="1129"/>
      <c r="N1466" s="1129"/>
    </row>
    <row r="1467" spans="5:14">
      <c r="E1467" s="1129"/>
      <c r="N1467" s="1129"/>
    </row>
    <row r="1468" spans="5:14">
      <c r="E1468" s="1129"/>
      <c r="N1468" s="1129"/>
    </row>
    <row r="1469" spans="5:14">
      <c r="E1469" s="1129"/>
      <c r="N1469" s="1129"/>
    </row>
    <row r="1470" spans="5:14">
      <c r="E1470" s="1129"/>
      <c r="N1470" s="1129"/>
    </row>
    <row r="1471" spans="5:14">
      <c r="E1471" s="1129"/>
      <c r="N1471" s="1129"/>
    </row>
    <row r="1472" spans="5:14">
      <c r="E1472" s="1129"/>
      <c r="N1472" s="1129"/>
    </row>
    <row r="1473" spans="5:14">
      <c r="E1473" s="1129"/>
      <c r="N1473" s="1129"/>
    </row>
    <row r="1474" spans="5:14">
      <c r="E1474" s="1129"/>
      <c r="N1474" s="1129"/>
    </row>
    <row r="1475" spans="5:14">
      <c r="E1475" s="1129"/>
      <c r="N1475" s="1129"/>
    </row>
    <row r="1476" spans="5:14">
      <c r="E1476" s="1129"/>
      <c r="N1476" s="1129"/>
    </row>
    <row r="1477" spans="5:14">
      <c r="E1477" s="1129"/>
      <c r="N1477" s="1129"/>
    </row>
    <row r="1478" spans="5:14">
      <c r="E1478" s="1129"/>
      <c r="N1478" s="1129"/>
    </row>
    <row r="1479" spans="5:14">
      <c r="E1479" s="1129"/>
      <c r="N1479" s="1129"/>
    </row>
    <row r="1480" spans="5:14">
      <c r="E1480" s="1129"/>
      <c r="N1480" s="1129"/>
    </row>
    <row r="1481" spans="5:14">
      <c r="E1481" s="1129"/>
      <c r="N1481" s="1129"/>
    </row>
    <row r="1482" spans="5:14">
      <c r="E1482" s="1129"/>
      <c r="N1482" s="1129"/>
    </row>
    <row r="1483" spans="5:14">
      <c r="E1483" s="1129"/>
      <c r="N1483" s="1129"/>
    </row>
    <row r="1484" spans="5:14">
      <c r="E1484" s="1129"/>
      <c r="N1484" s="1129"/>
    </row>
    <row r="1485" spans="5:14">
      <c r="E1485" s="1129"/>
      <c r="N1485" s="1129"/>
    </row>
    <row r="1486" spans="5:14">
      <c r="E1486" s="1129"/>
      <c r="N1486" s="1129"/>
    </row>
    <row r="1487" spans="5:14">
      <c r="E1487" s="1129"/>
      <c r="N1487" s="1129"/>
    </row>
    <row r="1488" spans="5:14">
      <c r="E1488" s="1129"/>
      <c r="N1488" s="1129"/>
    </row>
    <row r="1489" spans="5:14">
      <c r="E1489" s="1129"/>
      <c r="N1489" s="1129"/>
    </row>
    <row r="1490" spans="5:14">
      <c r="E1490" s="1129"/>
      <c r="N1490" s="1129"/>
    </row>
    <row r="1491" spans="5:14">
      <c r="E1491" s="1129"/>
      <c r="N1491" s="1129"/>
    </row>
    <row r="1492" spans="5:14">
      <c r="E1492" s="1129"/>
      <c r="N1492" s="1129"/>
    </row>
    <row r="1493" spans="5:14">
      <c r="E1493" s="1129"/>
      <c r="N1493" s="1129"/>
    </row>
    <row r="1494" spans="5:14">
      <c r="E1494" s="1129"/>
      <c r="N1494" s="1129"/>
    </row>
    <row r="1495" spans="5:14">
      <c r="E1495" s="1129"/>
      <c r="N1495" s="1129"/>
    </row>
    <row r="1496" spans="5:14">
      <c r="E1496" s="1129"/>
      <c r="N1496" s="1129"/>
    </row>
    <row r="1497" spans="5:14">
      <c r="E1497" s="1129"/>
      <c r="N1497" s="1129"/>
    </row>
    <row r="1498" spans="5:14">
      <c r="E1498" s="1129"/>
      <c r="N1498" s="1129"/>
    </row>
    <row r="1499" spans="5:14">
      <c r="E1499" s="1129"/>
      <c r="N1499" s="1129"/>
    </row>
    <row r="1500" spans="5:14">
      <c r="E1500" s="1129"/>
      <c r="N1500" s="1129"/>
    </row>
    <row r="1501" spans="5:14">
      <c r="E1501" s="1129"/>
      <c r="N1501" s="1129"/>
    </row>
    <row r="1502" spans="5:14">
      <c r="E1502" s="1129"/>
      <c r="N1502" s="1129"/>
    </row>
    <row r="1503" spans="5:14">
      <c r="E1503" s="1129"/>
      <c r="N1503" s="1129"/>
    </row>
    <row r="1504" spans="5:14">
      <c r="E1504" s="1129"/>
      <c r="N1504" s="1129"/>
    </row>
    <row r="1505" spans="5:14">
      <c r="E1505" s="1129"/>
      <c r="N1505" s="1129"/>
    </row>
    <row r="1506" spans="5:14">
      <c r="E1506" s="1129"/>
      <c r="N1506" s="1129"/>
    </row>
    <row r="1507" spans="5:14">
      <c r="E1507" s="1129"/>
      <c r="N1507" s="1129"/>
    </row>
    <row r="1508" spans="5:14">
      <c r="E1508" s="1129"/>
      <c r="N1508" s="1129"/>
    </row>
    <row r="1509" spans="5:14">
      <c r="E1509" s="1129"/>
      <c r="N1509" s="1129"/>
    </row>
    <row r="1510" spans="5:14">
      <c r="E1510" s="1129"/>
      <c r="N1510" s="1129"/>
    </row>
    <row r="1511" spans="5:14">
      <c r="E1511" s="1129"/>
      <c r="N1511" s="1129"/>
    </row>
    <row r="1512" spans="5:14">
      <c r="E1512" s="1129"/>
      <c r="N1512" s="1129"/>
    </row>
    <row r="1513" spans="5:14">
      <c r="E1513" s="1129"/>
      <c r="N1513" s="1129"/>
    </row>
    <row r="1514" spans="5:14">
      <c r="E1514" s="1129"/>
      <c r="N1514" s="1129"/>
    </row>
    <row r="1515" spans="5:14">
      <c r="E1515" s="1129"/>
      <c r="N1515" s="1129"/>
    </row>
    <row r="1516" spans="5:14">
      <c r="E1516" s="1129"/>
      <c r="N1516" s="1129"/>
    </row>
    <row r="1517" spans="5:14">
      <c r="E1517" s="1129"/>
      <c r="N1517" s="1129"/>
    </row>
    <row r="1518" spans="5:14">
      <c r="E1518" s="1129"/>
      <c r="N1518" s="1129"/>
    </row>
    <row r="1519" spans="5:14">
      <c r="E1519" s="1129"/>
      <c r="N1519" s="1129"/>
    </row>
    <row r="1520" spans="5:14">
      <c r="E1520" s="1129"/>
      <c r="N1520" s="1129"/>
    </row>
    <row r="1521" spans="5:14">
      <c r="E1521" s="1129"/>
      <c r="N1521" s="1129"/>
    </row>
    <row r="1522" spans="5:14">
      <c r="E1522" s="1129"/>
      <c r="N1522" s="1129"/>
    </row>
    <row r="1523" spans="5:14">
      <c r="E1523" s="1129"/>
      <c r="N1523" s="1129"/>
    </row>
    <row r="1524" spans="5:14">
      <c r="E1524" s="1129"/>
      <c r="N1524" s="1129"/>
    </row>
    <row r="1525" spans="5:14">
      <c r="E1525" s="1129"/>
      <c r="N1525" s="1129"/>
    </row>
    <row r="1526" spans="5:14">
      <c r="E1526" s="1129"/>
      <c r="N1526" s="1129"/>
    </row>
    <row r="1527" spans="5:14">
      <c r="E1527" s="1129"/>
      <c r="N1527" s="1129"/>
    </row>
    <row r="1528" spans="5:14">
      <c r="E1528" s="1129"/>
      <c r="N1528" s="1129"/>
    </row>
    <row r="1529" spans="5:14">
      <c r="E1529" s="1129"/>
      <c r="N1529" s="1129"/>
    </row>
    <row r="1530" spans="5:14">
      <c r="E1530" s="1129"/>
      <c r="N1530" s="1129"/>
    </row>
    <row r="1531" spans="5:14">
      <c r="E1531" s="1129"/>
      <c r="N1531" s="1129"/>
    </row>
    <row r="1532" spans="5:14">
      <c r="E1532" s="1129"/>
      <c r="N1532" s="1129"/>
    </row>
    <row r="1533" spans="5:14">
      <c r="E1533" s="1129"/>
      <c r="N1533" s="1129"/>
    </row>
    <row r="1534" spans="5:14">
      <c r="E1534" s="1129"/>
      <c r="N1534" s="1129"/>
    </row>
    <row r="1535" spans="5:14">
      <c r="E1535" s="1129"/>
      <c r="N1535" s="1129"/>
    </row>
    <row r="1536" spans="5:14">
      <c r="E1536" s="1129"/>
      <c r="N1536" s="1129"/>
    </row>
    <row r="1537" spans="5:14">
      <c r="E1537" s="1129"/>
      <c r="N1537" s="1129"/>
    </row>
    <row r="1538" spans="5:14">
      <c r="E1538" s="1129"/>
      <c r="N1538" s="1129"/>
    </row>
    <row r="1539" spans="5:14">
      <c r="E1539" s="1129"/>
      <c r="N1539" s="1129"/>
    </row>
    <row r="1540" spans="5:14">
      <c r="E1540" s="1129"/>
      <c r="N1540" s="1129"/>
    </row>
    <row r="1541" spans="5:14">
      <c r="E1541" s="1129"/>
      <c r="N1541" s="1129"/>
    </row>
    <row r="1542" spans="5:14">
      <c r="E1542" s="1129"/>
      <c r="N1542" s="1129"/>
    </row>
    <row r="1543" spans="5:14">
      <c r="E1543" s="1129"/>
      <c r="N1543" s="1129"/>
    </row>
    <row r="1544" spans="5:14">
      <c r="E1544" s="1129"/>
      <c r="N1544" s="1129"/>
    </row>
    <row r="1545" spans="5:14">
      <c r="E1545" s="1129"/>
      <c r="N1545" s="1129"/>
    </row>
    <row r="1546" spans="5:14">
      <c r="E1546" s="1129"/>
      <c r="N1546" s="1129"/>
    </row>
    <row r="1547" spans="5:14">
      <c r="E1547" s="1129"/>
      <c r="N1547" s="1129"/>
    </row>
    <row r="1548" spans="5:14">
      <c r="E1548" s="1129"/>
      <c r="N1548" s="1129"/>
    </row>
    <row r="1549" spans="5:14">
      <c r="E1549" s="1129"/>
      <c r="N1549" s="1129"/>
    </row>
    <row r="1550" spans="5:14">
      <c r="E1550" s="1129"/>
      <c r="N1550" s="1129"/>
    </row>
    <row r="1551" spans="5:14">
      <c r="E1551" s="1129"/>
      <c r="N1551" s="1129"/>
    </row>
    <row r="1552" spans="5:14">
      <c r="E1552" s="1129"/>
      <c r="N1552" s="1129"/>
    </row>
    <row r="1553" spans="5:14">
      <c r="E1553" s="1129"/>
      <c r="N1553" s="1129"/>
    </row>
    <row r="1554" spans="5:14">
      <c r="E1554" s="1129"/>
      <c r="N1554" s="1129"/>
    </row>
    <row r="1555" spans="5:14">
      <c r="E1555" s="1129"/>
      <c r="N1555" s="1129"/>
    </row>
    <row r="1556" spans="5:14">
      <c r="E1556" s="1129"/>
      <c r="N1556" s="1129"/>
    </row>
    <row r="1557" spans="5:14">
      <c r="E1557" s="1129"/>
      <c r="N1557" s="1129"/>
    </row>
    <row r="1558" spans="5:14">
      <c r="E1558" s="1129"/>
      <c r="N1558" s="1129"/>
    </row>
    <row r="1559" spans="5:14">
      <c r="E1559" s="1129"/>
      <c r="N1559" s="1129"/>
    </row>
    <row r="1560" spans="5:14">
      <c r="E1560" s="1129"/>
      <c r="N1560" s="1129"/>
    </row>
    <row r="1561" spans="5:14">
      <c r="E1561" s="1129"/>
      <c r="N1561" s="1129"/>
    </row>
    <row r="1562" spans="5:14">
      <c r="E1562" s="1129"/>
      <c r="N1562" s="1129"/>
    </row>
    <row r="1563" spans="5:14">
      <c r="E1563" s="1129"/>
      <c r="N1563" s="1129"/>
    </row>
    <row r="1564" spans="5:14">
      <c r="E1564" s="1129"/>
      <c r="N1564" s="1129"/>
    </row>
    <row r="1565" spans="5:14">
      <c r="E1565" s="1129"/>
      <c r="N1565" s="1129"/>
    </row>
    <row r="1566" spans="5:14">
      <c r="E1566" s="1129"/>
      <c r="N1566" s="1129"/>
    </row>
    <row r="1567" spans="5:14">
      <c r="E1567" s="1129"/>
      <c r="N1567" s="1129"/>
    </row>
    <row r="1568" spans="5:14">
      <c r="E1568" s="1129"/>
      <c r="N1568" s="1129"/>
    </row>
    <row r="1569" spans="5:14">
      <c r="E1569" s="1129"/>
      <c r="N1569" s="1129"/>
    </row>
    <row r="1570" spans="5:14">
      <c r="E1570" s="1129"/>
      <c r="N1570" s="1129"/>
    </row>
    <row r="1571" spans="5:14">
      <c r="E1571" s="1129"/>
      <c r="N1571" s="1129"/>
    </row>
    <row r="1572" spans="5:14">
      <c r="E1572" s="1129"/>
      <c r="N1572" s="1129"/>
    </row>
    <row r="1573" spans="5:14">
      <c r="E1573" s="1129"/>
      <c r="N1573" s="1129"/>
    </row>
    <row r="1574" spans="5:14">
      <c r="E1574" s="1129"/>
      <c r="N1574" s="1129"/>
    </row>
    <row r="1575" spans="5:14">
      <c r="E1575" s="1129"/>
      <c r="N1575" s="1129"/>
    </row>
    <row r="1576" spans="5:14">
      <c r="E1576" s="1129"/>
      <c r="N1576" s="1129"/>
    </row>
    <row r="1577" spans="5:14">
      <c r="E1577" s="1129"/>
      <c r="N1577" s="1129"/>
    </row>
    <row r="1578" spans="5:14">
      <c r="E1578" s="1129"/>
      <c r="N1578" s="1129"/>
    </row>
    <row r="1579" spans="5:14">
      <c r="E1579" s="1129"/>
      <c r="N1579" s="1129"/>
    </row>
    <row r="1580" spans="5:14">
      <c r="E1580" s="1129"/>
      <c r="N1580" s="1129"/>
    </row>
    <row r="1581" spans="5:14">
      <c r="E1581" s="1129"/>
      <c r="N1581" s="1129"/>
    </row>
    <row r="1582" spans="5:14">
      <c r="E1582" s="1129"/>
      <c r="N1582" s="1129"/>
    </row>
    <row r="1583" spans="5:14">
      <c r="E1583" s="1129"/>
      <c r="N1583" s="1129"/>
    </row>
    <row r="1584" spans="5:14">
      <c r="E1584" s="1129"/>
      <c r="N1584" s="1129"/>
    </row>
    <row r="1585" spans="5:14">
      <c r="E1585" s="1129"/>
      <c r="N1585" s="1129"/>
    </row>
    <row r="1586" spans="5:14">
      <c r="E1586" s="1129"/>
      <c r="N1586" s="1129"/>
    </row>
    <row r="1587" spans="5:14">
      <c r="E1587" s="1129"/>
      <c r="N1587" s="1129"/>
    </row>
    <row r="1588" spans="5:14">
      <c r="E1588" s="1129"/>
      <c r="N1588" s="1129"/>
    </row>
    <row r="1589" spans="5:14">
      <c r="E1589" s="1129"/>
      <c r="N1589" s="1129"/>
    </row>
    <row r="1590" spans="5:14">
      <c r="E1590" s="1129"/>
      <c r="N1590" s="1129"/>
    </row>
    <row r="1591" spans="5:14">
      <c r="E1591" s="1129"/>
      <c r="N1591" s="1129"/>
    </row>
    <row r="1592" spans="5:14">
      <c r="E1592" s="1129"/>
      <c r="N1592" s="1129"/>
    </row>
    <row r="1593" spans="5:14">
      <c r="E1593" s="1129"/>
      <c r="N1593" s="1129"/>
    </row>
    <row r="1594" spans="5:14">
      <c r="E1594" s="1129"/>
      <c r="N1594" s="1129"/>
    </row>
    <row r="1595" spans="5:14">
      <c r="E1595" s="1129"/>
      <c r="N1595" s="1129"/>
    </row>
    <row r="1596" spans="5:14">
      <c r="E1596" s="1129"/>
      <c r="N1596" s="1129"/>
    </row>
    <row r="1597" spans="5:14">
      <c r="E1597" s="1129"/>
      <c r="N1597" s="1129"/>
    </row>
    <row r="1598" spans="5:14">
      <c r="E1598" s="1129"/>
      <c r="N1598" s="1129"/>
    </row>
    <row r="1599" spans="5:14">
      <c r="E1599" s="1129"/>
      <c r="N1599" s="1129"/>
    </row>
    <row r="1600" spans="5:14">
      <c r="E1600" s="1129"/>
      <c r="N1600" s="1129"/>
    </row>
    <row r="1601" spans="5:14">
      <c r="E1601" s="1129"/>
      <c r="N1601" s="1129"/>
    </row>
    <row r="1602" spans="5:14">
      <c r="E1602" s="1129"/>
      <c r="N1602" s="1129"/>
    </row>
    <row r="1603" spans="5:14">
      <c r="E1603" s="1129"/>
      <c r="N1603" s="1129"/>
    </row>
    <row r="1604" spans="5:14">
      <c r="E1604" s="1129"/>
      <c r="N1604" s="1129"/>
    </row>
    <row r="1605" spans="5:14">
      <c r="E1605" s="1129"/>
      <c r="N1605" s="1129"/>
    </row>
    <row r="1606" spans="5:14">
      <c r="E1606" s="1129"/>
      <c r="N1606" s="1129"/>
    </row>
    <row r="1607" spans="5:14">
      <c r="E1607" s="1129"/>
      <c r="N1607" s="1129"/>
    </row>
    <row r="1608" spans="5:14">
      <c r="E1608" s="1129"/>
      <c r="N1608" s="1129"/>
    </row>
    <row r="1609" spans="5:14">
      <c r="E1609" s="1129"/>
      <c r="N1609" s="1129"/>
    </row>
    <row r="1610" spans="5:14">
      <c r="E1610" s="1129"/>
      <c r="N1610" s="1129"/>
    </row>
    <row r="1611" spans="5:14">
      <c r="E1611" s="1129"/>
      <c r="N1611" s="1129"/>
    </row>
    <row r="1612" spans="5:14">
      <c r="E1612" s="1129"/>
      <c r="N1612" s="1129"/>
    </row>
    <row r="1613" spans="5:14">
      <c r="E1613" s="1129"/>
      <c r="N1613" s="1129"/>
    </row>
    <row r="1614" spans="5:14">
      <c r="E1614" s="1129"/>
      <c r="N1614" s="1129"/>
    </row>
    <row r="1615" spans="5:14">
      <c r="E1615" s="1129"/>
      <c r="N1615" s="1129"/>
    </row>
    <row r="1616" spans="5:14">
      <c r="E1616" s="1129"/>
      <c r="N1616" s="1129"/>
    </row>
    <row r="1617" spans="5:14">
      <c r="E1617" s="1129"/>
      <c r="N1617" s="1129"/>
    </row>
    <row r="1618" spans="5:14">
      <c r="E1618" s="1129"/>
      <c r="N1618" s="1129"/>
    </row>
    <row r="1619" spans="5:14">
      <c r="E1619" s="1129"/>
      <c r="N1619" s="1129"/>
    </row>
    <row r="1620" spans="5:14">
      <c r="E1620" s="1129"/>
      <c r="N1620" s="1129"/>
    </row>
    <row r="1621" spans="5:14">
      <c r="E1621" s="1129"/>
      <c r="N1621" s="1129"/>
    </row>
    <row r="1622" spans="5:14">
      <c r="E1622" s="1129"/>
      <c r="N1622" s="1129"/>
    </row>
    <row r="1623" spans="5:14">
      <c r="E1623" s="1129"/>
      <c r="N1623" s="1129"/>
    </row>
    <row r="1624" spans="5:14">
      <c r="E1624" s="1129"/>
      <c r="N1624" s="1129"/>
    </row>
    <row r="1625" spans="5:14">
      <c r="E1625" s="1129"/>
      <c r="N1625" s="1129"/>
    </row>
    <row r="1626" spans="5:14">
      <c r="E1626" s="1129"/>
      <c r="N1626" s="1129"/>
    </row>
    <row r="1627" spans="5:14">
      <c r="E1627" s="1129"/>
      <c r="N1627" s="1129"/>
    </row>
    <row r="1628" spans="5:14">
      <c r="E1628" s="1129"/>
      <c r="N1628" s="1129"/>
    </row>
    <row r="1629" spans="5:14">
      <c r="E1629" s="1129"/>
      <c r="N1629" s="1129"/>
    </row>
    <row r="1630" spans="5:14">
      <c r="E1630" s="1129"/>
      <c r="N1630" s="1129"/>
    </row>
    <row r="1631" spans="5:14">
      <c r="E1631" s="1129"/>
      <c r="N1631" s="1129"/>
    </row>
    <row r="1632" spans="5:14">
      <c r="E1632" s="1129"/>
      <c r="N1632" s="1129"/>
    </row>
    <row r="1633" spans="5:14">
      <c r="E1633" s="1129"/>
      <c r="N1633" s="1129"/>
    </row>
    <row r="1634" spans="5:14">
      <c r="E1634" s="1129"/>
      <c r="N1634" s="1129"/>
    </row>
    <row r="1635" spans="5:14">
      <c r="E1635" s="1129"/>
      <c r="N1635" s="1129"/>
    </row>
    <row r="1636" spans="5:14">
      <c r="E1636" s="1129"/>
      <c r="N1636" s="1129"/>
    </row>
    <row r="1637" spans="5:14">
      <c r="E1637" s="1129"/>
      <c r="N1637" s="1129"/>
    </row>
    <row r="1638" spans="5:14">
      <c r="E1638" s="1129"/>
      <c r="N1638" s="1129"/>
    </row>
    <row r="1639" spans="5:14">
      <c r="E1639" s="1129"/>
      <c r="N1639" s="1129"/>
    </row>
    <row r="1640" spans="5:14">
      <c r="E1640" s="1129"/>
      <c r="N1640" s="1129"/>
    </row>
    <row r="1641" spans="5:14">
      <c r="E1641" s="1129"/>
      <c r="N1641" s="1129"/>
    </row>
    <row r="1642" spans="5:14">
      <c r="E1642" s="1129"/>
      <c r="N1642" s="1129"/>
    </row>
    <row r="1643" spans="5:14">
      <c r="E1643" s="1129"/>
      <c r="N1643" s="1129"/>
    </row>
    <row r="1644" spans="5:14">
      <c r="E1644" s="1129"/>
      <c r="N1644" s="1129"/>
    </row>
    <row r="1645" spans="5:14">
      <c r="E1645" s="1129"/>
      <c r="N1645" s="1129"/>
    </row>
    <row r="1646" spans="5:14">
      <c r="E1646" s="1129"/>
      <c r="N1646" s="1129"/>
    </row>
    <row r="1647" spans="5:14">
      <c r="E1647" s="1129"/>
      <c r="N1647" s="1129"/>
    </row>
    <row r="1648" spans="5:14">
      <c r="E1648" s="1129"/>
      <c r="N1648" s="1129"/>
    </row>
    <row r="1649" spans="5:14">
      <c r="E1649" s="1129"/>
      <c r="N1649" s="1129"/>
    </row>
    <row r="1650" spans="5:14">
      <c r="E1650" s="1129"/>
      <c r="N1650" s="1129"/>
    </row>
    <row r="1651" spans="5:14">
      <c r="E1651" s="1129"/>
      <c r="N1651" s="1129"/>
    </row>
    <row r="1652" spans="5:14">
      <c r="E1652" s="1129"/>
      <c r="N1652" s="1129"/>
    </row>
    <row r="1653" spans="5:14">
      <c r="E1653" s="1129"/>
      <c r="N1653" s="1129"/>
    </row>
    <row r="1654" spans="5:14">
      <c r="E1654" s="1129"/>
      <c r="N1654" s="1129"/>
    </row>
    <row r="1655" spans="5:14">
      <c r="E1655" s="1129"/>
      <c r="N1655" s="1129"/>
    </row>
    <row r="1656" spans="5:14">
      <c r="E1656" s="1129"/>
      <c r="N1656" s="1129"/>
    </row>
    <row r="1657" spans="5:14">
      <c r="E1657" s="1129"/>
      <c r="N1657" s="1129"/>
    </row>
    <row r="1658" spans="5:14">
      <c r="E1658" s="1129"/>
      <c r="N1658" s="1129"/>
    </row>
    <row r="1659" spans="5:14">
      <c r="E1659" s="1129"/>
      <c r="N1659" s="1129"/>
    </row>
    <row r="1660" spans="5:14">
      <c r="E1660" s="1129"/>
      <c r="N1660" s="1129"/>
    </row>
    <row r="1661" spans="5:14">
      <c r="E1661" s="1129"/>
      <c r="N1661" s="1129"/>
    </row>
    <row r="1662" spans="5:14">
      <c r="E1662" s="1129"/>
      <c r="N1662" s="1129"/>
    </row>
    <row r="1663" spans="5:14">
      <c r="E1663" s="1129"/>
      <c r="N1663" s="1129"/>
    </row>
    <row r="1664" spans="5:14">
      <c r="E1664" s="1129"/>
      <c r="N1664" s="1129"/>
    </row>
    <row r="1665" spans="5:14">
      <c r="E1665" s="1129"/>
      <c r="N1665" s="1129"/>
    </row>
    <row r="1666" spans="5:14">
      <c r="E1666" s="1129"/>
      <c r="N1666" s="1129"/>
    </row>
    <row r="1667" spans="5:14">
      <c r="E1667" s="1129"/>
      <c r="N1667" s="1129"/>
    </row>
    <row r="1668" spans="5:14">
      <c r="E1668" s="1129"/>
      <c r="N1668" s="1129"/>
    </row>
    <row r="1669" spans="5:14">
      <c r="E1669" s="1129"/>
      <c r="N1669" s="1129"/>
    </row>
    <row r="1670" spans="5:14">
      <c r="E1670" s="1129"/>
      <c r="N1670" s="1129"/>
    </row>
    <row r="1671" spans="5:14">
      <c r="E1671" s="1129"/>
      <c r="N1671" s="1129"/>
    </row>
    <row r="1672" spans="5:14">
      <c r="E1672" s="1129"/>
      <c r="N1672" s="1129"/>
    </row>
    <row r="1673" spans="5:14">
      <c r="E1673" s="1129"/>
      <c r="N1673" s="1129"/>
    </row>
    <row r="1674" spans="5:14">
      <c r="E1674" s="1129"/>
      <c r="N1674" s="1129"/>
    </row>
    <row r="1675" spans="5:14">
      <c r="E1675" s="1129"/>
      <c r="N1675" s="1129"/>
    </row>
    <row r="1676" spans="5:14">
      <c r="E1676" s="1129"/>
      <c r="N1676" s="1129"/>
    </row>
    <row r="1677" spans="5:14">
      <c r="E1677" s="1129"/>
      <c r="N1677" s="1129"/>
    </row>
    <row r="1678" spans="5:14">
      <c r="E1678" s="1129"/>
      <c r="N1678" s="1129"/>
    </row>
    <row r="1679" spans="5:14">
      <c r="E1679" s="1129"/>
      <c r="N1679" s="1129"/>
    </row>
    <row r="1680" spans="5:14">
      <c r="E1680" s="1129"/>
      <c r="N1680" s="1129"/>
    </row>
    <row r="1681" spans="5:14">
      <c r="E1681" s="1129"/>
      <c r="N1681" s="1129"/>
    </row>
    <row r="1682" spans="5:14">
      <c r="E1682" s="1129"/>
      <c r="N1682" s="1129"/>
    </row>
    <row r="1683" spans="5:14">
      <c r="E1683" s="1129"/>
      <c r="N1683" s="1129"/>
    </row>
    <row r="1684" spans="5:14">
      <c r="E1684" s="1129"/>
      <c r="N1684" s="1129"/>
    </row>
    <row r="1685" spans="5:14">
      <c r="E1685" s="1129"/>
      <c r="N1685" s="1129"/>
    </row>
    <row r="1686" spans="5:14">
      <c r="E1686" s="1129"/>
      <c r="N1686" s="1129"/>
    </row>
    <row r="1687" spans="5:14">
      <c r="E1687" s="1129"/>
      <c r="N1687" s="1129"/>
    </row>
    <row r="1688" spans="5:14">
      <c r="E1688" s="1129"/>
      <c r="N1688" s="1129"/>
    </row>
    <row r="1689" spans="5:14">
      <c r="E1689" s="1129"/>
      <c r="N1689" s="1129"/>
    </row>
    <row r="1690" spans="5:14">
      <c r="E1690" s="1129"/>
      <c r="N1690" s="1129"/>
    </row>
    <row r="1691" spans="5:14">
      <c r="E1691" s="1129"/>
      <c r="N1691" s="1129"/>
    </row>
    <row r="1692" spans="5:14">
      <c r="E1692" s="1129"/>
      <c r="N1692" s="1129"/>
    </row>
    <row r="1693" spans="5:14">
      <c r="E1693" s="1129"/>
      <c r="N1693" s="1129"/>
    </row>
    <row r="1694" spans="5:14">
      <c r="E1694" s="1129"/>
      <c r="N1694" s="1129"/>
    </row>
    <row r="1695" spans="5:14">
      <c r="E1695" s="1129"/>
      <c r="N1695" s="1129"/>
    </row>
    <row r="1696" spans="5:14">
      <c r="E1696" s="1129"/>
      <c r="N1696" s="1129"/>
    </row>
    <row r="1697" spans="5:14">
      <c r="E1697" s="1129"/>
      <c r="N1697" s="1129"/>
    </row>
    <row r="1698" spans="5:14">
      <c r="E1698" s="1129"/>
      <c r="N1698" s="1129"/>
    </row>
    <row r="1699" spans="5:14">
      <c r="E1699" s="1129"/>
      <c r="N1699" s="1129"/>
    </row>
    <row r="1700" spans="5:14">
      <c r="E1700" s="1129"/>
      <c r="N1700" s="1129"/>
    </row>
    <row r="1701" spans="5:14">
      <c r="E1701" s="1129"/>
      <c r="N1701" s="1129"/>
    </row>
    <row r="1702" spans="5:14">
      <c r="E1702" s="1129"/>
      <c r="N1702" s="1129"/>
    </row>
    <row r="1703" spans="5:14">
      <c r="E1703" s="1129"/>
      <c r="N1703" s="1129"/>
    </row>
    <row r="1704" spans="5:14">
      <c r="E1704" s="1129"/>
      <c r="N1704" s="1129"/>
    </row>
    <row r="1705" spans="5:14">
      <c r="E1705" s="1129"/>
      <c r="N1705" s="1129"/>
    </row>
    <row r="1706" spans="5:14">
      <c r="E1706" s="1129"/>
      <c r="N1706" s="1129"/>
    </row>
    <row r="1707" spans="5:14">
      <c r="E1707" s="1129"/>
      <c r="N1707" s="1129"/>
    </row>
    <row r="1708" spans="5:14">
      <c r="E1708" s="1129"/>
      <c r="N1708" s="1129"/>
    </row>
    <row r="1709" spans="5:14">
      <c r="E1709" s="1129"/>
      <c r="N1709" s="1129"/>
    </row>
    <row r="1710" spans="5:14">
      <c r="E1710" s="1129"/>
      <c r="N1710" s="1129"/>
    </row>
    <row r="1711" spans="5:14">
      <c r="E1711" s="1129"/>
      <c r="N1711" s="1129"/>
    </row>
    <row r="1712" spans="5:14">
      <c r="E1712" s="1129"/>
      <c r="N1712" s="1129"/>
    </row>
    <row r="1713" spans="5:14">
      <c r="E1713" s="1129"/>
      <c r="N1713" s="1129"/>
    </row>
    <row r="1714" spans="5:14">
      <c r="E1714" s="1129"/>
      <c r="N1714" s="1129"/>
    </row>
    <row r="1715" spans="5:14">
      <c r="E1715" s="1129"/>
      <c r="N1715" s="1129"/>
    </row>
    <row r="1716" spans="5:14">
      <c r="E1716" s="1129"/>
      <c r="N1716" s="1129"/>
    </row>
    <row r="1717" spans="5:14">
      <c r="E1717" s="1129"/>
      <c r="N1717" s="1129"/>
    </row>
    <row r="1718" spans="5:14">
      <c r="E1718" s="1129"/>
      <c r="N1718" s="1129"/>
    </row>
    <row r="1719" spans="5:14">
      <c r="E1719" s="1129"/>
      <c r="N1719" s="1129"/>
    </row>
    <row r="1720" spans="5:14">
      <c r="E1720" s="1129"/>
      <c r="N1720" s="1129"/>
    </row>
    <row r="1721" spans="5:14">
      <c r="E1721" s="1129"/>
      <c r="N1721" s="1129"/>
    </row>
    <row r="1722" spans="5:14">
      <c r="E1722" s="1129"/>
      <c r="N1722" s="1129"/>
    </row>
    <row r="1723" spans="5:14">
      <c r="E1723" s="1129"/>
      <c r="N1723" s="1129"/>
    </row>
    <row r="1724" spans="5:14">
      <c r="E1724" s="1129"/>
      <c r="N1724" s="1129"/>
    </row>
    <row r="1725" spans="5:14">
      <c r="E1725" s="1129"/>
      <c r="N1725" s="1129"/>
    </row>
    <row r="1726" spans="5:14">
      <c r="E1726" s="1129"/>
      <c r="N1726" s="1129"/>
    </row>
    <row r="1727" spans="5:14">
      <c r="E1727" s="1129"/>
      <c r="N1727" s="1129"/>
    </row>
    <row r="1728" spans="5:14">
      <c r="E1728" s="1129"/>
      <c r="N1728" s="1129"/>
    </row>
    <row r="1729" spans="5:14">
      <c r="E1729" s="1129"/>
      <c r="N1729" s="1129"/>
    </row>
    <row r="1730" spans="5:14">
      <c r="E1730" s="1129"/>
      <c r="N1730" s="1129"/>
    </row>
    <row r="1731" spans="5:14">
      <c r="E1731" s="1129"/>
      <c r="N1731" s="1129"/>
    </row>
    <row r="1732" spans="5:14">
      <c r="E1732" s="1129"/>
      <c r="N1732" s="1129"/>
    </row>
    <row r="1733" spans="5:14">
      <c r="E1733" s="1129"/>
      <c r="N1733" s="1129"/>
    </row>
    <row r="1734" spans="5:14">
      <c r="E1734" s="1129"/>
      <c r="N1734" s="1129"/>
    </row>
    <row r="1735" spans="5:14">
      <c r="E1735" s="1129"/>
      <c r="N1735" s="1129"/>
    </row>
    <row r="1736" spans="5:14">
      <c r="E1736" s="1129"/>
      <c r="N1736" s="1129"/>
    </row>
    <row r="1737" spans="5:14">
      <c r="E1737" s="1129"/>
      <c r="N1737" s="1129"/>
    </row>
    <row r="1738" spans="5:14">
      <c r="E1738" s="1129"/>
      <c r="N1738" s="1129"/>
    </row>
    <row r="1739" spans="5:14">
      <c r="E1739" s="1129"/>
      <c r="N1739" s="1129"/>
    </row>
    <row r="1740" spans="5:14">
      <c r="E1740" s="1129"/>
      <c r="N1740" s="1129"/>
    </row>
    <row r="1741" spans="5:14">
      <c r="E1741" s="1129"/>
      <c r="N1741" s="1129"/>
    </row>
    <row r="1742" spans="5:14">
      <c r="E1742" s="1129"/>
      <c r="N1742" s="1129"/>
    </row>
    <row r="1743" spans="5:14">
      <c r="E1743" s="1129"/>
      <c r="N1743" s="1129"/>
    </row>
    <row r="1744" spans="5:14">
      <c r="E1744" s="1129"/>
      <c r="N1744" s="1129"/>
    </row>
    <row r="1745" spans="5:14">
      <c r="E1745" s="1129"/>
      <c r="N1745" s="1129"/>
    </row>
    <row r="1746" spans="5:14">
      <c r="E1746" s="1129"/>
      <c r="N1746" s="1129"/>
    </row>
    <row r="1747" spans="5:14">
      <c r="E1747" s="1129"/>
      <c r="N1747" s="1129"/>
    </row>
    <row r="1748" spans="5:14">
      <c r="E1748" s="1129"/>
      <c r="N1748" s="1129"/>
    </row>
    <row r="1749" spans="5:14">
      <c r="E1749" s="1129"/>
      <c r="N1749" s="1129"/>
    </row>
    <row r="1750" spans="5:14">
      <c r="E1750" s="1129"/>
      <c r="N1750" s="1129"/>
    </row>
    <row r="1751" spans="5:14">
      <c r="E1751" s="1129"/>
      <c r="N1751" s="1129"/>
    </row>
    <row r="1752" spans="5:14">
      <c r="E1752" s="1129"/>
      <c r="N1752" s="1129"/>
    </row>
    <row r="1753" spans="5:14">
      <c r="E1753" s="1129"/>
      <c r="N1753" s="1129"/>
    </row>
    <row r="1754" spans="5:14">
      <c r="E1754" s="1129"/>
      <c r="N1754" s="1129"/>
    </row>
    <row r="1755" spans="5:14">
      <c r="E1755" s="1129"/>
      <c r="N1755" s="1129"/>
    </row>
    <row r="1756" spans="5:14">
      <c r="E1756" s="1129"/>
      <c r="N1756" s="1129"/>
    </row>
    <row r="1757" spans="5:14">
      <c r="E1757" s="1129"/>
      <c r="N1757" s="1129"/>
    </row>
    <row r="1758" spans="5:14">
      <c r="E1758" s="1129"/>
      <c r="N1758" s="1129"/>
    </row>
    <row r="1759" spans="5:14">
      <c r="E1759" s="1129"/>
      <c r="N1759" s="1129"/>
    </row>
    <row r="1760" spans="5:14">
      <c r="E1760" s="1129"/>
      <c r="N1760" s="1129"/>
    </row>
    <row r="1761" spans="5:14">
      <c r="E1761" s="1129"/>
      <c r="N1761" s="1129"/>
    </row>
    <row r="1762" spans="5:14">
      <c r="E1762" s="1129"/>
      <c r="N1762" s="1129"/>
    </row>
    <row r="1763" spans="5:14">
      <c r="E1763" s="1129"/>
      <c r="N1763" s="1129"/>
    </row>
    <row r="1764" spans="5:14">
      <c r="E1764" s="1129"/>
      <c r="N1764" s="1129"/>
    </row>
    <row r="1765" spans="5:14">
      <c r="E1765" s="1129"/>
      <c r="N1765" s="1129"/>
    </row>
    <row r="1766" spans="5:14">
      <c r="E1766" s="1129"/>
      <c r="N1766" s="1129"/>
    </row>
    <row r="1767" spans="5:14">
      <c r="E1767" s="1129"/>
      <c r="N1767" s="1129"/>
    </row>
    <row r="1768" spans="5:14">
      <c r="E1768" s="1129"/>
      <c r="N1768" s="1129"/>
    </row>
    <row r="1769" spans="5:14">
      <c r="E1769" s="1129"/>
      <c r="N1769" s="1129"/>
    </row>
    <row r="1770" spans="5:14">
      <c r="E1770" s="1129"/>
      <c r="N1770" s="1129"/>
    </row>
    <row r="1771" spans="5:14">
      <c r="E1771" s="1129"/>
      <c r="N1771" s="1129"/>
    </row>
    <row r="1772" spans="5:14">
      <c r="E1772" s="1129"/>
      <c r="N1772" s="1129"/>
    </row>
    <row r="1773" spans="5:14">
      <c r="E1773" s="1129"/>
      <c r="N1773" s="1129"/>
    </row>
    <row r="1774" spans="5:14">
      <c r="E1774" s="1129"/>
      <c r="N1774" s="1129"/>
    </row>
    <row r="1775" spans="5:14">
      <c r="E1775" s="1129"/>
      <c r="N1775" s="1129"/>
    </row>
    <row r="1776" spans="5:14">
      <c r="E1776" s="1129"/>
      <c r="N1776" s="1129"/>
    </row>
    <row r="1777" spans="5:14">
      <c r="E1777" s="1129"/>
      <c r="N1777" s="1129"/>
    </row>
    <row r="1778" spans="5:14">
      <c r="E1778" s="1129"/>
      <c r="N1778" s="1129"/>
    </row>
    <row r="1779" spans="5:14">
      <c r="E1779" s="1129"/>
      <c r="N1779" s="1129"/>
    </row>
    <row r="1780" spans="5:14">
      <c r="E1780" s="1129"/>
      <c r="N1780" s="1129"/>
    </row>
    <row r="1781" spans="5:14">
      <c r="E1781" s="1129"/>
      <c r="N1781" s="1129"/>
    </row>
    <row r="1782" spans="5:14">
      <c r="E1782" s="1129"/>
      <c r="N1782" s="1129"/>
    </row>
    <row r="1783" spans="5:14">
      <c r="E1783" s="1129"/>
      <c r="N1783" s="1129"/>
    </row>
    <row r="1784" spans="5:14">
      <c r="E1784" s="1129"/>
      <c r="N1784" s="1129"/>
    </row>
    <row r="1785" spans="5:14">
      <c r="E1785" s="1129"/>
      <c r="N1785" s="1129"/>
    </row>
    <row r="1786" spans="5:14">
      <c r="E1786" s="1129"/>
      <c r="N1786" s="1129"/>
    </row>
    <row r="1787" spans="5:14">
      <c r="E1787" s="1129"/>
      <c r="N1787" s="1129"/>
    </row>
    <row r="1788" spans="5:14">
      <c r="E1788" s="1129"/>
      <c r="N1788" s="1129"/>
    </row>
    <row r="1789" spans="5:14">
      <c r="E1789" s="1129"/>
      <c r="N1789" s="1129"/>
    </row>
    <row r="1790" spans="5:14">
      <c r="E1790" s="1129"/>
      <c r="N1790" s="1129"/>
    </row>
    <row r="1791" spans="5:14">
      <c r="E1791" s="1129"/>
      <c r="N1791" s="1129"/>
    </row>
    <row r="1792" spans="5:14">
      <c r="E1792" s="1129"/>
      <c r="N1792" s="1129"/>
    </row>
    <row r="1793" spans="5:14">
      <c r="E1793" s="1129"/>
      <c r="N1793" s="1129"/>
    </row>
    <row r="1794" spans="5:14">
      <c r="E1794" s="1129"/>
      <c r="N1794" s="1129"/>
    </row>
    <row r="1795" spans="5:14">
      <c r="E1795" s="1129"/>
      <c r="N1795" s="1129"/>
    </row>
    <row r="1796" spans="5:14">
      <c r="E1796" s="1129"/>
      <c r="N1796" s="1129"/>
    </row>
    <row r="1797" spans="5:14">
      <c r="E1797" s="1129"/>
      <c r="N1797" s="1129"/>
    </row>
    <row r="1798" spans="5:14">
      <c r="E1798" s="1129"/>
      <c r="N1798" s="1129"/>
    </row>
    <row r="1799" spans="5:14">
      <c r="E1799" s="1129"/>
      <c r="N1799" s="1129"/>
    </row>
    <row r="1800" spans="5:14">
      <c r="E1800" s="1129"/>
      <c r="N1800" s="1129"/>
    </row>
    <row r="1801" spans="5:14">
      <c r="E1801" s="1129"/>
      <c r="N1801" s="1129"/>
    </row>
    <row r="1802" spans="5:14">
      <c r="E1802" s="1129"/>
      <c r="N1802" s="1129"/>
    </row>
    <row r="1803" spans="5:14">
      <c r="E1803" s="1129"/>
      <c r="N1803" s="1129"/>
    </row>
    <row r="1804" spans="5:14">
      <c r="E1804" s="1129"/>
      <c r="N1804" s="1129"/>
    </row>
    <row r="1805" spans="5:14">
      <c r="E1805" s="1129"/>
      <c r="N1805" s="1129"/>
    </row>
    <row r="1806" spans="5:14">
      <c r="E1806" s="1129"/>
      <c r="N1806" s="1129"/>
    </row>
    <row r="1807" spans="5:14">
      <c r="E1807" s="1129"/>
      <c r="N1807" s="1129"/>
    </row>
    <row r="1808" spans="5:14">
      <c r="E1808" s="1129"/>
      <c r="N1808" s="1129"/>
    </row>
    <row r="1809" spans="5:14">
      <c r="E1809" s="1129"/>
      <c r="N1809" s="1129"/>
    </row>
    <row r="1810" spans="5:14">
      <c r="E1810" s="1129"/>
      <c r="N1810" s="1129"/>
    </row>
    <row r="1811" spans="5:14">
      <c r="E1811" s="1129"/>
      <c r="N1811" s="1129"/>
    </row>
    <row r="1812" spans="5:14">
      <c r="E1812" s="1129"/>
      <c r="N1812" s="1129"/>
    </row>
    <row r="1813" spans="5:14">
      <c r="E1813" s="1129"/>
      <c r="N1813" s="1129"/>
    </row>
    <row r="1814" spans="5:14">
      <c r="E1814" s="1129"/>
      <c r="N1814" s="1129"/>
    </row>
    <row r="1815" spans="5:14">
      <c r="E1815" s="1129"/>
      <c r="N1815" s="1129"/>
    </row>
    <row r="1816" spans="5:14">
      <c r="E1816" s="1129"/>
      <c r="N1816" s="1129"/>
    </row>
    <row r="1817" spans="5:14">
      <c r="E1817" s="1129"/>
      <c r="N1817" s="1129"/>
    </row>
    <row r="1818" spans="5:14">
      <c r="E1818" s="1129"/>
      <c r="N1818" s="1129"/>
    </row>
    <row r="1819" spans="5:14">
      <c r="E1819" s="1129"/>
      <c r="N1819" s="1129"/>
    </row>
    <row r="1820" spans="5:14">
      <c r="E1820" s="1129"/>
      <c r="N1820" s="1129"/>
    </row>
    <row r="1821" spans="5:14">
      <c r="E1821" s="1129"/>
      <c r="N1821" s="1129"/>
    </row>
    <row r="1822" spans="5:14">
      <c r="E1822" s="1129"/>
      <c r="N1822" s="1129"/>
    </row>
    <row r="1823" spans="5:14">
      <c r="E1823" s="1129"/>
      <c r="N1823" s="1129"/>
    </row>
    <row r="1824" spans="5:14">
      <c r="E1824" s="1129"/>
      <c r="N1824" s="1129"/>
    </row>
    <row r="1825" spans="5:14">
      <c r="E1825" s="1129"/>
      <c r="N1825" s="1129"/>
    </row>
    <row r="1826" spans="5:14">
      <c r="E1826" s="1129"/>
      <c r="N1826" s="1129"/>
    </row>
    <row r="1827" spans="5:14">
      <c r="E1827" s="1129"/>
      <c r="N1827" s="1129"/>
    </row>
    <row r="1828" spans="5:14">
      <c r="E1828" s="1129"/>
      <c r="N1828" s="1129"/>
    </row>
    <row r="1829" spans="5:14">
      <c r="E1829" s="1129"/>
      <c r="N1829" s="1129"/>
    </row>
    <row r="1830" spans="5:14">
      <c r="E1830" s="1129"/>
      <c r="N1830" s="1129"/>
    </row>
    <row r="1831" spans="5:14">
      <c r="E1831" s="1129"/>
      <c r="N1831" s="1129"/>
    </row>
    <row r="1832" spans="5:14">
      <c r="E1832" s="1129"/>
      <c r="N1832" s="1129"/>
    </row>
    <row r="1833" spans="5:14">
      <c r="E1833" s="1129"/>
      <c r="N1833" s="1129"/>
    </row>
    <row r="1834" spans="5:14">
      <c r="E1834" s="1129"/>
      <c r="N1834" s="1129"/>
    </row>
    <row r="1835" spans="5:14">
      <c r="E1835" s="1129"/>
      <c r="N1835" s="1129"/>
    </row>
    <row r="1836" spans="5:14">
      <c r="E1836" s="1129"/>
      <c r="N1836" s="1129"/>
    </row>
    <row r="1837" spans="5:14">
      <c r="E1837" s="1129"/>
      <c r="N1837" s="1129"/>
    </row>
    <row r="1838" spans="5:14">
      <c r="E1838" s="1129"/>
      <c r="N1838" s="1129"/>
    </row>
    <row r="1839" spans="5:14">
      <c r="E1839" s="1129"/>
      <c r="N1839" s="1129"/>
    </row>
    <row r="1840" spans="5:14">
      <c r="E1840" s="1129"/>
      <c r="N1840" s="1129"/>
    </row>
    <row r="1841" spans="5:14">
      <c r="E1841" s="1129"/>
      <c r="N1841" s="1129"/>
    </row>
    <row r="1842" spans="5:14">
      <c r="E1842" s="1129"/>
      <c r="N1842" s="1129"/>
    </row>
    <row r="1843" spans="5:14">
      <c r="E1843" s="1129"/>
      <c r="N1843" s="1129"/>
    </row>
    <row r="1844" spans="5:14">
      <c r="E1844" s="1129"/>
      <c r="N1844" s="1129"/>
    </row>
    <row r="1845" spans="5:14">
      <c r="E1845" s="1129"/>
      <c r="N1845" s="1129"/>
    </row>
    <row r="1846" spans="5:14">
      <c r="E1846" s="1129"/>
      <c r="N1846" s="1129"/>
    </row>
    <row r="1847" spans="5:14">
      <c r="E1847" s="1129"/>
      <c r="N1847" s="1129"/>
    </row>
    <row r="1848" spans="5:14">
      <c r="E1848" s="1129"/>
      <c r="N1848" s="1129"/>
    </row>
    <row r="1849" spans="5:14">
      <c r="E1849" s="1129"/>
      <c r="N1849" s="1129"/>
    </row>
    <row r="1850" spans="5:14">
      <c r="E1850" s="1129"/>
      <c r="N1850" s="1129"/>
    </row>
    <row r="1851" spans="5:14">
      <c r="E1851" s="1129"/>
      <c r="N1851" s="1129"/>
    </row>
    <row r="1852" spans="5:14">
      <c r="E1852" s="1129"/>
      <c r="N1852" s="1129"/>
    </row>
    <row r="1853" spans="5:14">
      <c r="E1853" s="1129"/>
      <c r="N1853" s="1129"/>
    </row>
    <row r="1854" spans="5:14">
      <c r="E1854" s="1129"/>
      <c r="N1854" s="1129"/>
    </row>
    <row r="1855" spans="5:14">
      <c r="E1855" s="1129"/>
      <c r="N1855" s="1129"/>
    </row>
    <row r="1856" spans="5:14">
      <c r="E1856" s="1129"/>
      <c r="N1856" s="1129"/>
    </row>
    <row r="1857" spans="5:14">
      <c r="E1857" s="1129"/>
      <c r="N1857" s="1129"/>
    </row>
    <row r="1858" spans="5:14">
      <c r="E1858" s="1129"/>
      <c r="N1858" s="1129"/>
    </row>
    <row r="1859" spans="5:14">
      <c r="E1859" s="1129"/>
      <c r="N1859" s="1129"/>
    </row>
    <row r="1860" spans="5:14">
      <c r="E1860" s="1129"/>
      <c r="N1860" s="1129"/>
    </row>
    <row r="1861" spans="5:14">
      <c r="E1861" s="1129"/>
      <c r="N1861" s="1129"/>
    </row>
    <row r="1862" spans="5:14">
      <c r="E1862" s="1129"/>
      <c r="N1862" s="1129"/>
    </row>
    <row r="1863" spans="5:14">
      <c r="E1863" s="1129"/>
      <c r="N1863" s="1129"/>
    </row>
    <row r="1864" spans="5:14">
      <c r="E1864" s="1129"/>
      <c r="N1864" s="1129"/>
    </row>
    <row r="1865" spans="5:14">
      <c r="E1865" s="1129"/>
      <c r="N1865" s="1129"/>
    </row>
    <row r="1866" spans="5:14">
      <c r="E1866" s="1129"/>
      <c r="N1866" s="1129"/>
    </row>
    <row r="1867" spans="5:14">
      <c r="E1867" s="1129"/>
      <c r="N1867" s="1129"/>
    </row>
    <row r="1868" spans="5:14">
      <c r="E1868" s="1129"/>
      <c r="N1868" s="1129"/>
    </row>
    <row r="1869" spans="5:14">
      <c r="E1869" s="1129"/>
      <c r="N1869" s="1129"/>
    </row>
    <row r="1870" spans="5:14">
      <c r="E1870" s="1129"/>
      <c r="N1870" s="1129"/>
    </row>
    <row r="1871" spans="5:14">
      <c r="E1871" s="1129"/>
      <c r="N1871" s="1129"/>
    </row>
  </sheetData>
  <mergeCells count="78">
    <mergeCell ref="Y131:Y135"/>
    <mergeCell ref="C133:C135"/>
    <mergeCell ref="Z103:AB103"/>
    <mergeCell ref="A137:Y137"/>
    <mergeCell ref="A93:A102"/>
    <mergeCell ref="Y93:Y102"/>
    <mergeCell ref="C95:C97"/>
    <mergeCell ref="C98:C99"/>
    <mergeCell ref="X100:X102"/>
    <mergeCell ref="C101:C102"/>
    <mergeCell ref="A103:A115"/>
    <mergeCell ref="Y103:Y115"/>
    <mergeCell ref="C105:C107"/>
    <mergeCell ref="C109:C110"/>
    <mergeCell ref="C114:C115"/>
    <mergeCell ref="C118:C120"/>
    <mergeCell ref="Y126:Y130"/>
    <mergeCell ref="Y83:Y87"/>
    <mergeCell ref="C123:C125"/>
    <mergeCell ref="A116:A119"/>
    <mergeCell ref="A121:A125"/>
    <mergeCell ref="Y116:Y120"/>
    <mergeCell ref="Y121:Y125"/>
    <mergeCell ref="C112:C113"/>
    <mergeCell ref="C85:C87"/>
    <mergeCell ref="A88:A92"/>
    <mergeCell ref="Y88:Y92"/>
    <mergeCell ref="C90:C92"/>
    <mergeCell ref="X111:X115"/>
    <mergeCell ref="A83:A87"/>
    <mergeCell ref="Y78:Y82"/>
    <mergeCell ref="AA53:AC63"/>
    <mergeCell ref="C55:C60"/>
    <mergeCell ref="C63:C65"/>
    <mergeCell ref="A66:A75"/>
    <mergeCell ref="Y66:Y77"/>
    <mergeCell ref="AA66:AC74"/>
    <mergeCell ref="C68:C70"/>
    <mergeCell ref="C71:C72"/>
    <mergeCell ref="C74:C75"/>
    <mergeCell ref="X73:X77"/>
    <mergeCell ref="X62:X65"/>
    <mergeCell ref="C80:C82"/>
    <mergeCell ref="A78:A82"/>
    <mergeCell ref="A53:A65"/>
    <mergeCell ref="Y53:Y65"/>
    <mergeCell ref="Y39:Y52"/>
    <mergeCell ref="C42:C47"/>
    <mergeCell ref="C49:C50"/>
    <mergeCell ref="Y6:Y8"/>
    <mergeCell ref="Y29:Y38"/>
    <mergeCell ref="X6:X8"/>
    <mergeCell ref="X23:X28"/>
    <mergeCell ref="H39:H40"/>
    <mergeCell ref="I39:I40"/>
    <mergeCell ref="J39:J40"/>
    <mergeCell ref="K39:K40"/>
    <mergeCell ref="N39:N40"/>
    <mergeCell ref="C39:C40"/>
    <mergeCell ref="O6:O7"/>
    <mergeCell ref="P6:W7"/>
    <mergeCell ref="A5:N5"/>
    <mergeCell ref="C6:C8"/>
    <mergeCell ref="D6:D8"/>
    <mergeCell ref="E6:L7"/>
    <mergeCell ref="A29:A38"/>
    <mergeCell ref="C31:C35"/>
    <mergeCell ref="M6:M7"/>
    <mergeCell ref="A138:W138"/>
    <mergeCell ref="G39:G40"/>
    <mergeCell ref="A39:A52"/>
    <mergeCell ref="B39:B40"/>
    <mergeCell ref="E39:E40"/>
    <mergeCell ref="F39:F40"/>
    <mergeCell ref="C128:C130"/>
    <mergeCell ref="A126:A130"/>
    <mergeCell ref="A131:A135"/>
    <mergeCell ref="A136:W136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69" firstPageNumber="39" orientation="landscape" useFirstPageNumber="1" r:id="rId1"/>
  <headerFooter alignWithMargins="0">
    <oddHeader>&amp;C&amp;"Arial,Kursywa"Wieloletnia prognoza finansowa Województwa Zachodniopomorskiego na lata 2016 - 2038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102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O535"/>
  <sheetViews>
    <sheetView showGridLines="0" view="pageBreakPreview" zoomScale="115" zoomScaleNormal="100" zoomScaleSheetLayoutView="115" workbookViewId="0">
      <pane ySplit="8" topLeftCell="A9" activePane="bottomLeft" state="frozen"/>
      <selection pane="bottomLeft" activeCell="Z6" sqref="Z6"/>
    </sheetView>
  </sheetViews>
  <sheetFormatPr defaultColWidth="9.140625" defaultRowHeight="11.25"/>
  <cols>
    <col min="1" max="1" width="2.85546875" style="1159" customWidth="1"/>
    <col min="2" max="2" width="56.28515625" style="701" customWidth="1"/>
    <col min="3" max="3" width="10" style="701" customWidth="1"/>
    <col min="4" max="4" width="14.140625" style="701" customWidth="1"/>
    <col min="5" max="6" width="10.42578125" style="701" hidden="1" customWidth="1"/>
    <col min="7" max="8" width="10.7109375" style="701" hidden="1" customWidth="1"/>
    <col min="9" max="9" width="10.28515625" style="701" hidden="1" customWidth="1"/>
    <col min="10" max="10" width="9.5703125" style="701" hidden="1" customWidth="1"/>
    <col min="11" max="11" width="9.85546875" style="701" hidden="1" customWidth="1"/>
    <col min="12" max="12" width="10.140625" style="701" hidden="1" customWidth="1"/>
    <col min="13" max="13" width="12" style="701" customWidth="1"/>
    <col min="14" max="14" width="10.85546875" style="701" hidden="1" customWidth="1"/>
    <col min="15" max="15" width="10.85546875" style="701" customWidth="1"/>
    <col min="16" max="16" width="9.28515625" style="703" customWidth="1"/>
    <col min="17" max="17" width="9" style="701" customWidth="1"/>
    <col min="18" max="18" width="10.140625" style="701" customWidth="1"/>
    <col min="19" max="19" width="9.28515625" style="701" customWidth="1"/>
    <col min="20" max="23" width="9.5703125" style="701" customWidth="1"/>
    <col min="24" max="24" width="10.5703125" style="701" customWidth="1"/>
    <col min="25" max="25" width="15.7109375" style="702" customWidth="1"/>
    <col min="26" max="26" width="0" style="701" hidden="1" customWidth="1"/>
    <col min="27" max="16384" width="9.140625" style="701"/>
  </cols>
  <sheetData>
    <row r="1" spans="1:25" ht="18" customHeight="1">
      <c r="O1" s="1132"/>
      <c r="P1" s="701"/>
      <c r="S1" s="1138" t="s">
        <v>162</v>
      </c>
      <c r="T1" s="1138"/>
      <c r="U1" s="1138"/>
      <c r="V1" s="1138"/>
      <c r="W1" s="1138"/>
      <c r="X1" s="310"/>
      <c r="Y1" s="311"/>
    </row>
    <row r="2" spans="1:25" ht="7.5" customHeight="1">
      <c r="N2" s="1139"/>
      <c r="O2" s="1137"/>
      <c r="P2" s="701"/>
      <c r="T2" s="310"/>
      <c r="U2" s="310"/>
      <c r="V2" s="310"/>
      <c r="W2" s="310"/>
      <c r="X2" s="310"/>
      <c r="Y2" s="311"/>
    </row>
    <row r="3" spans="1:25" ht="14.25" hidden="1" customHeight="1">
      <c r="N3" s="1139"/>
      <c r="O3" s="1139"/>
      <c r="P3" s="1139"/>
      <c r="Q3" s="1139"/>
      <c r="R3" s="1139"/>
      <c r="S3" s="1139"/>
      <c r="T3" s="310"/>
      <c r="U3" s="310"/>
      <c r="V3" s="310"/>
      <c r="W3" s="310"/>
      <c r="X3" s="310"/>
      <c r="Y3" s="311"/>
    </row>
    <row r="4" spans="1:25" ht="9" customHeight="1">
      <c r="N4" s="1139"/>
      <c r="O4" s="1139"/>
      <c r="P4" s="1139"/>
      <c r="Q4" s="1139"/>
      <c r="R4" s="1139"/>
      <c r="S4" s="1139"/>
      <c r="T4" s="310"/>
      <c r="U4" s="310"/>
      <c r="V4" s="310"/>
      <c r="W4" s="310"/>
      <c r="X4" s="310"/>
      <c r="Y4" s="311"/>
    </row>
    <row r="5" spans="1:25" ht="38.25" customHeight="1" thickBot="1">
      <c r="A5" s="2872" t="s">
        <v>163</v>
      </c>
      <c r="B5" s="2872"/>
      <c r="C5" s="2872"/>
      <c r="D5" s="2872"/>
      <c r="E5" s="2872"/>
      <c r="F5" s="2872"/>
      <c r="G5" s="2872"/>
      <c r="H5" s="2872"/>
      <c r="I5" s="2872"/>
      <c r="J5" s="2872"/>
      <c r="K5" s="2872"/>
      <c r="L5" s="2872"/>
      <c r="M5" s="2872"/>
      <c r="N5" s="2872"/>
      <c r="O5" s="2872"/>
      <c r="P5" s="2872"/>
      <c r="Q5" s="2872"/>
      <c r="R5" s="2872"/>
      <c r="S5" s="2872"/>
      <c r="T5" s="2872"/>
      <c r="U5" s="2872"/>
      <c r="V5" s="2872"/>
      <c r="W5" s="2872"/>
      <c r="X5" s="2872"/>
      <c r="Y5" s="2872"/>
    </row>
    <row r="6" spans="1:25" s="1987" customFormat="1" ht="33.75" customHeight="1">
      <c r="A6" s="649"/>
      <c r="B6" s="3588" t="s">
        <v>91</v>
      </c>
      <c r="C6" s="2670" t="s">
        <v>87</v>
      </c>
      <c r="D6" s="2673" t="s">
        <v>164</v>
      </c>
      <c r="E6" s="2957"/>
      <c r="F6" s="2958"/>
      <c r="G6" s="2958"/>
      <c r="H6" s="2958"/>
      <c r="I6" s="2958"/>
      <c r="J6" s="2958"/>
      <c r="K6" s="2958"/>
      <c r="L6" s="2959"/>
      <c r="M6" s="2688" t="s">
        <v>364</v>
      </c>
      <c r="N6" s="1088"/>
      <c r="O6" s="2690" t="s">
        <v>375</v>
      </c>
      <c r="P6" s="2692" t="s">
        <v>370</v>
      </c>
      <c r="Q6" s="2693"/>
      <c r="R6" s="2693"/>
      <c r="S6" s="2693"/>
      <c r="T6" s="2693"/>
      <c r="U6" s="2693"/>
      <c r="V6" s="2693"/>
      <c r="W6" s="2694"/>
      <c r="X6" s="2682" t="s">
        <v>343</v>
      </c>
      <c r="Y6" s="2874" t="s">
        <v>89</v>
      </c>
    </row>
    <row r="7" spans="1:25" s="1987" customFormat="1" ht="25.5" customHeight="1">
      <c r="A7" s="650" t="s">
        <v>90</v>
      </c>
      <c r="B7" s="3589"/>
      <c r="C7" s="3002"/>
      <c r="D7" s="2955"/>
      <c r="E7" s="2960"/>
      <c r="F7" s="2961"/>
      <c r="G7" s="2961"/>
      <c r="H7" s="2961"/>
      <c r="I7" s="2961"/>
      <c r="J7" s="2961"/>
      <c r="K7" s="2961"/>
      <c r="L7" s="2962"/>
      <c r="M7" s="2689"/>
      <c r="N7" s="825"/>
      <c r="O7" s="2691"/>
      <c r="P7" s="2695"/>
      <c r="Q7" s="2696"/>
      <c r="R7" s="2696"/>
      <c r="S7" s="2696"/>
      <c r="T7" s="2696"/>
      <c r="U7" s="2696"/>
      <c r="V7" s="2696"/>
      <c r="W7" s="2697"/>
      <c r="X7" s="2683"/>
      <c r="Y7" s="2875"/>
    </row>
    <row r="8" spans="1:25" s="1987" customFormat="1" ht="20.25" customHeight="1" thickBot="1">
      <c r="A8" s="650"/>
      <c r="B8" s="3590"/>
      <c r="C8" s="3003"/>
      <c r="D8" s="2956"/>
      <c r="E8" s="1832" t="s">
        <v>6</v>
      </c>
      <c r="F8" s="318" t="s">
        <v>7</v>
      </c>
      <c r="G8" s="318" t="s">
        <v>8</v>
      </c>
      <c r="H8" s="318" t="s">
        <v>9</v>
      </c>
      <c r="I8" s="1830" t="s">
        <v>10</v>
      </c>
      <c r="J8" s="1830" t="s">
        <v>11</v>
      </c>
      <c r="K8" s="1830" t="s">
        <v>12</v>
      </c>
      <c r="L8" s="1830" t="s">
        <v>13</v>
      </c>
      <c r="M8" s="1054" t="s">
        <v>338</v>
      </c>
      <c r="N8" s="1830" t="s">
        <v>14</v>
      </c>
      <c r="O8" s="1830" t="s">
        <v>15</v>
      </c>
      <c r="P8" s="1830" t="s">
        <v>16</v>
      </c>
      <c r="Q8" s="1830" t="s">
        <v>17</v>
      </c>
      <c r="R8" s="1830" t="s">
        <v>18</v>
      </c>
      <c r="S8" s="816" t="s">
        <v>271</v>
      </c>
      <c r="T8" s="816" t="s">
        <v>276</v>
      </c>
      <c r="U8" s="816" t="s">
        <v>340</v>
      </c>
      <c r="V8" s="816" t="s">
        <v>341</v>
      </c>
      <c r="W8" s="816" t="s">
        <v>339</v>
      </c>
      <c r="X8" s="2684"/>
      <c r="Y8" s="2876"/>
    </row>
    <row r="9" spans="1:25" s="1987" customFormat="1" ht="13.5" customHeight="1" thickBot="1">
      <c r="A9" s="3591">
        <v>1</v>
      </c>
      <c r="B9" s="3592">
        <v>2</v>
      </c>
      <c r="C9" s="3593" t="s">
        <v>140</v>
      </c>
      <c r="D9" s="3593" t="s">
        <v>141</v>
      </c>
      <c r="E9" s="3593" t="s">
        <v>142</v>
      </c>
      <c r="F9" s="3594">
        <v>8</v>
      </c>
      <c r="G9" s="3594">
        <v>9</v>
      </c>
      <c r="H9" s="3594">
        <v>10</v>
      </c>
      <c r="I9" s="3595" t="s">
        <v>143</v>
      </c>
      <c r="J9" s="3596" t="s">
        <v>144</v>
      </c>
      <c r="K9" s="3595" t="s">
        <v>145</v>
      </c>
      <c r="L9" s="3595" t="s">
        <v>146</v>
      </c>
      <c r="M9" s="326">
        <v>5</v>
      </c>
      <c r="N9" s="326" t="s">
        <v>342</v>
      </c>
      <c r="O9" s="326">
        <v>6</v>
      </c>
      <c r="P9" s="326">
        <v>7</v>
      </c>
      <c r="Q9" s="326">
        <v>8</v>
      </c>
      <c r="R9" s="327">
        <v>9</v>
      </c>
      <c r="S9" s="327">
        <v>10</v>
      </c>
      <c r="T9" s="327">
        <v>11</v>
      </c>
      <c r="U9" s="327">
        <v>12</v>
      </c>
      <c r="V9" s="327">
        <v>13</v>
      </c>
      <c r="W9" s="327">
        <v>14</v>
      </c>
      <c r="X9" s="328">
        <v>15</v>
      </c>
      <c r="Y9" s="329">
        <v>16</v>
      </c>
    </row>
    <row r="10" spans="1:25" s="1987" customFormat="1" ht="17.25" customHeight="1">
      <c r="A10" s="651"/>
      <c r="B10" s="765" t="s">
        <v>92</v>
      </c>
      <c r="C10" s="766"/>
      <c r="D10" s="767">
        <f>+D11+D12</f>
        <v>1049415</v>
      </c>
      <c r="E10" s="767">
        <f t="shared" ref="E10:Q10" si="0">+E11+E12</f>
        <v>0</v>
      </c>
      <c r="F10" s="767">
        <f t="shared" si="0"/>
        <v>0</v>
      </c>
      <c r="G10" s="767">
        <f t="shared" si="0"/>
        <v>0</v>
      </c>
      <c r="H10" s="767">
        <f t="shared" si="0"/>
        <v>0</v>
      </c>
      <c r="I10" s="767">
        <f t="shared" si="0"/>
        <v>0</v>
      </c>
      <c r="J10" s="767">
        <f t="shared" si="0"/>
        <v>0</v>
      </c>
      <c r="K10" s="767">
        <f t="shared" si="0"/>
        <v>0</v>
      </c>
      <c r="L10" s="767">
        <f t="shared" si="0"/>
        <v>131442</v>
      </c>
      <c r="M10" s="767">
        <f t="shared" si="0"/>
        <v>286572</v>
      </c>
      <c r="N10" s="767">
        <f t="shared" si="0"/>
        <v>175457</v>
      </c>
      <c r="O10" s="767">
        <f t="shared" si="0"/>
        <v>370427</v>
      </c>
      <c r="P10" s="767">
        <f t="shared" si="0"/>
        <v>238626</v>
      </c>
      <c r="Q10" s="767">
        <f t="shared" si="0"/>
        <v>153790</v>
      </c>
      <c r="R10" s="767">
        <f t="shared" ref="R10:W10" si="1">+R11+R12</f>
        <v>0</v>
      </c>
      <c r="S10" s="767">
        <f t="shared" si="1"/>
        <v>0</v>
      </c>
      <c r="T10" s="767">
        <f t="shared" si="1"/>
        <v>0</v>
      </c>
      <c r="U10" s="767">
        <f t="shared" si="1"/>
        <v>0</v>
      </c>
      <c r="V10" s="767">
        <f t="shared" si="1"/>
        <v>0</v>
      </c>
      <c r="W10" s="767">
        <f t="shared" si="1"/>
        <v>0</v>
      </c>
      <c r="X10" s="330">
        <f>+X11+X12</f>
        <v>392416</v>
      </c>
      <c r="Y10" s="653"/>
    </row>
    <row r="11" spans="1:25" s="1987" customFormat="1" ht="13.5" customHeight="1">
      <c r="A11" s="651"/>
      <c r="B11" s="757" t="s">
        <v>93</v>
      </c>
      <c r="C11" s="758"/>
      <c r="D11" s="759">
        <f>+D22+D33+D44+D51+D58+D65</f>
        <v>1049415</v>
      </c>
      <c r="E11" s="759">
        <f t="shared" ref="E11:N11" si="2">+E22+E33+E44+E51+E58</f>
        <v>0</v>
      </c>
      <c r="F11" s="759">
        <f t="shared" si="2"/>
        <v>0</v>
      </c>
      <c r="G11" s="759">
        <f t="shared" si="2"/>
        <v>0</v>
      </c>
      <c r="H11" s="759">
        <f t="shared" si="2"/>
        <v>0</v>
      </c>
      <c r="I11" s="759">
        <f t="shared" si="2"/>
        <v>0</v>
      </c>
      <c r="J11" s="759">
        <f t="shared" si="2"/>
        <v>0</v>
      </c>
      <c r="K11" s="759">
        <f t="shared" si="2"/>
        <v>0</v>
      </c>
      <c r="L11" s="759">
        <f t="shared" si="2"/>
        <v>131442</v>
      </c>
      <c r="M11" s="759">
        <f>+M22+M33+M44+M51+M58+M65</f>
        <v>286572</v>
      </c>
      <c r="N11" s="759">
        <f t="shared" si="2"/>
        <v>175457</v>
      </c>
      <c r="O11" s="759">
        <f>+O22+O33+O44+O51+O58+O65</f>
        <v>370427</v>
      </c>
      <c r="P11" s="759">
        <f>+P22+P33+P44+P51+P58+P65</f>
        <v>238626</v>
      </c>
      <c r="Q11" s="759">
        <f>+Q22+Q33+Q44+Q51+Q58+Q65</f>
        <v>153790</v>
      </c>
      <c r="R11" s="759">
        <f t="shared" ref="R11:W11" si="3">+R22+R33+R44+R51</f>
        <v>0</v>
      </c>
      <c r="S11" s="759">
        <f t="shared" si="3"/>
        <v>0</v>
      </c>
      <c r="T11" s="759">
        <f t="shared" si="3"/>
        <v>0</v>
      </c>
      <c r="U11" s="759">
        <f t="shared" si="3"/>
        <v>0</v>
      </c>
      <c r="V11" s="759">
        <f t="shared" si="3"/>
        <v>0</v>
      </c>
      <c r="W11" s="759">
        <f t="shared" si="3"/>
        <v>0</v>
      </c>
      <c r="X11" s="332">
        <f>SUM(P11:S11)</f>
        <v>392416</v>
      </c>
      <c r="Y11" s="653"/>
    </row>
    <row r="12" spans="1:25" s="1987" customFormat="1" ht="13.5" customHeight="1" thickBot="1">
      <c r="A12" s="651"/>
      <c r="B12" s="768" t="s">
        <v>21</v>
      </c>
      <c r="C12" s="758"/>
      <c r="D12" s="759">
        <v>0</v>
      </c>
      <c r="E12" s="759">
        <v>0</v>
      </c>
      <c r="F12" s="759">
        <v>0</v>
      </c>
      <c r="G12" s="759">
        <v>0</v>
      </c>
      <c r="H12" s="759">
        <v>0</v>
      </c>
      <c r="I12" s="759">
        <v>0</v>
      </c>
      <c r="J12" s="759">
        <v>0</v>
      </c>
      <c r="K12" s="759">
        <v>0</v>
      </c>
      <c r="L12" s="759">
        <v>0</v>
      </c>
      <c r="M12" s="759">
        <v>0</v>
      </c>
      <c r="N12" s="759">
        <v>0</v>
      </c>
      <c r="O12" s="759">
        <v>0</v>
      </c>
      <c r="P12" s="759">
        <v>0</v>
      </c>
      <c r="Q12" s="759">
        <v>0</v>
      </c>
      <c r="R12" s="759">
        <v>0</v>
      </c>
      <c r="S12" s="759">
        <v>0</v>
      </c>
      <c r="T12" s="759">
        <v>0</v>
      </c>
      <c r="U12" s="759">
        <v>0</v>
      </c>
      <c r="V12" s="759">
        <v>0</v>
      </c>
      <c r="W12" s="759">
        <v>0</v>
      </c>
      <c r="X12" s="332">
        <f>SUM(P12:W12)</f>
        <v>0</v>
      </c>
      <c r="Y12" s="653"/>
    </row>
    <row r="13" spans="1:25" ht="14.25" customHeight="1">
      <c r="A13" s="655"/>
      <c r="B13" s="656" t="s">
        <v>22</v>
      </c>
      <c r="C13" s="657"/>
      <c r="D13" s="658">
        <f>+D14+D16</f>
        <v>1049415</v>
      </c>
      <c r="E13" s="658">
        <f t="shared" ref="E13:Q13" si="4">+E14+E16</f>
        <v>0</v>
      </c>
      <c r="F13" s="658">
        <f t="shared" si="4"/>
        <v>0</v>
      </c>
      <c r="G13" s="658">
        <f t="shared" si="4"/>
        <v>0</v>
      </c>
      <c r="H13" s="658">
        <f t="shared" si="4"/>
        <v>0</v>
      </c>
      <c r="I13" s="658">
        <f t="shared" si="4"/>
        <v>0</v>
      </c>
      <c r="J13" s="658">
        <f t="shared" si="4"/>
        <v>0</v>
      </c>
      <c r="K13" s="658">
        <f t="shared" si="4"/>
        <v>0</v>
      </c>
      <c r="L13" s="658">
        <f t="shared" si="4"/>
        <v>131442</v>
      </c>
      <c r="M13" s="658">
        <f t="shared" si="4"/>
        <v>286572</v>
      </c>
      <c r="N13" s="658">
        <f t="shared" si="4"/>
        <v>175457</v>
      </c>
      <c r="O13" s="658">
        <f t="shared" si="4"/>
        <v>370427</v>
      </c>
      <c r="P13" s="658">
        <f t="shared" si="4"/>
        <v>238626</v>
      </c>
      <c r="Q13" s="658">
        <f t="shared" si="4"/>
        <v>153790</v>
      </c>
      <c r="R13" s="658">
        <f t="shared" ref="R13:X13" si="5">+R14+R16</f>
        <v>0</v>
      </c>
      <c r="S13" s="658">
        <f t="shared" si="5"/>
        <v>0</v>
      </c>
      <c r="T13" s="658">
        <f t="shared" si="5"/>
        <v>0</v>
      </c>
      <c r="U13" s="658">
        <f t="shared" si="5"/>
        <v>0</v>
      </c>
      <c r="V13" s="658">
        <f t="shared" si="5"/>
        <v>0</v>
      </c>
      <c r="W13" s="658">
        <f t="shared" si="5"/>
        <v>0</v>
      </c>
      <c r="X13" s="705">
        <f t="shared" si="5"/>
        <v>392416</v>
      </c>
      <c r="Y13" s="653"/>
    </row>
    <row r="14" spans="1:25" ht="14.25" customHeight="1">
      <c r="A14" s="651"/>
      <c r="B14" s="659" t="s">
        <v>23</v>
      </c>
      <c r="C14" s="3597"/>
      <c r="D14" s="3598">
        <f>+D15</f>
        <v>349415</v>
      </c>
      <c r="E14" s="3598">
        <f t="shared" ref="E14:W14" si="6">+E15</f>
        <v>0</v>
      </c>
      <c r="F14" s="3598">
        <f t="shared" si="6"/>
        <v>0</v>
      </c>
      <c r="G14" s="3598">
        <f t="shared" si="6"/>
        <v>0</v>
      </c>
      <c r="H14" s="3598">
        <f t="shared" si="6"/>
        <v>0</v>
      </c>
      <c r="I14" s="3598">
        <f t="shared" si="6"/>
        <v>0</v>
      </c>
      <c r="J14" s="3598">
        <f t="shared" si="6"/>
        <v>0</v>
      </c>
      <c r="K14" s="3598">
        <f t="shared" si="6"/>
        <v>0</v>
      </c>
      <c r="L14" s="3598">
        <f t="shared" si="6"/>
        <v>64805</v>
      </c>
      <c r="M14" s="3598">
        <f t="shared" si="6"/>
        <v>135277</v>
      </c>
      <c r="N14" s="3598">
        <f t="shared" si="6"/>
        <v>70472</v>
      </c>
      <c r="O14" s="3598">
        <f t="shared" si="6"/>
        <v>70770</v>
      </c>
      <c r="P14" s="3598">
        <f t="shared" si="6"/>
        <v>73485</v>
      </c>
      <c r="Q14" s="3598">
        <f t="shared" si="6"/>
        <v>69883</v>
      </c>
      <c r="R14" s="3598">
        <f t="shared" si="6"/>
        <v>0</v>
      </c>
      <c r="S14" s="3598">
        <f t="shared" si="6"/>
        <v>0</v>
      </c>
      <c r="T14" s="3598">
        <f t="shared" si="6"/>
        <v>0</v>
      </c>
      <c r="U14" s="3598">
        <f t="shared" si="6"/>
        <v>0</v>
      </c>
      <c r="V14" s="3598">
        <f t="shared" si="6"/>
        <v>0</v>
      </c>
      <c r="W14" s="3598">
        <f t="shared" si="6"/>
        <v>0</v>
      </c>
      <c r="X14" s="3599">
        <f>+X15</f>
        <v>143368</v>
      </c>
      <c r="Y14" s="3310"/>
    </row>
    <row r="15" spans="1:25" ht="13.5" customHeight="1">
      <c r="A15" s="661"/>
      <c r="B15" s="662" t="s">
        <v>24</v>
      </c>
      <c r="C15" s="663"/>
      <c r="D15" s="3600">
        <f>+D24+D35</f>
        <v>349415</v>
      </c>
      <c r="E15" s="3600">
        <f t="shared" ref="E15:Q15" si="7">+E24+E35</f>
        <v>0</v>
      </c>
      <c r="F15" s="3600">
        <f t="shared" si="7"/>
        <v>0</v>
      </c>
      <c r="G15" s="3600">
        <f t="shared" si="7"/>
        <v>0</v>
      </c>
      <c r="H15" s="3600">
        <f t="shared" si="7"/>
        <v>0</v>
      </c>
      <c r="I15" s="3600">
        <f t="shared" si="7"/>
        <v>0</v>
      </c>
      <c r="J15" s="3600">
        <f t="shared" si="7"/>
        <v>0</v>
      </c>
      <c r="K15" s="3600">
        <f t="shared" si="7"/>
        <v>0</v>
      </c>
      <c r="L15" s="3600">
        <f>+L24+L35</f>
        <v>64805</v>
      </c>
      <c r="M15" s="3600">
        <f>+M24+M35</f>
        <v>135277</v>
      </c>
      <c r="N15" s="3600">
        <f t="shared" si="7"/>
        <v>70472</v>
      </c>
      <c r="O15" s="3600">
        <f t="shared" si="7"/>
        <v>70770</v>
      </c>
      <c r="P15" s="3600">
        <f t="shared" si="7"/>
        <v>73485</v>
      </c>
      <c r="Q15" s="3600">
        <f t="shared" si="7"/>
        <v>69883</v>
      </c>
      <c r="R15" s="3600">
        <f t="shared" ref="R15:W15" si="8">+R24+R35</f>
        <v>0</v>
      </c>
      <c r="S15" s="3600">
        <f t="shared" si="8"/>
        <v>0</v>
      </c>
      <c r="T15" s="3600">
        <f t="shared" si="8"/>
        <v>0</v>
      </c>
      <c r="U15" s="3600">
        <f t="shared" si="8"/>
        <v>0</v>
      </c>
      <c r="V15" s="3600">
        <f t="shared" si="8"/>
        <v>0</v>
      </c>
      <c r="W15" s="3600">
        <f t="shared" si="8"/>
        <v>0</v>
      </c>
      <c r="X15" s="3203">
        <f>+T15+S15+R15+Q15+P15</f>
        <v>143368</v>
      </c>
      <c r="Y15" s="653"/>
    </row>
    <row r="16" spans="1:25" ht="14.25" customHeight="1">
      <c r="A16" s="651"/>
      <c r="B16" s="3601" t="s">
        <v>30</v>
      </c>
      <c r="C16" s="3602"/>
      <c r="D16" s="666">
        <f>SUM(D17)</f>
        <v>700000</v>
      </c>
      <c r="E16" s="666">
        <f t="shared" ref="E16:O16" si="9">SUM(E17)</f>
        <v>0</v>
      </c>
      <c r="F16" s="666">
        <f t="shared" si="9"/>
        <v>0</v>
      </c>
      <c r="G16" s="666">
        <f t="shared" si="9"/>
        <v>0</v>
      </c>
      <c r="H16" s="666">
        <f t="shared" si="9"/>
        <v>0</v>
      </c>
      <c r="I16" s="666">
        <f t="shared" si="9"/>
        <v>0</v>
      </c>
      <c r="J16" s="666">
        <f t="shared" si="9"/>
        <v>0</v>
      </c>
      <c r="K16" s="666">
        <f t="shared" si="9"/>
        <v>0</v>
      </c>
      <c r="L16" s="666">
        <f t="shared" si="9"/>
        <v>66637</v>
      </c>
      <c r="M16" s="666">
        <f t="shared" si="9"/>
        <v>151295</v>
      </c>
      <c r="N16" s="666">
        <f t="shared" si="9"/>
        <v>104985</v>
      </c>
      <c r="O16" s="666">
        <f t="shared" si="9"/>
        <v>299657</v>
      </c>
      <c r="P16" s="666">
        <f t="shared" ref="P16:X16" si="10">SUM(P17)</f>
        <v>165141</v>
      </c>
      <c r="Q16" s="666">
        <f t="shared" si="10"/>
        <v>83907</v>
      </c>
      <c r="R16" s="3598">
        <f t="shared" si="10"/>
        <v>0</v>
      </c>
      <c r="S16" s="3598">
        <f t="shared" si="10"/>
        <v>0</v>
      </c>
      <c r="T16" s="3598">
        <f t="shared" si="10"/>
        <v>0</v>
      </c>
      <c r="U16" s="3598">
        <f t="shared" si="10"/>
        <v>0</v>
      </c>
      <c r="V16" s="3598">
        <f t="shared" si="10"/>
        <v>0</v>
      </c>
      <c r="W16" s="3598">
        <f t="shared" si="10"/>
        <v>0</v>
      </c>
      <c r="X16" s="3599">
        <f t="shared" si="10"/>
        <v>249048</v>
      </c>
      <c r="Y16" s="3310"/>
    </row>
    <row r="17" spans="1:26" ht="12" customHeight="1">
      <c r="A17" s="667"/>
      <c r="B17" s="3603" t="s">
        <v>32</v>
      </c>
      <c r="C17" s="3604"/>
      <c r="D17" s="3600">
        <f>+D26+D37+D46+D53+D60+D67</f>
        <v>700000</v>
      </c>
      <c r="E17" s="3600">
        <f t="shared" ref="E17:W17" si="11">+E26+E37+E46+E53+E60+E67</f>
        <v>0</v>
      </c>
      <c r="F17" s="3600">
        <f t="shared" si="11"/>
        <v>0</v>
      </c>
      <c r="G17" s="3600">
        <f t="shared" si="11"/>
        <v>0</v>
      </c>
      <c r="H17" s="3600">
        <f t="shared" si="11"/>
        <v>0</v>
      </c>
      <c r="I17" s="3600">
        <f t="shared" si="11"/>
        <v>0</v>
      </c>
      <c r="J17" s="3600">
        <f t="shared" si="11"/>
        <v>0</v>
      </c>
      <c r="K17" s="3600">
        <f t="shared" si="11"/>
        <v>0</v>
      </c>
      <c r="L17" s="3600">
        <f t="shared" si="11"/>
        <v>66637</v>
      </c>
      <c r="M17" s="3600">
        <f>+M26+M37+M46+M53+M60+M67</f>
        <v>151295</v>
      </c>
      <c r="N17" s="3600">
        <f t="shared" si="11"/>
        <v>104985</v>
      </c>
      <c r="O17" s="3600">
        <f t="shared" si="11"/>
        <v>299657</v>
      </c>
      <c r="P17" s="3600">
        <f t="shared" si="11"/>
        <v>165141</v>
      </c>
      <c r="Q17" s="3600">
        <f t="shared" si="11"/>
        <v>83907</v>
      </c>
      <c r="R17" s="3600">
        <f t="shared" si="11"/>
        <v>0</v>
      </c>
      <c r="S17" s="3600">
        <f t="shared" si="11"/>
        <v>0</v>
      </c>
      <c r="T17" s="3600">
        <f t="shared" si="11"/>
        <v>0</v>
      </c>
      <c r="U17" s="3600">
        <f t="shared" si="11"/>
        <v>0</v>
      </c>
      <c r="V17" s="3600">
        <f t="shared" si="11"/>
        <v>0</v>
      </c>
      <c r="W17" s="3600">
        <f t="shared" si="11"/>
        <v>0</v>
      </c>
      <c r="X17" s="3605">
        <f>+T17+S17+R17+Q17+P17</f>
        <v>249048</v>
      </c>
      <c r="Y17" s="3304"/>
    </row>
    <row r="18" spans="1:26" s="3610" customFormat="1" ht="14.25" customHeight="1">
      <c r="A18" s="651"/>
      <c r="B18" s="1988" t="s">
        <v>34</v>
      </c>
      <c r="C18" s="3606"/>
      <c r="D18" s="1369">
        <f>+D19</f>
        <v>700002</v>
      </c>
      <c r="E18" s="1369">
        <f t="shared" ref="E18:U19" si="12">+E19</f>
        <v>0</v>
      </c>
      <c r="F18" s="1369">
        <f t="shared" si="12"/>
        <v>0</v>
      </c>
      <c r="G18" s="1369">
        <f t="shared" si="12"/>
        <v>0</v>
      </c>
      <c r="H18" s="1369">
        <f t="shared" si="12"/>
        <v>0</v>
      </c>
      <c r="I18" s="1369">
        <f t="shared" si="12"/>
        <v>0</v>
      </c>
      <c r="J18" s="1369">
        <f t="shared" si="12"/>
        <v>0</v>
      </c>
      <c r="K18" s="1369">
        <f t="shared" si="12"/>
        <v>0</v>
      </c>
      <c r="L18" s="1369">
        <f t="shared" si="12"/>
        <v>53066</v>
      </c>
      <c r="M18" s="1369">
        <f t="shared" si="12"/>
        <v>288972</v>
      </c>
      <c r="N18" s="1369">
        <f t="shared" si="12"/>
        <v>235906</v>
      </c>
      <c r="O18" s="1369">
        <f>+O19</f>
        <v>137580</v>
      </c>
      <c r="P18" s="1369">
        <f t="shared" si="12"/>
        <v>162868</v>
      </c>
      <c r="Q18" s="1369">
        <f t="shared" si="12"/>
        <v>87386</v>
      </c>
      <c r="R18" s="3607">
        <f t="shared" si="12"/>
        <v>23196</v>
      </c>
      <c r="S18" s="3607">
        <f t="shared" si="12"/>
        <v>0</v>
      </c>
      <c r="T18" s="3607">
        <f t="shared" si="12"/>
        <v>0</v>
      </c>
      <c r="U18" s="3607">
        <f t="shared" si="12"/>
        <v>0</v>
      </c>
      <c r="V18" s="3607">
        <f t="shared" ref="U18:W19" si="13">+V19</f>
        <v>0</v>
      </c>
      <c r="W18" s="3607">
        <f t="shared" si="13"/>
        <v>0</v>
      </c>
      <c r="X18" s="3608" t="s">
        <v>77</v>
      </c>
      <c r="Y18" s="3609"/>
    </row>
    <row r="19" spans="1:26" s="3610" customFormat="1" ht="14.25" customHeight="1">
      <c r="A19" s="651"/>
      <c r="B19" s="3601" t="s">
        <v>30</v>
      </c>
      <c r="C19" s="3602"/>
      <c r="D19" s="666">
        <f>+D20</f>
        <v>700002</v>
      </c>
      <c r="E19" s="666">
        <f t="shared" si="12"/>
        <v>0</v>
      </c>
      <c r="F19" s="666">
        <f t="shared" si="12"/>
        <v>0</v>
      </c>
      <c r="G19" s="666">
        <f t="shared" si="12"/>
        <v>0</v>
      </c>
      <c r="H19" s="666">
        <f t="shared" si="12"/>
        <v>0</v>
      </c>
      <c r="I19" s="666">
        <f t="shared" si="12"/>
        <v>0</v>
      </c>
      <c r="J19" s="666">
        <f t="shared" si="12"/>
        <v>0</v>
      </c>
      <c r="K19" s="666">
        <f t="shared" si="12"/>
        <v>0</v>
      </c>
      <c r="L19" s="666">
        <f t="shared" si="12"/>
        <v>53066</v>
      </c>
      <c r="M19" s="666">
        <f t="shared" si="12"/>
        <v>288972</v>
      </c>
      <c r="N19" s="666">
        <f t="shared" si="12"/>
        <v>235906</v>
      </c>
      <c r="O19" s="666">
        <f t="shared" si="12"/>
        <v>137580</v>
      </c>
      <c r="P19" s="666">
        <f t="shared" si="12"/>
        <v>162868</v>
      </c>
      <c r="Q19" s="666">
        <f t="shared" si="12"/>
        <v>87386</v>
      </c>
      <c r="R19" s="3598">
        <f t="shared" si="12"/>
        <v>23196</v>
      </c>
      <c r="S19" s="3598">
        <f t="shared" si="12"/>
        <v>0</v>
      </c>
      <c r="T19" s="3598">
        <f t="shared" si="12"/>
        <v>0</v>
      </c>
      <c r="U19" s="3598">
        <f t="shared" si="13"/>
        <v>0</v>
      </c>
      <c r="V19" s="3598">
        <f t="shared" si="13"/>
        <v>0</v>
      </c>
      <c r="W19" s="3598">
        <f t="shared" si="13"/>
        <v>0</v>
      </c>
      <c r="X19" s="2865"/>
      <c r="Y19" s="3310"/>
    </row>
    <row r="20" spans="1:26" s="3610" customFormat="1" ht="12.75" customHeight="1" thickBot="1">
      <c r="A20" s="3611"/>
      <c r="B20" s="3612" t="s">
        <v>32</v>
      </c>
      <c r="C20" s="3613"/>
      <c r="D20" s="3614">
        <f>+D31+D42+D49+D56+D63+D70</f>
        <v>700002</v>
      </c>
      <c r="E20" s="3614">
        <f t="shared" ref="E20:W20" si="14">+E31+E42+E49+E56+E63+E70</f>
        <v>0</v>
      </c>
      <c r="F20" s="3614">
        <f t="shared" si="14"/>
        <v>0</v>
      </c>
      <c r="G20" s="3614">
        <f t="shared" si="14"/>
        <v>0</v>
      </c>
      <c r="H20" s="3614">
        <f t="shared" si="14"/>
        <v>0</v>
      </c>
      <c r="I20" s="3614">
        <f t="shared" si="14"/>
        <v>0</v>
      </c>
      <c r="J20" s="3614">
        <f t="shared" si="14"/>
        <v>0</v>
      </c>
      <c r="K20" s="3614">
        <f t="shared" si="14"/>
        <v>0</v>
      </c>
      <c r="L20" s="3614">
        <f t="shared" si="14"/>
        <v>53066</v>
      </c>
      <c r="M20" s="3614">
        <f t="shared" si="14"/>
        <v>288972</v>
      </c>
      <c r="N20" s="3614">
        <f t="shared" si="14"/>
        <v>235906</v>
      </c>
      <c r="O20" s="3614">
        <f t="shared" si="14"/>
        <v>137580</v>
      </c>
      <c r="P20" s="3614">
        <f t="shared" si="14"/>
        <v>162868</v>
      </c>
      <c r="Q20" s="3614">
        <f t="shared" si="14"/>
        <v>87386</v>
      </c>
      <c r="R20" s="3614">
        <f t="shared" si="14"/>
        <v>23196</v>
      </c>
      <c r="S20" s="3614">
        <f t="shared" si="14"/>
        <v>0</v>
      </c>
      <c r="T20" s="3614">
        <f t="shared" si="14"/>
        <v>0</v>
      </c>
      <c r="U20" s="3614">
        <f t="shared" si="14"/>
        <v>0</v>
      </c>
      <c r="V20" s="3614">
        <f t="shared" si="14"/>
        <v>0</v>
      </c>
      <c r="W20" s="3614">
        <f t="shared" si="14"/>
        <v>0</v>
      </c>
      <c r="X20" s="2866"/>
      <c r="Y20" s="3615"/>
      <c r="Z20" s="3616">
        <f>D20-D17</f>
        <v>2</v>
      </c>
    </row>
    <row r="21" spans="1:26" ht="39" hidden="1" customHeight="1">
      <c r="A21" s="2867" t="s">
        <v>79</v>
      </c>
      <c r="B21" s="671" t="s">
        <v>309</v>
      </c>
      <c r="C21" s="672" t="s">
        <v>128</v>
      </c>
      <c r="D21" s="3617"/>
      <c r="E21" s="3618"/>
      <c r="F21" s="673"/>
      <c r="G21" s="673"/>
      <c r="H21" s="3618"/>
      <c r="I21" s="3618"/>
      <c r="J21" s="3618"/>
      <c r="K21" s="673"/>
      <c r="L21" s="673"/>
      <c r="M21" s="3619"/>
      <c r="N21" s="3619"/>
      <c r="O21" s="3619"/>
      <c r="P21" s="673"/>
      <c r="Q21" s="3619"/>
      <c r="R21" s="3619"/>
      <c r="S21" s="3619"/>
      <c r="T21" s="3619"/>
      <c r="U21" s="3619"/>
      <c r="V21" s="3619"/>
      <c r="W21" s="3619"/>
      <c r="X21" s="3620"/>
      <c r="Y21" s="2963"/>
    </row>
    <row r="22" spans="1:26" ht="15" hidden="1" customHeight="1">
      <c r="A22" s="2868"/>
      <c r="B22" s="3181" t="s">
        <v>22</v>
      </c>
      <c r="C22" s="3621"/>
      <c r="D22" s="3622">
        <f>+D23+D25</f>
        <v>0</v>
      </c>
      <c r="E22" s="3622">
        <f t="shared" ref="E22:P22" si="15">+E23+E25</f>
        <v>0</v>
      </c>
      <c r="F22" s="3622">
        <f t="shared" si="15"/>
        <v>0</v>
      </c>
      <c r="G22" s="3622">
        <f t="shared" si="15"/>
        <v>0</v>
      </c>
      <c r="H22" s="3622">
        <f t="shared" si="15"/>
        <v>0</v>
      </c>
      <c r="I22" s="3622">
        <f t="shared" si="15"/>
        <v>0</v>
      </c>
      <c r="J22" s="3622">
        <f t="shared" si="15"/>
        <v>0</v>
      </c>
      <c r="K22" s="3622">
        <f t="shared" si="15"/>
        <v>0</v>
      </c>
      <c r="L22" s="3622">
        <f t="shared" si="15"/>
        <v>0</v>
      </c>
      <c r="M22" s="3622">
        <f t="shared" si="15"/>
        <v>0</v>
      </c>
      <c r="N22" s="3622">
        <f t="shared" si="15"/>
        <v>0</v>
      </c>
      <c r="O22" s="3622">
        <f t="shared" si="15"/>
        <v>0</v>
      </c>
      <c r="P22" s="3622">
        <f t="shared" si="15"/>
        <v>0</v>
      </c>
      <c r="Q22" s="3622">
        <f>+Q23+Q25</f>
        <v>0</v>
      </c>
      <c r="R22" s="3622">
        <f>+R23+R25</f>
        <v>0</v>
      </c>
      <c r="S22" s="3622">
        <f>+S23+S25</f>
        <v>0</v>
      </c>
      <c r="T22" s="3622">
        <f>+T23+T25</f>
        <v>0</v>
      </c>
      <c r="U22" s="3622"/>
      <c r="V22" s="3622"/>
      <c r="W22" s="3622"/>
      <c r="X22" s="3623" t="e">
        <f>X23+X25</f>
        <v>#REF!</v>
      </c>
      <c r="Y22" s="3381"/>
    </row>
    <row r="23" spans="1:26" ht="12.75" hidden="1" customHeight="1">
      <c r="A23" s="2868"/>
      <c r="B23" s="2439" t="s">
        <v>36</v>
      </c>
      <c r="C23" s="3189" t="s">
        <v>166</v>
      </c>
      <c r="D23" s="3624">
        <f>+D24</f>
        <v>0</v>
      </c>
      <c r="E23" s="3624">
        <f t="shared" ref="E23:T23" si="16">+E24</f>
        <v>0</v>
      </c>
      <c r="F23" s="3624">
        <f t="shared" si="16"/>
        <v>0</v>
      </c>
      <c r="G23" s="3624">
        <f t="shared" si="16"/>
        <v>0</v>
      </c>
      <c r="H23" s="3624">
        <f t="shared" si="16"/>
        <v>0</v>
      </c>
      <c r="I23" s="3624">
        <f t="shared" si="16"/>
        <v>0</v>
      </c>
      <c r="J23" s="3624">
        <f t="shared" si="16"/>
        <v>0</v>
      </c>
      <c r="K23" s="3624">
        <f t="shared" si="16"/>
        <v>0</v>
      </c>
      <c r="L23" s="3624">
        <f t="shared" si="16"/>
        <v>0</v>
      </c>
      <c r="M23" s="3624">
        <f t="shared" si="16"/>
        <v>0</v>
      </c>
      <c r="N23" s="3624">
        <f t="shared" si="16"/>
        <v>0</v>
      </c>
      <c r="O23" s="3624">
        <f t="shared" si="16"/>
        <v>0</v>
      </c>
      <c r="P23" s="3624">
        <f t="shared" si="16"/>
        <v>0</v>
      </c>
      <c r="Q23" s="3624">
        <f t="shared" si="16"/>
        <v>0</v>
      </c>
      <c r="R23" s="3624">
        <f t="shared" si="16"/>
        <v>0</v>
      </c>
      <c r="S23" s="3624">
        <f t="shared" si="16"/>
        <v>0</v>
      </c>
      <c r="T23" s="3624">
        <f t="shared" si="16"/>
        <v>0</v>
      </c>
      <c r="U23" s="3624"/>
      <c r="V23" s="3624"/>
      <c r="W23" s="3624"/>
      <c r="X23" s="3625" t="e">
        <f>+X24</f>
        <v>#REF!</v>
      </c>
      <c r="Y23" s="3381"/>
    </row>
    <row r="24" spans="1:26" ht="12.75" hidden="1" customHeight="1">
      <c r="A24" s="2868"/>
      <c r="B24" s="675" t="s">
        <v>24</v>
      </c>
      <c r="C24" s="2827"/>
      <c r="D24" s="3626">
        <f>+M24+N24+O24+P24+Q24+R24+S24+T24</f>
        <v>0</v>
      </c>
      <c r="E24" s="3626">
        <f>+F24+G24+H24</f>
        <v>0</v>
      </c>
      <c r="F24" s="3626"/>
      <c r="G24" s="3626"/>
      <c r="H24" s="3626">
        <v>0</v>
      </c>
      <c r="I24" s="3626">
        <v>0</v>
      </c>
      <c r="J24" s="3626">
        <v>0</v>
      </c>
      <c r="K24" s="3626">
        <v>0</v>
      </c>
      <c r="L24" s="3626">
        <v>0</v>
      </c>
      <c r="M24" s="3626">
        <v>0</v>
      </c>
      <c r="N24" s="3626">
        <v>0</v>
      </c>
      <c r="O24" s="3626">
        <v>0</v>
      </c>
      <c r="P24" s="676">
        <v>0</v>
      </c>
      <c r="Q24" s="676">
        <v>0</v>
      </c>
      <c r="R24" s="676">
        <v>0</v>
      </c>
      <c r="S24" s="676">
        <v>0</v>
      </c>
      <c r="T24" s="676">
        <v>0</v>
      </c>
      <c r="U24" s="676"/>
      <c r="V24" s="676"/>
      <c r="W24" s="676"/>
      <c r="X24" s="3627" t="e">
        <f>+#REF!+T24+S24+R24+Q24+P24</f>
        <v>#REF!</v>
      </c>
      <c r="Y24" s="3381"/>
    </row>
    <row r="25" spans="1:26" ht="12.75" hidden="1" customHeight="1">
      <c r="A25" s="2868"/>
      <c r="B25" s="3628" t="s">
        <v>30</v>
      </c>
      <c r="C25" s="2827"/>
      <c r="D25" s="3629">
        <f>E25+I25+J25+K25+L25+N25+O25+P25</f>
        <v>0</v>
      </c>
      <c r="E25" s="3629">
        <f>+F25+G25+H25</f>
        <v>0</v>
      </c>
      <c r="F25" s="3629">
        <f t="shared" ref="F25:T25" si="17">F26</f>
        <v>0</v>
      </c>
      <c r="G25" s="3629">
        <f t="shared" si="17"/>
        <v>0</v>
      </c>
      <c r="H25" s="3629">
        <f t="shared" si="17"/>
        <v>0</v>
      </c>
      <c r="I25" s="3629">
        <f t="shared" si="17"/>
        <v>0</v>
      </c>
      <c r="J25" s="3629">
        <f t="shared" si="17"/>
        <v>0</v>
      </c>
      <c r="K25" s="3629">
        <f t="shared" si="17"/>
        <v>0</v>
      </c>
      <c r="L25" s="3629">
        <f t="shared" si="17"/>
        <v>0</v>
      </c>
      <c r="M25" s="3629">
        <f t="shared" si="17"/>
        <v>0</v>
      </c>
      <c r="N25" s="3629">
        <f t="shared" si="17"/>
        <v>0</v>
      </c>
      <c r="O25" s="3629">
        <f t="shared" si="17"/>
        <v>0</v>
      </c>
      <c r="P25" s="3629">
        <f t="shared" si="17"/>
        <v>0</v>
      </c>
      <c r="Q25" s="3629">
        <f t="shared" si="17"/>
        <v>0</v>
      </c>
      <c r="R25" s="3629">
        <f t="shared" si="17"/>
        <v>0</v>
      </c>
      <c r="S25" s="3629">
        <f t="shared" si="17"/>
        <v>0</v>
      </c>
      <c r="T25" s="3629">
        <f t="shared" si="17"/>
        <v>0</v>
      </c>
      <c r="U25" s="3629"/>
      <c r="V25" s="3629"/>
      <c r="W25" s="3629"/>
      <c r="X25" s="3625" t="e">
        <f>+X26</f>
        <v>#REF!</v>
      </c>
      <c r="Y25" s="3381"/>
    </row>
    <row r="26" spans="1:26" ht="12.75" hidden="1" thickBot="1">
      <c r="A26" s="2868"/>
      <c r="B26" s="3630" t="s">
        <v>32</v>
      </c>
      <c r="C26" s="2828"/>
      <c r="D26" s="3631">
        <f>+M26+N26+O26+P26+Q26+R26+S26+T26</f>
        <v>0</v>
      </c>
      <c r="E26" s="3632">
        <f>+F26+G26+H26</f>
        <v>0</v>
      </c>
      <c r="F26" s="3632"/>
      <c r="G26" s="3632"/>
      <c r="H26" s="3632">
        <v>0</v>
      </c>
      <c r="I26" s="3632">
        <v>0</v>
      </c>
      <c r="J26" s="3632">
        <v>0</v>
      </c>
      <c r="K26" s="3632">
        <v>0</v>
      </c>
      <c r="L26" s="3632">
        <v>0</v>
      </c>
      <c r="M26" s="3632">
        <v>0</v>
      </c>
      <c r="N26" s="3632">
        <v>0</v>
      </c>
      <c r="O26" s="3632">
        <v>0</v>
      </c>
      <c r="P26" s="625">
        <v>0</v>
      </c>
      <c r="Q26" s="625">
        <v>0</v>
      </c>
      <c r="R26" s="625">
        <v>0</v>
      </c>
      <c r="S26" s="625">
        <v>0</v>
      </c>
      <c r="T26" s="625">
        <v>0</v>
      </c>
      <c r="U26" s="625"/>
      <c r="V26" s="625"/>
      <c r="W26" s="625"/>
      <c r="X26" s="3627" t="e">
        <f>+#REF!+T26+S26+R26+Q26+P26</f>
        <v>#REF!</v>
      </c>
      <c r="Y26" s="3381"/>
    </row>
    <row r="27" spans="1:26" ht="12.75" hidden="1" customHeight="1">
      <c r="A27" s="2599"/>
      <c r="B27" s="3181" t="s">
        <v>34</v>
      </c>
      <c r="C27" s="3633"/>
      <c r="D27" s="3622">
        <f>E27+I27+J27+K27+L27+N27+O27+P27</f>
        <v>0</v>
      </c>
      <c r="E27" s="3622">
        <f t="shared" ref="E27:P27" si="18">E28+E30</f>
        <v>0</v>
      </c>
      <c r="F27" s="3622">
        <f t="shared" si="18"/>
        <v>0</v>
      </c>
      <c r="G27" s="3622">
        <f t="shared" si="18"/>
        <v>0</v>
      </c>
      <c r="H27" s="3622">
        <f t="shared" si="18"/>
        <v>0</v>
      </c>
      <c r="I27" s="3622">
        <f t="shared" si="18"/>
        <v>0</v>
      </c>
      <c r="J27" s="3622">
        <f t="shared" si="18"/>
        <v>0</v>
      </c>
      <c r="K27" s="3622">
        <f t="shared" si="18"/>
        <v>0</v>
      </c>
      <c r="L27" s="3622">
        <f t="shared" si="18"/>
        <v>0</v>
      </c>
      <c r="M27" s="3622">
        <f t="shared" si="18"/>
        <v>0</v>
      </c>
      <c r="N27" s="3622">
        <f t="shared" si="18"/>
        <v>0</v>
      </c>
      <c r="O27" s="3622">
        <f t="shared" si="18"/>
        <v>0</v>
      </c>
      <c r="P27" s="3622">
        <f t="shared" si="18"/>
        <v>0</v>
      </c>
      <c r="Q27" s="3622">
        <f>Q28+Q30</f>
        <v>0</v>
      </c>
      <c r="R27" s="3348">
        <f>R28+R30</f>
        <v>0</v>
      </c>
      <c r="S27" s="3348">
        <f>S28+S30</f>
        <v>0</v>
      </c>
      <c r="T27" s="3348">
        <f>T28+T30</f>
        <v>0</v>
      </c>
      <c r="U27" s="3634"/>
      <c r="V27" s="3634"/>
      <c r="W27" s="3634"/>
      <c r="X27" s="2915" t="s">
        <v>77</v>
      </c>
      <c r="Y27" s="3381"/>
    </row>
    <row r="28" spans="1:26" ht="12" hidden="1" customHeight="1">
      <c r="A28" s="2599"/>
      <c r="B28" s="3635" t="s">
        <v>36</v>
      </c>
      <c r="C28" s="3189" t="s">
        <v>166</v>
      </c>
      <c r="D28" s="3624">
        <f>E28+I28+J28+K28+L28+N28+O28+P28</f>
        <v>0</v>
      </c>
      <c r="E28" s="3624">
        <f t="shared" ref="E28:T28" si="19">E29</f>
        <v>0</v>
      </c>
      <c r="F28" s="3624">
        <f t="shared" si="19"/>
        <v>0</v>
      </c>
      <c r="G28" s="3624">
        <f t="shared" si="19"/>
        <v>0</v>
      </c>
      <c r="H28" s="3624">
        <f t="shared" si="19"/>
        <v>0</v>
      </c>
      <c r="I28" s="3624">
        <f t="shared" si="19"/>
        <v>0</v>
      </c>
      <c r="J28" s="3624">
        <f t="shared" si="19"/>
        <v>0</v>
      </c>
      <c r="K28" s="3624">
        <f t="shared" si="19"/>
        <v>0</v>
      </c>
      <c r="L28" s="3624">
        <f t="shared" si="19"/>
        <v>0</v>
      </c>
      <c r="M28" s="3624"/>
      <c r="N28" s="3624">
        <f t="shared" si="19"/>
        <v>0</v>
      </c>
      <c r="O28" s="3624">
        <f t="shared" si="19"/>
        <v>0</v>
      </c>
      <c r="P28" s="3624">
        <f t="shared" si="19"/>
        <v>0</v>
      </c>
      <c r="Q28" s="3624">
        <f t="shared" si="19"/>
        <v>0</v>
      </c>
      <c r="R28" s="3636">
        <f t="shared" si="19"/>
        <v>0</v>
      </c>
      <c r="S28" s="3636">
        <f t="shared" si="19"/>
        <v>0</v>
      </c>
      <c r="T28" s="3636">
        <f t="shared" si="19"/>
        <v>0</v>
      </c>
      <c r="U28" s="3637"/>
      <c r="V28" s="3637"/>
      <c r="W28" s="3637"/>
      <c r="X28" s="2830"/>
      <c r="Y28" s="3381"/>
    </row>
    <row r="29" spans="1:26" ht="12" hidden="1" customHeight="1">
      <c r="A29" s="2599"/>
      <c r="B29" s="679" t="s">
        <v>25</v>
      </c>
      <c r="C29" s="2827"/>
      <c r="D29" s="3626">
        <f>E29+I29+J29+K29+L29+N29+O29+P29</f>
        <v>0</v>
      </c>
      <c r="E29" s="3382">
        <f>+F29+G29+H29</f>
        <v>0</v>
      </c>
      <c r="F29" s="3382"/>
      <c r="G29" s="3382"/>
      <c r="H29" s="3382">
        <v>0</v>
      </c>
      <c r="I29" s="3382">
        <v>0</v>
      </c>
      <c r="J29" s="3382">
        <v>0</v>
      </c>
      <c r="K29" s="3382">
        <v>0</v>
      </c>
      <c r="L29" s="3382">
        <v>0</v>
      </c>
      <c r="M29" s="3382"/>
      <c r="N29" s="3382">
        <v>0</v>
      </c>
      <c r="O29" s="3382">
        <v>0</v>
      </c>
      <c r="P29" s="3382">
        <v>0</v>
      </c>
      <c r="Q29" s="3382">
        <v>0</v>
      </c>
      <c r="R29" s="3382">
        <v>0</v>
      </c>
      <c r="S29" s="3382">
        <v>0</v>
      </c>
      <c r="T29" s="3382">
        <v>0</v>
      </c>
      <c r="U29" s="776"/>
      <c r="V29" s="776"/>
      <c r="W29" s="776"/>
      <c r="X29" s="2830"/>
      <c r="Y29" s="3381"/>
    </row>
    <row r="30" spans="1:26" ht="13.5" hidden="1" customHeight="1">
      <c r="A30" s="2599"/>
      <c r="B30" s="3638" t="s">
        <v>30</v>
      </c>
      <c r="C30" s="2827"/>
      <c r="D30" s="3629">
        <f>E30+I30+J30+K30+L30+N30+O30+P30</f>
        <v>0</v>
      </c>
      <c r="E30" s="3629">
        <f t="shared" ref="E30:T30" si="20">E31</f>
        <v>0</v>
      </c>
      <c r="F30" s="3629">
        <f t="shared" si="20"/>
        <v>0</v>
      </c>
      <c r="G30" s="3629">
        <f t="shared" si="20"/>
        <v>0</v>
      </c>
      <c r="H30" s="3629">
        <f t="shared" si="20"/>
        <v>0</v>
      </c>
      <c r="I30" s="3629">
        <f t="shared" si="20"/>
        <v>0</v>
      </c>
      <c r="J30" s="3629">
        <f t="shared" si="20"/>
        <v>0</v>
      </c>
      <c r="K30" s="3629">
        <f t="shared" si="20"/>
        <v>0</v>
      </c>
      <c r="L30" s="3629">
        <f t="shared" si="20"/>
        <v>0</v>
      </c>
      <c r="M30" s="3629">
        <f t="shared" si="20"/>
        <v>0</v>
      </c>
      <c r="N30" s="3629">
        <f t="shared" si="20"/>
        <v>0</v>
      </c>
      <c r="O30" s="3629">
        <f t="shared" si="20"/>
        <v>0</v>
      </c>
      <c r="P30" s="3629">
        <f t="shared" si="20"/>
        <v>0</v>
      </c>
      <c r="Q30" s="3629">
        <f t="shared" si="20"/>
        <v>0</v>
      </c>
      <c r="R30" s="3389">
        <f t="shared" si="20"/>
        <v>0</v>
      </c>
      <c r="S30" s="3389">
        <f t="shared" si="20"/>
        <v>0</v>
      </c>
      <c r="T30" s="3389">
        <f t="shared" si="20"/>
        <v>0</v>
      </c>
      <c r="U30" s="3391"/>
      <c r="V30" s="3391"/>
      <c r="W30" s="3391"/>
      <c r="X30" s="2830"/>
      <c r="Y30" s="3381"/>
    </row>
    <row r="31" spans="1:26" ht="13.5" hidden="1" customHeight="1" thickBot="1">
      <c r="A31" s="2600"/>
      <c r="B31" s="3639" t="s">
        <v>32</v>
      </c>
      <c r="C31" s="2832"/>
      <c r="D31" s="2141">
        <f>+M31+N31+O31+P31+Q31+R31+S31+T31</f>
        <v>0</v>
      </c>
      <c r="E31" s="3114">
        <f>+F31+G31+H31</f>
        <v>0</v>
      </c>
      <c r="F31" s="3114"/>
      <c r="G31" s="3114"/>
      <c r="H31" s="3114">
        <v>0</v>
      </c>
      <c r="I31" s="3114">
        <v>0</v>
      </c>
      <c r="J31" s="3114">
        <v>0</v>
      </c>
      <c r="K31" s="3114">
        <v>0</v>
      </c>
      <c r="L31" s="3114">
        <v>0</v>
      </c>
      <c r="M31" s="3114">
        <v>0</v>
      </c>
      <c r="N31" s="3114">
        <v>0</v>
      </c>
      <c r="O31" s="3114">
        <v>0</v>
      </c>
      <c r="P31" s="3114">
        <v>0</v>
      </c>
      <c r="Q31" s="3114">
        <v>0</v>
      </c>
      <c r="R31" s="3114">
        <v>0</v>
      </c>
      <c r="S31" s="3114">
        <v>0</v>
      </c>
      <c r="T31" s="3114">
        <v>0</v>
      </c>
      <c r="U31" s="575"/>
      <c r="V31" s="575"/>
      <c r="W31" s="575"/>
      <c r="X31" s="2831"/>
      <c r="Y31" s="3408"/>
    </row>
    <row r="32" spans="1:26" ht="24.75" customHeight="1">
      <c r="A32" s="2867" t="s">
        <v>79</v>
      </c>
      <c r="B32" s="671" t="s">
        <v>448</v>
      </c>
      <c r="C32" s="672" t="s">
        <v>128</v>
      </c>
      <c r="D32" s="3617"/>
      <c r="E32" s="3618"/>
      <c r="F32" s="673"/>
      <c r="G32" s="673"/>
      <c r="H32" s="3618"/>
      <c r="I32" s="3618"/>
      <c r="J32" s="3618"/>
      <c r="K32" s="673"/>
      <c r="L32" s="673"/>
      <c r="M32" s="3619"/>
      <c r="N32" s="3619"/>
      <c r="O32" s="3619"/>
      <c r="P32" s="673"/>
      <c r="Q32" s="3619"/>
      <c r="R32" s="3619"/>
      <c r="S32" s="3619"/>
      <c r="T32" s="3619"/>
      <c r="U32" s="3619"/>
      <c r="V32" s="3619"/>
      <c r="W32" s="3619"/>
      <c r="X32" s="3620"/>
      <c r="Y32" s="2963" t="s">
        <v>165</v>
      </c>
    </row>
    <row r="33" spans="1:25" ht="13.5" customHeight="1">
      <c r="A33" s="2868"/>
      <c r="B33" s="3181" t="s">
        <v>22</v>
      </c>
      <c r="C33" s="3640"/>
      <c r="D33" s="3622">
        <f>+D34+D36</f>
        <v>744527</v>
      </c>
      <c r="E33" s="3622">
        <f t="shared" ref="E33:Q33" si="21">+E34+E36</f>
        <v>0</v>
      </c>
      <c r="F33" s="3622">
        <f t="shared" si="21"/>
        <v>0</v>
      </c>
      <c r="G33" s="3622">
        <f t="shared" si="21"/>
        <v>0</v>
      </c>
      <c r="H33" s="3622">
        <f t="shared" si="21"/>
        <v>0</v>
      </c>
      <c r="I33" s="3622">
        <f t="shared" si="21"/>
        <v>0</v>
      </c>
      <c r="J33" s="3622">
        <f t="shared" si="21"/>
        <v>0</v>
      </c>
      <c r="K33" s="3622">
        <f t="shared" si="21"/>
        <v>0</v>
      </c>
      <c r="L33" s="3622">
        <f t="shared" si="21"/>
        <v>131442</v>
      </c>
      <c r="M33" s="3622">
        <f t="shared" si="21"/>
        <v>286572</v>
      </c>
      <c r="N33" s="3622">
        <f t="shared" si="21"/>
        <v>155130</v>
      </c>
      <c r="O33" s="3622">
        <f t="shared" si="21"/>
        <v>151572</v>
      </c>
      <c r="P33" s="3622">
        <f t="shared" si="21"/>
        <v>160793</v>
      </c>
      <c r="Q33" s="3622">
        <f t="shared" si="21"/>
        <v>145590</v>
      </c>
      <c r="R33" s="3622">
        <f t="shared" ref="R33:W33" si="22">+R34+R36</f>
        <v>0</v>
      </c>
      <c r="S33" s="3641">
        <f t="shared" si="22"/>
        <v>0</v>
      </c>
      <c r="T33" s="3641">
        <f t="shared" si="22"/>
        <v>0</v>
      </c>
      <c r="U33" s="3641">
        <f t="shared" si="22"/>
        <v>0</v>
      </c>
      <c r="V33" s="3641">
        <f t="shared" si="22"/>
        <v>0</v>
      </c>
      <c r="W33" s="3641">
        <f t="shared" si="22"/>
        <v>0</v>
      </c>
      <c r="X33" s="3623">
        <f>X34+X36</f>
        <v>306383</v>
      </c>
      <c r="Y33" s="3381"/>
    </row>
    <row r="34" spans="1:25" ht="11.25" customHeight="1">
      <c r="A34" s="2868"/>
      <c r="B34" s="2439" t="s">
        <v>36</v>
      </c>
      <c r="C34" s="3189" t="s">
        <v>166</v>
      </c>
      <c r="D34" s="3624">
        <f>+D35</f>
        <v>349415</v>
      </c>
      <c r="E34" s="3624">
        <f t="shared" ref="E34:W34" si="23">+E35</f>
        <v>0</v>
      </c>
      <c r="F34" s="3624">
        <f t="shared" si="23"/>
        <v>0</v>
      </c>
      <c r="G34" s="3624">
        <f t="shared" si="23"/>
        <v>0</v>
      </c>
      <c r="H34" s="3624">
        <f t="shared" si="23"/>
        <v>0</v>
      </c>
      <c r="I34" s="3624">
        <f t="shared" si="23"/>
        <v>0</v>
      </c>
      <c r="J34" s="3624">
        <f t="shared" si="23"/>
        <v>0</v>
      </c>
      <c r="K34" s="3624">
        <f t="shared" si="23"/>
        <v>0</v>
      </c>
      <c r="L34" s="3624">
        <f t="shared" si="23"/>
        <v>64805</v>
      </c>
      <c r="M34" s="3624">
        <f t="shared" si="23"/>
        <v>135277</v>
      </c>
      <c r="N34" s="3624">
        <f t="shared" si="23"/>
        <v>70472</v>
      </c>
      <c r="O34" s="3624">
        <f t="shared" si="23"/>
        <v>70770</v>
      </c>
      <c r="P34" s="3624">
        <f t="shared" si="23"/>
        <v>73485</v>
      </c>
      <c r="Q34" s="3624">
        <f t="shared" si="23"/>
        <v>69883</v>
      </c>
      <c r="R34" s="3624">
        <f t="shared" si="23"/>
        <v>0</v>
      </c>
      <c r="S34" s="3642">
        <f t="shared" si="23"/>
        <v>0</v>
      </c>
      <c r="T34" s="3642">
        <f t="shared" si="23"/>
        <v>0</v>
      </c>
      <c r="U34" s="3642">
        <f t="shared" si="23"/>
        <v>0</v>
      </c>
      <c r="V34" s="3642">
        <f t="shared" si="23"/>
        <v>0</v>
      </c>
      <c r="W34" s="3642">
        <f t="shared" si="23"/>
        <v>0</v>
      </c>
      <c r="X34" s="3625">
        <f>+X35</f>
        <v>143368</v>
      </c>
      <c r="Y34" s="3381"/>
    </row>
    <row r="35" spans="1:25" ht="13.5" customHeight="1">
      <c r="A35" s="2868"/>
      <c r="B35" s="675" t="s">
        <v>24</v>
      </c>
      <c r="C35" s="2827"/>
      <c r="D35" s="3626">
        <f>M35+O35+P35+Q35+R35+S35+T35+U35+V35+W35</f>
        <v>349415</v>
      </c>
      <c r="E35" s="3626">
        <f>+F35+G35+H35</f>
        <v>0</v>
      </c>
      <c r="F35" s="3626"/>
      <c r="G35" s="3626"/>
      <c r="H35" s="3626">
        <v>0</v>
      </c>
      <c r="I35" s="3626">
        <v>0</v>
      </c>
      <c r="J35" s="3626">
        <v>0</v>
      </c>
      <c r="K35" s="3626">
        <v>0</v>
      </c>
      <c r="L35" s="3626">
        <f>69883-5078</f>
        <v>64805</v>
      </c>
      <c r="M35" s="3626">
        <f>+L35+N35</f>
        <v>135277</v>
      </c>
      <c r="N35" s="3626">
        <v>70472</v>
      </c>
      <c r="O35" s="3626">
        <f>74372-3602</f>
        <v>70770</v>
      </c>
      <c r="P35" s="676">
        <f>69883+3602</f>
        <v>73485</v>
      </c>
      <c r="Q35" s="676">
        <v>69883</v>
      </c>
      <c r="R35" s="676">
        <v>0</v>
      </c>
      <c r="S35" s="3643">
        <v>0</v>
      </c>
      <c r="T35" s="3643">
        <v>0</v>
      </c>
      <c r="U35" s="3643">
        <v>0</v>
      </c>
      <c r="V35" s="3643">
        <v>0</v>
      </c>
      <c r="W35" s="3643">
        <v>0</v>
      </c>
      <c r="X35" s="3627">
        <f>+P35+Q35+R35+S35</f>
        <v>143368</v>
      </c>
      <c r="Y35" s="3381"/>
    </row>
    <row r="36" spans="1:25" ht="13.5" customHeight="1">
      <c r="A36" s="2868"/>
      <c r="B36" s="3628" t="s">
        <v>30</v>
      </c>
      <c r="C36" s="2827"/>
      <c r="D36" s="3629">
        <f>+D37</f>
        <v>395112</v>
      </c>
      <c r="E36" s="3629">
        <f>+F36+G36+H36</f>
        <v>0</v>
      </c>
      <c r="F36" s="3629">
        <f t="shared" ref="F36:W36" si="24">F37</f>
        <v>0</v>
      </c>
      <c r="G36" s="3629">
        <f t="shared" si="24"/>
        <v>0</v>
      </c>
      <c r="H36" s="3629">
        <f t="shared" si="24"/>
        <v>0</v>
      </c>
      <c r="I36" s="3629">
        <f t="shared" si="24"/>
        <v>0</v>
      </c>
      <c r="J36" s="3629">
        <f t="shared" si="24"/>
        <v>0</v>
      </c>
      <c r="K36" s="3629">
        <f t="shared" si="24"/>
        <v>0</v>
      </c>
      <c r="L36" s="3629">
        <f t="shared" si="24"/>
        <v>66637</v>
      </c>
      <c r="M36" s="3629">
        <f t="shared" si="24"/>
        <v>151295</v>
      </c>
      <c r="N36" s="3629">
        <f t="shared" si="24"/>
        <v>84658</v>
      </c>
      <c r="O36" s="3629">
        <f t="shared" si="24"/>
        <v>80802</v>
      </c>
      <c r="P36" s="3629">
        <f t="shared" si="24"/>
        <v>87308</v>
      </c>
      <c r="Q36" s="3629">
        <f t="shared" si="24"/>
        <v>75707</v>
      </c>
      <c r="R36" s="3629">
        <f t="shared" si="24"/>
        <v>0</v>
      </c>
      <c r="S36" s="3442">
        <f t="shared" si="24"/>
        <v>0</v>
      </c>
      <c r="T36" s="3442">
        <f t="shared" si="24"/>
        <v>0</v>
      </c>
      <c r="U36" s="3442">
        <f t="shared" si="24"/>
        <v>0</v>
      </c>
      <c r="V36" s="3442">
        <f t="shared" si="24"/>
        <v>0</v>
      </c>
      <c r="W36" s="3442">
        <f t="shared" si="24"/>
        <v>0</v>
      </c>
      <c r="X36" s="3625">
        <f>+X37</f>
        <v>163015</v>
      </c>
      <c r="Y36" s="3381"/>
    </row>
    <row r="37" spans="1:25" ht="12">
      <c r="A37" s="2868"/>
      <c r="B37" s="3630" t="s">
        <v>32</v>
      </c>
      <c r="C37" s="2828"/>
      <c r="D37" s="3626">
        <f>M37+O37+P37+Q37+R37+S37+T37+U37+V37+W37</f>
        <v>395112</v>
      </c>
      <c r="E37" s="3632">
        <f>+F37+G37+H37</f>
        <v>0</v>
      </c>
      <c r="F37" s="3632"/>
      <c r="G37" s="3632"/>
      <c r="H37" s="3632">
        <v>0</v>
      </c>
      <c r="I37" s="3632">
        <v>0</v>
      </c>
      <c r="J37" s="3632">
        <v>0</v>
      </c>
      <c r="K37" s="3632">
        <v>0</v>
      </c>
      <c r="L37" s="3632">
        <f>75707-9070</f>
        <v>66637</v>
      </c>
      <c r="M37" s="3626">
        <f>+L37+N37</f>
        <v>151295</v>
      </c>
      <c r="N37" s="3632">
        <v>84658</v>
      </c>
      <c r="O37" s="3632">
        <f>75826+4980-4</f>
        <v>80802</v>
      </c>
      <c r="P37" s="625">
        <f>75707+4+11597</f>
        <v>87308</v>
      </c>
      <c r="Q37" s="625">
        <v>75707</v>
      </c>
      <c r="R37" s="625">
        <v>0</v>
      </c>
      <c r="S37" s="3644">
        <v>0</v>
      </c>
      <c r="T37" s="3644">
        <v>0</v>
      </c>
      <c r="U37" s="3644">
        <v>0</v>
      </c>
      <c r="V37" s="3644">
        <v>0</v>
      </c>
      <c r="W37" s="3644">
        <v>0</v>
      </c>
      <c r="X37" s="3627">
        <f>+T37+S37+R37+Q37+P37</f>
        <v>163015</v>
      </c>
      <c r="Y37" s="3381"/>
    </row>
    <row r="38" spans="1:25" ht="13.5" customHeight="1">
      <c r="A38" s="2599"/>
      <c r="B38" s="3181" t="s">
        <v>34</v>
      </c>
      <c r="C38" s="3633"/>
      <c r="D38" s="3622">
        <f>+D41</f>
        <v>395112</v>
      </c>
      <c r="E38" s="3622">
        <f t="shared" ref="E38:W38" si="25">E39+E41</f>
        <v>0</v>
      </c>
      <c r="F38" s="3622">
        <f t="shared" si="25"/>
        <v>0</v>
      </c>
      <c r="G38" s="3622">
        <f t="shared" si="25"/>
        <v>0</v>
      </c>
      <c r="H38" s="3622">
        <f t="shared" si="25"/>
        <v>0</v>
      </c>
      <c r="I38" s="3622">
        <f t="shared" si="25"/>
        <v>0</v>
      </c>
      <c r="J38" s="3622">
        <f t="shared" si="25"/>
        <v>0</v>
      </c>
      <c r="K38" s="3622">
        <f t="shared" si="25"/>
        <v>0</v>
      </c>
      <c r="L38" s="3622">
        <f t="shared" si="25"/>
        <v>53066</v>
      </c>
      <c r="M38" s="3622">
        <f t="shared" si="25"/>
        <v>128928</v>
      </c>
      <c r="N38" s="3622">
        <f t="shared" si="25"/>
        <v>75862</v>
      </c>
      <c r="O38" s="3622">
        <f t="shared" si="25"/>
        <v>78483</v>
      </c>
      <c r="P38" s="3622">
        <f t="shared" si="25"/>
        <v>85319</v>
      </c>
      <c r="Q38" s="3622">
        <f t="shared" si="25"/>
        <v>79186</v>
      </c>
      <c r="R38" s="3622">
        <f t="shared" si="25"/>
        <v>23196</v>
      </c>
      <c r="S38" s="3641">
        <f t="shared" si="25"/>
        <v>0</v>
      </c>
      <c r="T38" s="3641">
        <f t="shared" si="25"/>
        <v>0</v>
      </c>
      <c r="U38" s="3641">
        <f t="shared" si="25"/>
        <v>0</v>
      </c>
      <c r="V38" s="3641">
        <f t="shared" si="25"/>
        <v>0</v>
      </c>
      <c r="W38" s="3641">
        <f t="shared" si="25"/>
        <v>0</v>
      </c>
      <c r="X38" s="2915" t="s">
        <v>77</v>
      </c>
      <c r="Y38" s="3381"/>
    </row>
    <row r="39" spans="1:25" ht="12" hidden="1" customHeight="1">
      <c r="A39" s="2599"/>
      <c r="B39" s="3635" t="s">
        <v>36</v>
      </c>
      <c r="C39" s="3189" t="s">
        <v>166</v>
      </c>
      <c r="D39" s="3624">
        <f>E39+I39+J39+K39+L39+N39+O39+P39</f>
        <v>0</v>
      </c>
      <c r="E39" s="3624">
        <f t="shared" ref="E39:R39" si="26">E40</f>
        <v>0</v>
      </c>
      <c r="F39" s="3624">
        <f t="shared" si="26"/>
        <v>0</v>
      </c>
      <c r="G39" s="3624">
        <f t="shared" si="26"/>
        <v>0</v>
      </c>
      <c r="H39" s="3624">
        <f t="shared" si="26"/>
        <v>0</v>
      </c>
      <c r="I39" s="3624">
        <f t="shared" si="26"/>
        <v>0</v>
      </c>
      <c r="J39" s="3624">
        <f t="shared" si="26"/>
        <v>0</v>
      </c>
      <c r="K39" s="3624">
        <f t="shared" si="26"/>
        <v>0</v>
      </c>
      <c r="L39" s="3624">
        <f t="shared" si="26"/>
        <v>0</v>
      </c>
      <c r="M39" s="3624"/>
      <c r="N39" s="3624">
        <f t="shared" si="26"/>
        <v>0</v>
      </c>
      <c r="O39" s="3624">
        <f t="shared" si="26"/>
        <v>0</v>
      </c>
      <c r="P39" s="3624">
        <f t="shared" si="26"/>
        <v>0</v>
      </c>
      <c r="Q39" s="3624">
        <f t="shared" si="26"/>
        <v>0</v>
      </c>
      <c r="R39" s="3624">
        <f t="shared" si="26"/>
        <v>0</v>
      </c>
      <c r="S39" s="3642"/>
      <c r="T39" s="3642"/>
      <c r="U39" s="3642"/>
      <c r="V39" s="3642"/>
      <c r="W39" s="3642"/>
      <c r="X39" s="2830"/>
      <c r="Y39" s="3381"/>
    </row>
    <row r="40" spans="1:25" ht="12" hidden="1" customHeight="1">
      <c r="A40" s="2599"/>
      <c r="B40" s="679" t="s">
        <v>25</v>
      </c>
      <c r="C40" s="2827"/>
      <c r="D40" s="3626">
        <f>E40+I40+J40+K40+L40+N40+O40+P40</f>
        <v>0</v>
      </c>
      <c r="E40" s="3382">
        <f>+F40+G40+H40</f>
        <v>0</v>
      </c>
      <c r="F40" s="3382"/>
      <c r="G40" s="3382"/>
      <c r="H40" s="3382">
        <v>0</v>
      </c>
      <c r="I40" s="3382">
        <v>0</v>
      </c>
      <c r="J40" s="3382">
        <v>0</v>
      </c>
      <c r="K40" s="3382">
        <v>0</v>
      </c>
      <c r="L40" s="3382">
        <v>0</v>
      </c>
      <c r="M40" s="3382"/>
      <c r="N40" s="3382">
        <v>0</v>
      </c>
      <c r="O40" s="3382">
        <v>0</v>
      </c>
      <c r="P40" s="3382">
        <v>0</v>
      </c>
      <c r="Q40" s="3382">
        <v>0</v>
      </c>
      <c r="R40" s="676">
        <v>0</v>
      </c>
      <c r="S40" s="3643"/>
      <c r="T40" s="3643"/>
      <c r="U40" s="3643"/>
      <c r="V40" s="3643"/>
      <c r="W40" s="3643"/>
      <c r="X40" s="2830"/>
      <c r="Y40" s="3381"/>
    </row>
    <row r="41" spans="1:25" ht="13.5" customHeight="1">
      <c r="A41" s="2599"/>
      <c r="B41" s="3638" t="s">
        <v>30</v>
      </c>
      <c r="C41" s="2827"/>
      <c r="D41" s="3629">
        <f>+D42</f>
        <v>395112</v>
      </c>
      <c r="E41" s="3629">
        <f t="shared" ref="E41:W41" si="27">E42</f>
        <v>0</v>
      </c>
      <c r="F41" s="3629">
        <f t="shared" si="27"/>
        <v>0</v>
      </c>
      <c r="G41" s="3629">
        <f t="shared" si="27"/>
        <v>0</v>
      </c>
      <c r="H41" s="3629">
        <f t="shared" si="27"/>
        <v>0</v>
      </c>
      <c r="I41" s="3629">
        <f t="shared" si="27"/>
        <v>0</v>
      </c>
      <c r="J41" s="3629">
        <f t="shared" si="27"/>
        <v>0</v>
      </c>
      <c r="K41" s="3629">
        <f t="shared" si="27"/>
        <v>0</v>
      </c>
      <c r="L41" s="3629">
        <f t="shared" si="27"/>
        <v>53066</v>
      </c>
      <c r="M41" s="3629">
        <f t="shared" si="27"/>
        <v>128928</v>
      </c>
      <c r="N41" s="3629">
        <f t="shared" si="27"/>
        <v>75862</v>
      </c>
      <c r="O41" s="3629">
        <f t="shared" si="27"/>
        <v>78483</v>
      </c>
      <c r="P41" s="3629">
        <f t="shared" si="27"/>
        <v>85319</v>
      </c>
      <c r="Q41" s="3629">
        <f t="shared" si="27"/>
        <v>79186</v>
      </c>
      <c r="R41" s="3629">
        <f t="shared" si="27"/>
        <v>23196</v>
      </c>
      <c r="S41" s="3442">
        <f t="shared" si="27"/>
        <v>0</v>
      </c>
      <c r="T41" s="3442">
        <f t="shared" si="27"/>
        <v>0</v>
      </c>
      <c r="U41" s="3442">
        <f t="shared" si="27"/>
        <v>0</v>
      </c>
      <c r="V41" s="3442">
        <f t="shared" si="27"/>
        <v>0</v>
      </c>
      <c r="W41" s="3442">
        <f t="shared" si="27"/>
        <v>0</v>
      </c>
      <c r="X41" s="2830"/>
      <c r="Y41" s="3381"/>
    </row>
    <row r="42" spans="1:25" ht="12.75" customHeight="1" thickBot="1">
      <c r="A42" s="2600"/>
      <c r="B42" s="3639" t="s">
        <v>32</v>
      </c>
      <c r="C42" s="2832"/>
      <c r="D42" s="3626">
        <f>M42+O42+P42+Q42+R42+S42+T42+U42+V42+W42</f>
        <v>395112</v>
      </c>
      <c r="E42" s="3114">
        <f>+F42+G42+H42</f>
        <v>0</v>
      </c>
      <c r="F42" s="3114"/>
      <c r="G42" s="3114"/>
      <c r="H42" s="3114">
        <v>0</v>
      </c>
      <c r="I42" s="3114">
        <v>0</v>
      </c>
      <c r="J42" s="3114">
        <v>0</v>
      </c>
      <c r="K42" s="3114">
        <v>0</v>
      </c>
      <c r="L42" s="3114">
        <f>52995+71</f>
        <v>53066</v>
      </c>
      <c r="M42" s="3626">
        <f>+L42+N42</f>
        <v>128928</v>
      </c>
      <c r="N42" s="3114">
        <v>75862</v>
      </c>
      <c r="O42" s="3114">
        <f>74088+3486+909</f>
        <v>78483</v>
      </c>
      <c r="P42" s="3114">
        <f>75707+1494+8118</f>
        <v>85319</v>
      </c>
      <c r="Q42" s="3114">
        <v>79186</v>
      </c>
      <c r="R42" s="3114">
        <f>24105-909</f>
        <v>23196</v>
      </c>
      <c r="S42" s="3645">
        <v>0</v>
      </c>
      <c r="T42" s="3645">
        <v>0</v>
      </c>
      <c r="U42" s="3645">
        <v>0</v>
      </c>
      <c r="V42" s="3645">
        <v>0</v>
      </c>
      <c r="W42" s="3645">
        <v>0</v>
      </c>
      <c r="X42" s="2831"/>
      <c r="Y42" s="3408"/>
    </row>
    <row r="43" spans="1:25" ht="36" hidden="1" customHeight="1">
      <c r="A43" s="2867" t="s">
        <v>80</v>
      </c>
      <c r="B43" s="671" t="s">
        <v>415</v>
      </c>
      <c r="C43" s="672" t="s">
        <v>128</v>
      </c>
      <c r="D43" s="3617"/>
      <c r="E43" s="3618"/>
      <c r="F43" s="673"/>
      <c r="G43" s="673"/>
      <c r="H43" s="3618"/>
      <c r="I43" s="3618"/>
      <c r="J43" s="3618"/>
      <c r="K43" s="673"/>
      <c r="L43" s="673"/>
      <c r="M43" s="3619"/>
      <c r="N43" s="3619"/>
      <c r="O43" s="3619"/>
      <c r="P43" s="673"/>
      <c r="Q43" s="3619"/>
      <c r="R43" s="3619"/>
      <c r="S43" s="3619"/>
      <c r="T43" s="3619"/>
      <c r="U43" s="3619"/>
      <c r="V43" s="3619"/>
      <c r="W43" s="3619"/>
      <c r="X43" s="3620"/>
      <c r="Y43" s="2715" t="s">
        <v>167</v>
      </c>
    </row>
    <row r="44" spans="1:25" ht="15" hidden="1" customHeight="1">
      <c r="A44" s="2868"/>
      <c r="B44" s="3181" t="s">
        <v>22</v>
      </c>
      <c r="C44" s="3640"/>
      <c r="D44" s="3622">
        <f>D45</f>
        <v>0</v>
      </c>
      <c r="E44" s="3622">
        <f t="shared" ref="E44:U45" si="28">E45</f>
        <v>0</v>
      </c>
      <c r="F44" s="3622">
        <f t="shared" si="28"/>
        <v>0</v>
      </c>
      <c r="G44" s="3622">
        <f t="shared" si="28"/>
        <v>0</v>
      </c>
      <c r="H44" s="3622">
        <f t="shared" si="28"/>
        <v>0</v>
      </c>
      <c r="I44" s="3622">
        <f t="shared" si="28"/>
        <v>0</v>
      </c>
      <c r="J44" s="3622">
        <f t="shared" si="28"/>
        <v>0</v>
      </c>
      <c r="K44" s="3622">
        <f t="shared" si="28"/>
        <v>0</v>
      </c>
      <c r="L44" s="3622">
        <f t="shared" si="28"/>
        <v>0</v>
      </c>
      <c r="M44" s="3622">
        <f t="shared" si="28"/>
        <v>0</v>
      </c>
      <c r="N44" s="3622">
        <f t="shared" si="28"/>
        <v>20327</v>
      </c>
      <c r="O44" s="3622">
        <f t="shared" si="28"/>
        <v>0</v>
      </c>
      <c r="P44" s="3622">
        <f t="shared" si="28"/>
        <v>0</v>
      </c>
      <c r="Q44" s="3622">
        <f t="shared" si="28"/>
        <v>0</v>
      </c>
      <c r="R44" s="3622">
        <f t="shared" ref="R44:W44" si="29">+R45+R47</f>
        <v>0</v>
      </c>
      <c r="S44" s="3622">
        <f t="shared" si="29"/>
        <v>0</v>
      </c>
      <c r="T44" s="3622">
        <f t="shared" si="29"/>
        <v>0</v>
      </c>
      <c r="U44" s="3622">
        <f t="shared" si="29"/>
        <v>0</v>
      </c>
      <c r="V44" s="3622">
        <f t="shared" si="29"/>
        <v>0</v>
      </c>
      <c r="W44" s="3622">
        <f t="shared" si="29"/>
        <v>0</v>
      </c>
      <c r="X44" s="3623">
        <f>X45</f>
        <v>0</v>
      </c>
      <c r="Y44" s="2606"/>
    </row>
    <row r="45" spans="1:25" ht="12.75" hidden="1" thickBot="1">
      <c r="A45" s="2868"/>
      <c r="B45" s="3646" t="s">
        <v>30</v>
      </c>
      <c r="C45" s="3489" t="s">
        <v>168</v>
      </c>
      <c r="D45" s="3629">
        <f>+D46</f>
        <v>0</v>
      </c>
      <c r="E45" s="3629">
        <f>+F45+G45+H45</f>
        <v>0</v>
      </c>
      <c r="F45" s="3629">
        <f t="shared" si="28"/>
        <v>0</v>
      </c>
      <c r="G45" s="3629">
        <f t="shared" si="28"/>
        <v>0</v>
      </c>
      <c r="H45" s="3629">
        <f t="shared" si="28"/>
        <v>0</v>
      </c>
      <c r="I45" s="3629">
        <f t="shared" si="28"/>
        <v>0</v>
      </c>
      <c r="J45" s="3629">
        <f t="shared" si="28"/>
        <v>0</v>
      </c>
      <c r="K45" s="3629">
        <f t="shared" si="28"/>
        <v>0</v>
      </c>
      <c r="L45" s="3629">
        <f t="shared" si="28"/>
        <v>0</v>
      </c>
      <c r="M45" s="3629">
        <f t="shared" si="28"/>
        <v>0</v>
      </c>
      <c r="N45" s="3629">
        <f t="shared" si="28"/>
        <v>20327</v>
      </c>
      <c r="O45" s="3629">
        <f t="shared" si="28"/>
        <v>0</v>
      </c>
      <c r="P45" s="3629">
        <f t="shared" si="28"/>
        <v>0</v>
      </c>
      <c r="Q45" s="3629">
        <f t="shared" si="28"/>
        <v>0</v>
      </c>
      <c r="R45" s="3629">
        <f t="shared" si="28"/>
        <v>0</v>
      </c>
      <c r="S45" s="3629">
        <f t="shared" si="28"/>
        <v>0</v>
      </c>
      <c r="T45" s="3629">
        <f t="shared" si="28"/>
        <v>0</v>
      </c>
      <c r="U45" s="3629">
        <f t="shared" si="28"/>
        <v>0</v>
      </c>
      <c r="V45" s="3629">
        <f>V46</f>
        <v>0</v>
      </c>
      <c r="W45" s="3629">
        <f>W46</f>
        <v>0</v>
      </c>
      <c r="X45" s="3625">
        <f>+X46</f>
        <v>0</v>
      </c>
      <c r="Y45" s="2606"/>
    </row>
    <row r="46" spans="1:25" ht="12.75" hidden="1" thickBot="1">
      <c r="A46" s="2868"/>
      <c r="B46" s="3647" t="s">
        <v>32</v>
      </c>
      <c r="C46" s="2828"/>
      <c r="D46" s="3626">
        <f>M46+O46+P46+Q46+R46+S46+T46+U46+V46+W46</f>
        <v>0</v>
      </c>
      <c r="E46" s="3632">
        <f>+F46+G46+H46</f>
        <v>0</v>
      </c>
      <c r="F46" s="3632"/>
      <c r="G46" s="3632"/>
      <c r="H46" s="3632">
        <v>0</v>
      </c>
      <c r="I46" s="3632">
        <v>0</v>
      </c>
      <c r="J46" s="3632">
        <v>0</v>
      </c>
      <c r="K46" s="3632">
        <v>0</v>
      </c>
      <c r="L46" s="3632">
        <v>0</v>
      </c>
      <c r="M46" s="3626">
        <v>0</v>
      </c>
      <c r="N46" s="3632">
        <f>32000-11673</f>
        <v>20327</v>
      </c>
      <c r="O46" s="3632">
        <v>0</v>
      </c>
      <c r="P46" s="625">
        <v>0</v>
      </c>
      <c r="Q46" s="625">
        <v>0</v>
      </c>
      <c r="R46" s="625">
        <v>0</v>
      </c>
      <c r="S46" s="625">
        <v>0</v>
      </c>
      <c r="T46" s="625">
        <v>0</v>
      </c>
      <c r="U46" s="625">
        <v>0</v>
      </c>
      <c r="V46" s="625">
        <v>0</v>
      </c>
      <c r="W46" s="625">
        <v>0</v>
      </c>
      <c r="X46" s="3627">
        <f>+T46+S46+R46+Q46+P46</f>
        <v>0</v>
      </c>
      <c r="Y46" s="2606"/>
    </row>
    <row r="47" spans="1:25" ht="15" hidden="1" customHeight="1">
      <c r="A47" s="2868"/>
      <c r="B47" s="3648" t="s">
        <v>34</v>
      </c>
      <c r="C47" s="683"/>
      <c r="D47" s="3622">
        <f>+D48</f>
        <v>0</v>
      </c>
      <c r="E47" s="3622">
        <f t="shared" ref="E47:W47" si="30">E48+E72</f>
        <v>0</v>
      </c>
      <c r="F47" s="3622">
        <f t="shared" si="30"/>
        <v>0</v>
      </c>
      <c r="G47" s="3622">
        <f t="shared" si="30"/>
        <v>0</v>
      </c>
      <c r="H47" s="3622">
        <f t="shared" si="30"/>
        <v>0</v>
      </c>
      <c r="I47" s="3622">
        <f t="shared" si="30"/>
        <v>0</v>
      </c>
      <c r="J47" s="3622">
        <f t="shared" si="30"/>
        <v>0</v>
      </c>
      <c r="K47" s="3622">
        <f t="shared" si="30"/>
        <v>0</v>
      </c>
      <c r="L47" s="3622">
        <f t="shared" si="30"/>
        <v>0</v>
      </c>
      <c r="M47" s="3622">
        <f t="shared" si="30"/>
        <v>0</v>
      </c>
      <c r="N47" s="3622">
        <f t="shared" si="30"/>
        <v>0</v>
      </c>
      <c r="O47" s="3622">
        <f t="shared" si="30"/>
        <v>0</v>
      </c>
      <c r="P47" s="3622">
        <f t="shared" si="30"/>
        <v>0</v>
      </c>
      <c r="Q47" s="3622">
        <f t="shared" si="30"/>
        <v>0</v>
      </c>
      <c r="R47" s="3622">
        <f t="shared" si="30"/>
        <v>0</v>
      </c>
      <c r="S47" s="3622">
        <f t="shared" si="30"/>
        <v>0</v>
      </c>
      <c r="T47" s="3622">
        <f t="shared" si="30"/>
        <v>0</v>
      </c>
      <c r="U47" s="3622">
        <f t="shared" si="30"/>
        <v>0</v>
      </c>
      <c r="V47" s="3622">
        <f t="shared" si="30"/>
        <v>0</v>
      </c>
      <c r="W47" s="3622">
        <f t="shared" si="30"/>
        <v>0</v>
      </c>
      <c r="X47" s="2915" t="s">
        <v>77</v>
      </c>
      <c r="Y47" s="2606"/>
    </row>
    <row r="48" spans="1:25" ht="12.75" hidden="1" thickBot="1">
      <c r="A48" s="2868"/>
      <c r="B48" s="3646" t="s">
        <v>30</v>
      </c>
      <c r="C48" s="3489" t="s">
        <v>168</v>
      </c>
      <c r="D48" s="3629">
        <f>+D49</f>
        <v>0</v>
      </c>
      <c r="E48" s="3629">
        <f t="shared" ref="E48:W48" si="31">E49</f>
        <v>0</v>
      </c>
      <c r="F48" s="3629">
        <f t="shared" si="31"/>
        <v>0</v>
      </c>
      <c r="G48" s="3629">
        <f t="shared" si="31"/>
        <v>0</v>
      </c>
      <c r="H48" s="3629">
        <f t="shared" si="31"/>
        <v>0</v>
      </c>
      <c r="I48" s="3629">
        <f t="shared" si="31"/>
        <v>0</v>
      </c>
      <c r="J48" s="3629">
        <f t="shared" si="31"/>
        <v>0</v>
      </c>
      <c r="K48" s="3629">
        <f t="shared" si="31"/>
        <v>0</v>
      </c>
      <c r="L48" s="3629">
        <f t="shared" si="31"/>
        <v>0</v>
      </c>
      <c r="M48" s="3629">
        <f t="shared" si="31"/>
        <v>0</v>
      </c>
      <c r="N48" s="3629">
        <f t="shared" si="31"/>
        <v>0</v>
      </c>
      <c r="O48" s="3629">
        <f t="shared" si="31"/>
        <v>0</v>
      </c>
      <c r="P48" s="3629">
        <f t="shared" si="31"/>
        <v>0</v>
      </c>
      <c r="Q48" s="3629">
        <f t="shared" si="31"/>
        <v>0</v>
      </c>
      <c r="R48" s="3629">
        <f t="shared" si="31"/>
        <v>0</v>
      </c>
      <c r="S48" s="3629">
        <f t="shared" si="31"/>
        <v>0</v>
      </c>
      <c r="T48" s="3629">
        <f t="shared" si="31"/>
        <v>0</v>
      </c>
      <c r="U48" s="3629">
        <f t="shared" si="31"/>
        <v>0</v>
      </c>
      <c r="V48" s="3629">
        <f t="shared" si="31"/>
        <v>0</v>
      </c>
      <c r="W48" s="3629">
        <f t="shared" si="31"/>
        <v>0</v>
      </c>
      <c r="X48" s="2830"/>
      <c r="Y48" s="2606"/>
    </row>
    <row r="49" spans="1:25" ht="12.75" hidden="1" thickBot="1">
      <c r="A49" s="2600"/>
      <c r="B49" s="3649" t="s">
        <v>32</v>
      </c>
      <c r="C49" s="2832"/>
      <c r="D49" s="3626">
        <f>M49+O49+P49+Q49+R49+S49+T49+U49+V49+W49</f>
        <v>0</v>
      </c>
      <c r="E49" s="3114">
        <f>+F49+G49+H49</f>
        <v>0</v>
      </c>
      <c r="F49" s="3114"/>
      <c r="G49" s="3114"/>
      <c r="H49" s="3114">
        <v>0</v>
      </c>
      <c r="I49" s="3114">
        <v>0</v>
      </c>
      <c r="J49" s="3114">
        <v>0</v>
      </c>
      <c r="K49" s="3114">
        <v>0</v>
      </c>
      <c r="L49" s="3114">
        <v>0</v>
      </c>
      <c r="M49" s="3626">
        <v>0</v>
      </c>
      <c r="N49" s="3114"/>
      <c r="O49" s="3114">
        <v>0</v>
      </c>
      <c r="P49" s="3114">
        <v>0</v>
      </c>
      <c r="Q49" s="3114">
        <v>0</v>
      </c>
      <c r="R49" s="3114">
        <v>0</v>
      </c>
      <c r="S49" s="3114">
        <v>0</v>
      </c>
      <c r="T49" s="3114">
        <v>0</v>
      </c>
      <c r="U49" s="3114">
        <v>0</v>
      </c>
      <c r="V49" s="3114">
        <v>0</v>
      </c>
      <c r="W49" s="3114">
        <v>0</v>
      </c>
      <c r="X49" s="2831"/>
      <c r="Y49" s="2607"/>
    </row>
    <row r="50" spans="1:25" ht="37.5" customHeight="1">
      <c r="A50" s="2867" t="s">
        <v>80</v>
      </c>
      <c r="B50" s="671" t="s">
        <v>310</v>
      </c>
      <c r="C50" s="672" t="s">
        <v>128</v>
      </c>
      <c r="D50" s="3617"/>
      <c r="E50" s="3618"/>
      <c r="F50" s="673"/>
      <c r="G50" s="673"/>
      <c r="H50" s="3618"/>
      <c r="I50" s="3618"/>
      <c r="J50" s="3618"/>
      <c r="K50" s="673"/>
      <c r="L50" s="673"/>
      <c r="M50" s="3619"/>
      <c r="N50" s="3619"/>
      <c r="O50" s="3619"/>
      <c r="P50" s="673"/>
      <c r="Q50" s="3619"/>
      <c r="R50" s="3619"/>
      <c r="S50" s="3619"/>
      <c r="T50" s="3619"/>
      <c r="U50" s="3619"/>
      <c r="V50" s="3619"/>
      <c r="W50" s="3619"/>
      <c r="X50" s="3620"/>
      <c r="Y50" s="2715" t="s">
        <v>167</v>
      </c>
    </row>
    <row r="51" spans="1:25" ht="15" customHeight="1">
      <c r="A51" s="2868"/>
      <c r="B51" s="3181" t="s">
        <v>22</v>
      </c>
      <c r="C51" s="3640"/>
      <c r="D51" s="3622">
        <f>D52</f>
        <v>28500</v>
      </c>
      <c r="E51" s="3622">
        <f t="shared" ref="E51:U52" si="32">E52</f>
        <v>0</v>
      </c>
      <c r="F51" s="3622">
        <f t="shared" si="32"/>
        <v>0</v>
      </c>
      <c r="G51" s="3622">
        <f t="shared" si="32"/>
        <v>0</v>
      </c>
      <c r="H51" s="3622">
        <f t="shared" si="32"/>
        <v>0</v>
      </c>
      <c r="I51" s="3622">
        <f t="shared" si="32"/>
        <v>0</v>
      </c>
      <c r="J51" s="3622">
        <f t="shared" si="32"/>
        <v>0</v>
      </c>
      <c r="K51" s="3622">
        <f t="shared" si="32"/>
        <v>0</v>
      </c>
      <c r="L51" s="3622">
        <f t="shared" si="32"/>
        <v>0</v>
      </c>
      <c r="M51" s="3622">
        <f t="shared" si="32"/>
        <v>0</v>
      </c>
      <c r="N51" s="3622">
        <f t="shared" si="32"/>
        <v>0</v>
      </c>
      <c r="O51" s="3622">
        <f t="shared" si="32"/>
        <v>5000</v>
      </c>
      <c r="P51" s="3622">
        <f t="shared" si="32"/>
        <v>19500</v>
      </c>
      <c r="Q51" s="3622">
        <f t="shared" si="32"/>
        <v>4000</v>
      </c>
      <c r="R51" s="3622">
        <f t="shared" ref="R51:W51" si="33">+R52+R54</f>
        <v>0</v>
      </c>
      <c r="S51" s="3622">
        <f t="shared" si="33"/>
        <v>0</v>
      </c>
      <c r="T51" s="3622">
        <f t="shared" si="33"/>
        <v>0</v>
      </c>
      <c r="U51" s="3622">
        <f t="shared" si="33"/>
        <v>0</v>
      </c>
      <c r="V51" s="3622">
        <f t="shared" si="33"/>
        <v>0</v>
      </c>
      <c r="W51" s="3622">
        <f t="shared" si="33"/>
        <v>0</v>
      </c>
      <c r="X51" s="3623">
        <f>X52</f>
        <v>23500</v>
      </c>
      <c r="Y51" s="2606"/>
    </row>
    <row r="52" spans="1:25" ht="12">
      <c r="A52" s="2868"/>
      <c r="B52" s="3646" t="s">
        <v>30</v>
      </c>
      <c r="C52" s="3489" t="s">
        <v>168</v>
      </c>
      <c r="D52" s="3629">
        <f>+D53</f>
        <v>28500</v>
      </c>
      <c r="E52" s="3629">
        <f>+F52+G52+H52</f>
        <v>0</v>
      </c>
      <c r="F52" s="3629">
        <f t="shared" si="32"/>
        <v>0</v>
      </c>
      <c r="G52" s="3629">
        <f t="shared" si="32"/>
        <v>0</v>
      </c>
      <c r="H52" s="3629">
        <f t="shared" si="32"/>
        <v>0</v>
      </c>
      <c r="I52" s="3629">
        <f t="shared" si="32"/>
        <v>0</v>
      </c>
      <c r="J52" s="3629">
        <f t="shared" si="32"/>
        <v>0</v>
      </c>
      <c r="K52" s="3629">
        <f t="shared" si="32"/>
        <v>0</v>
      </c>
      <c r="L52" s="3629">
        <f t="shared" si="32"/>
        <v>0</v>
      </c>
      <c r="M52" s="3629">
        <f t="shared" si="32"/>
        <v>0</v>
      </c>
      <c r="N52" s="3629">
        <f t="shared" si="32"/>
        <v>0</v>
      </c>
      <c r="O52" s="3629">
        <f t="shared" si="32"/>
        <v>5000</v>
      </c>
      <c r="P52" s="3629">
        <f t="shared" si="32"/>
        <v>19500</v>
      </c>
      <c r="Q52" s="3629">
        <f t="shared" si="32"/>
        <v>4000</v>
      </c>
      <c r="R52" s="3629">
        <f t="shared" si="32"/>
        <v>0</v>
      </c>
      <c r="S52" s="3629">
        <f t="shared" si="32"/>
        <v>0</v>
      </c>
      <c r="T52" s="3629">
        <f t="shared" si="32"/>
        <v>0</v>
      </c>
      <c r="U52" s="3629">
        <f t="shared" si="32"/>
        <v>0</v>
      </c>
      <c r="V52" s="3629">
        <f>V53</f>
        <v>0</v>
      </c>
      <c r="W52" s="3629">
        <f>W53</f>
        <v>0</v>
      </c>
      <c r="X52" s="3625">
        <f>+X53</f>
        <v>23500</v>
      </c>
      <c r="Y52" s="2606"/>
    </row>
    <row r="53" spans="1:25" ht="12">
      <c r="A53" s="2868"/>
      <c r="B53" s="3647" t="s">
        <v>32</v>
      </c>
      <c r="C53" s="2828"/>
      <c r="D53" s="3626">
        <f>M53+O53+P53+Q53+R53+S53+T53+U53+V53+W53</f>
        <v>28500</v>
      </c>
      <c r="E53" s="3632">
        <f>+F53+G53+H53</f>
        <v>0</v>
      </c>
      <c r="F53" s="3632"/>
      <c r="G53" s="3632"/>
      <c r="H53" s="3632">
        <v>0</v>
      </c>
      <c r="I53" s="3632">
        <v>0</v>
      </c>
      <c r="J53" s="3632">
        <v>0</v>
      </c>
      <c r="K53" s="3632">
        <v>0</v>
      </c>
      <c r="L53" s="3632">
        <v>0</v>
      </c>
      <c r="M53" s="3626">
        <f>+L53+N53</f>
        <v>0</v>
      </c>
      <c r="N53" s="3632">
        <v>0</v>
      </c>
      <c r="O53" s="3632">
        <v>5000</v>
      </c>
      <c r="P53" s="625">
        <v>19500</v>
      </c>
      <c r="Q53" s="625">
        <v>4000</v>
      </c>
      <c r="R53" s="625">
        <v>0</v>
      </c>
      <c r="S53" s="625">
        <v>0</v>
      </c>
      <c r="T53" s="625">
        <v>0</v>
      </c>
      <c r="U53" s="625">
        <v>0</v>
      </c>
      <c r="V53" s="625">
        <v>0</v>
      </c>
      <c r="W53" s="625">
        <v>0</v>
      </c>
      <c r="X53" s="3627">
        <f>+T53+S53+R53+Q53+P53</f>
        <v>23500</v>
      </c>
      <c r="Y53" s="2606"/>
    </row>
    <row r="54" spans="1:25" ht="15" customHeight="1">
      <c r="A54" s="2868"/>
      <c r="B54" s="3648" t="s">
        <v>34</v>
      </c>
      <c r="C54" s="683"/>
      <c r="D54" s="3622">
        <f>+D55</f>
        <v>28500</v>
      </c>
      <c r="E54" s="3622">
        <f t="shared" ref="E54:L54" si="34">+E55</f>
        <v>0</v>
      </c>
      <c r="F54" s="3622">
        <f t="shared" si="34"/>
        <v>0</v>
      </c>
      <c r="G54" s="3622">
        <f t="shared" si="34"/>
        <v>0</v>
      </c>
      <c r="H54" s="3622">
        <f t="shared" si="34"/>
        <v>0</v>
      </c>
      <c r="I54" s="3622">
        <f t="shared" si="34"/>
        <v>0</v>
      </c>
      <c r="J54" s="3622">
        <f t="shared" si="34"/>
        <v>0</v>
      </c>
      <c r="K54" s="3622">
        <f t="shared" si="34"/>
        <v>0</v>
      </c>
      <c r="L54" s="3622">
        <f t="shared" si="34"/>
        <v>0</v>
      </c>
      <c r="M54" s="3622">
        <f>M55</f>
        <v>0</v>
      </c>
      <c r="N54" s="3622">
        <f t="shared" ref="N54:T54" si="35">N55</f>
        <v>0</v>
      </c>
      <c r="O54" s="3622">
        <f t="shared" si="35"/>
        <v>5000</v>
      </c>
      <c r="P54" s="3622">
        <f t="shared" si="35"/>
        <v>19500</v>
      </c>
      <c r="Q54" s="3622">
        <f t="shared" si="35"/>
        <v>4000</v>
      </c>
      <c r="R54" s="3622">
        <f t="shared" si="35"/>
        <v>0</v>
      </c>
      <c r="S54" s="3622">
        <f t="shared" si="35"/>
        <v>0</v>
      </c>
      <c r="T54" s="3622">
        <f t="shared" si="35"/>
        <v>0</v>
      </c>
      <c r="U54" s="3622"/>
      <c r="V54" s="3622"/>
      <c r="W54" s="3622"/>
      <c r="X54" s="2915" t="s">
        <v>77</v>
      </c>
      <c r="Y54" s="2606"/>
    </row>
    <row r="55" spans="1:25" ht="12">
      <c r="A55" s="2868"/>
      <c r="B55" s="3646" t="s">
        <v>30</v>
      </c>
      <c r="C55" s="3489" t="s">
        <v>168</v>
      </c>
      <c r="D55" s="3629">
        <f>+D56</f>
        <v>28500</v>
      </c>
      <c r="E55" s="3629">
        <f t="shared" ref="E55:W55" si="36">E56</f>
        <v>0</v>
      </c>
      <c r="F55" s="3629">
        <f t="shared" si="36"/>
        <v>0</v>
      </c>
      <c r="G55" s="3629">
        <f t="shared" si="36"/>
        <v>0</v>
      </c>
      <c r="H55" s="3629">
        <f t="shared" si="36"/>
        <v>0</v>
      </c>
      <c r="I55" s="3629">
        <f t="shared" si="36"/>
        <v>0</v>
      </c>
      <c r="J55" s="3629">
        <f t="shared" si="36"/>
        <v>0</v>
      </c>
      <c r="K55" s="3629">
        <f t="shared" si="36"/>
        <v>0</v>
      </c>
      <c r="L55" s="3629">
        <f t="shared" si="36"/>
        <v>0</v>
      </c>
      <c r="M55" s="3629">
        <f t="shared" si="36"/>
        <v>0</v>
      </c>
      <c r="N55" s="3629">
        <f t="shared" si="36"/>
        <v>0</v>
      </c>
      <c r="O55" s="3629">
        <f t="shared" si="36"/>
        <v>5000</v>
      </c>
      <c r="P55" s="3629">
        <f t="shared" si="36"/>
        <v>19500</v>
      </c>
      <c r="Q55" s="3629">
        <f t="shared" si="36"/>
        <v>4000</v>
      </c>
      <c r="R55" s="3629">
        <f t="shared" si="36"/>
        <v>0</v>
      </c>
      <c r="S55" s="3629">
        <f t="shared" si="36"/>
        <v>0</v>
      </c>
      <c r="T55" s="3629">
        <f t="shared" si="36"/>
        <v>0</v>
      </c>
      <c r="U55" s="3629">
        <f t="shared" si="36"/>
        <v>0</v>
      </c>
      <c r="V55" s="3629">
        <f t="shared" si="36"/>
        <v>0</v>
      </c>
      <c r="W55" s="3629">
        <f t="shared" si="36"/>
        <v>0</v>
      </c>
      <c r="X55" s="2830"/>
      <c r="Y55" s="2606"/>
    </row>
    <row r="56" spans="1:25" ht="12.75" thickBot="1">
      <c r="A56" s="2600"/>
      <c r="B56" s="3649" t="s">
        <v>32</v>
      </c>
      <c r="C56" s="2832"/>
      <c r="D56" s="3215">
        <f>M56+O56+P56+Q56+R56+S56+T56+U56+V56+W56</f>
        <v>28500</v>
      </c>
      <c r="E56" s="3114">
        <f>+F56+G56+H56</f>
        <v>0</v>
      </c>
      <c r="F56" s="3114"/>
      <c r="G56" s="3114"/>
      <c r="H56" s="3114">
        <v>0</v>
      </c>
      <c r="I56" s="3114">
        <v>0</v>
      </c>
      <c r="J56" s="3114">
        <v>0</v>
      </c>
      <c r="K56" s="3114">
        <v>0</v>
      </c>
      <c r="L56" s="3114"/>
      <c r="M56" s="3215">
        <f>+L56+N56</f>
        <v>0</v>
      </c>
      <c r="N56" s="3114">
        <v>0</v>
      </c>
      <c r="O56" s="3114">
        <v>5000</v>
      </c>
      <c r="P56" s="3114">
        <v>19500</v>
      </c>
      <c r="Q56" s="3114">
        <v>4000</v>
      </c>
      <c r="R56" s="3114">
        <v>0</v>
      </c>
      <c r="S56" s="3114">
        <v>0</v>
      </c>
      <c r="T56" s="3114">
        <v>0</v>
      </c>
      <c r="U56" s="3114">
        <v>0</v>
      </c>
      <c r="V56" s="3114">
        <v>0</v>
      </c>
      <c r="W56" s="3114">
        <v>0</v>
      </c>
      <c r="X56" s="2831"/>
      <c r="Y56" s="2607"/>
    </row>
    <row r="57" spans="1:25" ht="26.25" customHeight="1">
      <c r="A57" s="2867" t="s">
        <v>81</v>
      </c>
      <c r="B57" s="671" t="s">
        <v>416</v>
      </c>
      <c r="C57" s="672" t="s">
        <v>128</v>
      </c>
      <c r="D57" s="3617"/>
      <c r="E57" s="3618"/>
      <c r="F57" s="673"/>
      <c r="G57" s="673"/>
      <c r="H57" s="3618"/>
      <c r="I57" s="3618"/>
      <c r="J57" s="3618"/>
      <c r="K57" s="673"/>
      <c r="L57" s="673"/>
      <c r="M57" s="3619"/>
      <c r="N57" s="3619"/>
      <c r="O57" s="3619"/>
      <c r="P57" s="673"/>
      <c r="Q57" s="3619"/>
      <c r="R57" s="3619"/>
      <c r="S57" s="3619"/>
      <c r="T57" s="3619"/>
      <c r="U57" s="3619"/>
      <c r="V57" s="3619"/>
      <c r="W57" s="3619"/>
      <c r="X57" s="3620"/>
      <c r="Y57" s="2715" t="s">
        <v>358</v>
      </c>
    </row>
    <row r="58" spans="1:25" ht="15" customHeight="1">
      <c r="A58" s="2868"/>
      <c r="B58" s="3181" t="s">
        <v>22</v>
      </c>
      <c r="C58" s="3640"/>
      <c r="D58" s="3622">
        <f>D59</f>
        <v>267988</v>
      </c>
      <c r="E58" s="3622">
        <f t="shared" ref="E58:U59" si="37">E59</f>
        <v>0</v>
      </c>
      <c r="F58" s="3622">
        <f t="shared" si="37"/>
        <v>0</v>
      </c>
      <c r="G58" s="3622">
        <f t="shared" si="37"/>
        <v>0</v>
      </c>
      <c r="H58" s="3622">
        <f t="shared" si="37"/>
        <v>0</v>
      </c>
      <c r="I58" s="3622">
        <f t="shared" si="37"/>
        <v>0</v>
      </c>
      <c r="J58" s="3622">
        <f t="shared" si="37"/>
        <v>0</v>
      </c>
      <c r="K58" s="3622">
        <f t="shared" si="37"/>
        <v>0</v>
      </c>
      <c r="L58" s="3622">
        <f t="shared" si="37"/>
        <v>0</v>
      </c>
      <c r="M58" s="3622">
        <f t="shared" si="37"/>
        <v>0</v>
      </c>
      <c r="N58" s="3622">
        <f t="shared" si="37"/>
        <v>0</v>
      </c>
      <c r="O58" s="3622">
        <f t="shared" si="37"/>
        <v>213855</v>
      </c>
      <c r="P58" s="3622">
        <f t="shared" si="37"/>
        <v>54133</v>
      </c>
      <c r="Q58" s="3622">
        <f t="shared" si="37"/>
        <v>0</v>
      </c>
      <c r="R58" s="3622">
        <f t="shared" ref="R58:W58" si="38">+R59+R61</f>
        <v>0</v>
      </c>
      <c r="S58" s="3622">
        <f t="shared" si="38"/>
        <v>0</v>
      </c>
      <c r="T58" s="3622">
        <f t="shared" si="38"/>
        <v>0</v>
      </c>
      <c r="U58" s="3622">
        <f t="shared" si="38"/>
        <v>0</v>
      </c>
      <c r="V58" s="3622">
        <f t="shared" si="38"/>
        <v>0</v>
      </c>
      <c r="W58" s="3622">
        <f t="shared" si="38"/>
        <v>0</v>
      </c>
      <c r="X58" s="3623">
        <f>X59</f>
        <v>54133</v>
      </c>
      <c r="Y58" s="2606"/>
    </row>
    <row r="59" spans="1:25" ht="12">
      <c r="A59" s="2868"/>
      <c r="B59" s="3646" t="s">
        <v>30</v>
      </c>
      <c r="C59" s="3489" t="s">
        <v>359</v>
      </c>
      <c r="D59" s="3629">
        <f>+D60</f>
        <v>267988</v>
      </c>
      <c r="E59" s="3629">
        <f>+F59+G59+H59</f>
        <v>0</v>
      </c>
      <c r="F59" s="3629">
        <f t="shared" si="37"/>
        <v>0</v>
      </c>
      <c r="G59" s="3629">
        <f t="shared" si="37"/>
        <v>0</v>
      </c>
      <c r="H59" s="3629">
        <f t="shared" si="37"/>
        <v>0</v>
      </c>
      <c r="I59" s="3629">
        <f t="shared" si="37"/>
        <v>0</v>
      </c>
      <c r="J59" s="3629">
        <f t="shared" si="37"/>
        <v>0</v>
      </c>
      <c r="K59" s="3629">
        <f t="shared" si="37"/>
        <v>0</v>
      </c>
      <c r="L59" s="3629">
        <f t="shared" si="37"/>
        <v>0</v>
      </c>
      <c r="M59" s="3629">
        <f t="shared" si="37"/>
        <v>0</v>
      </c>
      <c r="N59" s="3629">
        <f t="shared" si="37"/>
        <v>0</v>
      </c>
      <c r="O59" s="3629">
        <f t="shared" si="37"/>
        <v>213855</v>
      </c>
      <c r="P59" s="3629">
        <f t="shared" si="37"/>
        <v>54133</v>
      </c>
      <c r="Q59" s="3629">
        <f t="shared" si="37"/>
        <v>0</v>
      </c>
      <c r="R59" s="3629">
        <f t="shared" si="37"/>
        <v>0</v>
      </c>
      <c r="S59" s="3629">
        <f t="shared" si="37"/>
        <v>0</v>
      </c>
      <c r="T59" s="3629">
        <f t="shared" si="37"/>
        <v>0</v>
      </c>
      <c r="U59" s="3629">
        <f t="shared" si="37"/>
        <v>0</v>
      </c>
      <c r="V59" s="3629">
        <f>V60</f>
        <v>0</v>
      </c>
      <c r="W59" s="3629">
        <f>W60</f>
        <v>0</v>
      </c>
      <c r="X59" s="3625">
        <f>+X60</f>
        <v>54133</v>
      </c>
      <c r="Y59" s="2606"/>
    </row>
    <row r="60" spans="1:25" ht="12">
      <c r="A60" s="2868"/>
      <c r="B60" s="3647" t="s">
        <v>32</v>
      </c>
      <c r="C60" s="2828"/>
      <c r="D60" s="3382">
        <f>M60+O60+P60+Q60+R60+S60+T60+U60+V60+W60</f>
        <v>267988</v>
      </c>
      <c r="E60" s="3632">
        <f>+F60+G60+H60</f>
        <v>0</v>
      </c>
      <c r="F60" s="3632"/>
      <c r="G60" s="3632"/>
      <c r="H60" s="3632">
        <v>0</v>
      </c>
      <c r="I60" s="3632">
        <v>0</v>
      </c>
      <c r="J60" s="3632">
        <v>0</v>
      </c>
      <c r="K60" s="3632">
        <v>0</v>
      </c>
      <c r="L60" s="3632"/>
      <c r="M60" s="3632">
        <v>0</v>
      </c>
      <c r="N60" s="3632">
        <v>0</v>
      </c>
      <c r="O60" s="3632">
        <f>213857-2</f>
        <v>213855</v>
      </c>
      <c r="P60" s="625">
        <f>54133</f>
        <v>54133</v>
      </c>
      <c r="Q60" s="625">
        <v>0</v>
      </c>
      <c r="R60" s="625">
        <v>0</v>
      </c>
      <c r="S60" s="625">
        <v>0</v>
      </c>
      <c r="T60" s="625">
        <v>0</v>
      </c>
      <c r="U60" s="625">
        <v>0</v>
      </c>
      <c r="V60" s="625">
        <v>0</v>
      </c>
      <c r="W60" s="625">
        <v>0</v>
      </c>
      <c r="X60" s="3627">
        <f>+T60+S60+R60+Q60+P60</f>
        <v>54133</v>
      </c>
      <c r="Y60" s="2606"/>
    </row>
    <row r="61" spans="1:25" ht="15" customHeight="1">
      <c r="A61" s="2868"/>
      <c r="B61" s="3648" t="s">
        <v>34</v>
      </c>
      <c r="C61" s="683"/>
      <c r="D61" s="697">
        <f>+D62</f>
        <v>267990</v>
      </c>
      <c r="E61" s="3622">
        <f t="shared" ref="E61:W61" si="39">E62+E86</f>
        <v>0</v>
      </c>
      <c r="F61" s="3622">
        <f t="shared" si="39"/>
        <v>0</v>
      </c>
      <c r="G61" s="3622">
        <f t="shared" si="39"/>
        <v>0</v>
      </c>
      <c r="H61" s="3622">
        <f t="shared" si="39"/>
        <v>0</v>
      </c>
      <c r="I61" s="3622">
        <f t="shared" si="39"/>
        <v>0</v>
      </c>
      <c r="J61" s="3622">
        <f t="shared" si="39"/>
        <v>0</v>
      </c>
      <c r="K61" s="3622">
        <f t="shared" si="39"/>
        <v>0</v>
      </c>
      <c r="L61" s="3622">
        <f t="shared" si="39"/>
        <v>0</v>
      </c>
      <c r="M61" s="3622">
        <f t="shared" si="39"/>
        <v>160044</v>
      </c>
      <c r="N61" s="3622">
        <f t="shared" si="39"/>
        <v>160044</v>
      </c>
      <c r="O61" s="3622">
        <f t="shared" si="39"/>
        <v>54097</v>
      </c>
      <c r="P61" s="3622">
        <f t="shared" si="39"/>
        <v>53849</v>
      </c>
      <c r="Q61" s="3622">
        <f t="shared" si="39"/>
        <v>0</v>
      </c>
      <c r="R61" s="3622">
        <f t="shared" si="39"/>
        <v>0</v>
      </c>
      <c r="S61" s="3622">
        <f t="shared" si="39"/>
        <v>0</v>
      </c>
      <c r="T61" s="3622">
        <f t="shared" si="39"/>
        <v>0</v>
      </c>
      <c r="U61" s="3622">
        <f t="shared" si="39"/>
        <v>0</v>
      </c>
      <c r="V61" s="3622">
        <f t="shared" si="39"/>
        <v>0</v>
      </c>
      <c r="W61" s="3622">
        <f t="shared" si="39"/>
        <v>0</v>
      </c>
      <c r="X61" s="2915" t="s">
        <v>77</v>
      </c>
      <c r="Y61" s="2606"/>
    </row>
    <row r="62" spans="1:25" ht="12">
      <c r="A62" s="2868"/>
      <c r="B62" s="3646" t="s">
        <v>30</v>
      </c>
      <c r="C62" s="3489" t="s">
        <v>359</v>
      </c>
      <c r="D62" s="3629">
        <f>+D63</f>
        <v>267990</v>
      </c>
      <c r="E62" s="3629">
        <f t="shared" ref="E62:W62" si="40">E63</f>
        <v>0</v>
      </c>
      <c r="F62" s="3629">
        <f t="shared" si="40"/>
        <v>0</v>
      </c>
      <c r="G62" s="3629">
        <f t="shared" si="40"/>
        <v>0</v>
      </c>
      <c r="H62" s="3629">
        <f t="shared" si="40"/>
        <v>0</v>
      </c>
      <c r="I62" s="3629">
        <f t="shared" si="40"/>
        <v>0</v>
      </c>
      <c r="J62" s="3629">
        <f t="shared" si="40"/>
        <v>0</v>
      </c>
      <c r="K62" s="3629">
        <f t="shared" si="40"/>
        <v>0</v>
      </c>
      <c r="L62" s="3629">
        <f t="shared" si="40"/>
        <v>0</v>
      </c>
      <c r="M62" s="3629">
        <f t="shared" si="40"/>
        <v>160044</v>
      </c>
      <c r="N62" s="3629">
        <f t="shared" si="40"/>
        <v>160044</v>
      </c>
      <c r="O62" s="3629">
        <f t="shared" si="40"/>
        <v>54097</v>
      </c>
      <c r="P62" s="3629">
        <f t="shared" si="40"/>
        <v>53849</v>
      </c>
      <c r="Q62" s="3629">
        <f t="shared" si="40"/>
        <v>0</v>
      </c>
      <c r="R62" s="3629">
        <f t="shared" si="40"/>
        <v>0</v>
      </c>
      <c r="S62" s="3629">
        <f t="shared" si="40"/>
        <v>0</v>
      </c>
      <c r="T62" s="3629">
        <f t="shared" si="40"/>
        <v>0</v>
      </c>
      <c r="U62" s="3629">
        <f t="shared" si="40"/>
        <v>0</v>
      </c>
      <c r="V62" s="3629">
        <f t="shared" si="40"/>
        <v>0</v>
      </c>
      <c r="W62" s="3629">
        <f t="shared" si="40"/>
        <v>0</v>
      </c>
      <c r="X62" s="2830"/>
      <c r="Y62" s="2606"/>
    </row>
    <row r="63" spans="1:25" ht="12.75" thickBot="1">
      <c r="A63" s="2600"/>
      <c r="B63" s="3649" t="s">
        <v>32</v>
      </c>
      <c r="C63" s="2832"/>
      <c r="D63" s="3215">
        <f>M63+O63+P63+Q63+R63+S63+T63+U63+V63+W63</f>
        <v>267990</v>
      </c>
      <c r="E63" s="3114">
        <f>+F63+G63+H63</f>
        <v>0</v>
      </c>
      <c r="F63" s="3114"/>
      <c r="G63" s="3114"/>
      <c r="H63" s="3114">
        <v>0</v>
      </c>
      <c r="I63" s="3114">
        <v>0</v>
      </c>
      <c r="J63" s="3114">
        <v>0</v>
      </c>
      <c r="K63" s="3114">
        <v>0</v>
      </c>
      <c r="L63" s="3114"/>
      <c r="M63" s="3215">
        <f>+L63+N63</f>
        <v>160044</v>
      </c>
      <c r="N63" s="3114">
        <v>160044</v>
      </c>
      <c r="O63" s="3114">
        <v>54097</v>
      </c>
      <c r="P63" s="3114">
        <v>53849</v>
      </c>
      <c r="Q63" s="3114">
        <v>0</v>
      </c>
      <c r="R63" s="3114">
        <v>0</v>
      </c>
      <c r="S63" s="3114">
        <v>0</v>
      </c>
      <c r="T63" s="3114">
        <v>0</v>
      </c>
      <c r="U63" s="3114">
        <v>0</v>
      </c>
      <c r="V63" s="3114">
        <v>0</v>
      </c>
      <c r="W63" s="3114">
        <v>0</v>
      </c>
      <c r="X63" s="2831"/>
      <c r="Y63" s="2607"/>
    </row>
    <row r="64" spans="1:25" ht="26.25" customHeight="1">
      <c r="A64" s="2867" t="s">
        <v>82</v>
      </c>
      <c r="B64" s="671" t="s">
        <v>449</v>
      </c>
      <c r="C64" s="672" t="s">
        <v>128</v>
      </c>
      <c r="D64" s="3617"/>
      <c r="E64" s="3618"/>
      <c r="F64" s="673"/>
      <c r="G64" s="673"/>
      <c r="H64" s="3618"/>
      <c r="I64" s="3618"/>
      <c r="J64" s="3618"/>
      <c r="K64" s="673"/>
      <c r="L64" s="673"/>
      <c r="M64" s="3619"/>
      <c r="N64" s="3619"/>
      <c r="O64" s="3619"/>
      <c r="P64" s="673"/>
      <c r="Q64" s="3619"/>
      <c r="R64" s="3619"/>
      <c r="S64" s="3619"/>
      <c r="T64" s="3619"/>
      <c r="U64" s="3619"/>
      <c r="V64" s="3619"/>
      <c r="W64" s="3619"/>
      <c r="X64" s="3620"/>
      <c r="Y64" s="2715" t="s">
        <v>165</v>
      </c>
    </row>
    <row r="65" spans="1:119" ht="15" customHeight="1">
      <c r="A65" s="2868"/>
      <c r="B65" s="3181" t="s">
        <v>22</v>
      </c>
      <c r="C65" s="3640"/>
      <c r="D65" s="3622">
        <f>+D66</f>
        <v>8400</v>
      </c>
      <c r="E65" s="3622"/>
      <c r="F65" s="3622"/>
      <c r="G65" s="3622"/>
      <c r="H65" s="3622"/>
      <c r="I65" s="3622"/>
      <c r="J65" s="3622"/>
      <c r="K65" s="3622"/>
      <c r="L65" s="3622"/>
      <c r="M65" s="3622"/>
      <c r="N65" s="3622"/>
      <c r="O65" s="3622"/>
      <c r="P65" s="3622">
        <f>+P66</f>
        <v>4200</v>
      </c>
      <c r="Q65" s="3622">
        <f>+Q66</f>
        <v>4200</v>
      </c>
      <c r="R65" s="3622"/>
      <c r="S65" s="3622"/>
      <c r="T65" s="3622"/>
      <c r="U65" s="3622"/>
      <c r="V65" s="3622"/>
      <c r="W65" s="3622"/>
      <c r="X65" s="3623">
        <f>+X66</f>
        <v>8400</v>
      </c>
      <c r="Y65" s="2606"/>
    </row>
    <row r="66" spans="1:119" ht="12">
      <c r="A66" s="2868"/>
      <c r="B66" s="3646" t="s">
        <v>30</v>
      </c>
      <c r="C66" s="3489" t="s">
        <v>166</v>
      </c>
      <c r="D66" s="3629">
        <f>+D67</f>
        <v>8400</v>
      </c>
      <c r="E66" s="3629"/>
      <c r="F66" s="3629"/>
      <c r="G66" s="3629"/>
      <c r="H66" s="3629"/>
      <c r="I66" s="3629"/>
      <c r="J66" s="3629"/>
      <c r="K66" s="3629"/>
      <c r="L66" s="3629"/>
      <c r="M66" s="3629"/>
      <c r="N66" s="3629"/>
      <c r="O66" s="3629"/>
      <c r="P66" s="3629">
        <f>+P67</f>
        <v>4200</v>
      </c>
      <c r="Q66" s="3629">
        <f>+Q67</f>
        <v>4200</v>
      </c>
      <c r="R66" s="3629"/>
      <c r="S66" s="3629"/>
      <c r="T66" s="3629"/>
      <c r="U66" s="3629"/>
      <c r="V66" s="3629"/>
      <c r="W66" s="3629"/>
      <c r="X66" s="3625">
        <f>+X67</f>
        <v>8400</v>
      </c>
      <c r="Y66" s="2606"/>
    </row>
    <row r="67" spans="1:119" ht="12">
      <c r="A67" s="2868"/>
      <c r="B67" s="3647" t="s">
        <v>32</v>
      </c>
      <c r="C67" s="2828"/>
      <c r="D67" s="3382">
        <f>+P67+Q67+R67+S67</f>
        <v>8400</v>
      </c>
      <c r="E67" s="3632"/>
      <c r="F67" s="3632"/>
      <c r="G67" s="3632"/>
      <c r="H67" s="3632"/>
      <c r="I67" s="3632"/>
      <c r="J67" s="3632"/>
      <c r="K67" s="3632"/>
      <c r="L67" s="3632"/>
      <c r="M67" s="3632"/>
      <c r="N67" s="3632"/>
      <c r="O67" s="3632"/>
      <c r="P67" s="625">
        <v>4200</v>
      </c>
      <c r="Q67" s="625">
        <v>4200</v>
      </c>
      <c r="R67" s="625"/>
      <c r="S67" s="625"/>
      <c r="T67" s="625"/>
      <c r="U67" s="625"/>
      <c r="V67" s="625"/>
      <c r="W67" s="625"/>
      <c r="X67" s="3627">
        <f>+Q67+P67</f>
        <v>8400</v>
      </c>
      <c r="Y67" s="2606"/>
    </row>
    <row r="68" spans="1:119" ht="15" customHeight="1">
      <c r="A68" s="2868"/>
      <c r="B68" s="3648" t="s">
        <v>34</v>
      </c>
      <c r="C68" s="683"/>
      <c r="D68" s="697">
        <f>+D69</f>
        <v>8400</v>
      </c>
      <c r="E68" s="3622"/>
      <c r="F68" s="3622"/>
      <c r="G68" s="3622"/>
      <c r="H68" s="3622"/>
      <c r="I68" s="3622"/>
      <c r="J68" s="3622"/>
      <c r="K68" s="3622"/>
      <c r="L68" s="3622"/>
      <c r="M68" s="3622"/>
      <c r="N68" s="3622"/>
      <c r="O68" s="3622"/>
      <c r="P68" s="3622">
        <f>+P69</f>
        <v>4200</v>
      </c>
      <c r="Q68" s="3622">
        <f>+Q69</f>
        <v>4200</v>
      </c>
      <c r="R68" s="3622"/>
      <c r="S68" s="3622"/>
      <c r="T68" s="3622"/>
      <c r="U68" s="3622"/>
      <c r="V68" s="3622"/>
      <c r="W68" s="3622"/>
      <c r="X68" s="2915"/>
      <c r="Y68" s="2606"/>
    </row>
    <row r="69" spans="1:119" ht="12">
      <c r="A69" s="2868"/>
      <c r="B69" s="3646" t="s">
        <v>30</v>
      </c>
      <c r="C69" s="3489" t="s">
        <v>166</v>
      </c>
      <c r="D69" s="3629">
        <f>+D70</f>
        <v>8400</v>
      </c>
      <c r="E69" s="3629"/>
      <c r="F69" s="3629"/>
      <c r="G69" s="3629"/>
      <c r="H69" s="3629"/>
      <c r="I69" s="3629"/>
      <c r="J69" s="3629"/>
      <c r="K69" s="3629"/>
      <c r="L69" s="3629"/>
      <c r="M69" s="3629"/>
      <c r="N69" s="3629"/>
      <c r="O69" s="3629"/>
      <c r="P69" s="3629">
        <f>+P70</f>
        <v>4200</v>
      </c>
      <c r="Q69" s="3629">
        <f>+Q70</f>
        <v>4200</v>
      </c>
      <c r="R69" s="3629"/>
      <c r="S69" s="3629"/>
      <c r="T69" s="3629"/>
      <c r="U69" s="3629"/>
      <c r="V69" s="3629"/>
      <c r="W69" s="3629"/>
      <c r="X69" s="2830"/>
      <c r="Y69" s="2606"/>
    </row>
    <row r="70" spans="1:119" ht="12.75" thickBot="1">
      <c r="A70" s="2600"/>
      <c r="B70" s="3649" t="s">
        <v>32</v>
      </c>
      <c r="C70" s="2832"/>
      <c r="D70" s="3215">
        <f>+M70+O70+P70+Q70+R70</f>
        <v>8400</v>
      </c>
      <c r="E70" s="3114"/>
      <c r="F70" s="3114"/>
      <c r="G70" s="3114"/>
      <c r="H70" s="3114"/>
      <c r="I70" s="3114"/>
      <c r="J70" s="3114"/>
      <c r="K70" s="3114"/>
      <c r="L70" s="3114"/>
      <c r="M70" s="3215"/>
      <c r="N70" s="3114"/>
      <c r="O70" s="3114"/>
      <c r="P70" s="3114">
        <v>4200</v>
      </c>
      <c r="Q70" s="3114">
        <v>4200</v>
      </c>
      <c r="R70" s="3114"/>
      <c r="S70" s="3114"/>
      <c r="T70" s="3114"/>
      <c r="U70" s="3114"/>
      <c r="V70" s="3114"/>
      <c r="W70" s="3114"/>
      <c r="X70" s="2831"/>
      <c r="Y70" s="2607"/>
    </row>
    <row r="71" spans="1:119" ht="9" customHeight="1">
      <c r="A71" s="2539"/>
      <c r="B71" s="3650"/>
      <c r="C71" s="3651"/>
      <c r="D71" s="685"/>
      <c r="E71" s="686"/>
      <c r="F71" s="686"/>
      <c r="G71" s="686"/>
      <c r="H71" s="686"/>
      <c r="I71" s="686"/>
      <c r="J71" s="686"/>
      <c r="K71" s="686"/>
      <c r="L71" s="686"/>
      <c r="M71" s="686"/>
      <c r="N71" s="686"/>
      <c r="O71" s="686"/>
      <c r="P71" s="686"/>
      <c r="Q71" s="686"/>
      <c r="R71" s="686"/>
      <c r="S71" s="686"/>
      <c r="T71" s="3652"/>
      <c r="U71" s="3652"/>
      <c r="V71" s="3652"/>
      <c r="W71" s="3652"/>
      <c r="X71" s="3653"/>
      <c r="Y71" s="3651"/>
    </row>
    <row r="72" spans="1:119" s="3656" customFormat="1" ht="26.25" hidden="1" customHeight="1" thickBot="1">
      <c r="A72" s="2872" t="s">
        <v>169</v>
      </c>
      <c r="B72" s="2872"/>
      <c r="C72" s="2872"/>
      <c r="D72" s="2872"/>
      <c r="E72" s="2872"/>
      <c r="F72" s="2872"/>
      <c r="G72" s="2872"/>
      <c r="H72" s="2872"/>
      <c r="I72" s="2872"/>
      <c r="J72" s="2872"/>
      <c r="K72" s="2872"/>
      <c r="L72" s="2872"/>
      <c r="M72" s="2872"/>
      <c r="N72" s="2872"/>
      <c r="O72" s="2872"/>
      <c r="P72" s="2872"/>
      <c r="Q72" s="2872"/>
      <c r="R72" s="2872"/>
      <c r="S72" s="2872"/>
      <c r="T72" s="2872"/>
      <c r="U72" s="2872"/>
      <c r="V72" s="2872"/>
      <c r="W72" s="2872"/>
      <c r="X72" s="3654"/>
      <c r="Y72" s="3655"/>
      <c r="Z72" s="1179"/>
      <c r="AA72" s="1179"/>
      <c r="AB72" s="1179"/>
      <c r="AC72" s="1179"/>
      <c r="AD72" s="1179"/>
      <c r="AE72" s="1179"/>
      <c r="AF72" s="1179"/>
      <c r="AG72" s="1179"/>
      <c r="AH72" s="1179"/>
      <c r="AI72" s="1179"/>
      <c r="AJ72" s="1179"/>
      <c r="AK72" s="1179"/>
      <c r="AL72" s="1179"/>
      <c r="AM72" s="1179"/>
      <c r="AN72" s="1179"/>
      <c r="AO72" s="1179"/>
      <c r="AP72" s="1179"/>
      <c r="AQ72" s="1179"/>
      <c r="AR72" s="1179"/>
      <c r="AS72" s="1179"/>
      <c r="AT72" s="1179"/>
      <c r="AU72" s="1179"/>
      <c r="AV72" s="1179"/>
      <c r="AW72" s="1179"/>
      <c r="AX72" s="1179"/>
      <c r="AY72" s="1179"/>
      <c r="AZ72" s="1179"/>
      <c r="BA72" s="1179"/>
      <c r="BB72" s="1179"/>
      <c r="BC72" s="1179"/>
      <c r="BD72" s="1179"/>
      <c r="BE72" s="1179"/>
      <c r="BF72" s="1179"/>
      <c r="BG72" s="1179"/>
      <c r="BH72" s="1179"/>
      <c r="BI72" s="1179"/>
      <c r="BJ72" s="1179"/>
      <c r="BK72" s="1179"/>
      <c r="BL72" s="1179"/>
      <c r="BM72" s="1179"/>
      <c r="BN72" s="1179"/>
      <c r="BO72" s="1179"/>
      <c r="BP72" s="1179"/>
      <c r="BQ72" s="1179"/>
      <c r="BR72" s="1179"/>
      <c r="BS72" s="1179"/>
      <c r="BT72" s="1179"/>
      <c r="BU72" s="1179"/>
      <c r="BV72" s="1179"/>
      <c r="BW72" s="1179"/>
      <c r="BX72" s="1179"/>
      <c r="BY72" s="1179"/>
      <c r="BZ72" s="1179"/>
      <c r="CA72" s="1179"/>
      <c r="CB72" s="1179"/>
      <c r="CC72" s="1179"/>
      <c r="CD72" s="1179"/>
      <c r="CE72" s="1179"/>
      <c r="CF72" s="1179"/>
      <c r="CG72" s="1179"/>
      <c r="CH72" s="1179"/>
      <c r="CI72" s="1179"/>
      <c r="CJ72" s="1179"/>
      <c r="CK72" s="1179"/>
      <c r="CL72" s="1179"/>
      <c r="CM72" s="1179"/>
      <c r="CN72" s="1179"/>
      <c r="CO72" s="1179"/>
      <c r="CP72" s="1179"/>
      <c r="CQ72" s="1179"/>
      <c r="CR72" s="1179"/>
      <c r="CS72" s="1179"/>
      <c r="CT72" s="1179"/>
      <c r="CU72" s="1179"/>
      <c r="CV72" s="1179"/>
      <c r="CW72" s="1179"/>
      <c r="CX72" s="1179"/>
      <c r="CY72" s="1179"/>
      <c r="CZ72" s="1179"/>
      <c r="DA72" s="1179"/>
      <c r="DB72" s="1179"/>
      <c r="DC72" s="1179"/>
      <c r="DD72" s="1179"/>
      <c r="DE72" s="1179"/>
      <c r="DF72" s="1179"/>
      <c r="DG72" s="1179"/>
      <c r="DH72" s="1179"/>
      <c r="DI72" s="1179"/>
      <c r="DJ72" s="1179"/>
      <c r="DK72" s="1179"/>
      <c r="DL72" s="1179"/>
      <c r="DM72" s="1179"/>
      <c r="DN72" s="1179"/>
      <c r="DO72" s="1179"/>
    </row>
    <row r="73" spans="1:119" s="1987" customFormat="1" ht="14.25" hidden="1" customHeight="1">
      <c r="A73" s="667"/>
      <c r="B73" s="3657" t="s">
        <v>92</v>
      </c>
      <c r="C73" s="755"/>
      <c r="D73" s="3658">
        <f>+D74+D75</f>
        <v>0</v>
      </c>
      <c r="E73" s="3658">
        <f t="shared" ref="E73:W73" si="41">+E74+E75</f>
        <v>0</v>
      </c>
      <c r="F73" s="3658">
        <f t="shared" si="41"/>
        <v>0</v>
      </c>
      <c r="G73" s="3658">
        <f t="shared" si="41"/>
        <v>0</v>
      </c>
      <c r="H73" s="3658">
        <f t="shared" si="41"/>
        <v>0</v>
      </c>
      <c r="I73" s="3658">
        <f t="shared" si="41"/>
        <v>0</v>
      </c>
      <c r="J73" s="3658">
        <f t="shared" si="41"/>
        <v>0</v>
      </c>
      <c r="K73" s="3658">
        <f t="shared" si="41"/>
        <v>0</v>
      </c>
      <c r="L73" s="3658">
        <f t="shared" si="41"/>
        <v>0</v>
      </c>
      <c r="M73" s="3658">
        <f t="shared" si="41"/>
        <v>0</v>
      </c>
      <c r="N73" s="3658">
        <f t="shared" si="41"/>
        <v>117496</v>
      </c>
      <c r="O73" s="3658">
        <f t="shared" si="41"/>
        <v>0</v>
      </c>
      <c r="P73" s="3658">
        <f t="shared" si="41"/>
        <v>0</v>
      </c>
      <c r="Q73" s="3658">
        <f t="shared" si="41"/>
        <v>0</v>
      </c>
      <c r="R73" s="3658">
        <f t="shared" si="41"/>
        <v>0</v>
      </c>
      <c r="S73" s="3658">
        <f t="shared" si="41"/>
        <v>0</v>
      </c>
      <c r="T73" s="3658">
        <f t="shared" si="41"/>
        <v>0</v>
      </c>
      <c r="U73" s="3658">
        <f t="shared" si="41"/>
        <v>0</v>
      </c>
      <c r="V73" s="3658">
        <f t="shared" si="41"/>
        <v>0</v>
      </c>
      <c r="W73" s="3658">
        <f t="shared" si="41"/>
        <v>0</v>
      </c>
      <c r="X73" s="330">
        <f>+X74+X75</f>
        <v>0</v>
      </c>
      <c r="Y73" s="3659"/>
    </row>
    <row r="74" spans="1:119" s="1987" customFormat="1" ht="13.5" hidden="1" customHeight="1">
      <c r="A74" s="667"/>
      <c r="B74" s="757" t="s">
        <v>93</v>
      </c>
      <c r="C74" s="758"/>
      <c r="D74" s="759">
        <v>0</v>
      </c>
      <c r="E74" s="759">
        <v>0</v>
      </c>
      <c r="F74" s="759">
        <v>0</v>
      </c>
      <c r="G74" s="759">
        <v>0</v>
      </c>
      <c r="H74" s="759">
        <v>0</v>
      </c>
      <c r="I74" s="759">
        <v>0</v>
      </c>
      <c r="J74" s="759">
        <v>0</v>
      </c>
      <c r="K74" s="759">
        <v>0</v>
      </c>
      <c r="L74" s="759">
        <v>0</v>
      </c>
      <c r="M74" s="759">
        <v>0</v>
      </c>
      <c r="N74" s="759">
        <v>0</v>
      </c>
      <c r="O74" s="759">
        <v>0</v>
      </c>
      <c r="P74" s="759">
        <v>0</v>
      </c>
      <c r="Q74" s="759">
        <v>0</v>
      </c>
      <c r="R74" s="759">
        <v>0</v>
      </c>
      <c r="S74" s="759">
        <v>0</v>
      </c>
      <c r="T74" s="759">
        <v>0</v>
      </c>
      <c r="U74" s="759">
        <v>0</v>
      </c>
      <c r="V74" s="759">
        <v>0</v>
      </c>
      <c r="W74" s="759">
        <v>0</v>
      </c>
      <c r="X74" s="332">
        <f>SUM(O74:S74)</f>
        <v>0</v>
      </c>
      <c r="Y74" s="3660"/>
    </row>
    <row r="75" spans="1:119" s="1987" customFormat="1" ht="13.5" hidden="1" customHeight="1" thickBot="1">
      <c r="A75" s="667"/>
      <c r="B75" s="760" t="s">
        <v>21</v>
      </c>
      <c r="C75" s="3295"/>
      <c r="D75" s="762">
        <f>+D92+D96+D101+D113</f>
        <v>0</v>
      </c>
      <c r="E75" s="762">
        <f>+E92+E96+E101+E113</f>
        <v>0</v>
      </c>
      <c r="F75" s="762">
        <f t="shared" ref="F75:Q75" si="42">+F92+F96+F101+F113</f>
        <v>0</v>
      </c>
      <c r="G75" s="762">
        <f t="shared" si="42"/>
        <v>0</v>
      </c>
      <c r="H75" s="762">
        <f t="shared" si="42"/>
        <v>0</v>
      </c>
      <c r="I75" s="762">
        <f t="shared" si="42"/>
        <v>0</v>
      </c>
      <c r="J75" s="762">
        <f t="shared" si="42"/>
        <v>0</v>
      </c>
      <c r="K75" s="762">
        <f t="shared" si="42"/>
        <v>0</v>
      </c>
      <c r="L75" s="762">
        <f t="shared" si="42"/>
        <v>0</v>
      </c>
      <c r="M75" s="762">
        <f t="shared" si="42"/>
        <v>0</v>
      </c>
      <c r="N75" s="762">
        <f t="shared" si="42"/>
        <v>117496</v>
      </c>
      <c r="O75" s="762">
        <f t="shared" si="42"/>
        <v>0</v>
      </c>
      <c r="P75" s="762">
        <f t="shared" si="42"/>
        <v>0</v>
      </c>
      <c r="Q75" s="762">
        <f t="shared" si="42"/>
        <v>0</v>
      </c>
      <c r="R75" s="762">
        <f t="shared" ref="R75:W75" si="43">+R92+R96+R101+R113</f>
        <v>0</v>
      </c>
      <c r="S75" s="762">
        <f t="shared" si="43"/>
        <v>0</v>
      </c>
      <c r="T75" s="762">
        <f t="shared" si="43"/>
        <v>0</v>
      </c>
      <c r="U75" s="762">
        <f t="shared" si="43"/>
        <v>0</v>
      </c>
      <c r="V75" s="762">
        <f t="shared" si="43"/>
        <v>0</v>
      </c>
      <c r="W75" s="762">
        <f t="shared" si="43"/>
        <v>0</v>
      </c>
      <c r="X75" s="332">
        <f>SUM(P75:S75)</f>
        <v>0</v>
      </c>
      <c r="Y75" s="3660"/>
    </row>
    <row r="76" spans="1:119" s="3656" customFormat="1" ht="13.5" hidden="1" customHeight="1">
      <c r="A76" s="667"/>
      <c r="B76" s="687" t="s">
        <v>22</v>
      </c>
      <c r="C76" s="688"/>
      <c r="D76" s="3661">
        <f>D77+D81</f>
        <v>0</v>
      </c>
      <c r="E76" s="3661">
        <f>+E77+E81</f>
        <v>0</v>
      </c>
      <c r="F76" s="3661">
        <f t="shared" ref="F76:W76" si="44">+F77+F81</f>
        <v>0</v>
      </c>
      <c r="G76" s="3661">
        <f t="shared" si="44"/>
        <v>0</v>
      </c>
      <c r="H76" s="3661">
        <f t="shared" si="44"/>
        <v>0</v>
      </c>
      <c r="I76" s="3661">
        <f t="shared" si="44"/>
        <v>0</v>
      </c>
      <c r="J76" s="3661">
        <f t="shared" si="44"/>
        <v>0</v>
      </c>
      <c r="K76" s="3661">
        <f t="shared" si="44"/>
        <v>0</v>
      </c>
      <c r="L76" s="3661">
        <f t="shared" si="44"/>
        <v>0</v>
      </c>
      <c r="M76" s="3661">
        <f>+M77+M81</f>
        <v>0</v>
      </c>
      <c r="N76" s="3661">
        <f>+N77+N81</f>
        <v>117496</v>
      </c>
      <c r="O76" s="3661">
        <f>+O77+O81</f>
        <v>0</v>
      </c>
      <c r="P76" s="3661">
        <f t="shared" si="44"/>
        <v>0</v>
      </c>
      <c r="Q76" s="3661">
        <f t="shared" si="44"/>
        <v>0</v>
      </c>
      <c r="R76" s="3661">
        <f t="shared" si="44"/>
        <v>0</v>
      </c>
      <c r="S76" s="3661">
        <f t="shared" si="44"/>
        <v>0</v>
      </c>
      <c r="T76" s="3661">
        <f t="shared" si="44"/>
        <v>0</v>
      </c>
      <c r="U76" s="3661">
        <f t="shared" si="44"/>
        <v>0</v>
      </c>
      <c r="V76" s="3661">
        <f t="shared" si="44"/>
        <v>0</v>
      </c>
      <c r="W76" s="3661">
        <f t="shared" si="44"/>
        <v>0</v>
      </c>
      <c r="X76" s="3662">
        <f>+X77</f>
        <v>0</v>
      </c>
      <c r="Y76" s="3659"/>
      <c r="Z76" s="1179"/>
      <c r="AA76" s="1179"/>
      <c r="AB76" s="1179"/>
      <c r="AC76" s="1179"/>
      <c r="AD76" s="1179"/>
      <c r="AE76" s="1179"/>
      <c r="AF76" s="1179"/>
      <c r="AG76" s="1179"/>
      <c r="AH76" s="1179"/>
      <c r="AI76" s="1179"/>
      <c r="AJ76" s="1179"/>
      <c r="AK76" s="1179"/>
      <c r="AL76" s="1179"/>
      <c r="AM76" s="1179"/>
      <c r="AN76" s="1179"/>
      <c r="AO76" s="1179"/>
      <c r="AP76" s="1179"/>
      <c r="AQ76" s="1179"/>
      <c r="AR76" s="1179"/>
      <c r="AS76" s="1179"/>
      <c r="AT76" s="1179"/>
      <c r="AU76" s="1179"/>
      <c r="AV76" s="1179"/>
      <c r="AW76" s="1179"/>
      <c r="AX76" s="1179"/>
      <c r="AY76" s="1179"/>
      <c r="AZ76" s="1179"/>
      <c r="BA76" s="1179"/>
      <c r="BB76" s="1179"/>
      <c r="BC76" s="1179"/>
      <c r="BD76" s="1179"/>
      <c r="BE76" s="1179"/>
      <c r="BF76" s="1179"/>
      <c r="BG76" s="1179"/>
      <c r="BH76" s="1179"/>
      <c r="BI76" s="1179"/>
      <c r="BJ76" s="1179"/>
      <c r="BK76" s="1179"/>
      <c r="BL76" s="1179"/>
      <c r="BM76" s="1179"/>
      <c r="BN76" s="1179"/>
      <c r="BO76" s="1179"/>
      <c r="BP76" s="1179"/>
      <c r="BQ76" s="1179"/>
      <c r="BR76" s="1179"/>
      <c r="BS76" s="1179"/>
      <c r="BT76" s="1179"/>
      <c r="BU76" s="1179"/>
      <c r="BV76" s="1179"/>
      <c r="BW76" s="1179"/>
      <c r="BX76" s="1179"/>
      <c r="BY76" s="1179"/>
      <c r="BZ76" s="1179"/>
      <c r="CA76" s="1179"/>
      <c r="CB76" s="1179"/>
      <c r="CC76" s="1179"/>
      <c r="CD76" s="1179"/>
      <c r="CE76" s="1179"/>
      <c r="CF76" s="1179"/>
      <c r="CG76" s="1179"/>
      <c r="CH76" s="1179"/>
      <c r="CI76" s="1179"/>
      <c r="CJ76" s="1179"/>
      <c r="CK76" s="1179"/>
      <c r="CL76" s="1179"/>
      <c r="CM76" s="1179"/>
      <c r="CN76" s="1179"/>
      <c r="CO76" s="1179"/>
      <c r="CP76" s="1179"/>
      <c r="CQ76" s="1179"/>
      <c r="CR76" s="1179"/>
      <c r="CS76" s="1179"/>
      <c r="CT76" s="1179"/>
      <c r="CU76" s="1179"/>
      <c r="CV76" s="1179"/>
      <c r="CW76" s="1179"/>
      <c r="CX76" s="1179"/>
      <c r="CY76" s="1179"/>
      <c r="CZ76" s="1179"/>
      <c r="DA76" s="1179"/>
      <c r="DB76" s="1179"/>
      <c r="DC76" s="1179"/>
      <c r="DD76" s="1179"/>
      <c r="DE76" s="1179"/>
      <c r="DF76" s="1179"/>
      <c r="DG76" s="1179"/>
      <c r="DH76" s="1179"/>
      <c r="DI76" s="1179"/>
      <c r="DJ76" s="1179"/>
      <c r="DK76" s="1179"/>
      <c r="DL76" s="1179"/>
      <c r="DM76" s="1179"/>
      <c r="DN76" s="1179"/>
      <c r="DO76" s="1179"/>
    </row>
    <row r="77" spans="1:119" s="3656" customFormat="1" ht="13.5" hidden="1" customHeight="1">
      <c r="A77" s="667"/>
      <c r="B77" s="3663" t="s">
        <v>23</v>
      </c>
      <c r="C77" s="3664"/>
      <c r="D77" s="3664">
        <f>+D78+D79+D80</f>
        <v>0</v>
      </c>
      <c r="E77" s="3664">
        <f t="shared" ref="E77:W77" si="45">+E78+E79+E80</f>
        <v>0</v>
      </c>
      <c r="F77" s="3664">
        <f t="shared" si="45"/>
        <v>0</v>
      </c>
      <c r="G77" s="3664">
        <f t="shared" si="45"/>
        <v>0</v>
      </c>
      <c r="H77" s="3664">
        <f t="shared" si="45"/>
        <v>0</v>
      </c>
      <c r="I77" s="3664">
        <f t="shared" si="45"/>
        <v>0</v>
      </c>
      <c r="J77" s="3664">
        <f t="shared" si="45"/>
        <v>0</v>
      </c>
      <c r="K77" s="3664">
        <f t="shared" si="45"/>
        <v>0</v>
      </c>
      <c r="L77" s="3664">
        <f t="shared" si="45"/>
        <v>0</v>
      </c>
      <c r="M77" s="3664">
        <f t="shared" si="45"/>
        <v>0</v>
      </c>
      <c r="N77" s="3664">
        <f>+N78+N79+N80</f>
        <v>117496</v>
      </c>
      <c r="O77" s="3664">
        <f t="shared" si="45"/>
        <v>0</v>
      </c>
      <c r="P77" s="3664">
        <f t="shared" si="45"/>
        <v>0</v>
      </c>
      <c r="Q77" s="3664">
        <f t="shared" si="45"/>
        <v>0</v>
      </c>
      <c r="R77" s="3664">
        <f t="shared" si="45"/>
        <v>0</v>
      </c>
      <c r="S77" s="3664">
        <f t="shared" si="45"/>
        <v>0</v>
      </c>
      <c r="T77" s="3664">
        <f t="shared" si="45"/>
        <v>0</v>
      </c>
      <c r="U77" s="3664">
        <f t="shared" si="45"/>
        <v>0</v>
      </c>
      <c r="V77" s="3664">
        <f t="shared" si="45"/>
        <v>0</v>
      </c>
      <c r="W77" s="3664">
        <f t="shared" si="45"/>
        <v>0</v>
      </c>
      <c r="X77" s="3665">
        <f>+X80+X79</f>
        <v>0</v>
      </c>
      <c r="Y77" s="3660"/>
      <c r="Z77" s="1186"/>
      <c r="AA77" s="1179"/>
      <c r="AB77" s="1179"/>
      <c r="AC77" s="1179"/>
      <c r="AD77" s="1179"/>
      <c r="AE77" s="1179"/>
      <c r="AF77" s="1179"/>
      <c r="AG77" s="1179"/>
      <c r="AH77" s="1179"/>
      <c r="AI77" s="1179"/>
      <c r="AJ77" s="1179"/>
      <c r="AK77" s="1179"/>
      <c r="AL77" s="1179"/>
      <c r="AM77" s="1179"/>
      <c r="AN77" s="1179"/>
      <c r="AO77" s="1179"/>
      <c r="AP77" s="1179"/>
      <c r="AQ77" s="1179"/>
      <c r="AR77" s="1179"/>
      <c r="AS77" s="1179"/>
      <c r="AT77" s="1179"/>
      <c r="AU77" s="1179"/>
      <c r="AV77" s="1179"/>
      <c r="AW77" s="1179"/>
      <c r="AX77" s="1179"/>
      <c r="AY77" s="1179"/>
      <c r="AZ77" s="1179"/>
      <c r="BA77" s="1179"/>
      <c r="BB77" s="1179"/>
      <c r="BC77" s="1179"/>
      <c r="BD77" s="1179"/>
      <c r="BE77" s="1179"/>
      <c r="BF77" s="1179"/>
      <c r="BG77" s="1179"/>
      <c r="BH77" s="1179"/>
      <c r="BI77" s="1179"/>
      <c r="BJ77" s="1179"/>
      <c r="BK77" s="1179"/>
      <c r="BL77" s="1179"/>
      <c r="BM77" s="1179"/>
      <c r="BN77" s="1179"/>
      <c r="BO77" s="1179"/>
      <c r="BP77" s="1179"/>
      <c r="BQ77" s="1179"/>
      <c r="BR77" s="1179"/>
      <c r="BS77" s="1179"/>
      <c r="BT77" s="1179"/>
      <c r="BU77" s="1179"/>
      <c r="BV77" s="1179"/>
      <c r="BW77" s="1179"/>
      <c r="BX77" s="1179"/>
      <c r="BY77" s="1179"/>
      <c r="BZ77" s="1179"/>
      <c r="CA77" s="1179"/>
      <c r="CB77" s="1179"/>
      <c r="CC77" s="1179"/>
      <c r="CD77" s="1179"/>
      <c r="CE77" s="1179"/>
      <c r="CF77" s="1179"/>
      <c r="CG77" s="1179"/>
      <c r="CH77" s="1179"/>
      <c r="CI77" s="1179"/>
      <c r="CJ77" s="1179"/>
      <c r="CK77" s="1179"/>
      <c r="CL77" s="1179"/>
      <c r="CM77" s="1179"/>
      <c r="CN77" s="1179"/>
      <c r="CO77" s="1179"/>
      <c r="CP77" s="1179"/>
      <c r="CQ77" s="1179"/>
      <c r="CR77" s="1179"/>
      <c r="CS77" s="1179"/>
      <c r="CT77" s="1179"/>
      <c r="CU77" s="1179"/>
      <c r="CV77" s="1179"/>
      <c r="CW77" s="1179"/>
      <c r="CX77" s="1179"/>
      <c r="CY77" s="1179"/>
      <c r="CZ77" s="1179"/>
      <c r="DA77" s="1179"/>
      <c r="DB77" s="1179"/>
      <c r="DC77" s="1179"/>
      <c r="DD77" s="1179"/>
      <c r="DE77" s="1179"/>
      <c r="DF77" s="1179"/>
      <c r="DG77" s="1179"/>
      <c r="DH77" s="1179"/>
      <c r="DI77" s="1179"/>
      <c r="DJ77" s="1179"/>
      <c r="DK77" s="1179"/>
      <c r="DL77" s="1179"/>
      <c r="DM77" s="1179"/>
      <c r="DN77" s="1179"/>
      <c r="DO77" s="1179"/>
    </row>
    <row r="78" spans="1:119" s="3656" customFormat="1" ht="13.5" hidden="1" customHeight="1">
      <c r="A78" s="667"/>
      <c r="B78" s="3666" t="s">
        <v>170</v>
      </c>
      <c r="C78" s="3667"/>
      <c r="D78" s="3667">
        <f>+D100</f>
        <v>0</v>
      </c>
      <c r="E78" s="3667">
        <f t="shared" ref="E78:Q78" si="46">+E100</f>
        <v>0</v>
      </c>
      <c r="F78" s="3667">
        <f t="shared" si="46"/>
        <v>0</v>
      </c>
      <c r="G78" s="3667">
        <f t="shared" si="46"/>
        <v>0</v>
      </c>
      <c r="H78" s="3667">
        <f t="shared" si="46"/>
        <v>0</v>
      </c>
      <c r="I78" s="3667">
        <f t="shared" si="46"/>
        <v>0</v>
      </c>
      <c r="J78" s="3667">
        <f t="shared" si="46"/>
        <v>0</v>
      </c>
      <c r="K78" s="3667">
        <f t="shared" si="46"/>
        <v>0</v>
      </c>
      <c r="L78" s="3667">
        <f t="shared" si="46"/>
        <v>0</v>
      </c>
      <c r="M78" s="3667">
        <f t="shared" si="46"/>
        <v>0</v>
      </c>
      <c r="N78" s="3667">
        <f t="shared" si="46"/>
        <v>0</v>
      </c>
      <c r="O78" s="3667">
        <f t="shared" si="46"/>
        <v>0</v>
      </c>
      <c r="P78" s="3667">
        <f t="shared" si="46"/>
        <v>0</v>
      </c>
      <c r="Q78" s="3667">
        <f t="shared" si="46"/>
        <v>0</v>
      </c>
      <c r="R78" s="3667">
        <v>0</v>
      </c>
      <c r="S78" s="3667">
        <v>0</v>
      </c>
      <c r="T78" s="3667">
        <v>0</v>
      </c>
      <c r="U78" s="3667">
        <v>0</v>
      </c>
      <c r="V78" s="3667">
        <v>0</v>
      </c>
      <c r="W78" s="3667">
        <v>0</v>
      </c>
      <c r="X78" s="3668" t="s">
        <v>77</v>
      </c>
      <c r="Y78" s="3660"/>
      <c r="Z78" s="1186"/>
      <c r="AA78" s="1179"/>
      <c r="AB78" s="1179"/>
      <c r="AC78" s="1179"/>
      <c r="AD78" s="1179"/>
      <c r="AE78" s="1179"/>
      <c r="AF78" s="1179"/>
      <c r="AG78" s="1179"/>
      <c r="AH78" s="1179"/>
      <c r="AI78" s="1179"/>
      <c r="AJ78" s="1179"/>
      <c r="AK78" s="1179"/>
      <c r="AL78" s="1179"/>
      <c r="AM78" s="1179"/>
      <c r="AN78" s="1179"/>
      <c r="AO78" s="1179"/>
      <c r="AP78" s="1179"/>
      <c r="AQ78" s="1179"/>
      <c r="AR78" s="1179"/>
      <c r="AS78" s="1179"/>
      <c r="AT78" s="1179"/>
      <c r="AU78" s="1179"/>
      <c r="AV78" s="1179"/>
      <c r="AW78" s="1179"/>
      <c r="AX78" s="1179"/>
      <c r="AY78" s="1179"/>
      <c r="AZ78" s="1179"/>
      <c r="BA78" s="1179"/>
      <c r="BB78" s="1179"/>
      <c r="BC78" s="1179"/>
      <c r="BD78" s="1179"/>
      <c r="BE78" s="1179"/>
      <c r="BF78" s="1179"/>
      <c r="BG78" s="1179"/>
      <c r="BH78" s="1179"/>
      <c r="BI78" s="1179"/>
      <c r="BJ78" s="1179"/>
      <c r="BK78" s="1179"/>
      <c r="BL78" s="1179"/>
      <c r="BM78" s="1179"/>
      <c r="BN78" s="1179"/>
      <c r="BO78" s="1179"/>
      <c r="BP78" s="1179"/>
      <c r="BQ78" s="1179"/>
      <c r="BR78" s="1179"/>
      <c r="BS78" s="1179"/>
      <c r="BT78" s="1179"/>
      <c r="BU78" s="1179"/>
      <c r="BV78" s="1179"/>
      <c r="BW78" s="1179"/>
      <c r="BX78" s="1179"/>
      <c r="BY78" s="1179"/>
      <c r="BZ78" s="1179"/>
      <c r="CA78" s="1179"/>
      <c r="CB78" s="1179"/>
      <c r="CC78" s="1179"/>
      <c r="CD78" s="1179"/>
      <c r="CE78" s="1179"/>
      <c r="CF78" s="1179"/>
      <c r="CG78" s="1179"/>
      <c r="CH78" s="1179"/>
      <c r="CI78" s="1179"/>
      <c r="CJ78" s="1179"/>
      <c r="CK78" s="1179"/>
      <c r="CL78" s="1179"/>
      <c r="CM78" s="1179"/>
      <c r="CN78" s="1179"/>
      <c r="CO78" s="1179"/>
      <c r="CP78" s="1179"/>
      <c r="CQ78" s="1179"/>
      <c r="CR78" s="1179"/>
      <c r="CS78" s="1179"/>
      <c r="CT78" s="1179"/>
      <c r="CU78" s="1179"/>
      <c r="CV78" s="1179"/>
      <c r="CW78" s="1179"/>
      <c r="CX78" s="1179"/>
      <c r="CY78" s="1179"/>
      <c r="CZ78" s="1179"/>
      <c r="DA78" s="1179"/>
      <c r="DB78" s="1179"/>
      <c r="DC78" s="1179"/>
      <c r="DD78" s="1179"/>
      <c r="DE78" s="1179"/>
      <c r="DF78" s="1179"/>
      <c r="DG78" s="1179"/>
      <c r="DH78" s="1179"/>
      <c r="DI78" s="1179"/>
      <c r="DJ78" s="1179"/>
      <c r="DK78" s="1179"/>
      <c r="DL78" s="1179"/>
      <c r="DM78" s="1179"/>
      <c r="DN78" s="1179"/>
      <c r="DO78" s="1179"/>
    </row>
    <row r="79" spans="1:119" s="3656" customFormat="1" ht="13.5" hidden="1" customHeight="1">
      <c r="A79" s="667"/>
      <c r="B79" s="3666" t="s">
        <v>171</v>
      </c>
      <c r="C79" s="3667"/>
      <c r="D79" s="3667">
        <f>+D101+D113</f>
        <v>0</v>
      </c>
      <c r="E79" s="3667">
        <f t="shared" ref="E79:T79" si="47">+E101+E113</f>
        <v>0</v>
      </c>
      <c r="F79" s="3667">
        <f t="shared" si="47"/>
        <v>0</v>
      </c>
      <c r="G79" s="3667">
        <f t="shared" si="47"/>
        <v>0</v>
      </c>
      <c r="H79" s="3667">
        <f t="shared" si="47"/>
        <v>0</v>
      </c>
      <c r="I79" s="3667">
        <f t="shared" si="47"/>
        <v>0</v>
      </c>
      <c r="J79" s="3667">
        <f t="shared" si="47"/>
        <v>0</v>
      </c>
      <c r="K79" s="3667">
        <f>+K101+K113</f>
        <v>0</v>
      </c>
      <c r="L79" s="3667">
        <f t="shared" si="47"/>
        <v>0</v>
      </c>
      <c r="M79" s="3667">
        <f t="shared" si="47"/>
        <v>0</v>
      </c>
      <c r="N79" s="3667">
        <f t="shared" si="47"/>
        <v>117496</v>
      </c>
      <c r="O79" s="3667">
        <f t="shared" si="47"/>
        <v>0</v>
      </c>
      <c r="P79" s="3667">
        <f t="shared" si="47"/>
        <v>0</v>
      </c>
      <c r="Q79" s="3667">
        <f t="shared" si="47"/>
        <v>0</v>
      </c>
      <c r="R79" s="3667">
        <f t="shared" si="47"/>
        <v>0</v>
      </c>
      <c r="S79" s="3667">
        <f t="shared" si="47"/>
        <v>0</v>
      </c>
      <c r="T79" s="3667">
        <f t="shared" si="47"/>
        <v>0</v>
      </c>
      <c r="U79" s="3667">
        <v>0</v>
      </c>
      <c r="V79" s="3667">
        <v>0</v>
      </c>
      <c r="W79" s="3667">
        <v>0</v>
      </c>
      <c r="X79" s="3605">
        <f>+T79+S79+R79+Q79+P79</f>
        <v>0</v>
      </c>
      <c r="Y79" s="3660"/>
      <c r="Z79" s="1186"/>
      <c r="AA79" s="1179"/>
      <c r="AB79" s="1179"/>
      <c r="AC79" s="1179"/>
      <c r="AD79" s="1179"/>
      <c r="AE79" s="1179"/>
      <c r="AF79" s="1179"/>
      <c r="AG79" s="1179"/>
      <c r="AH79" s="1179"/>
      <c r="AI79" s="1179"/>
      <c r="AJ79" s="1179"/>
      <c r="AK79" s="1179"/>
      <c r="AL79" s="1179"/>
      <c r="AM79" s="1179"/>
      <c r="AN79" s="1179"/>
      <c r="AO79" s="1179"/>
      <c r="AP79" s="1179"/>
      <c r="AQ79" s="1179"/>
      <c r="AR79" s="1179"/>
      <c r="AS79" s="1179"/>
      <c r="AT79" s="1179"/>
      <c r="AU79" s="1179"/>
      <c r="AV79" s="1179"/>
      <c r="AW79" s="1179"/>
      <c r="AX79" s="1179"/>
      <c r="AY79" s="1179"/>
      <c r="AZ79" s="1179"/>
      <c r="BA79" s="1179"/>
      <c r="BB79" s="1179"/>
      <c r="BC79" s="1179"/>
      <c r="BD79" s="1179"/>
      <c r="BE79" s="1179"/>
      <c r="BF79" s="1179"/>
      <c r="BG79" s="1179"/>
      <c r="BH79" s="1179"/>
      <c r="BI79" s="1179"/>
      <c r="BJ79" s="1179"/>
      <c r="BK79" s="1179"/>
      <c r="BL79" s="1179"/>
      <c r="BM79" s="1179"/>
      <c r="BN79" s="1179"/>
      <c r="BO79" s="1179"/>
      <c r="BP79" s="1179"/>
      <c r="BQ79" s="1179"/>
      <c r="BR79" s="1179"/>
      <c r="BS79" s="1179"/>
      <c r="BT79" s="1179"/>
      <c r="BU79" s="1179"/>
      <c r="BV79" s="1179"/>
      <c r="BW79" s="1179"/>
      <c r="BX79" s="1179"/>
      <c r="BY79" s="1179"/>
      <c r="BZ79" s="1179"/>
      <c r="CA79" s="1179"/>
      <c r="CB79" s="1179"/>
      <c r="CC79" s="1179"/>
      <c r="CD79" s="1179"/>
      <c r="CE79" s="1179"/>
      <c r="CF79" s="1179"/>
      <c r="CG79" s="1179"/>
      <c r="CH79" s="1179"/>
      <c r="CI79" s="1179"/>
      <c r="CJ79" s="1179"/>
      <c r="CK79" s="1179"/>
      <c r="CL79" s="1179"/>
      <c r="CM79" s="1179"/>
      <c r="CN79" s="1179"/>
      <c r="CO79" s="1179"/>
      <c r="CP79" s="1179"/>
      <c r="CQ79" s="1179"/>
      <c r="CR79" s="1179"/>
      <c r="CS79" s="1179"/>
      <c r="CT79" s="1179"/>
      <c r="CU79" s="1179"/>
      <c r="CV79" s="1179"/>
      <c r="CW79" s="1179"/>
      <c r="CX79" s="1179"/>
      <c r="CY79" s="1179"/>
      <c r="CZ79" s="1179"/>
      <c r="DA79" s="1179"/>
      <c r="DB79" s="1179"/>
      <c r="DC79" s="1179"/>
      <c r="DD79" s="1179"/>
      <c r="DE79" s="1179"/>
      <c r="DF79" s="1179"/>
      <c r="DG79" s="1179"/>
      <c r="DH79" s="1179"/>
      <c r="DI79" s="1179"/>
      <c r="DJ79" s="1179"/>
      <c r="DK79" s="1179"/>
      <c r="DL79" s="1179"/>
      <c r="DM79" s="1179"/>
      <c r="DN79" s="1179"/>
      <c r="DO79" s="1179"/>
    </row>
    <row r="80" spans="1:119" s="3672" customFormat="1" ht="13.5" hidden="1" customHeight="1">
      <c r="A80" s="651"/>
      <c r="B80" s="3669" t="s">
        <v>24</v>
      </c>
      <c r="C80" s="3670"/>
      <c r="D80" s="3670">
        <f>+D92+D96</f>
        <v>0</v>
      </c>
      <c r="E80" s="3670">
        <f t="shared" ref="E80:Q80" si="48">+E92+E96</f>
        <v>0</v>
      </c>
      <c r="F80" s="3670">
        <f t="shared" si="48"/>
        <v>0</v>
      </c>
      <c r="G80" s="3670">
        <f t="shared" si="48"/>
        <v>0</v>
      </c>
      <c r="H80" s="3670">
        <f t="shared" si="48"/>
        <v>0</v>
      </c>
      <c r="I80" s="3670">
        <f t="shared" si="48"/>
        <v>0</v>
      </c>
      <c r="J80" s="3670">
        <f t="shared" si="48"/>
        <v>0</v>
      </c>
      <c r="K80" s="3670">
        <f t="shared" si="48"/>
        <v>0</v>
      </c>
      <c r="L80" s="3670">
        <f t="shared" si="48"/>
        <v>0</v>
      </c>
      <c r="M80" s="3670">
        <f t="shared" si="48"/>
        <v>0</v>
      </c>
      <c r="N80" s="3670">
        <f t="shared" si="48"/>
        <v>0</v>
      </c>
      <c r="O80" s="3670">
        <f t="shared" si="48"/>
        <v>0</v>
      </c>
      <c r="P80" s="3670">
        <f t="shared" si="48"/>
        <v>0</v>
      </c>
      <c r="Q80" s="3670">
        <f t="shared" si="48"/>
        <v>0</v>
      </c>
      <c r="R80" s="3670">
        <v>0</v>
      </c>
      <c r="S80" s="3670">
        <v>0</v>
      </c>
      <c r="T80" s="3670">
        <v>0</v>
      </c>
      <c r="U80" s="3670"/>
      <c r="V80" s="3670"/>
      <c r="W80" s="3670"/>
      <c r="X80" s="3671">
        <f>SUM(O80:R80)</f>
        <v>0</v>
      </c>
      <c r="Y80" s="3660"/>
      <c r="Z80" s="1163"/>
      <c r="AA80" s="1163"/>
      <c r="AB80" s="1163"/>
      <c r="AC80" s="1163"/>
      <c r="AD80" s="1163"/>
      <c r="AE80" s="1163"/>
      <c r="AF80" s="1163"/>
      <c r="AG80" s="1163"/>
      <c r="AH80" s="1163"/>
      <c r="AI80" s="1163"/>
      <c r="AJ80" s="1163"/>
      <c r="AK80" s="1163"/>
      <c r="AL80" s="1163"/>
      <c r="AM80" s="1163"/>
      <c r="AN80" s="1163"/>
      <c r="AO80" s="1163"/>
      <c r="AP80" s="1163"/>
      <c r="AQ80" s="1163"/>
      <c r="AR80" s="1163"/>
      <c r="AS80" s="1163"/>
      <c r="AT80" s="1163"/>
      <c r="AU80" s="1163"/>
      <c r="AV80" s="1163"/>
      <c r="AW80" s="1163"/>
      <c r="AX80" s="1163"/>
      <c r="AY80" s="1163"/>
      <c r="AZ80" s="1163"/>
      <c r="BA80" s="1163"/>
      <c r="BB80" s="1163"/>
      <c r="BC80" s="1163"/>
      <c r="BD80" s="1163"/>
      <c r="BE80" s="1163"/>
      <c r="BF80" s="1163"/>
      <c r="BG80" s="1163"/>
      <c r="BH80" s="1163"/>
      <c r="BI80" s="1163"/>
      <c r="BJ80" s="1163"/>
      <c r="BK80" s="1163"/>
      <c r="BL80" s="1163"/>
      <c r="BM80" s="1163"/>
      <c r="BN80" s="1163"/>
      <c r="BO80" s="1163"/>
      <c r="BP80" s="1163"/>
      <c r="BQ80" s="1163"/>
      <c r="BR80" s="1163"/>
      <c r="BS80" s="1163"/>
      <c r="BT80" s="1163"/>
      <c r="BU80" s="1163"/>
      <c r="BV80" s="1163"/>
      <c r="BW80" s="1163"/>
      <c r="BX80" s="1163"/>
      <c r="BY80" s="1163"/>
      <c r="BZ80" s="1163"/>
      <c r="CA80" s="1163"/>
      <c r="CB80" s="1163"/>
      <c r="CC80" s="1163"/>
      <c r="CD80" s="1163"/>
      <c r="CE80" s="1163"/>
      <c r="CF80" s="1163"/>
      <c r="CG80" s="1163"/>
      <c r="CH80" s="1163"/>
      <c r="CI80" s="1163"/>
      <c r="CJ80" s="1163"/>
      <c r="CK80" s="1163"/>
      <c r="CL80" s="1163"/>
      <c r="CM80" s="1163"/>
      <c r="CN80" s="1163"/>
      <c r="CO80" s="1163"/>
      <c r="CP80" s="1163"/>
      <c r="CQ80" s="1163"/>
      <c r="CR80" s="1163"/>
      <c r="CS80" s="1163"/>
      <c r="CT80" s="1163"/>
      <c r="CU80" s="1163"/>
      <c r="CV80" s="1163"/>
      <c r="CW80" s="1163"/>
      <c r="CX80" s="1163"/>
      <c r="CY80" s="1163"/>
      <c r="CZ80" s="1163"/>
      <c r="DA80" s="1163"/>
      <c r="DB80" s="1163"/>
      <c r="DC80" s="1163"/>
      <c r="DD80" s="1163"/>
      <c r="DE80" s="1163"/>
      <c r="DF80" s="1163"/>
      <c r="DG80" s="1163"/>
      <c r="DH80" s="1163"/>
      <c r="DI80" s="1163"/>
      <c r="DJ80" s="1163"/>
      <c r="DK80" s="1163"/>
      <c r="DL80" s="1163"/>
      <c r="DM80" s="1163"/>
      <c r="DN80" s="1163"/>
      <c r="DO80" s="1163"/>
    </row>
    <row r="81" spans="1:119" s="3656" customFormat="1" ht="13.5" hidden="1" customHeight="1">
      <c r="A81" s="667"/>
      <c r="B81" s="3663" t="s">
        <v>30</v>
      </c>
      <c r="C81" s="3673"/>
      <c r="D81" s="3674">
        <f>D82</f>
        <v>0</v>
      </c>
      <c r="E81" s="3674"/>
      <c r="F81" s="3674"/>
      <c r="G81" s="3674"/>
      <c r="H81" s="3674"/>
      <c r="I81" s="3674"/>
      <c r="J81" s="3674"/>
      <c r="K81" s="3674">
        <f t="shared" ref="K81:W81" si="49">K82</f>
        <v>0</v>
      </c>
      <c r="L81" s="3674">
        <f t="shared" si="49"/>
        <v>0</v>
      </c>
      <c r="M81" s="3674">
        <f t="shared" si="49"/>
        <v>0</v>
      </c>
      <c r="N81" s="3674">
        <f t="shared" si="49"/>
        <v>0</v>
      </c>
      <c r="O81" s="3674">
        <f t="shared" si="49"/>
        <v>0</v>
      </c>
      <c r="P81" s="3674">
        <f t="shared" si="49"/>
        <v>0</v>
      </c>
      <c r="Q81" s="3674">
        <f t="shared" si="49"/>
        <v>0</v>
      </c>
      <c r="R81" s="3673">
        <f t="shared" si="49"/>
        <v>0</v>
      </c>
      <c r="S81" s="3673">
        <f t="shared" si="49"/>
        <v>0</v>
      </c>
      <c r="T81" s="3673">
        <f t="shared" si="49"/>
        <v>0</v>
      </c>
      <c r="U81" s="3673">
        <f t="shared" si="49"/>
        <v>0</v>
      </c>
      <c r="V81" s="3673">
        <f t="shared" si="49"/>
        <v>0</v>
      </c>
      <c r="W81" s="3673">
        <f t="shared" si="49"/>
        <v>0</v>
      </c>
      <c r="X81" s="3675" t="s">
        <v>77</v>
      </c>
      <c r="Y81" s="3676"/>
      <c r="Z81" s="1179"/>
      <c r="AA81" s="1179"/>
      <c r="AB81" s="1179"/>
      <c r="AC81" s="1179"/>
      <c r="AD81" s="1179"/>
      <c r="AE81" s="1179"/>
      <c r="AF81" s="1179"/>
      <c r="AG81" s="1179"/>
      <c r="AH81" s="1179"/>
      <c r="AI81" s="1179"/>
      <c r="AJ81" s="1179"/>
      <c r="AK81" s="1179"/>
      <c r="AL81" s="1179"/>
      <c r="AM81" s="1179"/>
      <c r="AN81" s="1179"/>
      <c r="AO81" s="1179"/>
      <c r="AP81" s="1179"/>
      <c r="AQ81" s="1179"/>
      <c r="AR81" s="1179"/>
      <c r="AS81" s="1179"/>
      <c r="AT81" s="1179"/>
      <c r="AU81" s="1179"/>
      <c r="AV81" s="1179"/>
      <c r="AW81" s="1179"/>
      <c r="AX81" s="1179"/>
      <c r="AY81" s="1179"/>
      <c r="AZ81" s="1179"/>
      <c r="BA81" s="1179"/>
      <c r="BB81" s="1179"/>
      <c r="BC81" s="1179"/>
      <c r="BD81" s="1179"/>
      <c r="BE81" s="1179"/>
      <c r="BF81" s="1179"/>
      <c r="BG81" s="1179"/>
      <c r="BH81" s="1179"/>
      <c r="BI81" s="1179"/>
      <c r="BJ81" s="1179"/>
      <c r="BK81" s="1179"/>
      <c r="BL81" s="1179"/>
      <c r="BM81" s="1179"/>
      <c r="BN81" s="1179"/>
      <c r="BO81" s="1179"/>
      <c r="BP81" s="1179"/>
      <c r="BQ81" s="1179"/>
      <c r="BR81" s="1179"/>
      <c r="BS81" s="1179"/>
      <c r="BT81" s="1179"/>
      <c r="BU81" s="1179"/>
      <c r="BV81" s="1179"/>
      <c r="BW81" s="1179"/>
      <c r="BX81" s="1179"/>
      <c r="BY81" s="1179"/>
      <c r="BZ81" s="1179"/>
      <c r="CA81" s="1179"/>
      <c r="CB81" s="1179"/>
      <c r="CC81" s="1179"/>
      <c r="CD81" s="1179"/>
      <c r="CE81" s="1179"/>
      <c r="CF81" s="1179"/>
      <c r="CG81" s="1179"/>
      <c r="CH81" s="1179"/>
      <c r="CI81" s="1179"/>
      <c r="CJ81" s="1179"/>
      <c r="CK81" s="1179"/>
      <c r="CL81" s="1179"/>
      <c r="CM81" s="1179"/>
      <c r="CN81" s="1179"/>
      <c r="CO81" s="1179"/>
      <c r="CP81" s="1179"/>
      <c r="CQ81" s="1179"/>
      <c r="CR81" s="1179"/>
      <c r="CS81" s="1179"/>
      <c r="CT81" s="1179"/>
      <c r="CU81" s="1179"/>
      <c r="CV81" s="1179"/>
      <c r="CW81" s="1179"/>
      <c r="CX81" s="1179"/>
      <c r="CY81" s="1179"/>
      <c r="CZ81" s="1179"/>
      <c r="DA81" s="1179"/>
      <c r="DB81" s="1179"/>
      <c r="DC81" s="1179"/>
      <c r="DD81" s="1179"/>
      <c r="DE81" s="1179"/>
      <c r="DF81" s="1179"/>
      <c r="DG81" s="1179"/>
      <c r="DH81" s="1179"/>
      <c r="DI81" s="1179"/>
      <c r="DJ81" s="1179"/>
      <c r="DK81" s="1179"/>
      <c r="DL81" s="1179"/>
      <c r="DM81" s="1179"/>
      <c r="DN81" s="1179"/>
      <c r="DO81" s="1179"/>
    </row>
    <row r="82" spans="1:119" s="3656" customFormat="1" ht="13.5" hidden="1" customHeight="1">
      <c r="A82" s="667"/>
      <c r="B82" s="3666" t="s">
        <v>48</v>
      </c>
      <c r="C82" s="3667"/>
      <c r="D82" s="3677">
        <f>D103</f>
        <v>0</v>
      </c>
      <c r="E82" s="3677"/>
      <c r="F82" s="3677"/>
      <c r="G82" s="3677"/>
      <c r="H82" s="3677"/>
      <c r="I82" s="3677"/>
      <c r="J82" s="3677"/>
      <c r="K82" s="3677">
        <f t="shared" ref="K82:P82" si="50">K103</f>
        <v>0</v>
      </c>
      <c r="L82" s="3677">
        <f t="shared" si="50"/>
        <v>0</v>
      </c>
      <c r="M82" s="3677">
        <f>M103</f>
        <v>0</v>
      </c>
      <c r="N82" s="3677">
        <f>N103</f>
        <v>0</v>
      </c>
      <c r="O82" s="3677">
        <f t="shared" si="50"/>
        <v>0</v>
      </c>
      <c r="P82" s="3677">
        <f t="shared" si="50"/>
        <v>0</v>
      </c>
      <c r="Q82" s="3677">
        <v>0</v>
      </c>
      <c r="R82" s="3667">
        <v>0</v>
      </c>
      <c r="S82" s="3667">
        <v>0</v>
      </c>
      <c r="T82" s="3667">
        <v>0</v>
      </c>
      <c r="U82" s="3667">
        <v>0</v>
      </c>
      <c r="V82" s="3667">
        <v>0</v>
      </c>
      <c r="W82" s="3667">
        <v>0</v>
      </c>
      <c r="X82" s="3678" t="s">
        <v>77</v>
      </c>
      <c r="Y82" s="3676"/>
      <c r="Z82" s="1179"/>
      <c r="AA82" s="1179"/>
      <c r="AB82" s="1179"/>
      <c r="AC82" s="1179"/>
      <c r="AD82" s="1179"/>
      <c r="AE82" s="1179"/>
      <c r="AF82" s="1179"/>
      <c r="AG82" s="1179"/>
      <c r="AH82" s="1179"/>
      <c r="AI82" s="1179"/>
      <c r="AJ82" s="1179"/>
      <c r="AK82" s="1179"/>
      <c r="AL82" s="1179"/>
      <c r="AM82" s="1179"/>
      <c r="AN82" s="1179"/>
      <c r="AO82" s="1179"/>
      <c r="AP82" s="1179"/>
      <c r="AQ82" s="1179"/>
      <c r="AR82" s="1179"/>
      <c r="AS82" s="1179"/>
      <c r="AT82" s="1179"/>
      <c r="AU82" s="1179"/>
      <c r="AV82" s="1179"/>
      <c r="AW82" s="1179"/>
      <c r="AX82" s="1179"/>
      <c r="AY82" s="1179"/>
      <c r="AZ82" s="1179"/>
      <c r="BA82" s="1179"/>
      <c r="BB82" s="1179"/>
      <c r="BC82" s="1179"/>
      <c r="BD82" s="1179"/>
      <c r="BE82" s="1179"/>
      <c r="BF82" s="1179"/>
      <c r="BG82" s="1179"/>
      <c r="BH82" s="1179"/>
      <c r="BI82" s="1179"/>
      <c r="BJ82" s="1179"/>
      <c r="BK82" s="1179"/>
      <c r="BL82" s="1179"/>
      <c r="BM82" s="1179"/>
      <c r="BN82" s="1179"/>
      <c r="BO82" s="1179"/>
      <c r="BP82" s="1179"/>
      <c r="BQ82" s="1179"/>
      <c r="BR82" s="1179"/>
      <c r="BS82" s="1179"/>
      <c r="BT82" s="1179"/>
      <c r="BU82" s="1179"/>
      <c r="BV82" s="1179"/>
      <c r="BW82" s="1179"/>
      <c r="BX82" s="1179"/>
      <c r="BY82" s="1179"/>
      <c r="BZ82" s="1179"/>
      <c r="CA82" s="1179"/>
      <c r="CB82" s="1179"/>
      <c r="CC82" s="1179"/>
      <c r="CD82" s="1179"/>
      <c r="CE82" s="1179"/>
      <c r="CF82" s="1179"/>
      <c r="CG82" s="1179"/>
      <c r="CH82" s="1179"/>
      <c r="CI82" s="1179"/>
      <c r="CJ82" s="1179"/>
      <c r="CK82" s="1179"/>
      <c r="CL82" s="1179"/>
      <c r="CM82" s="1179"/>
      <c r="CN82" s="1179"/>
      <c r="CO82" s="1179"/>
      <c r="CP82" s="1179"/>
      <c r="CQ82" s="1179"/>
      <c r="CR82" s="1179"/>
      <c r="CS82" s="1179"/>
      <c r="CT82" s="1179"/>
      <c r="CU82" s="1179"/>
      <c r="CV82" s="1179"/>
      <c r="CW82" s="1179"/>
      <c r="CX82" s="1179"/>
      <c r="CY82" s="1179"/>
      <c r="CZ82" s="1179"/>
      <c r="DA82" s="1179"/>
      <c r="DB82" s="1179"/>
      <c r="DC82" s="1179"/>
      <c r="DD82" s="1179"/>
      <c r="DE82" s="1179"/>
      <c r="DF82" s="1179"/>
      <c r="DG82" s="1179"/>
      <c r="DH82" s="1179"/>
      <c r="DI82" s="1179"/>
      <c r="DJ82" s="1179"/>
      <c r="DK82" s="1179"/>
      <c r="DL82" s="1179"/>
      <c r="DM82" s="1179"/>
      <c r="DN82" s="1179"/>
      <c r="DO82" s="1179"/>
    </row>
    <row r="83" spans="1:119" s="3656" customFormat="1" ht="13.5" hidden="1" customHeight="1">
      <c r="A83" s="667"/>
      <c r="B83" s="501" t="s">
        <v>34</v>
      </c>
      <c r="C83" s="522"/>
      <c r="D83" s="3679">
        <f>D84+D87</f>
        <v>0</v>
      </c>
      <c r="E83" s="3680"/>
      <c r="F83" s="3680"/>
      <c r="G83" s="3680"/>
      <c r="H83" s="3680"/>
      <c r="I83" s="3680"/>
      <c r="J83" s="3680"/>
      <c r="K83" s="3679">
        <f t="shared" ref="K83:W83" si="51">K84+K87</f>
        <v>0</v>
      </c>
      <c r="L83" s="3679">
        <f t="shared" si="51"/>
        <v>0</v>
      </c>
      <c r="M83" s="3679">
        <f t="shared" si="51"/>
        <v>0</v>
      </c>
      <c r="N83" s="3679">
        <f t="shared" si="51"/>
        <v>0</v>
      </c>
      <c r="O83" s="3679">
        <f t="shared" si="51"/>
        <v>0</v>
      </c>
      <c r="P83" s="3679">
        <f t="shared" si="51"/>
        <v>0</v>
      </c>
      <c r="Q83" s="3679">
        <f t="shared" si="51"/>
        <v>0</v>
      </c>
      <c r="R83" s="3679">
        <f t="shared" si="51"/>
        <v>0</v>
      </c>
      <c r="S83" s="3679">
        <f t="shared" si="51"/>
        <v>0</v>
      </c>
      <c r="T83" s="3679">
        <f t="shared" si="51"/>
        <v>0</v>
      </c>
      <c r="U83" s="3679">
        <f t="shared" si="51"/>
        <v>0</v>
      </c>
      <c r="V83" s="3679">
        <f t="shared" si="51"/>
        <v>0</v>
      </c>
      <c r="W83" s="3679">
        <f t="shared" si="51"/>
        <v>0</v>
      </c>
      <c r="X83" s="698"/>
      <c r="Y83" s="3676"/>
      <c r="Z83" s="1179"/>
      <c r="AA83" s="1179"/>
      <c r="AB83" s="1179"/>
      <c r="AC83" s="1179"/>
      <c r="AD83" s="1179"/>
      <c r="AE83" s="1179"/>
      <c r="AF83" s="1179"/>
      <c r="AG83" s="1179"/>
      <c r="AH83" s="1179"/>
      <c r="AI83" s="1179"/>
      <c r="AJ83" s="1179"/>
      <c r="AK83" s="1179"/>
      <c r="AL83" s="1179"/>
      <c r="AM83" s="1179"/>
      <c r="AN83" s="1179"/>
      <c r="AO83" s="1179"/>
      <c r="AP83" s="1179"/>
      <c r="AQ83" s="1179"/>
      <c r="AR83" s="1179"/>
      <c r="AS83" s="1179"/>
      <c r="AT83" s="1179"/>
      <c r="AU83" s="1179"/>
      <c r="AV83" s="1179"/>
      <c r="AW83" s="1179"/>
      <c r="AX83" s="1179"/>
      <c r="AY83" s="1179"/>
      <c r="AZ83" s="1179"/>
      <c r="BA83" s="1179"/>
      <c r="BB83" s="1179"/>
      <c r="BC83" s="1179"/>
      <c r="BD83" s="1179"/>
      <c r="BE83" s="1179"/>
      <c r="BF83" s="1179"/>
      <c r="BG83" s="1179"/>
      <c r="BH83" s="1179"/>
      <c r="BI83" s="1179"/>
      <c r="BJ83" s="1179"/>
      <c r="BK83" s="1179"/>
      <c r="BL83" s="1179"/>
      <c r="BM83" s="1179"/>
      <c r="BN83" s="1179"/>
      <c r="BO83" s="1179"/>
      <c r="BP83" s="1179"/>
      <c r="BQ83" s="1179"/>
      <c r="BR83" s="1179"/>
      <c r="BS83" s="1179"/>
      <c r="BT83" s="1179"/>
      <c r="BU83" s="1179"/>
      <c r="BV83" s="1179"/>
      <c r="BW83" s="1179"/>
      <c r="BX83" s="1179"/>
      <c r="BY83" s="1179"/>
      <c r="BZ83" s="1179"/>
      <c r="CA83" s="1179"/>
      <c r="CB83" s="1179"/>
      <c r="CC83" s="1179"/>
      <c r="CD83" s="1179"/>
      <c r="CE83" s="1179"/>
      <c r="CF83" s="1179"/>
      <c r="CG83" s="1179"/>
      <c r="CH83" s="1179"/>
      <c r="CI83" s="1179"/>
      <c r="CJ83" s="1179"/>
      <c r="CK83" s="1179"/>
      <c r="CL83" s="1179"/>
      <c r="CM83" s="1179"/>
      <c r="CN83" s="1179"/>
      <c r="CO83" s="1179"/>
      <c r="CP83" s="1179"/>
      <c r="CQ83" s="1179"/>
      <c r="CR83" s="1179"/>
      <c r="CS83" s="1179"/>
      <c r="CT83" s="1179"/>
      <c r="CU83" s="1179"/>
      <c r="CV83" s="1179"/>
      <c r="CW83" s="1179"/>
      <c r="CX83" s="1179"/>
      <c r="CY83" s="1179"/>
      <c r="CZ83" s="1179"/>
      <c r="DA83" s="1179"/>
      <c r="DB83" s="1179"/>
      <c r="DC83" s="1179"/>
      <c r="DD83" s="1179"/>
      <c r="DE83" s="1179"/>
      <c r="DF83" s="1179"/>
      <c r="DG83" s="1179"/>
      <c r="DH83" s="1179"/>
      <c r="DI83" s="1179"/>
      <c r="DJ83" s="1179"/>
      <c r="DK83" s="1179"/>
      <c r="DL83" s="1179"/>
      <c r="DM83" s="1179"/>
      <c r="DN83" s="1179"/>
      <c r="DO83" s="1179"/>
    </row>
    <row r="84" spans="1:119" s="3656" customFormat="1" ht="13.5" hidden="1" customHeight="1">
      <c r="A84" s="667"/>
      <c r="B84" s="689" t="s">
        <v>36</v>
      </c>
      <c r="C84" s="3681"/>
      <c r="D84" s="3682">
        <f>+D85+D86</f>
        <v>0</v>
      </c>
      <c r="E84" s="3682">
        <f t="shared" ref="E84:T84" si="52">+E85+E86</f>
        <v>0</v>
      </c>
      <c r="F84" s="3682">
        <f t="shared" si="52"/>
        <v>0</v>
      </c>
      <c r="G84" s="3682">
        <f t="shared" si="52"/>
        <v>0</v>
      </c>
      <c r="H84" s="3682">
        <f t="shared" si="52"/>
        <v>0</v>
      </c>
      <c r="I84" s="3682">
        <f t="shared" si="52"/>
        <v>0</v>
      </c>
      <c r="J84" s="3682">
        <f t="shared" si="52"/>
        <v>0</v>
      </c>
      <c r="K84" s="3682">
        <f t="shared" si="52"/>
        <v>0</v>
      </c>
      <c r="L84" s="3682">
        <f t="shared" si="52"/>
        <v>0</v>
      </c>
      <c r="M84" s="3682">
        <f t="shared" si="52"/>
        <v>0</v>
      </c>
      <c r="N84" s="3682">
        <f t="shared" si="52"/>
        <v>0</v>
      </c>
      <c r="O84" s="3682">
        <f t="shared" si="52"/>
        <v>0</v>
      </c>
      <c r="P84" s="3670">
        <f t="shared" si="52"/>
        <v>0</v>
      </c>
      <c r="Q84" s="3670">
        <f t="shared" si="52"/>
        <v>0</v>
      </c>
      <c r="R84" s="3670">
        <f t="shared" si="52"/>
        <v>0</v>
      </c>
      <c r="S84" s="3670">
        <f t="shared" si="52"/>
        <v>0</v>
      </c>
      <c r="T84" s="3670">
        <f t="shared" si="52"/>
        <v>0</v>
      </c>
      <c r="U84" s="3670">
        <v>0</v>
      </c>
      <c r="V84" s="3670">
        <v>0</v>
      </c>
      <c r="W84" s="3670">
        <v>0</v>
      </c>
      <c r="X84" s="2915" t="s">
        <v>77</v>
      </c>
      <c r="Y84" s="3676"/>
      <c r="Z84" s="1179"/>
      <c r="AA84" s="1179"/>
      <c r="AB84" s="1179"/>
      <c r="AC84" s="1179"/>
      <c r="AD84" s="1179"/>
      <c r="AE84" s="1179"/>
      <c r="AF84" s="1179"/>
      <c r="AG84" s="1179"/>
      <c r="AH84" s="1179"/>
      <c r="AI84" s="1179"/>
      <c r="AJ84" s="1179"/>
      <c r="AK84" s="1179"/>
      <c r="AL84" s="1179"/>
      <c r="AM84" s="1179"/>
      <c r="AN84" s="1179"/>
      <c r="AO84" s="1179"/>
      <c r="AP84" s="1179"/>
      <c r="AQ84" s="1179"/>
      <c r="AR84" s="1179"/>
      <c r="AS84" s="1179"/>
      <c r="AT84" s="1179"/>
      <c r="AU84" s="1179"/>
      <c r="AV84" s="1179"/>
      <c r="AW84" s="1179"/>
      <c r="AX84" s="1179"/>
      <c r="AY84" s="1179"/>
      <c r="AZ84" s="1179"/>
      <c r="BA84" s="1179"/>
      <c r="BB84" s="1179"/>
      <c r="BC84" s="1179"/>
      <c r="BD84" s="1179"/>
      <c r="BE84" s="1179"/>
      <c r="BF84" s="1179"/>
      <c r="BG84" s="1179"/>
      <c r="BH84" s="1179"/>
      <c r="BI84" s="1179"/>
      <c r="BJ84" s="1179"/>
      <c r="BK84" s="1179"/>
      <c r="BL84" s="1179"/>
      <c r="BM84" s="1179"/>
      <c r="BN84" s="1179"/>
      <c r="BO84" s="1179"/>
      <c r="BP84" s="1179"/>
      <c r="BQ84" s="1179"/>
      <c r="BR84" s="1179"/>
      <c r="BS84" s="1179"/>
      <c r="BT84" s="1179"/>
      <c r="BU84" s="1179"/>
      <c r="BV84" s="1179"/>
      <c r="BW84" s="1179"/>
      <c r="BX84" s="1179"/>
      <c r="BY84" s="1179"/>
      <c r="BZ84" s="1179"/>
      <c r="CA84" s="1179"/>
      <c r="CB84" s="1179"/>
      <c r="CC84" s="1179"/>
      <c r="CD84" s="1179"/>
      <c r="CE84" s="1179"/>
      <c r="CF84" s="1179"/>
      <c r="CG84" s="1179"/>
      <c r="CH84" s="1179"/>
      <c r="CI84" s="1179"/>
      <c r="CJ84" s="1179"/>
      <c r="CK84" s="1179"/>
      <c r="CL84" s="1179"/>
      <c r="CM84" s="1179"/>
      <c r="CN84" s="1179"/>
      <c r="CO84" s="1179"/>
      <c r="CP84" s="1179"/>
      <c r="CQ84" s="1179"/>
      <c r="CR84" s="1179"/>
      <c r="CS84" s="1179"/>
      <c r="CT84" s="1179"/>
      <c r="CU84" s="1179"/>
      <c r="CV84" s="1179"/>
      <c r="CW84" s="1179"/>
      <c r="CX84" s="1179"/>
      <c r="CY84" s="1179"/>
      <c r="CZ84" s="1179"/>
      <c r="DA84" s="1179"/>
      <c r="DB84" s="1179"/>
      <c r="DC84" s="1179"/>
      <c r="DD84" s="1179"/>
      <c r="DE84" s="1179"/>
      <c r="DF84" s="1179"/>
      <c r="DG84" s="1179"/>
      <c r="DH84" s="1179"/>
      <c r="DI84" s="1179"/>
      <c r="DJ84" s="1179"/>
      <c r="DK84" s="1179"/>
      <c r="DL84" s="1179"/>
      <c r="DM84" s="1179"/>
      <c r="DN84" s="1179"/>
      <c r="DO84" s="1179"/>
    </row>
    <row r="85" spans="1:119" s="3656" customFormat="1" ht="13.5" hidden="1" customHeight="1">
      <c r="A85" s="667"/>
      <c r="B85" s="3669" t="s">
        <v>170</v>
      </c>
      <c r="C85" s="3670"/>
      <c r="D85" s="3670">
        <f>+D106</f>
        <v>0</v>
      </c>
      <c r="E85" s="3670">
        <f t="shared" ref="E85:Q86" si="53">+E106</f>
        <v>0</v>
      </c>
      <c r="F85" s="3670">
        <f t="shared" si="53"/>
        <v>0</v>
      </c>
      <c r="G85" s="3670">
        <f t="shared" si="53"/>
        <v>0</v>
      </c>
      <c r="H85" s="3670">
        <f t="shared" si="53"/>
        <v>0</v>
      </c>
      <c r="I85" s="3670">
        <f t="shared" si="53"/>
        <v>0</v>
      </c>
      <c r="J85" s="3670">
        <f t="shared" si="53"/>
        <v>0</v>
      </c>
      <c r="K85" s="3670">
        <f t="shared" si="53"/>
        <v>0</v>
      </c>
      <c r="L85" s="3670">
        <f t="shared" si="53"/>
        <v>0</v>
      </c>
      <c r="M85" s="3670">
        <f t="shared" si="53"/>
        <v>0</v>
      </c>
      <c r="N85" s="3670">
        <f t="shared" si="53"/>
        <v>0</v>
      </c>
      <c r="O85" s="3670">
        <f t="shared" si="53"/>
        <v>0</v>
      </c>
      <c r="P85" s="3670">
        <f t="shared" si="53"/>
        <v>0</v>
      </c>
      <c r="Q85" s="3670">
        <f t="shared" si="53"/>
        <v>0</v>
      </c>
      <c r="R85" s="3670">
        <v>0</v>
      </c>
      <c r="S85" s="3670">
        <v>0</v>
      </c>
      <c r="T85" s="3670">
        <v>0</v>
      </c>
      <c r="U85" s="3670">
        <v>0</v>
      </c>
      <c r="V85" s="3670">
        <v>0</v>
      </c>
      <c r="W85" s="3670">
        <v>0</v>
      </c>
      <c r="X85" s="2830"/>
      <c r="Y85" s="3676"/>
      <c r="Z85" s="1179"/>
      <c r="AA85" s="1179"/>
      <c r="AB85" s="1179"/>
      <c r="AC85" s="1179"/>
      <c r="AD85" s="1179"/>
      <c r="AE85" s="1179"/>
      <c r="AF85" s="1179"/>
      <c r="AG85" s="1179"/>
      <c r="AH85" s="1179"/>
      <c r="AI85" s="1179"/>
      <c r="AJ85" s="1179"/>
      <c r="AK85" s="1179"/>
      <c r="AL85" s="1179"/>
      <c r="AM85" s="1179"/>
      <c r="AN85" s="1179"/>
      <c r="AO85" s="1179"/>
      <c r="AP85" s="1179"/>
      <c r="AQ85" s="1179"/>
      <c r="AR85" s="1179"/>
      <c r="AS85" s="1179"/>
      <c r="AT85" s="1179"/>
      <c r="AU85" s="1179"/>
      <c r="AV85" s="1179"/>
      <c r="AW85" s="1179"/>
      <c r="AX85" s="1179"/>
      <c r="AY85" s="1179"/>
      <c r="AZ85" s="1179"/>
      <c r="BA85" s="1179"/>
      <c r="BB85" s="1179"/>
      <c r="BC85" s="1179"/>
      <c r="BD85" s="1179"/>
      <c r="BE85" s="1179"/>
      <c r="BF85" s="1179"/>
      <c r="BG85" s="1179"/>
      <c r="BH85" s="1179"/>
      <c r="BI85" s="1179"/>
      <c r="BJ85" s="1179"/>
      <c r="BK85" s="1179"/>
      <c r="BL85" s="1179"/>
      <c r="BM85" s="1179"/>
      <c r="BN85" s="1179"/>
      <c r="BO85" s="1179"/>
      <c r="BP85" s="1179"/>
      <c r="BQ85" s="1179"/>
      <c r="BR85" s="1179"/>
      <c r="BS85" s="1179"/>
      <c r="BT85" s="1179"/>
      <c r="BU85" s="1179"/>
      <c r="BV85" s="1179"/>
      <c r="BW85" s="1179"/>
      <c r="BX85" s="1179"/>
      <c r="BY85" s="1179"/>
      <c r="BZ85" s="1179"/>
      <c r="CA85" s="1179"/>
      <c r="CB85" s="1179"/>
      <c r="CC85" s="1179"/>
      <c r="CD85" s="1179"/>
      <c r="CE85" s="1179"/>
      <c r="CF85" s="1179"/>
      <c r="CG85" s="1179"/>
      <c r="CH85" s="1179"/>
      <c r="CI85" s="1179"/>
      <c r="CJ85" s="1179"/>
      <c r="CK85" s="1179"/>
      <c r="CL85" s="1179"/>
      <c r="CM85" s="1179"/>
      <c r="CN85" s="1179"/>
      <c r="CO85" s="1179"/>
      <c r="CP85" s="1179"/>
      <c r="CQ85" s="1179"/>
      <c r="CR85" s="1179"/>
      <c r="CS85" s="1179"/>
      <c r="CT85" s="1179"/>
      <c r="CU85" s="1179"/>
      <c r="CV85" s="1179"/>
      <c r="CW85" s="1179"/>
      <c r="CX85" s="1179"/>
      <c r="CY85" s="1179"/>
      <c r="CZ85" s="1179"/>
      <c r="DA85" s="1179"/>
      <c r="DB85" s="1179"/>
      <c r="DC85" s="1179"/>
      <c r="DD85" s="1179"/>
      <c r="DE85" s="1179"/>
      <c r="DF85" s="1179"/>
      <c r="DG85" s="1179"/>
      <c r="DH85" s="1179"/>
      <c r="DI85" s="1179"/>
      <c r="DJ85" s="1179"/>
      <c r="DK85" s="1179"/>
      <c r="DL85" s="1179"/>
      <c r="DM85" s="1179"/>
      <c r="DN85" s="1179"/>
      <c r="DO85" s="1179"/>
    </row>
    <row r="86" spans="1:119" s="3656" customFormat="1" ht="13.5" hidden="1" customHeight="1">
      <c r="A86" s="667"/>
      <c r="B86" s="3669" t="s">
        <v>172</v>
      </c>
      <c r="C86" s="3670"/>
      <c r="D86" s="3670">
        <f>+D107</f>
        <v>0</v>
      </c>
      <c r="E86" s="3670">
        <f t="shared" si="53"/>
        <v>0</v>
      </c>
      <c r="F86" s="3670">
        <f t="shared" si="53"/>
        <v>0</v>
      </c>
      <c r="G86" s="3670">
        <f t="shared" si="53"/>
        <v>0</v>
      </c>
      <c r="H86" s="3670">
        <f t="shared" si="53"/>
        <v>0</v>
      </c>
      <c r="I86" s="3670">
        <f t="shared" si="53"/>
        <v>0</v>
      </c>
      <c r="J86" s="3670">
        <f t="shared" si="53"/>
        <v>0</v>
      </c>
      <c r="K86" s="3670">
        <f t="shared" si="53"/>
        <v>0</v>
      </c>
      <c r="L86" s="3670">
        <f t="shared" si="53"/>
        <v>0</v>
      </c>
      <c r="M86" s="3670">
        <f t="shared" si="53"/>
        <v>0</v>
      </c>
      <c r="N86" s="3670">
        <f t="shared" si="53"/>
        <v>0</v>
      </c>
      <c r="O86" s="3670">
        <f t="shared" si="53"/>
        <v>0</v>
      </c>
      <c r="P86" s="3670">
        <f t="shared" si="53"/>
        <v>0</v>
      </c>
      <c r="Q86" s="3670">
        <f t="shared" si="53"/>
        <v>0</v>
      </c>
      <c r="R86" s="3670">
        <v>0</v>
      </c>
      <c r="S86" s="3670">
        <v>0</v>
      </c>
      <c r="T86" s="3670">
        <v>0</v>
      </c>
      <c r="U86" s="3670"/>
      <c r="V86" s="3670"/>
      <c r="W86" s="3670"/>
      <c r="X86" s="2830"/>
      <c r="Y86" s="3676"/>
      <c r="Z86" s="1179"/>
      <c r="AA86" s="1179"/>
      <c r="AB86" s="1179"/>
      <c r="AC86" s="1179"/>
      <c r="AD86" s="1179"/>
      <c r="AE86" s="1179"/>
      <c r="AF86" s="1179"/>
      <c r="AG86" s="1179"/>
      <c r="AH86" s="1179"/>
      <c r="AI86" s="1179"/>
      <c r="AJ86" s="1179"/>
      <c r="AK86" s="1179"/>
      <c r="AL86" s="1179"/>
      <c r="AM86" s="1179"/>
      <c r="AN86" s="1179"/>
      <c r="AO86" s="1179"/>
      <c r="AP86" s="1179"/>
      <c r="AQ86" s="1179"/>
      <c r="AR86" s="1179"/>
      <c r="AS86" s="1179"/>
      <c r="AT86" s="1179"/>
      <c r="AU86" s="1179"/>
      <c r="AV86" s="1179"/>
      <c r="AW86" s="1179"/>
      <c r="AX86" s="1179"/>
      <c r="AY86" s="1179"/>
      <c r="AZ86" s="1179"/>
      <c r="BA86" s="1179"/>
      <c r="BB86" s="1179"/>
      <c r="BC86" s="1179"/>
      <c r="BD86" s="1179"/>
      <c r="BE86" s="1179"/>
      <c r="BF86" s="1179"/>
      <c r="BG86" s="1179"/>
      <c r="BH86" s="1179"/>
      <c r="BI86" s="1179"/>
      <c r="BJ86" s="1179"/>
      <c r="BK86" s="1179"/>
      <c r="BL86" s="1179"/>
      <c r="BM86" s="1179"/>
      <c r="BN86" s="1179"/>
      <c r="BO86" s="1179"/>
      <c r="BP86" s="1179"/>
      <c r="BQ86" s="1179"/>
      <c r="BR86" s="1179"/>
      <c r="BS86" s="1179"/>
      <c r="BT86" s="1179"/>
      <c r="BU86" s="1179"/>
      <c r="BV86" s="1179"/>
      <c r="BW86" s="1179"/>
      <c r="BX86" s="1179"/>
      <c r="BY86" s="1179"/>
      <c r="BZ86" s="1179"/>
      <c r="CA86" s="1179"/>
      <c r="CB86" s="1179"/>
      <c r="CC86" s="1179"/>
      <c r="CD86" s="1179"/>
      <c r="CE86" s="1179"/>
      <c r="CF86" s="1179"/>
      <c r="CG86" s="1179"/>
      <c r="CH86" s="1179"/>
      <c r="CI86" s="1179"/>
      <c r="CJ86" s="1179"/>
      <c r="CK86" s="1179"/>
      <c r="CL86" s="1179"/>
      <c r="CM86" s="1179"/>
      <c r="CN86" s="1179"/>
      <c r="CO86" s="1179"/>
      <c r="CP86" s="1179"/>
      <c r="CQ86" s="1179"/>
      <c r="CR86" s="1179"/>
      <c r="CS86" s="1179"/>
      <c r="CT86" s="1179"/>
      <c r="CU86" s="1179"/>
      <c r="CV86" s="1179"/>
      <c r="CW86" s="1179"/>
      <c r="CX86" s="1179"/>
      <c r="CY86" s="1179"/>
      <c r="CZ86" s="1179"/>
      <c r="DA86" s="1179"/>
      <c r="DB86" s="1179"/>
      <c r="DC86" s="1179"/>
      <c r="DD86" s="1179"/>
      <c r="DE86" s="1179"/>
      <c r="DF86" s="1179"/>
      <c r="DG86" s="1179"/>
      <c r="DH86" s="1179"/>
      <c r="DI86" s="1179"/>
      <c r="DJ86" s="1179"/>
      <c r="DK86" s="1179"/>
      <c r="DL86" s="1179"/>
      <c r="DM86" s="1179"/>
      <c r="DN86" s="1179"/>
      <c r="DO86" s="1179"/>
    </row>
    <row r="87" spans="1:119" s="3687" customFormat="1" ht="13.5" hidden="1" customHeight="1">
      <c r="A87" s="3683"/>
      <c r="B87" s="689" t="s">
        <v>30</v>
      </c>
      <c r="C87" s="3684"/>
      <c r="D87" s="3684">
        <f>+D88</f>
        <v>0</v>
      </c>
      <c r="E87" s="3684">
        <f t="shared" ref="E87:W87" si="54">+E88</f>
        <v>0</v>
      </c>
      <c r="F87" s="3684">
        <f t="shared" si="54"/>
        <v>0</v>
      </c>
      <c r="G87" s="3684">
        <f t="shared" si="54"/>
        <v>0</v>
      </c>
      <c r="H87" s="3684">
        <f t="shared" si="54"/>
        <v>0</v>
      </c>
      <c r="I87" s="3684">
        <f t="shared" si="54"/>
        <v>0</v>
      </c>
      <c r="J87" s="3684">
        <f t="shared" si="54"/>
        <v>0</v>
      </c>
      <c r="K87" s="3684">
        <f t="shared" si="54"/>
        <v>0</v>
      </c>
      <c r="L87" s="3684">
        <f t="shared" si="54"/>
        <v>0</v>
      </c>
      <c r="M87" s="3684">
        <f t="shared" si="54"/>
        <v>0</v>
      </c>
      <c r="N87" s="3684">
        <f t="shared" si="54"/>
        <v>0</v>
      </c>
      <c r="O87" s="3684">
        <f t="shared" si="54"/>
        <v>0</v>
      </c>
      <c r="P87" s="3684">
        <f t="shared" si="54"/>
        <v>0</v>
      </c>
      <c r="Q87" s="3684">
        <f t="shared" si="54"/>
        <v>0</v>
      </c>
      <c r="R87" s="3684">
        <f t="shared" si="54"/>
        <v>0</v>
      </c>
      <c r="S87" s="3684">
        <f t="shared" si="54"/>
        <v>0</v>
      </c>
      <c r="T87" s="3684">
        <f t="shared" si="54"/>
        <v>0</v>
      </c>
      <c r="U87" s="3684">
        <f t="shared" si="54"/>
        <v>0</v>
      </c>
      <c r="V87" s="3684">
        <f t="shared" si="54"/>
        <v>0</v>
      </c>
      <c r="W87" s="3684">
        <f t="shared" si="54"/>
        <v>0</v>
      </c>
      <c r="X87" s="2830"/>
      <c r="Y87" s="3685"/>
      <c r="Z87" s="3686"/>
      <c r="AA87" s="3686"/>
      <c r="AB87" s="3686"/>
      <c r="AC87" s="3686"/>
      <c r="AD87" s="3686"/>
      <c r="AE87" s="3686"/>
      <c r="AF87" s="3686"/>
      <c r="AG87" s="3686"/>
      <c r="AH87" s="3686"/>
      <c r="AI87" s="3686"/>
      <c r="AJ87" s="3686"/>
      <c r="AK87" s="3686"/>
      <c r="AL87" s="3686"/>
      <c r="AM87" s="3686"/>
      <c r="AN87" s="3686"/>
      <c r="AO87" s="3686"/>
      <c r="AP87" s="3686"/>
      <c r="AQ87" s="3686"/>
      <c r="AR87" s="3686"/>
      <c r="AS87" s="3686"/>
      <c r="AT87" s="3686"/>
      <c r="AU87" s="3686"/>
      <c r="AV87" s="3686"/>
      <c r="AW87" s="3686"/>
      <c r="AX87" s="3686"/>
      <c r="AY87" s="3686"/>
      <c r="AZ87" s="3686"/>
      <c r="BA87" s="3686"/>
      <c r="BB87" s="3686"/>
      <c r="BC87" s="3686"/>
      <c r="BD87" s="3686"/>
      <c r="BE87" s="3686"/>
      <c r="BF87" s="3686"/>
      <c r="BG87" s="3686"/>
      <c r="BH87" s="3686"/>
      <c r="BI87" s="3686"/>
      <c r="BJ87" s="3686"/>
      <c r="BK87" s="3686"/>
      <c r="BL87" s="3686"/>
      <c r="BM87" s="3686"/>
      <c r="BN87" s="3686"/>
      <c r="BO87" s="3686"/>
      <c r="BP87" s="3686"/>
      <c r="BQ87" s="3686"/>
      <c r="BR87" s="3686"/>
      <c r="BS87" s="3686"/>
      <c r="BT87" s="3686"/>
      <c r="BU87" s="3686"/>
      <c r="BV87" s="3686"/>
      <c r="BW87" s="3686"/>
      <c r="BX87" s="3686"/>
      <c r="BY87" s="3686"/>
      <c r="BZ87" s="3686"/>
      <c r="CA87" s="3686"/>
      <c r="CB87" s="3686"/>
      <c r="CC87" s="3686"/>
      <c r="CD87" s="3686"/>
      <c r="CE87" s="3686"/>
      <c r="CF87" s="3686"/>
      <c r="CG87" s="3686"/>
      <c r="CH87" s="3686"/>
      <c r="CI87" s="3686"/>
      <c r="CJ87" s="3686"/>
      <c r="CK87" s="3686"/>
      <c r="CL87" s="3686"/>
      <c r="CM87" s="3686"/>
      <c r="CN87" s="3686"/>
      <c r="CO87" s="3686"/>
      <c r="CP87" s="3686"/>
      <c r="CQ87" s="3686"/>
      <c r="CR87" s="3686"/>
      <c r="CS87" s="3686"/>
      <c r="CT87" s="3686"/>
      <c r="CU87" s="3686"/>
      <c r="CV87" s="3686"/>
      <c r="CW87" s="3686"/>
      <c r="CX87" s="3686"/>
      <c r="CY87" s="3686"/>
      <c r="CZ87" s="3686"/>
      <c r="DA87" s="3686"/>
      <c r="DB87" s="3686"/>
      <c r="DC87" s="3686"/>
      <c r="DD87" s="3686"/>
      <c r="DE87" s="3686"/>
      <c r="DF87" s="3686"/>
      <c r="DG87" s="3686"/>
      <c r="DH87" s="3686"/>
      <c r="DI87" s="3686"/>
      <c r="DJ87" s="3686"/>
      <c r="DK87" s="3686"/>
      <c r="DL87" s="3686"/>
      <c r="DM87" s="3686"/>
      <c r="DN87" s="3686"/>
      <c r="DO87" s="3686"/>
    </row>
    <row r="88" spans="1:119" s="3656" customFormat="1" ht="13.5" hidden="1" customHeight="1" thickBot="1">
      <c r="A88" s="667"/>
      <c r="B88" s="3669" t="s">
        <v>48</v>
      </c>
      <c r="C88" s="3670"/>
      <c r="D88" s="3670">
        <f>+D109</f>
        <v>0</v>
      </c>
      <c r="E88" s="3670">
        <f t="shared" ref="E88:Q88" si="55">+E109</f>
        <v>0</v>
      </c>
      <c r="F88" s="3670">
        <f t="shared" si="55"/>
        <v>0</v>
      </c>
      <c r="G88" s="3670">
        <f t="shared" si="55"/>
        <v>0</v>
      </c>
      <c r="H88" s="3670">
        <f t="shared" si="55"/>
        <v>0</v>
      </c>
      <c r="I88" s="3670">
        <f t="shared" si="55"/>
        <v>0</v>
      </c>
      <c r="J88" s="3670">
        <f t="shared" si="55"/>
        <v>0</v>
      </c>
      <c r="K88" s="3670">
        <f t="shared" si="55"/>
        <v>0</v>
      </c>
      <c r="L88" s="3670">
        <f t="shared" si="55"/>
        <v>0</v>
      </c>
      <c r="M88" s="3670">
        <f t="shared" si="55"/>
        <v>0</v>
      </c>
      <c r="N88" s="3670">
        <f t="shared" si="55"/>
        <v>0</v>
      </c>
      <c r="O88" s="3670">
        <f t="shared" si="55"/>
        <v>0</v>
      </c>
      <c r="P88" s="3670">
        <f t="shared" si="55"/>
        <v>0</v>
      </c>
      <c r="Q88" s="3670">
        <f t="shared" si="55"/>
        <v>0</v>
      </c>
      <c r="R88" s="3670">
        <v>0</v>
      </c>
      <c r="S88" s="3670">
        <v>0</v>
      </c>
      <c r="T88" s="3670">
        <v>0</v>
      </c>
      <c r="U88" s="3670">
        <v>0</v>
      </c>
      <c r="V88" s="3670">
        <v>0</v>
      </c>
      <c r="W88" s="3670">
        <v>0</v>
      </c>
      <c r="X88" s="2831"/>
      <c r="Y88" s="3676"/>
      <c r="Z88" s="1179"/>
      <c r="AA88" s="1179"/>
      <c r="AB88" s="1179"/>
      <c r="AC88" s="1179"/>
      <c r="AD88" s="1179"/>
      <c r="AE88" s="1179"/>
      <c r="AF88" s="1179"/>
      <c r="AG88" s="1179"/>
      <c r="AH88" s="1179"/>
      <c r="AI88" s="1179"/>
      <c r="AJ88" s="1179"/>
      <c r="AK88" s="1179"/>
      <c r="AL88" s="1179"/>
      <c r="AM88" s="1179"/>
      <c r="AN88" s="1179"/>
      <c r="AO88" s="1179"/>
      <c r="AP88" s="1179"/>
      <c r="AQ88" s="1179"/>
      <c r="AR88" s="1179"/>
      <c r="AS88" s="1179"/>
      <c r="AT88" s="1179"/>
      <c r="AU88" s="1179"/>
      <c r="AV88" s="1179"/>
      <c r="AW88" s="1179"/>
      <c r="AX88" s="1179"/>
      <c r="AY88" s="1179"/>
      <c r="AZ88" s="1179"/>
      <c r="BA88" s="1179"/>
      <c r="BB88" s="1179"/>
      <c r="BC88" s="1179"/>
      <c r="BD88" s="1179"/>
      <c r="BE88" s="1179"/>
      <c r="BF88" s="1179"/>
      <c r="BG88" s="1179"/>
      <c r="BH88" s="1179"/>
      <c r="BI88" s="1179"/>
      <c r="BJ88" s="1179"/>
      <c r="BK88" s="1179"/>
      <c r="BL88" s="1179"/>
      <c r="BM88" s="1179"/>
      <c r="BN88" s="1179"/>
      <c r="BO88" s="1179"/>
      <c r="BP88" s="1179"/>
      <c r="BQ88" s="1179"/>
      <c r="BR88" s="1179"/>
      <c r="BS88" s="1179"/>
      <c r="BT88" s="1179"/>
      <c r="BU88" s="1179"/>
      <c r="BV88" s="1179"/>
      <c r="BW88" s="1179"/>
      <c r="BX88" s="1179"/>
      <c r="BY88" s="1179"/>
      <c r="BZ88" s="1179"/>
      <c r="CA88" s="1179"/>
      <c r="CB88" s="1179"/>
      <c r="CC88" s="1179"/>
      <c r="CD88" s="1179"/>
      <c r="CE88" s="1179"/>
      <c r="CF88" s="1179"/>
      <c r="CG88" s="1179"/>
      <c r="CH88" s="1179"/>
      <c r="CI88" s="1179"/>
      <c r="CJ88" s="1179"/>
      <c r="CK88" s="1179"/>
      <c r="CL88" s="1179"/>
      <c r="CM88" s="1179"/>
      <c r="CN88" s="1179"/>
      <c r="CO88" s="1179"/>
      <c r="CP88" s="1179"/>
      <c r="CQ88" s="1179"/>
      <c r="CR88" s="1179"/>
      <c r="CS88" s="1179"/>
      <c r="CT88" s="1179"/>
      <c r="CU88" s="1179"/>
      <c r="CV88" s="1179"/>
      <c r="CW88" s="1179"/>
      <c r="CX88" s="1179"/>
      <c r="CY88" s="1179"/>
      <c r="CZ88" s="1179"/>
      <c r="DA88" s="1179"/>
      <c r="DB88" s="1179"/>
      <c r="DC88" s="1179"/>
      <c r="DD88" s="1179"/>
      <c r="DE88" s="1179"/>
      <c r="DF88" s="1179"/>
      <c r="DG88" s="1179"/>
      <c r="DH88" s="1179"/>
      <c r="DI88" s="1179"/>
      <c r="DJ88" s="1179"/>
      <c r="DK88" s="1179"/>
      <c r="DL88" s="1179"/>
      <c r="DM88" s="1179"/>
      <c r="DN88" s="1179"/>
      <c r="DO88" s="1179"/>
    </row>
    <row r="89" spans="1:119" s="3656" customFormat="1" ht="39.75" hidden="1" customHeight="1">
      <c r="A89" s="3688" t="s">
        <v>79</v>
      </c>
      <c r="B89" s="690" t="s">
        <v>173</v>
      </c>
      <c r="C89" s="3360" t="s">
        <v>97</v>
      </c>
      <c r="D89" s="691"/>
      <c r="E89" s="673"/>
      <c r="F89" s="673"/>
      <c r="G89" s="673"/>
      <c r="H89" s="673"/>
      <c r="I89" s="673"/>
      <c r="J89" s="673"/>
      <c r="K89" s="673"/>
      <c r="L89" s="692"/>
      <c r="M89" s="692"/>
      <c r="N89" s="692"/>
      <c r="O89" s="692"/>
      <c r="P89" s="693"/>
      <c r="Q89" s="693"/>
      <c r="R89" s="693"/>
      <c r="S89" s="693"/>
      <c r="T89" s="693"/>
      <c r="U89" s="693"/>
      <c r="V89" s="693"/>
      <c r="W89" s="693"/>
      <c r="X89" s="694"/>
      <c r="Y89" s="3689" t="s">
        <v>174</v>
      </c>
      <c r="Z89" s="1179"/>
      <c r="AA89" s="1179"/>
      <c r="AB89" s="1179"/>
      <c r="AC89" s="1179"/>
      <c r="AD89" s="1179"/>
      <c r="AE89" s="1179"/>
      <c r="AF89" s="1179"/>
      <c r="AG89" s="1179"/>
      <c r="AH89" s="1179"/>
      <c r="AI89" s="1179"/>
      <c r="AJ89" s="1179"/>
      <c r="AK89" s="1179"/>
      <c r="AL89" s="1179"/>
      <c r="AM89" s="1179"/>
      <c r="AN89" s="1179"/>
      <c r="AO89" s="1179"/>
      <c r="AP89" s="1179"/>
      <c r="AQ89" s="1179"/>
      <c r="AR89" s="1179"/>
      <c r="AS89" s="1179"/>
      <c r="AT89" s="1179"/>
      <c r="AU89" s="1179"/>
      <c r="AV89" s="1179"/>
      <c r="AW89" s="1179"/>
      <c r="AX89" s="1179"/>
      <c r="AY89" s="1179"/>
      <c r="AZ89" s="1179"/>
      <c r="BA89" s="1179"/>
      <c r="BB89" s="1179"/>
      <c r="BC89" s="1179"/>
      <c r="BD89" s="1179"/>
      <c r="BE89" s="1179"/>
      <c r="BF89" s="1179"/>
      <c r="BG89" s="1179"/>
      <c r="BH89" s="1179"/>
      <c r="BI89" s="1179"/>
      <c r="BJ89" s="1179"/>
      <c r="BK89" s="1179"/>
      <c r="BL89" s="1179"/>
      <c r="BM89" s="1179"/>
      <c r="BN89" s="1179"/>
      <c r="BO89" s="1179"/>
      <c r="BP89" s="1179"/>
      <c r="BQ89" s="1179"/>
      <c r="BR89" s="1179"/>
      <c r="BS89" s="1179"/>
      <c r="BT89" s="1179"/>
      <c r="BU89" s="1179"/>
      <c r="BV89" s="1179"/>
      <c r="BW89" s="1179"/>
      <c r="BX89" s="1179"/>
      <c r="BY89" s="1179"/>
      <c r="BZ89" s="1179"/>
      <c r="CA89" s="1179"/>
      <c r="CB89" s="1179"/>
      <c r="CC89" s="1179"/>
      <c r="CD89" s="1179"/>
      <c r="CE89" s="1179"/>
      <c r="CF89" s="1179"/>
      <c r="CG89" s="1179"/>
      <c r="CH89" s="1179"/>
      <c r="CI89" s="1179"/>
      <c r="CJ89" s="1179"/>
      <c r="CK89" s="1179"/>
      <c r="CL89" s="1179"/>
      <c r="CM89" s="1179"/>
      <c r="CN89" s="1179"/>
      <c r="CO89" s="1179"/>
      <c r="CP89" s="1179"/>
      <c r="CQ89" s="1179"/>
      <c r="CR89" s="1179"/>
      <c r="CS89" s="1179"/>
      <c r="CT89" s="1179"/>
      <c r="CU89" s="1179"/>
      <c r="CV89" s="1179"/>
      <c r="CW89" s="1179"/>
      <c r="CX89" s="1179"/>
      <c r="CY89" s="1179"/>
      <c r="CZ89" s="1179"/>
      <c r="DA89" s="1179"/>
      <c r="DB89" s="1179"/>
      <c r="DC89" s="1179"/>
      <c r="DD89" s="1179"/>
      <c r="DE89" s="1179"/>
      <c r="DF89" s="1179"/>
      <c r="DG89" s="1179"/>
      <c r="DH89" s="1179"/>
      <c r="DI89" s="1179"/>
      <c r="DJ89" s="1179"/>
      <c r="DK89" s="1179"/>
      <c r="DL89" s="1179"/>
      <c r="DM89" s="1179"/>
      <c r="DN89" s="1179"/>
      <c r="DO89" s="1179"/>
    </row>
    <row r="90" spans="1:119" s="3656" customFormat="1" ht="18.75" hidden="1" customHeight="1">
      <c r="A90" s="3690"/>
      <c r="B90" s="695" t="s">
        <v>22</v>
      </c>
      <c r="C90" s="696"/>
      <c r="D90" s="697">
        <f>SUM(E90:P90)</f>
        <v>0</v>
      </c>
      <c r="E90" s="697">
        <f t="shared" ref="E90:R91" si="56">E91</f>
        <v>0</v>
      </c>
      <c r="F90" s="697">
        <f t="shared" si="56"/>
        <v>0</v>
      </c>
      <c r="G90" s="697">
        <f t="shared" si="56"/>
        <v>0</v>
      </c>
      <c r="H90" s="697">
        <f t="shared" si="56"/>
        <v>0</v>
      </c>
      <c r="I90" s="697">
        <f t="shared" si="56"/>
        <v>0</v>
      </c>
      <c r="J90" s="697">
        <f t="shared" si="56"/>
        <v>0</v>
      </c>
      <c r="K90" s="697">
        <f t="shared" si="56"/>
        <v>0</v>
      </c>
      <c r="L90" s="697">
        <f t="shared" si="56"/>
        <v>0</v>
      </c>
      <c r="M90" s="697"/>
      <c r="N90" s="697">
        <f t="shared" si="56"/>
        <v>0</v>
      </c>
      <c r="O90" s="697">
        <f t="shared" si="56"/>
        <v>0</v>
      </c>
      <c r="P90" s="697">
        <f t="shared" si="56"/>
        <v>0</v>
      </c>
      <c r="Q90" s="697">
        <f t="shared" si="56"/>
        <v>0</v>
      </c>
      <c r="R90" s="697">
        <f t="shared" si="56"/>
        <v>0</v>
      </c>
      <c r="S90" s="697"/>
      <c r="T90" s="697"/>
      <c r="U90" s="697"/>
      <c r="V90" s="697"/>
      <c r="W90" s="697"/>
      <c r="X90" s="698">
        <f>+X91</f>
        <v>0</v>
      </c>
      <c r="Y90" s="3691"/>
      <c r="Z90" s="1179"/>
      <c r="AA90" s="1179"/>
      <c r="AB90" s="1179"/>
      <c r="AC90" s="1179"/>
      <c r="AD90" s="1179"/>
      <c r="AE90" s="1179"/>
      <c r="AF90" s="1179"/>
      <c r="AG90" s="1179"/>
      <c r="AH90" s="1179"/>
      <c r="AI90" s="1179"/>
      <c r="AJ90" s="1179"/>
      <c r="AK90" s="1179"/>
      <c r="AL90" s="1179"/>
      <c r="AM90" s="1179"/>
      <c r="AN90" s="1179"/>
      <c r="AO90" s="1179"/>
      <c r="AP90" s="1179"/>
      <c r="AQ90" s="1179"/>
      <c r="AR90" s="1179"/>
      <c r="AS90" s="1179"/>
      <c r="AT90" s="1179"/>
      <c r="AU90" s="1179"/>
      <c r="AV90" s="1179"/>
      <c r="AW90" s="1179"/>
      <c r="AX90" s="1179"/>
      <c r="AY90" s="1179"/>
      <c r="AZ90" s="1179"/>
      <c r="BA90" s="1179"/>
      <c r="BB90" s="1179"/>
      <c r="BC90" s="1179"/>
      <c r="BD90" s="1179"/>
      <c r="BE90" s="1179"/>
      <c r="BF90" s="1179"/>
      <c r="BG90" s="1179"/>
      <c r="BH90" s="1179"/>
      <c r="BI90" s="1179"/>
      <c r="BJ90" s="1179"/>
      <c r="BK90" s="1179"/>
      <c r="BL90" s="1179"/>
      <c r="BM90" s="1179"/>
      <c r="BN90" s="1179"/>
      <c r="BO90" s="1179"/>
      <c r="BP90" s="1179"/>
      <c r="BQ90" s="1179"/>
      <c r="BR90" s="1179"/>
      <c r="BS90" s="1179"/>
      <c r="BT90" s="1179"/>
      <c r="BU90" s="1179"/>
      <c r="BV90" s="1179"/>
      <c r="BW90" s="1179"/>
      <c r="BX90" s="1179"/>
      <c r="BY90" s="1179"/>
      <c r="BZ90" s="1179"/>
      <c r="CA90" s="1179"/>
      <c r="CB90" s="1179"/>
      <c r="CC90" s="1179"/>
      <c r="CD90" s="1179"/>
      <c r="CE90" s="1179"/>
      <c r="CF90" s="1179"/>
      <c r="CG90" s="1179"/>
      <c r="CH90" s="1179"/>
      <c r="CI90" s="1179"/>
      <c r="CJ90" s="1179"/>
      <c r="CK90" s="1179"/>
      <c r="CL90" s="1179"/>
      <c r="CM90" s="1179"/>
      <c r="CN90" s="1179"/>
      <c r="CO90" s="1179"/>
      <c r="CP90" s="1179"/>
      <c r="CQ90" s="1179"/>
      <c r="CR90" s="1179"/>
      <c r="CS90" s="1179"/>
      <c r="CT90" s="1179"/>
      <c r="CU90" s="1179"/>
      <c r="CV90" s="1179"/>
      <c r="CW90" s="1179"/>
      <c r="CX90" s="1179"/>
      <c r="CY90" s="1179"/>
      <c r="CZ90" s="1179"/>
      <c r="DA90" s="1179"/>
      <c r="DB90" s="1179"/>
      <c r="DC90" s="1179"/>
      <c r="DD90" s="1179"/>
      <c r="DE90" s="1179"/>
      <c r="DF90" s="1179"/>
      <c r="DG90" s="1179"/>
      <c r="DH90" s="1179"/>
      <c r="DI90" s="1179"/>
      <c r="DJ90" s="1179"/>
      <c r="DK90" s="1179"/>
      <c r="DL90" s="1179"/>
      <c r="DM90" s="1179"/>
      <c r="DN90" s="1179"/>
      <c r="DO90" s="1179"/>
    </row>
    <row r="91" spans="1:119" s="1163" customFormat="1" ht="18.75" hidden="1" customHeight="1">
      <c r="A91" s="3690"/>
      <c r="B91" s="3692" t="s">
        <v>36</v>
      </c>
      <c r="C91" s="3489" t="s">
        <v>175</v>
      </c>
      <c r="D91" s="3693">
        <f>SUM(E91:P91)</f>
        <v>0</v>
      </c>
      <c r="E91" s="3693">
        <f t="shared" si="56"/>
        <v>0</v>
      </c>
      <c r="F91" s="3693">
        <f t="shared" si="56"/>
        <v>0</v>
      </c>
      <c r="G91" s="3693">
        <f t="shared" si="56"/>
        <v>0</v>
      </c>
      <c r="H91" s="3693">
        <f t="shared" si="56"/>
        <v>0</v>
      </c>
      <c r="I91" s="3693">
        <f t="shared" si="56"/>
        <v>0</v>
      </c>
      <c r="J91" s="3693">
        <f t="shared" si="56"/>
        <v>0</v>
      </c>
      <c r="K91" s="3693">
        <f t="shared" si="56"/>
        <v>0</v>
      </c>
      <c r="L91" s="3693">
        <f t="shared" si="56"/>
        <v>0</v>
      </c>
      <c r="M91" s="3693"/>
      <c r="N91" s="3693">
        <f t="shared" si="56"/>
        <v>0</v>
      </c>
      <c r="O91" s="3693">
        <f t="shared" si="56"/>
        <v>0</v>
      </c>
      <c r="P91" s="3693">
        <f t="shared" si="56"/>
        <v>0</v>
      </c>
      <c r="Q91" s="3693">
        <f t="shared" si="56"/>
        <v>0</v>
      </c>
      <c r="R91" s="3693">
        <f t="shared" si="56"/>
        <v>0</v>
      </c>
      <c r="S91" s="3693"/>
      <c r="T91" s="3693"/>
      <c r="U91" s="3693"/>
      <c r="V91" s="3693"/>
      <c r="W91" s="3693"/>
      <c r="X91" s="3694">
        <f>+X92</f>
        <v>0</v>
      </c>
      <c r="Y91" s="3691"/>
    </row>
    <row r="92" spans="1:119" s="3656" customFormat="1" ht="18.75" hidden="1" customHeight="1" thickBot="1">
      <c r="A92" s="3695"/>
      <c r="B92" s="3696" t="s">
        <v>24</v>
      </c>
      <c r="C92" s="2832"/>
      <c r="D92" s="3697">
        <f>SUM(E92:P92)</f>
        <v>0</v>
      </c>
      <c r="E92" s="3697">
        <f>256114-256114</f>
        <v>0</v>
      </c>
      <c r="F92" s="3697"/>
      <c r="G92" s="3697"/>
      <c r="H92" s="3697"/>
      <c r="I92" s="3697">
        <f>5990843-2500000-3490843</f>
        <v>0</v>
      </c>
      <c r="J92" s="3697">
        <f>7154456-7154456</f>
        <v>0</v>
      </c>
      <c r="K92" s="3697">
        <v>0</v>
      </c>
      <c r="L92" s="3697">
        <v>0</v>
      </c>
      <c r="M92" s="3697"/>
      <c r="N92" s="3697">
        <v>0</v>
      </c>
      <c r="O92" s="3697">
        <v>0</v>
      </c>
      <c r="P92" s="3697">
        <v>0</v>
      </c>
      <c r="Q92" s="3697">
        <v>0</v>
      </c>
      <c r="R92" s="3697">
        <v>0</v>
      </c>
      <c r="S92" s="3697"/>
      <c r="T92" s="3697"/>
      <c r="U92" s="3697"/>
      <c r="V92" s="3697"/>
      <c r="W92" s="3697"/>
      <c r="X92" s="3671">
        <f>SUM(P92:S92)</f>
        <v>0</v>
      </c>
      <c r="Y92" s="3698"/>
      <c r="Z92" s="1179"/>
      <c r="AA92" s="1179"/>
      <c r="AB92" s="1179"/>
      <c r="AC92" s="1179"/>
      <c r="AD92" s="1179"/>
      <c r="AE92" s="1179"/>
      <c r="AF92" s="1179"/>
      <c r="AG92" s="1179"/>
      <c r="AH92" s="1179"/>
      <c r="AI92" s="1179"/>
      <c r="AJ92" s="1179"/>
      <c r="AK92" s="1179"/>
      <c r="AL92" s="1179"/>
      <c r="AM92" s="1179"/>
      <c r="AN92" s="1179"/>
      <c r="AO92" s="1179"/>
      <c r="AP92" s="1179"/>
      <c r="AQ92" s="1179"/>
      <c r="AR92" s="1179"/>
      <c r="AS92" s="1179"/>
      <c r="AT92" s="1179"/>
      <c r="AU92" s="1179"/>
      <c r="AV92" s="1179"/>
      <c r="AW92" s="1179"/>
      <c r="AX92" s="1179"/>
      <c r="AY92" s="1179"/>
      <c r="AZ92" s="1179"/>
      <c r="BA92" s="1179"/>
      <c r="BB92" s="1179"/>
      <c r="BC92" s="1179"/>
      <c r="BD92" s="1179"/>
      <c r="BE92" s="1179"/>
      <c r="BF92" s="1179"/>
      <c r="BG92" s="1179"/>
      <c r="BH92" s="1179"/>
      <c r="BI92" s="1179"/>
      <c r="BJ92" s="1179"/>
      <c r="BK92" s="1179"/>
      <c r="BL92" s="1179"/>
      <c r="BM92" s="1179"/>
      <c r="BN92" s="1179"/>
      <c r="BO92" s="1179"/>
      <c r="BP92" s="1179"/>
      <c r="BQ92" s="1179"/>
      <c r="BR92" s="1179"/>
      <c r="BS92" s="1179"/>
      <c r="BT92" s="1179"/>
      <c r="BU92" s="1179"/>
      <c r="BV92" s="1179"/>
      <c r="BW92" s="1179"/>
      <c r="BX92" s="1179"/>
      <c r="BY92" s="1179"/>
      <c r="BZ92" s="1179"/>
      <c r="CA92" s="1179"/>
      <c r="CB92" s="1179"/>
      <c r="CC92" s="1179"/>
      <c r="CD92" s="1179"/>
      <c r="CE92" s="1179"/>
      <c r="CF92" s="1179"/>
      <c r="CG92" s="1179"/>
      <c r="CH92" s="1179"/>
      <c r="CI92" s="1179"/>
      <c r="CJ92" s="1179"/>
      <c r="CK92" s="1179"/>
      <c r="CL92" s="1179"/>
      <c r="CM92" s="1179"/>
      <c r="CN92" s="1179"/>
      <c r="CO92" s="1179"/>
      <c r="CP92" s="1179"/>
      <c r="CQ92" s="1179"/>
      <c r="CR92" s="1179"/>
      <c r="CS92" s="1179"/>
      <c r="CT92" s="1179"/>
      <c r="CU92" s="1179"/>
      <c r="CV92" s="1179"/>
      <c r="CW92" s="1179"/>
      <c r="CX92" s="1179"/>
      <c r="CY92" s="1179"/>
      <c r="CZ92" s="1179"/>
      <c r="DA92" s="1179"/>
      <c r="DB92" s="1179"/>
      <c r="DC92" s="1179"/>
      <c r="DD92" s="1179"/>
      <c r="DE92" s="1179"/>
      <c r="DF92" s="1179"/>
      <c r="DG92" s="1179"/>
      <c r="DH92" s="1179"/>
      <c r="DI92" s="1179"/>
      <c r="DJ92" s="1179"/>
      <c r="DK92" s="1179"/>
      <c r="DL92" s="1179"/>
      <c r="DM92" s="1179"/>
      <c r="DN92" s="1179"/>
      <c r="DO92" s="1179"/>
    </row>
    <row r="93" spans="1:119" ht="12.75" hidden="1" customHeight="1">
      <c r="A93" s="2925" t="s">
        <v>80</v>
      </c>
      <c r="B93" s="3500" t="s">
        <v>176</v>
      </c>
      <c r="C93" s="1987" t="s">
        <v>97</v>
      </c>
      <c r="D93" s="1987"/>
      <c r="E93" s="1987"/>
      <c r="F93" s="1987"/>
      <c r="G93" s="1987"/>
      <c r="H93" s="1987"/>
      <c r="I93" s="1987"/>
      <c r="J93" s="1987"/>
      <c r="K93" s="1987"/>
      <c r="L93" s="1987"/>
      <c r="M93" s="1987"/>
      <c r="N93" s="1987"/>
      <c r="O93" s="1987"/>
      <c r="P93" s="1987"/>
      <c r="Q93" s="1987"/>
      <c r="R93" s="1987"/>
      <c r="S93" s="1987"/>
      <c r="T93" s="1987"/>
      <c r="U93" s="1987"/>
      <c r="V93" s="1987"/>
      <c r="W93" s="1987"/>
      <c r="X93" s="3699"/>
      <c r="Y93" s="2721" t="s">
        <v>177</v>
      </c>
    </row>
    <row r="94" spans="1:119" ht="13.5" hidden="1" customHeight="1">
      <c r="A94" s="2926"/>
      <c r="B94" s="3181" t="s">
        <v>22</v>
      </c>
      <c r="C94" s="3700"/>
      <c r="D94" s="1987">
        <f>SUM(E94:P94)</f>
        <v>0</v>
      </c>
      <c r="E94" s="3701">
        <v>0</v>
      </c>
      <c r="F94" s="3701"/>
      <c r="G94" s="3701"/>
      <c r="H94" s="3701"/>
      <c r="I94" s="3701">
        <v>0</v>
      </c>
      <c r="J94" s="3701">
        <f>J95</f>
        <v>0</v>
      </c>
      <c r="K94" s="3701">
        <f>K95</f>
        <v>0</v>
      </c>
      <c r="L94" s="1987">
        <v>0</v>
      </c>
      <c r="M94" s="1987"/>
      <c r="N94" s="1987">
        <v>0</v>
      </c>
      <c r="O94" s="1987">
        <v>0</v>
      </c>
      <c r="P94" s="1987">
        <v>0</v>
      </c>
      <c r="Q94" s="1987">
        <v>0</v>
      </c>
      <c r="R94" s="1987">
        <v>0</v>
      </c>
      <c r="S94" s="1987"/>
      <c r="T94" s="1987"/>
      <c r="U94" s="1987"/>
      <c r="V94" s="1987"/>
      <c r="W94" s="1987"/>
      <c r="X94" s="3699"/>
      <c r="Y94" s="2721"/>
    </row>
    <row r="95" spans="1:119" ht="14.25" hidden="1" customHeight="1">
      <c r="A95" s="2926"/>
      <c r="B95" s="3500" t="s">
        <v>36</v>
      </c>
      <c r="C95" s="3702" t="s">
        <v>178</v>
      </c>
      <c r="D95" s="1987">
        <f>SUM(E95:P95)</f>
        <v>0</v>
      </c>
      <c r="E95" s="1987">
        <v>0</v>
      </c>
      <c r="F95" s="1987"/>
      <c r="G95" s="1987"/>
      <c r="H95" s="1987"/>
      <c r="I95" s="1987">
        <v>0</v>
      </c>
      <c r="J95" s="1987">
        <f>J96</f>
        <v>0</v>
      </c>
      <c r="K95" s="1987">
        <f>K96</f>
        <v>0</v>
      </c>
      <c r="L95" s="1987">
        <v>0</v>
      </c>
      <c r="M95" s="1987"/>
      <c r="N95" s="1987">
        <v>0</v>
      </c>
      <c r="O95" s="1987">
        <v>0</v>
      </c>
      <c r="P95" s="1987">
        <v>0</v>
      </c>
      <c r="Q95" s="1987">
        <v>0</v>
      </c>
      <c r="R95" s="1987">
        <v>0</v>
      </c>
      <c r="S95" s="1987"/>
      <c r="T95" s="1987"/>
      <c r="U95" s="1987"/>
      <c r="V95" s="1987"/>
      <c r="W95" s="1987"/>
      <c r="X95" s="3699"/>
      <c r="Y95" s="2930"/>
    </row>
    <row r="96" spans="1:119" ht="15" hidden="1" customHeight="1" thickBot="1">
      <c r="A96" s="2926"/>
      <c r="B96" s="3500" t="s">
        <v>24</v>
      </c>
      <c r="C96" s="3702"/>
      <c r="D96" s="1987">
        <f>SUM(E96:P96)</f>
        <v>0</v>
      </c>
      <c r="E96" s="1987">
        <v>0</v>
      </c>
      <c r="F96" s="1987"/>
      <c r="G96" s="1987"/>
      <c r="H96" s="1987"/>
      <c r="I96" s="1987">
        <v>0</v>
      </c>
      <c r="J96" s="1987">
        <v>0</v>
      </c>
      <c r="K96" s="1987">
        <v>0</v>
      </c>
      <c r="L96" s="1987">
        <v>0</v>
      </c>
      <c r="M96" s="1987"/>
      <c r="N96" s="1987">
        <v>0</v>
      </c>
      <c r="O96" s="1987">
        <v>0</v>
      </c>
      <c r="P96" s="1987">
        <v>0</v>
      </c>
      <c r="Q96" s="1987">
        <v>0</v>
      </c>
      <c r="R96" s="1987">
        <v>0</v>
      </c>
      <c r="S96" s="1987"/>
      <c r="T96" s="1987"/>
      <c r="U96" s="1987"/>
      <c r="V96" s="1987"/>
      <c r="W96" s="1987"/>
      <c r="X96" s="3699"/>
      <c r="Y96" s="2930"/>
    </row>
    <row r="97" spans="1:25" ht="36.75" hidden="1" customHeight="1">
      <c r="A97" s="2937" t="s">
        <v>79</v>
      </c>
      <c r="B97" s="690" t="s">
        <v>311</v>
      </c>
      <c r="C97" s="3703" t="s">
        <v>97</v>
      </c>
      <c r="D97" s="699"/>
      <c r="E97" s="673"/>
      <c r="F97" s="673"/>
      <c r="G97" s="673"/>
      <c r="H97" s="673"/>
      <c r="I97" s="673"/>
      <c r="J97" s="673"/>
      <c r="K97" s="673"/>
      <c r="L97" s="692"/>
      <c r="M97" s="692"/>
      <c r="N97" s="692"/>
      <c r="O97" s="692"/>
      <c r="P97" s="693"/>
      <c r="Q97" s="693"/>
      <c r="R97" s="693"/>
      <c r="S97" s="693"/>
      <c r="T97" s="693"/>
      <c r="U97" s="693"/>
      <c r="V97" s="693"/>
      <c r="W97" s="693"/>
      <c r="X97" s="3704"/>
      <c r="Y97" s="2905" t="s">
        <v>258</v>
      </c>
    </row>
    <row r="98" spans="1:25" ht="14.25" hidden="1" customHeight="1">
      <c r="A98" s="2925"/>
      <c r="B98" s="1988" t="s">
        <v>22</v>
      </c>
      <c r="C98" s="3700"/>
      <c r="D98" s="3369">
        <f>+D99+D102</f>
        <v>0</v>
      </c>
      <c r="E98" s="3369">
        <f>+E99+E102</f>
        <v>0</v>
      </c>
      <c r="F98" s="3369"/>
      <c r="G98" s="3369"/>
      <c r="H98" s="3369"/>
      <c r="I98" s="3369">
        <f>I99</f>
        <v>0</v>
      </c>
      <c r="J98" s="3369">
        <f>+J99+J102</f>
        <v>0</v>
      </c>
      <c r="K98" s="3369">
        <f>+K99+K102</f>
        <v>0</v>
      </c>
      <c r="L98" s="3369">
        <f>+L99+L102</f>
        <v>0</v>
      </c>
      <c r="M98" s="3369">
        <f>+M99+M102</f>
        <v>0</v>
      </c>
      <c r="N98" s="3369">
        <f>+N99+N102</f>
        <v>0</v>
      </c>
      <c r="O98" s="3369">
        <v>0</v>
      </c>
      <c r="P98" s="3369">
        <v>0</v>
      </c>
      <c r="Q98" s="3369">
        <v>0</v>
      </c>
      <c r="R98" s="3369">
        <v>0</v>
      </c>
      <c r="S98" s="3369">
        <v>0</v>
      </c>
      <c r="T98" s="3369">
        <v>0</v>
      </c>
      <c r="U98" s="3369">
        <v>0</v>
      </c>
      <c r="V98" s="3369">
        <v>0</v>
      </c>
      <c r="W98" s="3369">
        <v>0</v>
      </c>
      <c r="X98" s="698">
        <f>+X99</f>
        <v>0</v>
      </c>
      <c r="Y98" s="2905"/>
    </row>
    <row r="99" spans="1:25" ht="15.75" hidden="1" customHeight="1">
      <c r="A99" s="2925"/>
      <c r="B99" s="3374" t="s">
        <v>36</v>
      </c>
      <c r="C99" s="3489" t="s">
        <v>179</v>
      </c>
      <c r="D99" s="3376">
        <f>D100+D101</f>
        <v>0</v>
      </c>
      <c r="E99" s="3376">
        <f t="shared" ref="E99:P99" si="57">E100+E101</f>
        <v>0</v>
      </c>
      <c r="F99" s="3376">
        <f t="shared" si="57"/>
        <v>0</v>
      </c>
      <c r="G99" s="3376">
        <f t="shared" si="57"/>
        <v>0</v>
      </c>
      <c r="H99" s="3376">
        <f t="shared" si="57"/>
        <v>0</v>
      </c>
      <c r="I99" s="3376">
        <f t="shared" si="57"/>
        <v>0</v>
      </c>
      <c r="J99" s="3376">
        <f t="shared" si="57"/>
        <v>0</v>
      </c>
      <c r="K99" s="3376">
        <f t="shared" si="57"/>
        <v>0</v>
      </c>
      <c r="L99" s="3376">
        <f t="shared" si="57"/>
        <v>0</v>
      </c>
      <c r="M99" s="3376">
        <f t="shared" si="57"/>
        <v>0</v>
      </c>
      <c r="N99" s="3376">
        <f t="shared" si="57"/>
        <v>0</v>
      </c>
      <c r="O99" s="3376">
        <f t="shared" si="57"/>
        <v>0</v>
      </c>
      <c r="P99" s="3376">
        <f t="shared" si="57"/>
        <v>0</v>
      </c>
      <c r="Q99" s="3376">
        <f t="shared" ref="Q99:W99" si="58">Q100+Q101</f>
        <v>0</v>
      </c>
      <c r="R99" s="3376">
        <f t="shared" si="58"/>
        <v>0</v>
      </c>
      <c r="S99" s="3376">
        <f t="shared" si="58"/>
        <v>0</v>
      </c>
      <c r="T99" s="3376">
        <f t="shared" si="58"/>
        <v>0</v>
      </c>
      <c r="U99" s="3376">
        <f t="shared" si="58"/>
        <v>0</v>
      </c>
      <c r="V99" s="3376">
        <f t="shared" si="58"/>
        <v>0</v>
      </c>
      <c r="W99" s="3376">
        <f t="shared" si="58"/>
        <v>0</v>
      </c>
      <c r="X99" s="3605">
        <f>+X101</f>
        <v>0</v>
      </c>
      <c r="Y99" s="2905"/>
    </row>
    <row r="100" spans="1:25" ht="13.5" hidden="1" customHeight="1">
      <c r="A100" s="2925"/>
      <c r="B100" s="774" t="s">
        <v>170</v>
      </c>
      <c r="C100" s="2827"/>
      <c r="D100" s="3626">
        <f>M100+O100+P100+Q100+R100+S100+T100+U100+V100+W100</f>
        <v>0</v>
      </c>
      <c r="E100" s="3382">
        <v>0</v>
      </c>
      <c r="F100" s="3382"/>
      <c r="G100" s="3382"/>
      <c r="H100" s="3382"/>
      <c r="I100" s="3382">
        <v>0</v>
      </c>
      <c r="J100" s="3382">
        <v>0</v>
      </c>
      <c r="K100" s="3382">
        <f>2079+2921-5000</f>
        <v>0</v>
      </c>
      <c r="L100" s="3382">
        <v>0</v>
      </c>
      <c r="M100" s="3626">
        <f>+L100+N100</f>
        <v>0</v>
      </c>
      <c r="N100" s="3382">
        <v>0</v>
      </c>
      <c r="O100" s="3382">
        <v>0</v>
      </c>
      <c r="P100" s="3382">
        <v>0</v>
      </c>
      <c r="Q100" s="3382">
        <v>0</v>
      </c>
      <c r="R100" s="3382">
        <v>0</v>
      </c>
      <c r="S100" s="3382">
        <v>0</v>
      </c>
      <c r="T100" s="3382">
        <v>0</v>
      </c>
      <c r="U100" s="3382">
        <v>0</v>
      </c>
      <c r="V100" s="3382">
        <v>0</v>
      </c>
      <c r="W100" s="3382">
        <v>0</v>
      </c>
      <c r="X100" s="3675" t="s">
        <v>77</v>
      </c>
      <c r="Y100" s="2905"/>
    </row>
    <row r="101" spans="1:25" ht="13.5" hidden="1" customHeight="1">
      <c r="A101" s="2925"/>
      <c r="B101" s="3386" t="s">
        <v>171</v>
      </c>
      <c r="C101" s="2827"/>
      <c r="D101" s="3626">
        <f>M101+O101+P101+Q101+R101+S101+T101+U101+V101+W101</f>
        <v>0</v>
      </c>
      <c r="E101" s="3395">
        <v>0</v>
      </c>
      <c r="F101" s="3395"/>
      <c r="G101" s="3395"/>
      <c r="H101" s="3395"/>
      <c r="I101" s="3395">
        <v>0</v>
      </c>
      <c r="J101" s="3395">
        <v>0</v>
      </c>
      <c r="K101" s="3395">
        <v>0</v>
      </c>
      <c r="L101" s="3395">
        <v>0</v>
      </c>
      <c r="M101" s="3626">
        <f>+L101+N101</f>
        <v>0</v>
      </c>
      <c r="N101" s="3395">
        <v>0</v>
      </c>
      <c r="O101" s="3395">
        <v>0</v>
      </c>
      <c r="P101" s="3395">
        <v>0</v>
      </c>
      <c r="Q101" s="3395">
        <v>0</v>
      </c>
      <c r="R101" s="3395">
        <v>0</v>
      </c>
      <c r="S101" s="3395">
        <v>0</v>
      </c>
      <c r="T101" s="3395">
        <v>0</v>
      </c>
      <c r="U101" s="3395">
        <v>0</v>
      </c>
      <c r="V101" s="3395">
        <v>0</v>
      </c>
      <c r="W101" s="3395">
        <v>0</v>
      </c>
      <c r="X101" s="3605">
        <f>+P101+Q101+R101</f>
        <v>0</v>
      </c>
      <c r="Y101" s="2905"/>
    </row>
    <row r="102" spans="1:25" ht="12" hidden="1" customHeight="1">
      <c r="A102" s="2925"/>
      <c r="B102" s="3374" t="s">
        <v>30</v>
      </c>
      <c r="C102" s="2827"/>
      <c r="D102" s="3376">
        <f>+D103</f>
        <v>0</v>
      </c>
      <c r="E102" s="3376">
        <f>+E103</f>
        <v>0</v>
      </c>
      <c r="F102" s="3376"/>
      <c r="G102" s="3376"/>
      <c r="H102" s="3376"/>
      <c r="I102" s="3376">
        <f t="shared" ref="I102:N102" si="59">+I103</f>
        <v>0</v>
      </c>
      <c r="J102" s="3376">
        <f t="shared" si="59"/>
        <v>0</v>
      </c>
      <c r="K102" s="3376">
        <f t="shared" si="59"/>
        <v>0</v>
      </c>
      <c r="L102" s="3376">
        <f t="shared" si="59"/>
        <v>0</v>
      </c>
      <c r="M102" s="3376">
        <f t="shared" si="59"/>
        <v>0</v>
      </c>
      <c r="N102" s="3376">
        <f t="shared" si="59"/>
        <v>0</v>
      </c>
      <c r="O102" s="3376">
        <v>0</v>
      </c>
      <c r="P102" s="3376">
        <v>0</v>
      </c>
      <c r="Q102" s="3376">
        <v>0</v>
      </c>
      <c r="R102" s="3376">
        <v>0</v>
      </c>
      <c r="S102" s="3376">
        <v>0</v>
      </c>
      <c r="T102" s="3376">
        <v>0</v>
      </c>
      <c r="U102" s="3376">
        <v>0</v>
      </c>
      <c r="V102" s="3376">
        <v>0</v>
      </c>
      <c r="W102" s="3376">
        <v>0</v>
      </c>
      <c r="X102" s="3675" t="str">
        <f>+X103</f>
        <v>x</v>
      </c>
      <c r="Y102" s="2905"/>
    </row>
    <row r="103" spans="1:25" ht="14.25" hidden="1" customHeight="1">
      <c r="A103" s="2925"/>
      <c r="B103" s="3705" t="s">
        <v>48</v>
      </c>
      <c r="C103" s="2828"/>
      <c r="D103" s="3626">
        <f>M103+O103+P103+Q103+R103+S103+T103+U103+V103+W103</f>
        <v>0</v>
      </c>
      <c r="E103" s="3395">
        <v>0</v>
      </c>
      <c r="F103" s="3395"/>
      <c r="G103" s="3395"/>
      <c r="H103" s="3395"/>
      <c r="I103" s="3395">
        <v>0</v>
      </c>
      <c r="J103" s="3395">
        <v>0</v>
      </c>
      <c r="K103" s="3395">
        <f>6237+8763-15000</f>
        <v>0</v>
      </c>
      <c r="L103" s="3395">
        <v>0</v>
      </c>
      <c r="M103" s="3626">
        <f>+L103+N103</f>
        <v>0</v>
      </c>
      <c r="N103" s="3395">
        <v>0</v>
      </c>
      <c r="O103" s="3706">
        <v>0</v>
      </c>
      <c r="P103" s="3706">
        <v>0</v>
      </c>
      <c r="Q103" s="3706">
        <v>0</v>
      </c>
      <c r="R103" s="3706">
        <v>0</v>
      </c>
      <c r="S103" s="3706">
        <v>0</v>
      </c>
      <c r="T103" s="3706">
        <v>0</v>
      </c>
      <c r="U103" s="3706">
        <v>0</v>
      </c>
      <c r="V103" s="3706">
        <v>0</v>
      </c>
      <c r="W103" s="3706">
        <v>0</v>
      </c>
      <c r="X103" s="3707" t="s">
        <v>77</v>
      </c>
      <c r="Y103" s="2905"/>
    </row>
    <row r="104" spans="1:25" ht="13.5" hidden="1" customHeight="1">
      <c r="A104" s="2925"/>
      <c r="B104" s="3181" t="s">
        <v>34</v>
      </c>
      <c r="C104" s="3700"/>
      <c r="D104" s="3369">
        <f>D108+D105</f>
        <v>0</v>
      </c>
      <c r="E104" s="3369">
        <f t="shared" ref="E104:J104" si="60">E108</f>
        <v>0</v>
      </c>
      <c r="F104" s="3369"/>
      <c r="G104" s="3369"/>
      <c r="H104" s="3369"/>
      <c r="I104" s="3369">
        <f t="shared" si="60"/>
        <v>0</v>
      </c>
      <c r="J104" s="3369">
        <f t="shared" si="60"/>
        <v>0</v>
      </c>
      <c r="K104" s="3369">
        <f>K108+K105</f>
        <v>0</v>
      </c>
      <c r="L104" s="3369">
        <f>L108+L105</f>
        <v>0</v>
      </c>
      <c r="M104" s="3369">
        <f>M108+M105</f>
        <v>0</v>
      </c>
      <c r="N104" s="3369">
        <f>N108+N105</f>
        <v>0</v>
      </c>
      <c r="O104" s="3369">
        <f>O108+O105</f>
        <v>0</v>
      </c>
      <c r="P104" s="3369">
        <v>0</v>
      </c>
      <c r="Q104" s="3369">
        <v>0</v>
      </c>
      <c r="R104" s="3369">
        <v>0</v>
      </c>
      <c r="S104" s="3369">
        <v>0</v>
      </c>
      <c r="T104" s="3369">
        <v>0</v>
      </c>
      <c r="U104" s="3369">
        <v>0</v>
      </c>
      <c r="V104" s="3369">
        <v>0</v>
      </c>
      <c r="W104" s="3369">
        <v>0</v>
      </c>
      <c r="X104" s="698"/>
      <c r="Y104" s="2905"/>
    </row>
    <row r="105" spans="1:25" ht="14.25" hidden="1" customHeight="1">
      <c r="A105" s="2925"/>
      <c r="B105" s="2439" t="s">
        <v>36</v>
      </c>
      <c r="C105" s="3708" t="s">
        <v>35</v>
      </c>
      <c r="D105" s="3709">
        <f>+D107+D106</f>
        <v>0</v>
      </c>
      <c r="E105" s="3709">
        <f t="shared" ref="E105:P105" si="61">+E107+E106</f>
        <v>0</v>
      </c>
      <c r="F105" s="3709">
        <f t="shared" si="61"/>
        <v>0</v>
      </c>
      <c r="G105" s="3709">
        <f t="shared" si="61"/>
        <v>0</v>
      </c>
      <c r="H105" s="3709">
        <f t="shared" si="61"/>
        <v>0</v>
      </c>
      <c r="I105" s="3709">
        <f t="shared" si="61"/>
        <v>0</v>
      </c>
      <c r="J105" s="3709">
        <f t="shared" si="61"/>
        <v>0</v>
      </c>
      <c r="K105" s="3709">
        <f t="shared" si="61"/>
        <v>0</v>
      </c>
      <c r="L105" s="3709">
        <f t="shared" si="61"/>
        <v>0</v>
      </c>
      <c r="M105" s="3709">
        <f t="shared" si="61"/>
        <v>0</v>
      </c>
      <c r="N105" s="3709">
        <f t="shared" si="61"/>
        <v>0</v>
      </c>
      <c r="O105" s="3709">
        <f t="shared" si="61"/>
        <v>0</v>
      </c>
      <c r="P105" s="3376">
        <f t="shared" si="61"/>
        <v>0</v>
      </c>
      <c r="Q105" s="3376">
        <f t="shared" ref="Q105:W105" si="62">+Q107+Q106</f>
        <v>0</v>
      </c>
      <c r="R105" s="3376">
        <f t="shared" si="62"/>
        <v>0</v>
      </c>
      <c r="S105" s="3376">
        <f t="shared" si="62"/>
        <v>0</v>
      </c>
      <c r="T105" s="3376">
        <f t="shared" si="62"/>
        <v>0</v>
      </c>
      <c r="U105" s="3376">
        <f t="shared" si="62"/>
        <v>0</v>
      </c>
      <c r="V105" s="3376">
        <f t="shared" si="62"/>
        <v>0</v>
      </c>
      <c r="W105" s="3376">
        <f t="shared" si="62"/>
        <v>0</v>
      </c>
      <c r="X105" s="2915" t="s">
        <v>77</v>
      </c>
      <c r="Y105" s="2905"/>
    </row>
    <row r="106" spans="1:25" ht="13.5" hidden="1" customHeight="1">
      <c r="A106" s="2925"/>
      <c r="B106" s="774" t="s">
        <v>170</v>
      </c>
      <c r="C106" s="3710"/>
      <c r="D106" s="3626">
        <f>M106+O106+P106+Q106+R106+S106+T106+U106+V106+W106</f>
        <v>0</v>
      </c>
      <c r="E106" s="3711">
        <v>0</v>
      </c>
      <c r="F106" s="3711"/>
      <c r="G106" s="3711"/>
      <c r="H106" s="3711"/>
      <c r="I106" s="3711">
        <v>0</v>
      </c>
      <c r="J106" s="3711">
        <v>0</v>
      </c>
      <c r="K106" s="3711">
        <f>2079+2921-5000</f>
        <v>0</v>
      </c>
      <c r="L106" s="3711">
        <v>0</v>
      </c>
      <c r="M106" s="3626">
        <f>+L106+N106</f>
        <v>0</v>
      </c>
      <c r="N106" s="3711">
        <v>0</v>
      </c>
      <c r="O106" s="3711">
        <v>0</v>
      </c>
      <c r="P106" s="3712">
        <v>0</v>
      </c>
      <c r="Q106" s="3712">
        <v>0</v>
      </c>
      <c r="R106" s="3712">
        <v>0</v>
      </c>
      <c r="S106" s="3712">
        <v>0</v>
      </c>
      <c r="T106" s="3712">
        <v>0</v>
      </c>
      <c r="U106" s="3712">
        <v>0</v>
      </c>
      <c r="V106" s="3712">
        <v>0</v>
      </c>
      <c r="W106" s="3712">
        <v>0</v>
      </c>
      <c r="X106" s="2830"/>
      <c r="Y106" s="2905"/>
    </row>
    <row r="107" spans="1:25" ht="13.5" hidden="1" customHeight="1">
      <c r="A107" s="2925"/>
      <c r="B107" s="3386" t="s">
        <v>180</v>
      </c>
      <c r="C107" s="3710"/>
      <c r="D107" s="3626">
        <f>M107+O107+P107+Q107+R107+S107+T107+U107+V107+W107</f>
        <v>0</v>
      </c>
      <c r="E107" s="3395">
        <v>0</v>
      </c>
      <c r="F107" s="3395"/>
      <c r="G107" s="3395"/>
      <c r="H107" s="3395"/>
      <c r="I107" s="3395">
        <v>0</v>
      </c>
      <c r="J107" s="3395">
        <v>0</v>
      </c>
      <c r="K107" s="3395">
        <v>0</v>
      </c>
      <c r="L107" s="3395">
        <f>2111463-51216-2060247</f>
        <v>0</v>
      </c>
      <c r="M107" s="3711">
        <f>+L107</f>
        <v>0</v>
      </c>
      <c r="N107" s="3395">
        <f>1489154-9350-1479804</f>
        <v>0</v>
      </c>
      <c r="O107" s="3395">
        <v>0</v>
      </c>
      <c r="P107" s="3395">
        <v>0</v>
      </c>
      <c r="Q107" s="3395">
        <v>0</v>
      </c>
      <c r="R107" s="3395">
        <v>0</v>
      </c>
      <c r="S107" s="3395">
        <v>0</v>
      </c>
      <c r="T107" s="3395">
        <v>0</v>
      </c>
      <c r="U107" s="3395">
        <v>0</v>
      </c>
      <c r="V107" s="3395">
        <v>0</v>
      </c>
      <c r="W107" s="3395">
        <v>0</v>
      </c>
      <c r="X107" s="2830"/>
      <c r="Y107" s="2905"/>
    </row>
    <row r="108" spans="1:25" ht="12.75" hidden="1" customHeight="1">
      <c r="A108" s="2925"/>
      <c r="B108" s="3374" t="s">
        <v>30</v>
      </c>
      <c r="C108" s="3710"/>
      <c r="D108" s="3709">
        <f>+D109</f>
        <v>0</v>
      </c>
      <c r="E108" s="3709">
        <f>+E109</f>
        <v>0</v>
      </c>
      <c r="F108" s="3709"/>
      <c r="G108" s="3709"/>
      <c r="H108" s="3709"/>
      <c r="I108" s="3709">
        <f t="shared" ref="I108:O108" si="63">+I109</f>
        <v>0</v>
      </c>
      <c r="J108" s="3709">
        <f t="shared" si="63"/>
        <v>0</v>
      </c>
      <c r="K108" s="3709">
        <f t="shared" si="63"/>
        <v>0</v>
      </c>
      <c r="L108" s="3709">
        <f t="shared" si="63"/>
        <v>0</v>
      </c>
      <c r="M108" s="3709">
        <f t="shared" si="63"/>
        <v>0</v>
      </c>
      <c r="N108" s="3709">
        <f t="shared" si="63"/>
        <v>0</v>
      </c>
      <c r="O108" s="3709">
        <f t="shared" si="63"/>
        <v>0</v>
      </c>
      <c r="P108" s="3376">
        <v>0</v>
      </c>
      <c r="Q108" s="3376">
        <v>0</v>
      </c>
      <c r="R108" s="3376">
        <v>0</v>
      </c>
      <c r="S108" s="3376">
        <v>0</v>
      </c>
      <c r="T108" s="3376">
        <v>0</v>
      </c>
      <c r="U108" s="3376"/>
      <c r="V108" s="3376"/>
      <c r="W108" s="3376"/>
      <c r="X108" s="2830"/>
      <c r="Y108" s="2905"/>
    </row>
    <row r="109" spans="1:25" ht="13.5" hidden="1" customHeight="1" thickBot="1">
      <c r="A109" s="2925"/>
      <c r="B109" s="3713" t="s">
        <v>48</v>
      </c>
      <c r="C109" s="3714"/>
      <c r="D109" s="3626">
        <f>M109+O109+P109+Q109+R109+S109+T109+U109+V109+W109</f>
        <v>0</v>
      </c>
      <c r="E109" s="3711">
        <v>0</v>
      </c>
      <c r="F109" s="3711"/>
      <c r="G109" s="3711"/>
      <c r="H109" s="3711"/>
      <c r="I109" s="3711">
        <v>0</v>
      </c>
      <c r="J109" s="3711">
        <v>0</v>
      </c>
      <c r="K109" s="3711">
        <f>6237+8763-15000</f>
        <v>0</v>
      </c>
      <c r="L109" s="3711">
        <v>0</v>
      </c>
      <c r="M109" s="3626">
        <v>0</v>
      </c>
      <c r="N109" s="3711">
        <v>0</v>
      </c>
      <c r="O109" s="3712">
        <v>0</v>
      </c>
      <c r="P109" s="3712">
        <v>0</v>
      </c>
      <c r="Q109" s="3712">
        <v>0</v>
      </c>
      <c r="R109" s="3712">
        <v>0</v>
      </c>
      <c r="S109" s="3712">
        <v>0</v>
      </c>
      <c r="T109" s="3712">
        <v>0</v>
      </c>
      <c r="U109" s="3712">
        <v>0</v>
      </c>
      <c r="V109" s="3712">
        <v>0</v>
      </c>
      <c r="W109" s="3712">
        <v>0</v>
      </c>
      <c r="X109" s="2831"/>
      <c r="Y109" s="2906"/>
    </row>
    <row r="110" spans="1:25" ht="26.25" hidden="1" customHeight="1">
      <c r="A110" s="2937" t="s">
        <v>79</v>
      </c>
      <c r="B110" s="2468" t="s">
        <v>265</v>
      </c>
      <c r="C110" s="3715" t="s">
        <v>97</v>
      </c>
      <c r="D110" s="870"/>
      <c r="E110" s="673"/>
      <c r="F110" s="673"/>
      <c r="G110" s="673"/>
      <c r="H110" s="673"/>
      <c r="I110" s="673"/>
      <c r="J110" s="673"/>
      <c r="K110" s="673"/>
      <c r="L110" s="692"/>
      <c r="M110" s="692"/>
      <c r="N110" s="692"/>
      <c r="O110" s="692"/>
      <c r="P110" s="693"/>
      <c r="Q110" s="693"/>
      <c r="R110" s="693"/>
      <c r="S110" s="693"/>
      <c r="T110" s="693"/>
      <c r="U110" s="693"/>
      <c r="V110" s="693"/>
      <c r="W110" s="693"/>
      <c r="X110" s="3620"/>
      <c r="Y110" s="2715" t="s">
        <v>277</v>
      </c>
    </row>
    <row r="111" spans="1:25" s="3610" customFormat="1" ht="17.25" hidden="1" customHeight="1">
      <c r="A111" s="2926"/>
      <c r="B111" s="3716" t="s">
        <v>22</v>
      </c>
      <c r="C111" s="3700"/>
      <c r="D111" s="3510">
        <f>+D112</f>
        <v>0</v>
      </c>
      <c r="E111" s="3510">
        <f t="shared" ref="E111:U112" si="64">E112</f>
        <v>0</v>
      </c>
      <c r="F111" s="3510">
        <f t="shared" si="64"/>
        <v>0</v>
      </c>
      <c r="G111" s="3510">
        <f t="shared" si="64"/>
        <v>0</v>
      </c>
      <c r="H111" s="3510">
        <f t="shared" si="64"/>
        <v>0</v>
      </c>
      <c r="I111" s="3510">
        <f t="shared" si="64"/>
        <v>0</v>
      </c>
      <c r="J111" s="3510">
        <f t="shared" si="64"/>
        <v>0</v>
      </c>
      <c r="K111" s="3510">
        <f t="shared" si="64"/>
        <v>0</v>
      </c>
      <c r="L111" s="3510">
        <f t="shared" si="64"/>
        <v>0</v>
      </c>
      <c r="M111" s="3510">
        <f t="shared" si="64"/>
        <v>0</v>
      </c>
      <c r="N111" s="3510">
        <f t="shared" si="64"/>
        <v>117496</v>
      </c>
      <c r="O111" s="3510">
        <f t="shared" si="64"/>
        <v>0</v>
      </c>
      <c r="P111" s="3510">
        <f t="shared" si="64"/>
        <v>0</v>
      </c>
      <c r="Q111" s="3510">
        <f t="shared" si="64"/>
        <v>0</v>
      </c>
      <c r="R111" s="3510">
        <f t="shared" si="64"/>
        <v>0</v>
      </c>
      <c r="S111" s="3510">
        <f t="shared" si="64"/>
        <v>0</v>
      </c>
      <c r="T111" s="3510">
        <f t="shared" si="64"/>
        <v>0</v>
      </c>
      <c r="U111" s="3510">
        <f t="shared" si="64"/>
        <v>0</v>
      </c>
      <c r="V111" s="3510">
        <f>V112</f>
        <v>0</v>
      </c>
      <c r="W111" s="3510">
        <f>W112</f>
        <v>0</v>
      </c>
      <c r="X111" s="3717">
        <f>+X112</f>
        <v>0</v>
      </c>
      <c r="Y111" s="2606"/>
    </row>
    <row r="112" spans="1:25" s="3721" customFormat="1" ht="15" hidden="1" customHeight="1">
      <c r="A112" s="2926"/>
      <c r="B112" s="3718" t="s">
        <v>36</v>
      </c>
      <c r="C112" s="3719" t="s">
        <v>179</v>
      </c>
      <c r="D112" s="3709">
        <f>D113</f>
        <v>0</v>
      </c>
      <c r="E112" s="3709">
        <f t="shared" si="64"/>
        <v>0</v>
      </c>
      <c r="F112" s="3709">
        <f t="shared" si="64"/>
        <v>0</v>
      </c>
      <c r="G112" s="3709">
        <f t="shared" si="64"/>
        <v>0</v>
      </c>
      <c r="H112" s="3709">
        <f t="shared" si="64"/>
        <v>0</v>
      </c>
      <c r="I112" s="3709">
        <f t="shared" si="64"/>
        <v>0</v>
      </c>
      <c r="J112" s="3709">
        <f t="shared" si="64"/>
        <v>0</v>
      </c>
      <c r="K112" s="3709">
        <f t="shared" si="64"/>
        <v>0</v>
      </c>
      <c r="L112" s="3709">
        <f t="shared" si="64"/>
        <v>0</v>
      </c>
      <c r="M112" s="3709">
        <f>M113</f>
        <v>0</v>
      </c>
      <c r="N112" s="3709">
        <f t="shared" si="64"/>
        <v>117496</v>
      </c>
      <c r="O112" s="3709">
        <f t="shared" si="64"/>
        <v>0</v>
      </c>
      <c r="P112" s="3709">
        <f t="shared" si="64"/>
        <v>0</v>
      </c>
      <c r="Q112" s="3709">
        <f t="shared" si="64"/>
        <v>0</v>
      </c>
      <c r="R112" s="3709">
        <f t="shared" si="64"/>
        <v>0</v>
      </c>
      <c r="S112" s="3709">
        <f t="shared" si="64"/>
        <v>0</v>
      </c>
      <c r="T112" s="3709">
        <f t="shared" si="64"/>
        <v>0</v>
      </c>
      <c r="U112" s="3709">
        <f t="shared" si="64"/>
        <v>0</v>
      </c>
      <c r="V112" s="3709">
        <f>V113</f>
        <v>0</v>
      </c>
      <c r="W112" s="3709">
        <f>W113</f>
        <v>0</v>
      </c>
      <c r="X112" s="3720">
        <f>+X113</f>
        <v>0</v>
      </c>
      <c r="Y112" s="2606"/>
    </row>
    <row r="113" spans="1:25" s="3610" customFormat="1" ht="15" hidden="1" customHeight="1" thickBot="1">
      <c r="A113" s="2927"/>
      <c r="B113" s="3722" t="s">
        <v>171</v>
      </c>
      <c r="C113" s="3723"/>
      <c r="D113" s="2446">
        <f>M113+O113+P113+Q113+R113+S113+T113+U113+V113+W113</f>
        <v>0</v>
      </c>
      <c r="E113" s="3529">
        <v>0</v>
      </c>
      <c r="F113" s="3529"/>
      <c r="G113" s="3529"/>
      <c r="H113" s="3529"/>
      <c r="I113" s="3529">
        <v>0</v>
      </c>
      <c r="J113" s="3529">
        <v>0</v>
      </c>
      <c r="K113" s="3529">
        <v>0</v>
      </c>
      <c r="L113" s="3529">
        <v>0</v>
      </c>
      <c r="M113" s="2446">
        <v>0</v>
      </c>
      <c r="N113" s="3529">
        <f>60000+83395-25617-282</f>
        <v>117496</v>
      </c>
      <c r="O113" s="3529">
        <v>0</v>
      </c>
      <c r="P113" s="3529">
        <v>0</v>
      </c>
      <c r="Q113" s="3529">
        <v>0</v>
      </c>
      <c r="R113" s="3529">
        <v>0</v>
      </c>
      <c r="S113" s="3529">
        <v>0</v>
      </c>
      <c r="T113" s="3529">
        <v>0</v>
      </c>
      <c r="U113" s="3529">
        <v>0</v>
      </c>
      <c r="V113" s="3529">
        <v>0</v>
      </c>
      <c r="W113" s="3529">
        <v>0</v>
      </c>
      <c r="X113" s="3724">
        <f>+T113+S113+R113+Q113+P113</f>
        <v>0</v>
      </c>
      <c r="Y113" s="2607"/>
    </row>
    <row r="114" spans="1:25" ht="12.75">
      <c r="A114" s="1987"/>
      <c r="B114" s="1987"/>
      <c r="C114" s="1987"/>
      <c r="D114" s="1987"/>
      <c r="E114" s="1987"/>
      <c r="F114" s="1987"/>
      <c r="G114" s="1987"/>
      <c r="H114" s="1987"/>
      <c r="I114" s="1987"/>
      <c r="J114" s="1987"/>
      <c r="K114" s="1987"/>
      <c r="L114" s="1987"/>
      <c r="M114" s="1987"/>
      <c r="N114" s="1987"/>
      <c r="O114" s="1987"/>
      <c r="P114" s="1987"/>
      <c r="Q114" s="1987"/>
      <c r="R114" s="1987"/>
      <c r="S114" s="1987"/>
      <c r="T114" s="1987"/>
      <c r="U114" s="1987"/>
      <c r="V114" s="1987"/>
      <c r="W114" s="1987"/>
      <c r="X114" s="1987"/>
    </row>
    <row r="115" spans="1:25" ht="12.75">
      <c r="A115" s="1987"/>
      <c r="B115" s="1987"/>
      <c r="C115" s="1987"/>
      <c r="D115" s="1987"/>
      <c r="E115" s="1987"/>
      <c r="F115" s="1987"/>
      <c r="G115" s="1987"/>
      <c r="H115" s="1987"/>
      <c r="I115" s="1987"/>
      <c r="J115" s="1987"/>
      <c r="K115" s="1987"/>
      <c r="L115" s="1987"/>
      <c r="M115" s="1987"/>
      <c r="N115" s="1987"/>
      <c r="O115" s="1987"/>
      <c r="P115" s="1987"/>
      <c r="Q115" s="1987"/>
      <c r="R115" s="1987"/>
      <c r="S115" s="1987"/>
      <c r="T115" s="1987"/>
      <c r="U115" s="1987"/>
      <c r="V115" s="1987"/>
      <c r="W115" s="1987"/>
      <c r="X115" s="1987"/>
    </row>
    <row r="116" spans="1:25" ht="12.75">
      <c r="A116" s="1987"/>
      <c r="B116" s="1987"/>
      <c r="C116" s="1987"/>
      <c r="D116" s="1987"/>
      <c r="E116" s="1987"/>
      <c r="F116" s="1987"/>
      <c r="G116" s="1987"/>
      <c r="H116" s="1987"/>
      <c r="I116" s="1987"/>
      <c r="J116" s="1987"/>
      <c r="K116" s="1987"/>
      <c r="L116" s="1987"/>
      <c r="M116" s="1987"/>
      <c r="N116" s="1987"/>
      <c r="O116" s="1987"/>
      <c r="P116" s="1987"/>
      <c r="Q116" s="1987"/>
      <c r="R116" s="1987"/>
      <c r="S116" s="1987"/>
      <c r="T116" s="1987"/>
      <c r="U116" s="1987"/>
      <c r="V116" s="1987"/>
      <c r="W116" s="1987"/>
      <c r="X116" s="1987"/>
    </row>
    <row r="117" spans="1:25" ht="12.75">
      <c r="A117" s="1987"/>
      <c r="B117" s="1987"/>
      <c r="C117" s="1987"/>
      <c r="D117" s="1987"/>
      <c r="E117" s="1987"/>
      <c r="F117" s="1987"/>
      <c r="G117" s="1987"/>
      <c r="H117" s="1987"/>
      <c r="I117" s="1987"/>
      <c r="J117" s="1987"/>
      <c r="K117" s="1987"/>
      <c r="L117" s="1987"/>
      <c r="M117" s="1987"/>
      <c r="N117" s="1987"/>
      <c r="O117" s="1987"/>
      <c r="P117" s="1987"/>
      <c r="Q117" s="1987"/>
      <c r="R117" s="1987"/>
      <c r="S117" s="1987"/>
      <c r="T117" s="1987"/>
      <c r="U117" s="1987"/>
      <c r="V117" s="1987"/>
      <c r="W117" s="1987"/>
      <c r="X117" s="1987"/>
    </row>
    <row r="118" spans="1:25" ht="12.75">
      <c r="A118" s="1987"/>
      <c r="B118" s="1987"/>
      <c r="C118" s="1987"/>
      <c r="D118" s="1987"/>
      <c r="E118" s="1987"/>
      <c r="F118" s="1987"/>
      <c r="G118" s="1987"/>
      <c r="H118" s="1987"/>
      <c r="I118" s="1987"/>
      <c r="J118" s="1987"/>
      <c r="K118" s="1987"/>
      <c r="L118" s="1987"/>
      <c r="M118" s="1987"/>
      <c r="N118" s="1987"/>
      <c r="O118" s="1987"/>
      <c r="P118" s="1987"/>
      <c r="Q118" s="1987"/>
      <c r="R118" s="1987"/>
      <c r="S118" s="1987"/>
      <c r="T118" s="1987"/>
      <c r="U118" s="1987"/>
      <c r="V118" s="1987"/>
      <c r="W118" s="1987"/>
      <c r="X118" s="1987"/>
    </row>
    <row r="119" spans="1:25">
      <c r="P119" s="701"/>
    </row>
    <row r="120" spans="1:25">
      <c r="P120" s="701"/>
    </row>
    <row r="121" spans="1:25">
      <c r="P121" s="701"/>
    </row>
    <row r="122" spans="1:25">
      <c r="P122" s="701"/>
    </row>
    <row r="123" spans="1:25">
      <c r="P123" s="701"/>
    </row>
    <row r="124" spans="1:25">
      <c r="P124" s="701"/>
    </row>
    <row r="125" spans="1:25">
      <c r="P125" s="701"/>
    </row>
    <row r="126" spans="1:25">
      <c r="P126" s="701"/>
    </row>
    <row r="127" spans="1:25">
      <c r="P127" s="701"/>
    </row>
    <row r="128" spans="1:25">
      <c r="P128" s="701"/>
    </row>
    <row r="129" spans="16:16">
      <c r="P129" s="701"/>
    </row>
    <row r="130" spans="16:16">
      <c r="P130" s="701"/>
    </row>
    <row r="131" spans="16:16">
      <c r="P131" s="701"/>
    </row>
    <row r="132" spans="16:16">
      <c r="P132" s="701"/>
    </row>
    <row r="133" spans="16:16">
      <c r="P133" s="701"/>
    </row>
    <row r="134" spans="16:16">
      <c r="P134" s="701"/>
    </row>
    <row r="135" spans="16:16">
      <c r="P135" s="701"/>
    </row>
    <row r="136" spans="16:16">
      <c r="P136" s="701"/>
    </row>
    <row r="137" spans="16:16">
      <c r="P137" s="701"/>
    </row>
    <row r="138" spans="16:16">
      <c r="P138" s="701"/>
    </row>
    <row r="139" spans="16:16">
      <c r="P139" s="701"/>
    </row>
    <row r="140" spans="16:16">
      <c r="P140" s="701"/>
    </row>
    <row r="141" spans="16:16">
      <c r="P141" s="701"/>
    </row>
    <row r="142" spans="16:16">
      <c r="P142" s="701"/>
    </row>
    <row r="143" spans="16:16">
      <c r="P143" s="701"/>
    </row>
    <row r="144" spans="16:16">
      <c r="P144" s="701"/>
    </row>
    <row r="145" spans="16:16">
      <c r="P145" s="701"/>
    </row>
    <row r="146" spans="16:16">
      <c r="P146" s="701"/>
    </row>
    <row r="147" spans="16:16">
      <c r="P147" s="701"/>
    </row>
    <row r="148" spans="16:16">
      <c r="P148" s="701"/>
    </row>
    <row r="149" spans="16:16">
      <c r="P149" s="701"/>
    </row>
    <row r="150" spans="16:16">
      <c r="P150" s="701"/>
    </row>
    <row r="151" spans="16:16">
      <c r="P151" s="701"/>
    </row>
    <row r="152" spans="16:16">
      <c r="P152" s="701"/>
    </row>
    <row r="153" spans="16:16">
      <c r="P153" s="701"/>
    </row>
    <row r="154" spans="16:16">
      <c r="P154" s="701"/>
    </row>
    <row r="155" spans="16:16">
      <c r="P155" s="701"/>
    </row>
    <row r="156" spans="16:16">
      <c r="P156" s="701"/>
    </row>
    <row r="157" spans="16:16">
      <c r="P157" s="701"/>
    </row>
    <row r="158" spans="16:16">
      <c r="P158" s="701"/>
    </row>
    <row r="159" spans="16:16">
      <c r="P159" s="701"/>
    </row>
    <row r="160" spans="16:16">
      <c r="P160" s="701"/>
    </row>
    <row r="161" spans="16:16">
      <c r="P161" s="701"/>
    </row>
    <row r="162" spans="16:16">
      <c r="P162" s="701"/>
    </row>
    <row r="163" spans="16:16">
      <c r="P163" s="701"/>
    </row>
    <row r="164" spans="16:16">
      <c r="P164" s="701"/>
    </row>
    <row r="165" spans="16:16">
      <c r="P165" s="701"/>
    </row>
    <row r="166" spans="16:16">
      <c r="P166" s="701"/>
    </row>
    <row r="167" spans="16:16">
      <c r="P167" s="701"/>
    </row>
    <row r="168" spans="16:16">
      <c r="P168" s="701"/>
    </row>
    <row r="169" spans="16:16">
      <c r="P169" s="701"/>
    </row>
    <row r="170" spans="16:16">
      <c r="P170" s="701"/>
    </row>
    <row r="171" spans="16:16">
      <c r="P171" s="701"/>
    </row>
    <row r="172" spans="16:16">
      <c r="P172" s="701"/>
    </row>
    <row r="173" spans="16:16">
      <c r="P173" s="701"/>
    </row>
    <row r="174" spans="16:16">
      <c r="P174" s="701"/>
    </row>
    <row r="175" spans="16:16">
      <c r="P175" s="701"/>
    </row>
    <row r="176" spans="16:16">
      <c r="P176" s="701"/>
    </row>
    <row r="177" spans="1:25">
      <c r="P177" s="701"/>
    </row>
    <row r="178" spans="1:25">
      <c r="P178" s="701"/>
    </row>
    <row r="179" spans="1:25">
      <c r="P179" s="701"/>
    </row>
    <row r="180" spans="1:25">
      <c r="P180" s="701"/>
    </row>
    <row r="181" spans="1:25">
      <c r="P181" s="701"/>
    </row>
    <row r="182" spans="1:25">
      <c r="P182" s="701"/>
    </row>
    <row r="183" spans="1:25" ht="12.75">
      <c r="A183" s="1987"/>
      <c r="B183" s="1987" t="s">
        <v>85</v>
      </c>
      <c r="C183" s="1987"/>
      <c r="D183" s="1987"/>
      <c r="E183" s="1987"/>
      <c r="F183" s="1987"/>
      <c r="G183" s="1987"/>
      <c r="H183" s="1987"/>
      <c r="I183" s="1987"/>
      <c r="J183" s="1987"/>
      <c r="K183" s="1987"/>
      <c r="L183" s="1987"/>
      <c r="M183" s="1987"/>
      <c r="N183" s="1987"/>
      <c r="O183" s="1987"/>
      <c r="P183" s="1987"/>
      <c r="Q183" s="1987"/>
      <c r="R183" s="1987"/>
      <c r="S183" s="1987"/>
      <c r="T183" s="1987"/>
      <c r="U183" s="1987"/>
      <c r="V183" s="1987"/>
      <c r="W183" s="1987"/>
      <c r="X183" s="1987"/>
      <c r="Y183" s="1987"/>
    </row>
    <row r="184" spans="1:25" ht="12.75">
      <c r="A184" s="1987"/>
      <c r="P184" s="701"/>
      <c r="Y184" s="1987"/>
    </row>
    <row r="185" spans="1:25" ht="12.75">
      <c r="A185" s="1987"/>
      <c r="P185" s="701"/>
      <c r="Y185" s="1987"/>
    </row>
    <row r="186" spans="1:25" ht="12.75">
      <c r="A186" s="1987"/>
      <c r="P186" s="701"/>
      <c r="Y186" s="1987"/>
    </row>
    <row r="187" spans="1:25" ht="12.75">
      <c r="A187" s="1987"/>
      <c r="P187" s="701"/>
      <c r="Y187" s="1987"/>
    </row>
    <row r="188" spans="1:25" ht="12.75">
      <c r="A188" s="1987"/>
      <c r="P188" s="701"/>
      <c r="Y188" s="1987"/>
    </row>
    <row r="189" spans="1:25" ht="12.75">
      <c r="A189" s="1987"/>
      <c r="P189" s="701"/>
      <c r="Y189" s="1987"/>
    </row>
    <row r="190" spans="1:25" ht="12.75">
      <c r="A190" s="1987"/>
      <c r="P190" s="701"/>
      <c r="Y190" s="1987"/>
    </row>
    <row r="191" spans="1:25" ht="12.75">
      <c r="A191" s="1987"/>
      <c r="P191" s="701"/>
      <c r="Y191" s="1987"/>
    </row>
    <row r="192" spans="1:25" ht="12.75">
      <c r="A192" s="1987"/>
      <c r="P192" s="701"/>
      <c r="Y192" s="1987"/>
    </row>
    <row r="193" spans="1:25" ht="12.75">
      <c r="A193" s="1987"/>
      <c r="P193" s="701"/>
      <c r="Y193" s="1987"/>
    </row>
    <row r="194" spans="1:25" ht="12.75">
      <c r="A194" s="1987"/>
      <c r="B194" s="1987"/>
      <c r="C194" s="1987"/>
      <c r="D194" s="1987"/>
      <c r="E194" s="1987"/>
      <c r="F194" s="1987"/>
      <c r="G194" s="1987"/>
      <c r="H194" s="1987"/>
      <c r="I194" s="1987"/>
      <c r="J194" s="1987"/>
      <c r="K194" s="1987"/>
      <c r="L194" s="1987"/>
      <c r="M194" s="1987"/>
      <c r="N194" s="1987"/>
      <c r="O194" s="1987"/>
      <c r="P194" s="1987"/>
      <c r="Q194" s="1987"/>
      <c r="R194" s="1987"/>
      <c r="S194" s="1987"/>
      <c r="T194" s="1987"/>
      <c r="U194" s="1987"/>
      <c r="V194" s="1987"/>
      <c r="W194" s="1987"/>
      <c r="X194" s="1987"/>
      <c r="Y194" s="1987"/>
    </row>
    <row r="195" spans="1:25">
      <c r="P195" s="701"/>
    </row>
    <row r="196" spans="1:25">
      <c r="P196" s="701"/>
    </row>
    <row r="197" spans="1:25">
      <c r="P197" s="701"/>
    </row>
    <row r="198" spans="1:25">
      <c r="P198" s="701"/>
    </row>
    <row r="199" spans="1:25">
      <c r="P199" s="701"/>
    </row>
    <row r="200" spans="1:25">
      <c r="P200" s="701"/>
    </row>
    <row r="201" spans="1:25">
      <c r="P201" s="701"/>
    </row>
    <row r="202" spans="1:25">
      <c r="P202" s="701"/>
    </row>
    <row r="203" spans="1:25">
      <c r="P203" s="701"/>
    </row>
    <row r="204" spans="1:25">
      <c r="P204" s="701"/>
    </row>
    <row r="205" spans="1:25">
      <c r="P205" s="701"/>
    </row>
    <row r="206" spans="1:25">
      <c r="P206" s="701"/>
    </row>
    <row r="207" spans="1:25">
      <c r="P207" s="701"/>
    </row>
    <row r="208" spans="1:25">
      <c r="P208" s="701"/>
    </row>
    <row r="209" spans="16:16">
      <c r="P209" s="701"/>
    </row>
    <row r="210" spans="16:16">
      <c r="P210" s="701"/>
    </row>
    <row r="211" spans="16:16">
      <c r="P211" s="701"/>
    </row>
    <row r="212" spans="16:16">
      <c r="P212" s="701"/>
    </row>
    <row r="213" spans="16:16">
      <c r="P213" s="701"/>
    </row>
    <row r="214" spans="16:16">
      <c r="P214" s="701"/>
    </row>
    <row r="215" spans="16:16">
      <c r="P215" s="701"/>
    </row>
    <row r="216" spans="16:16">
      <c r="P216" s="701"/>
    </row>
    <row r="217" spans="16:16">
      <c r="P217" s="701"/>
    </row>
    <row r="218" spans="16:16">
      <c r="P218" s="701"/>
    </row>
    <row r="219" spans="16:16">
      <c r="P219" s="701"/>
    </row>
    <row r="220" spans="16:16">
      <c r="P220" s="701"/>
    </row>
    <row r="221" spans="16:16">
      <c r="P221" s="701"/>
    </row>
    <row r="222" spans="16:16">
      <c r="P222" s="701"/>
    </row>
    <row r="223" spans="16:16">
      <c r="P223" s="701"/>
    </row>
    <row r="224" spans="16:16">
      <c r="P224" s="701"/>
    </row>
    <row r="225" spans="16:16">
      <c r="P225" s="701"/>
    </row>
    <row r="226" spans="16:16">
      <c r="P226" s="701"/>
    </row>
    <row r="227" spans="16:16">
      <c r="P227" s="701"/>
    </row>
    <row r="228" spans="16:16">
      <c r="P228" s="701"/>
    </row>
    <row r="229" spans="16:16">
      <c r="P229" s="701"/>
    </row>
    <row r="230" spans="16:16">
      <c r="P230" s="701"/>
    </row>
    <row r="231" spans="16:16">
      <c r="P231" s="701"/>
    </row>
    <row r="232" spans="16:16">
      <c r="P232" s="701"/>
    </row>
    <row r="233" spans="16:16">
      <c r="P233" s="701"/>
    </row>
    <row r="234" spans="16:16">
      <c r="P234" s="701"/>
    </row>
    <row r="235" spans="16:16">
      <c r="P235" s="701"/>
    </row>
    <row r="236" spans="16:16">
      <c r="P236" s="701"/>
    </row>
    <row r="237" spans="16:16">
      <c r="P237" s="701"/>
    </row>
    <row r="238" spans="16:16">
      <c r="P238" s="701"/>
    </row>
    <row r="239" spans="16:16">
      <c r="P239" s="701"/>
    </row>
    <row r="240" spans="16:16">
      <c r="P240" s="701"/>
    </row>
    <row r="241" spans="16:16">
      <c r="P241" s="701"/>
    </row>
    <row r="242" spans="16:16">
      <c r="P242" s="701"/>
    </row>
    <row r="243" spans="16:16">
      <c r="P243" s="701"/>
    </row>
    <row r="244" spans="16:16">
      <c r="P244" s="701"/>
    </row>
    <row r="245" spans="16:16">
      <c r="P245" s="701"/>
    </row>
    <row r="246" spans="16:16">
      <c r="P246" s="701"/>
    </row>
    <row r="247" spans="16:16">
      <c r="P247" s="701"/>
    </row>
    <row r="248" spans="16:16">
      <c r="P248" s="701"/>
    </row>
    <row r="249" spans="16:16">
      <c r="P249" s="701"/>
    </row>
    <row r="250" spans="16:16">
      <c r="P250" s="701"/>
    </row>
    <row r="251" spans="16:16">
      <c r="P251" s="701"/>
    </row>
    <row r="252" spans="16:16">
      <c r="P252" s="701"/>
    </row>
    <row r="253" spans="16:16">
      <c r="P253" s="701"/>
    </row>
    <row r="254" spans="16:16">
      <c r="P254" s="701"/>
    </row>
    <row r="255" spans="16:16">
      <c r="P255" s="701"/>
    </row>
    <row r="256" spans="16:16">
      <c r="P256" s="701"/>
    </row>
    <row r="257" spans="16:16">
      <c r="P257" s="701"/>
    </row>
    <row r="258" spans="16:16">
      <c r="P258" s="701"/>
    </row>
    <row r="259" spans="16:16">
      <c r="P259" s="701"/>
    </row>
    <row r="260" spans="16:16">
      <c r="P260" s="701"/>
    </row>
    <row r="261" spans="16:16">
      <c r="P261" s="701"/>
    </row>
    <row r="262" spans="16:16">
      <c r="P262" s="701"/>
    </row>
    <row r="263" spans="16:16">
      <c r="P263" s="701"/>
    </row>
    <row r="264" spans="16:16">
      <c r="P264" s="701"/>
    </row>
    <row r="265" spans="16:16">
      <c r="P265" s="701"/>
    </row>
    <row r="266" spans="16:16">
      <c r="P266" s="701"/>
    </row>
    <row r="267" spans="16:16">
      <c r="P267" s="701"/>
    </row>
    <row r="268" spans="16:16">
      <c r="P268" s="701"/>
    </row>
    <row r="269" spans="16:16">
      <c r="P269" s="701"/>
    </row>
    <row r="270" spans="16:16">
      <c r="P270" s="701"/>
    </row>
    <row r="271" spans="16:16">
      <c r="P271" s="701"/>
    </row>
    <row r="272" spans="16:16">
      <c r="P272" s="701"/>
    </row>
    <row r="273" spans="16:16">
      <c r="P273" s="701"/>
    </row>
    <row r="274" spans="16:16">
      <c r="P274" s="701"/>
    </row>
    <row r="275" spans="16:16">
      <c r="P275" s="701"/>
    </row>
    <row r="276" spans="16:16">
      <c r="P276" s="701"/>
    </row>
    <row r="277" spans="16:16">
      <c r="P277" s="701"/>
    </row>
    <row r="278" spans="16:16">
      <c r="P278" s="701"/>
    </row>
    <row r="279" spans="16:16">
      <c r="P279" s="701"/>
    </row>
    <row r="280" spans="16:16">
      <c r="P280" s="701"/>
    </row>
    <row r="281" spans="16:16">
      <c r="P281" s="701"/>
    </row>
    <row r="282" spans="16:16">
      <c r="P282" s="701"/>
    </row>
    <row r="283" spans="16:16">
      <c r="P283" s="701"/>
    </row>
    <row r="284" spans="16:16">
      <c r="P284" s="701"/>
    </row>
    <row r="285" spans="16:16">
      <c r="P285" s="701"/>
    </row>
    <row r="286" spans="16:16">
      <c r="P286" s="701"/>
    </row>
    <row r="287" spans="16:16">
      <c r="P287" s="701"/>
    </row>
    <row r="288" spans="16:16">
      <c r="P288" s="701"/>
    </row>
    <row r="289" spans="16:16">
      <c r="P289" s="701"/>
    </row>
    <row r="290" spans="16:16">
      <c r="P290" s="701"/>
    </row>
    <row r="291" spans="16:16">
      <c r="P291" s="701"/>
    </row>
    <row r="292" spans="16:16">
      <c r="P292" s="701"/>
    </row>
    <row r="293" spans="16:16">
      <c r="P293" s="701"/>
    </row>
    <row r="294" spans="16:16">
      <c r="P294" s="701"/>
    </row>
    <row r="295" spans="16:16">
      <c r="P295" s="701"/>
    </row>
    <row r="296" spans="16:16">
      <c r="P296" s="701"/>
    </row>
    <row r="297" spans="16:16">
      <c r="P297" s="701"/>
    </row>
    <row r="298" spans="16:16">
      <c r="P298" s="701"/>
    </row>
    <row r="299" spans="16:16">
      <c r="P299" s="701"/>
    </row>
    <row r="300" spans="16:16">
      <c r="P300" s="701"/>
    </row>
    <row r="301" spans="16:16">
      <c r="P301" s="701"/>
    </row>
    <row r="302" spans="16:16">
      <c r="P302" s="701"/>
    </row>
    <row r="303" spans="16:16">
      <c r="P303" s="701"/>
    </row>
    <row r="304" spans="16:16">
      <c r="P304" s="701"/>
    </row>
    <row r="305" spans="16:16">
      <c r="P305" s="701"/>
    </row>
    <row r="306" spans="16:16">
      <c r="P306" s="701"/>
    </row>
    <row r="307" spans="16:16">
      <c r="P307" s="701"/>
    </row>
    <row r="308" spans="16:16">
      <c r="P308" s="701"/>
    </row>
    <row r="309" spans="16:16">
      <c r="P309" s="701"/>
    </row>
    <row r="310" spans="16:16">
      <c r="P310" s="701"/>
    </row>
    <row r="311" spans="16:16">
      <c r="P311" s="701"/>
    </row>
    <row r="312" spans="16:16">
      <c r="P312" s="701"/>
    </row>
    <row r="313" spans="16:16">
      <c r="P313" s="701"/>
    </row>
    <row r="314" spans="16:16">
      <c r="P314" s="701"/>
    </row>
    <row r="315" spans="16:16">
      <c r="P315" s="701"/>
    </row>
    <row r="316" spans="16:16">
      <c r="P316" s="701"/>
    </row>
    <row r="317" spans="16:16">
      <c r="P317" s="701"/>
    </row>
    <row r="318" spans="16:16">
      <c r="P318" s="701"/>
    </row>
    <row r="319" spans="16:16">
      <c r="P319" s="701"/>
    </row>
    <row r="320" spans="16:16">
      <c r="P320" s="701"/>
    </row>
    <row r="321" spans="16:16">
      <c r="P321" s="701"/>
    </row>
    <row r="322" spans="16:16">
      <c r="P322" s="701"/>
    </row>
    <row r="323" spans="16:16">
      <c r="P323" s="701"/>
    </row>
    <row r="324" spans="16:16">
      <c r="P324" s="701"/>
    </row>
    <row r="325" spans="16:16">
      <c r="P325" s="701"/>
    </row>
    <row r="326" spans="16:16">
      <c r="P326" s="701"/>
    </row>
    <row r="327" spans="16:16">
      <c r="P327" s="701"/>
    </row>
    <row r="328" spans="16:16">
      <c r="P328" s="701"/>
    </row>
    <row r="329" spans="16:16">
      <c r="P329" s="701"/>
    </row>
    <row r="330" spans="16:16">
      <c r="P330" s="701"/>
    </row>
    <row r="331" spans="16:16">
      <c r="P331" s="701"/>
    </row>
    <row r="332" spans="16:16">
      <c r="P332" s="701"/>
    </row>
    <row r="333" spans="16:16">
      <c r="P333" s="701"/>
    </row>
    <row r="334" spans="16:16">
      <c r="P334" s="701"/>
    </row>
    <row r="335" spans="16:16">
      <c r="P335" s="701"/>
    </row>
    <row r="336" spans="16:16">
      <c r="P336" s="701"/>
    </row>
    <row r="337" spans="16:16">
      <c r="P337" s="701"/>
    </row>
    <row r="338" spans="16:16">
      <c r="P338" s="701"/>
    </row>
    <row r="339" spans="16:16">
      <c r="P339" s="701"/>
    </row>
    <row r="340" spans="16:16">
      <c r="P340" s="701"/>
    </row>
    <row r="341" spans="16:16">
      <c r="P341" s="701"/>
    </row>
    <row r="342" spans="16:16">
      <c r="P342" s="701"/>
    </row>
    <row r="343" spans="16:16">
      <c r="P343" s="701"/>
    </row>
    <row r="344" spans="16:16">
      <c r="P344" s="701"/>
    </row>
    <row r="345" spans="16:16">
      <c r="P345" s="701"/>
    </row>
    <row r="346" spans="16:16">
      <c r="P346" s="701"/>
    </row>
    <row r="347" spans="16:16">
      <c r="P347" s="701"/>
    </row>
    <row r="348" spans="16:16">
      <c r="P348" s="701"/>
    </row>
    <row r="349" spans="16:16">
      <c r="P349" s="701"/>
    </row>
    <row r="350" spans="16:16">
      <c r="P350" s="701"/>
    </row>
    <row r="351" spans="16:16">
      <c r="P351" s="701"/>
    </row>
    <row r="352" spans="16:16">
      <c r="P352" s="701"/>
    </row>
    <row r="353" spans="16:16">
      <c r="P353" s="701"/>
    </row>
    <row r="354" spans="16:16">
      <c r="P354" s="701"/>
    </row>
    <row r="355" spans="16:16">
      <c r="P355" s="701"/>
    </row>
    <row r="356" spans="16:16">
      <c r="P356" s="701"/>
    </row>
    <row r="357" spans="16:16">
      <c r="P357" s="701"/>
    </row>
    <row r="358" spans="16:16">
      <c r="P358" s="701"/>
    </row>
    <row r="359" spans="16:16">
      <c r="P359" s="701"/>
    </row>
    <row r="360" spans="16:16">
      <c r="P360" s="701"/>
    </row>
    <row r="361" spans="16:16">
      <c r="P361" s="701"/>
    </row>
    <row r="362" spans="16:16">
      <c r="P362" s="701"/>
    </row>
    <row r="363" spans="16:16">
      <c r="P363" s="701"/>
    </row>
    <row r="364" spans="16:16">
      <c r="P364" s="701"/>
    </row>
    <row r="365" spans="16:16">
      <c r="P365" s="701"/>
    </row>
    <row r="366" spans="16:16">
      <c r="P366" s="701"/>
    </row>
    <row r="367" spans="16:16">
      <c r="P367" s="701"/>
    </row>
    <row r="368" spans="16:16">
      <c r="P368" s="701"/>
    </row>
    <row r="369" spans="16:16">
      <c r="P369" s="701"/>
    </row>
    <row r="370" spans="16:16">
      <c r="P370" s="701"/>
    </row>
    <row r="371" spans="16:16">
      <c r="P371" s="701"/>
    </row>
    <row r="372" spans="16:16">
      <c r="P372" s="701"/>
    </row>
    <row r="373" spans="16:16">
      <c r="P373" s="701"/>
    </row>
    <row r="374" spans="16:16">
      <c r="P374" s="701"/>
    </row>
    <row r="375" spans="16:16">
      <c r="P375" s="701"/>
    </row>
    <row r="376" spans="16:16">
      <c r="P376" s="701"/>
    </row>
    <row r="377" spans="16:16">
      <c r="P377" s="701"/>
    </row>
    <row r="378" spans="16:16">
      <c r="P378" s="701"/>
    </row>
    <row r="379" spans="16:16">
      <c r="P379" s="701"/>
    </row>
    <row r="380" spans="16:16">
      <c r="P380" s="701"/>
    </row>
    <row r="381" spans="16:16">
      <c r="P381" s="701"/>
    </row>
    <row r="382" spans="16:16">
      <c r="P382" s="701"/>
    </row>
    <row r="383" spans="16:16">
      <c r="P383" s="701"/>
    </row>
    <row r="384" spans="16:16">
      <c r="P384" s="701"/>
    </row>
    <row r="385" spans="16:16">
      <c r="P385" s="701"/>
    </row>
    <row r="386" spans="16:16">
      <c r="P386" s="701"/>
    </row>
    <row r="387" spans="16:16">
      <c r="P387" s="701"/>
    </row>
    <row r="388" spans="16:16">
      <c r="P388" s="701"/>
    </row>
    <row r="389" spans="16:16">
      <c r="P389" s="701"/>
    </row>
    <row r="390" spans="16:16">
      <c r="P390" s="701"/>
    </row>
    <row r="391" spans="16:16">
      <c r="P391" s="701"/>
    </row>
    <row r="392" spans="16:16">
      <c r="P392" s="701"/>
    </row>
    <row r="393" spans="16:16">
      <c r="P393" s="701"/>
    </row>
    <row r="394" spans="16:16">
      <c r="P394" s="701"/>
    </row>
    <row r="395" spans="16:16">
      <c r="P395" s="701"/>
    </row>
    <row r="396" spans="16:16">
      <c r="P396" s="701"/>
    </row>
    <row r="397" spans="16:16">
      <c r="P397" s="701"/>
    </row>
    <row r="398" spans="16:16">
      <c r="P398" s="701"/>
    </row>
    <row r="399" spans="16:16">
      <c r="P399" s="701"/>
    </row>
    <row r="400" spans="16:16">
      <c r="P400" s="701"/>
    </row>
    <row r="401" spans="16:16">
      <c r="P401" s="701"/>
    </row>
    <row r="402" spans="16:16">
      <c r="P402" s="701"/>
    </row>
    <row r="403" spans="16:16">
      <c r="P403" s="701"/>
    </row>
    <row r="404" spans="16:16">
      <c r="P404" s="701"/>
    </row>
    <row r="405" spans="16:16">
      <c r="P405" s="701"/>
    </row>
    <row r="406" spans="16:16">
      <c r="P406" s="701"/>
    </row>
    <row r="407" spans="16:16">
      <c r="P407" s="701"/>
    </row>
    <row r="408" spans="16:16">
      <c r="P408" s="701"/>
    </row>
    <row r="409" spans="16:16">
      <c r="P409" s="701"/>
    </row>
    <row r="410" spans="16:16">
      <c r="P410" s="701"/>
    </row>
    <row r="411" spans="16:16">
      <c r="P411" s="701"/>
    </row>
    <row r="412" spans="16:16">
      <c r="P412" s="701"/>
    </row>
    <row r="413" spans="16:16">
      <c r="P413" s="701"/>
    </row>
    <row r="414" spans="16:16">
      <c r="P414" s="701"/>
    </row>
    <row r="415" spans="16:16">
      <c r="P415" s="701"/>
    </row>
    <row r="416" spans="16:16">
      <c r="P416" s="701"/>
    </row>
    <row r="417" spans="16:16">
      <c r="P417" s="701"/>
    </row>
    <row r="418" spans="16:16">
      <c r="P418" s="701"/>
    </row>
    <row r="419" spans="16:16">
      <c r="P419" s="701"/>
    </row>
    <row r="420" spans="16:16">
      <c r="P420" s="701"/>
    </row>
    <row r="421" spans="16:16">
      <c r="P421" s="701"/>
    </row>
    <row r="422" spans="16:16">
      <c r="P422" s="701"/>
    </row>
    <row r="423" spans="16:16">
      <c r="P423" s="701"/>
    </row>
    <row r="424" spans="16:16">
      <c r="P424" s="701"/>
    </row>
    <row r="425" spans="16:16">
      <c r="P425" s="701"/>
    </row>
    <row r="426" spans="16:16">
      <c r="P426" s="701"/>
    </row>
    <row r="427" spans="16:16">
      <c r="P427" s="701"/>
    </row>
    <row r="428" spans="16:16">
      <c r="P428" s="701"/>
    </row>
    <row r="429" spans="16:16">
      <c r="P429" s="701"/>
    </row>
    <row r="430" spans="16:16">
      <c r="P430" s="701"/>
    </row>
    <row r="431" spans="16:16">
      <c r="P431" s="701"/>
    </row>
    <row r="432" spans="16:16">
      <c r="P432" s="701"/>
    </row>
    <row r="433" spans="16:16">
      <c r="P433" s="701"/>
    </row>
    <row r="434" spans="16:16">
      <c r="P434" s="701"/>
    </row>
    <row r="435" spans="16:16">
      <c r="P435" s="701"/>
    </row>
    <row r="436" spans="16:16">
      <c r="P436" s="701"/>
    </row>
    <row r="437" spans="16:16">
      <c r="P437" s="701"/>
    </row>
    <row r="438" spans="16:16">
      <c r="P438" s="701"/>
    </row>
    <row r="439" spans="16:16">
      <c r="P439" s="701"/>
    </row>
    <row r="440" spans="16:16">
      <c r="P440" s="701"/>
    </row>
    <row r="441" spans="16:16">
      <c r="P441" s="701"/>
    </row>
    <row r="442" spans="16:16">
      <c r="P442" s="701"/>
    </row>
    <row r="443" spans="16:16">
      <c r="P443" s="701"/>
    </row>
    <row r="444" spans="16:16">
      <c r="P444" s="701"/>
    </row>
    <row r="445" spans="16:16">
      <c r="P445" s="701"/>
    </row>
    <row r="446" spans="16:16">
      <c r="P446" s="701"/>
    </row>
    <row r="447" spans="16:16">
      <c r="P447" s="701"/>
    </row>
    <row r="448" spans="16:16">
      <c r="P448" s="701"/>
    </row>
    <row r="449" spans="16:16">
      <c r="P449" s="701"/>
    </row>
    <row r="450" spans="16:16">
      <c r="P450" s="701"/>
    </row>
    <row r="451" spans="16:16">
      <c r="P451" s="701"/>
    </row>
    <row r="452" spans="16:16">
      <c r="P452" s="701"/>
    </row>
    <row r="453" spans="16:16">
      <c r="P453" s="701"/>
    </row>
    <row r="454" spans="16:16">
      <c r="P454" s="701"/>
    </row>
    <row r="455" spans="16:16">
      <c r="P455" s="701"/>
    </row>
    <row r="456" spans="16:16">
      <c r="P456" s="701"/>
    </row>
    <row r="457" spans="16:16">
      <c r="P457" s="701"/>
    </row>
    <row r="458" spans="16:16">
      <c r="P458" s="701"/>
    </row>
    <row r="459" spans="16:16">
      <c r="P459" s="701"/>
    </row>
    <row r="460" spans="16:16">
      <c r="P460" s="701"/>
    </row>
    <row r="461" spans="16:16">
      <c r="P461" s="701"/>
    </row>
    <row r="462" spans="16:16">
      <c r="P462" s="701"/>
    </row>
    <row r="463" spans="16:16">
      <c r="P463" s="701"/>
    </row>
    <row r="464" spans="16:16">
      <c r="P464" s="701"/>
    </row>
    <row r="465" spans="16:16">
      <c r="P465" s="701"/>
    </row>
    <row r="466" spans="16:16">
      <c r="P466" s="701"/>
    </row>
    <row r="467" spans="16:16">
      <c r="P467" s="701"/>
    </row>
    <row r="468" spans="16:16">
      <c r="P468" s="701"/>
    </row>
    <row r="469" spans="16:16">
      <c r="P469" s="701"/>
    </row>
    <row r="470" spans="16:16">
      <c r="P470" s="701"/>
    </row>
    <row r="471" spans="16:16">
      <c r="P471" s="701"/>
    </row>
    <row r="472" spans="16:16">
      <c r="P472" s="701"/>
    </row>
    <row r="473" spans="16:16">
      <c r="P473" s="701"/>
    </row>
    <row r="474" spans="16:16">
      <c r="P474" s="701"/>
    </row>
    <row r="475" spans="16:16">
      <c r="P475" s="701"/>
    </row>
    <row r="476" spans="16:16">
      <c r="P476" s="701"/>
    </row>
    <row r="477" spans="16:16">
      <c r="P477" s="701"/>
    </row>
    <row r="478" spans="16:16">
      <c r="P478" s="701"/>
    </row>
    <row r="479" spans="16:16">
      <c r="P479" s="701"/>
    </row>
    <row r="480" spans="16:16">
      <c r="P480" s="701"/>
    </row>
    <row r="481" spans="16:16">
      <c r="P481" s="701"/>
    </row>
    <row r="482" spans="16:16">
      <c r="P482" s="701"/>
    </row>
    <row r="483" spans="16:16">
      <c r="P483" s="701"/>
    </row>
    <row r="484" spans="16:16">
      <c r="P484" s="701"/>
    </row>
    <row r="485" spans="16:16">
      <c r="P485" s="701"/>
    </row>
    <row r="486" spans="16:16">
      <c r="P486" s="701"/>
    </row>
    <row r="487" spans="16:16">
      <c r="P487" s="701"/>
    </row>
    <row r="488" spans="16:16">
      <c r="P488" s="701"/>
    </row>
    <row r="489" spans="16:16">
      <c r="P489" s="701"/>
    </row>
    <row r="490" spans="16:16">
      <c r="P490" s="701"/>
    </row>
    <row r="491" spans="16:16">
      <c r="P491" s="701"/>
    </row>
    <row r="492" spans="16:16">
      <c r="P492" s="701"/>
    </row>
    <row r="493" spans="16:16">
      <c r="P493" s="701"/>
    </row>
    <row r="494" spans="16:16">
      <c r="P494" s="701"/>
    </row>
    <row r="495" spans="16:16">
      <c r="P495" s="701"/>
    </row>
    <row r="496" spans="16:16">
      <c r="P496" s="701"/>
    </row>
    <row r="497" spans="16:16">
      <c r="P497" s="701"/>
    </row>
    <row r="498" spans="16:16">
      <c r="P498" s="701"/>
    </row>
    <row r="499" spans="16:16">
      <c r="P499" s="701"/>
    </row>
    <row r="500" spans="16:16">
      <c r="P500" s="701"/>
    </row>
    <row r="501" spans="16:16">
      <c r="P501" s="701"/>
    </row>
    <row r="502" spans="16:16">
      <c r="P502" s="701"/>
    </row>
    <row r="503" spans="16:16">
      <c r="P503" s="701"/>
    </row>
    <row r="504" spans="16:16">
      <c r="P504" s="701"/>
    </row>
    <row r="505" spans="16:16">
      <c r="P505" s="701"/>
    </row>
    <row r="506" spans="16:16">
      <c r="P506" s="701"/>
    </row>
    <row r="507" spans="16:16">
      <c r="P507" s="701"/>
    </row>
    <row r="508" spans="16:16">
      <c r="P508" s="701"/>
    </row>
    <row r="509" spans="16:16">
      <c r="P509" s="701"/>
    </row>
    <row r="510" spans="16:16">
      <c r="P510" s="701"/>
    </row>
    <row r="511" spans="16:16">
      <c r="P511" s="701"/>
    </row>
    <row r="512" spans="16:16">
      <c r="P512" s="701"/>
    </row>
    <row r="513" spans="16:16">
      <c r="P513" s="701"/>
    </row>
    <row r="514" spans="16:16">
      <c r="P514" s="701"/>
    </row>
    <row r="515" spans="16:16">
      <c r="P515" s="701"/>
    </row>
    <row r="516" spans="16:16">
      <c r="P516" s="701"/>
    </row>
    <row r="517" spans="16:16">
      <c r="P517" s="701"/>
    </row>
    <row r="518" spans="16:16">
      <c r="P518" s="701"/>
    </row>
    <row r="519" spans="16:16">
      <c r="P519" s="701"/>
    </row>
    <row r="520" spans="16:16">
      <c r="P520" s="701"/>
    </row>
    <row r="521" spans="16:16">
      <c r="P521" s="701"/>
    </row>
    <row r="522" spans="16:16">
      <c r="P522" s="701"/>
    </row>
    <row r="523" spans="16:16">
      <c r="P523" s="701"/>
    </row>
    <row r="524" spans="16:16">
      <c r="P524" s="701"/>
    </row>
    <row r="525" spans="16:16">
      <c r="P525" s="701"/>
    </row>
    <row r="526" spans="16:16">
      <c r="P526" s="701"/>
    </row>
    <row r="527" spans="16:16">
      <c r="P527" s="701"/>
    </row>
    <row r="528" spans="16:16">
      <c r="P528" s="701"/>
    </row>
    <row r="529" spans="16:16">
      <c r="P529" s="701"/>
    </row>
    <row r="530" spans="16:16">
      <c r="P530" s="701"/>
    </row>
    <row r="531" spans="16:16">
      <c r="P531" s="701"/>
    </row>
    <row r="532" spans="16:16">
      <c r="P532" s="701"/>
    </row>
    <row r="533" spans="16:16">
      <c r="P533" s="701"/>
    </row>
    <row r="534" spans="16:16">
      <c r="P534" s="701"/>
    </row>
    <row r="535" spans="16:16">
      <c r="P535" s="701"/>
    </row>
  </sheetData>
  <mergeCells count="59">
    <mergeCell ref="A110:A113"/>
    <mergeCell ref="Y110:Y113"/>
    <mergeCell ref="C112:C113"/>
    <mergeCell ref="A50:A56"/>
    <mergeCell ref="Y50:Y56"/>
    <mergeCell ref="C52:C53"/>
    <mergeCell ref="C55:C56"/>
    <mergeCell ref="A93:A96"/>
    <mergeCell ref="Y93:Y96"/>
    <mergeCell ref="C95:C96"/>
    <mergeCell ref="A97:A109"/>
    <mergeCell ref="Y97:Y109"/>
    <mergeCell ref="Y89:Y92"/>
    <mergeCell ref="C91:C92"/>
    <mergeCell ref="Y73:Y75"/>
    <mergeCell ref="Y76:Y80"/>
    <mergeCell ref="Y43:Y49"/>
    <mergeCell ref="C45:C46"/>
    <mergeCell ref="C48:C49"/>
    <mergeCell ref="X47:X49"/>
    <mergeCell ref="Y57:Y63"/>
    <mergeCell ref="C59:C60"/>
    <mergeCell ref="C34:C37"/>
    <mergeCell ref="A21:A31"/>
    <mergeCell ref="C28:C31"/>
    <mergeCell ref="C23:C26"/>
    <mergeCell ref="C39:C42"/>
    <mergeCell ref="X27:X31"/>
    <mergeCell ref="Y21:Y31"/>
    <mergeCell ref="X38:X42"/>
    <mergeCell ref="C105:C109"/>
    <mergeCell ref="A72:W72"/>
    <mergeCell ref="X105:X109"/>
    <mergeCell ref="X54:X56"/>
    <mergeCell ref="C62:C63"/>
    <mergeCell ref="X61:X63"/>
    <mergeCell ref="C99:C103"/>
    <mergeCell ref="A57:A63"/>
    <mergeCell ref="A89:A92"/>
    <mergeCell ref="X84:X88"/>
    <mergeCell ref="A64:A70"/>
    <mergeCell ref="A43:A49"/>
    <mergeCell ref="A32:A42"/>
    <mergeCell ref="Y64:Y70"/>
    <mergeCell ref="C66:C67"/>
    <mergeCell ref="X68:X70"/>
    <mergeCell ref="C69:C70"/>
    <mergeCell ref="A5:Y5"/>
    <mergeCell ref="B6:B8"/>
    <mergeCell ref="C6:C8"/>
    <mergeCell ref="D6:D8"/>
    <mergeCell ref="E6:L7"/>
    <mergeCell ref="Y6:Y8"/>
    <mergeCell ref="X6:X8"/>
    <mergeCell ref="M6:M7"/>
    <mergeCell ref="O6:O7"/>
    <mergeCell ref="P6:W7"/>
    <mergeCell ref="Y32:Y42"/>
    <mergeCell ref="X18:X20"/>
  </mergeCells>
  <printOptions horizontalCentered="1"/>
  <pageMargins left="0.15748031496062992" right="0.15748031496062992" top="0.55118110236220474" bottom="0.31496062992125984" header="0.15748031496062992" footer="0.15748031496062992"/>
  <pageSetup paperSize="9" scale="68" firstPageNumber="38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70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I832"/>
  <sheetViews>
    <sheetView showGridLines="0" view="pageBreakPreview" zoomScaleNormal="100" zoomScaleSheetLayoutView="100" workbookViewId="0">
      <pane xSplit="3" ySplit="9" topLeftCell="D10" activePane="bottomRight" state="frozen"/>
      <selection activeCell="U30" sqref="U30"/>
      <selection pane="topRight" activeCell="U30" sqref="U30"/>
      <selection pane="bottomLeft" activeCell="U30" sqref="U30"/>
      <selection pane="bottomRight" activeCell="A4" sqref="A4"/>
    </sheetView>
  </sheetViews>
  <sheetFormatPr defaultColWidth="9.140625" defaultRowHeight="12.75"/>
  <cols>
    <col min="1" max="1" width="4.7109375" style="1128" customWidth="1"/>
    <col min="2" max="2" width="52.7109375" style="1129" customWidth="1"/>
    <col min="3" max="3" width="10" style="1129" customWidth="1"/>
    <col min="4" max="4" width="11.28515625" style="1129" customWidth="1"/>
    <col min="5" max="5" width="10.42578125" style="1129" hidden="1" customWidth="1"/>
    <col min="6" max="6" width="9.42578125" style="1312" hidden="1" customWidth="1"/>
    <col min="7" max="8" width="9.42578125" style="1130" hidden="1" customWidth="1"/>
    <col min="9" max="9" width="10.42578125" style="1131" hidden="1" customWidth="1"/>
    <col min="10" max="10" width="11.140625" style="1131" hidden="1" customWidth="1"/>
    <col min="11" max="12" width="10.42578125" style="1131" hidden="1" customWidth="1"/>
    <col min="13" max="13" width="11" style="1129" customWidth="1"/>
    <col min="14" max="14" width="12.28515625" style="1129" hidden="1" customWidth="1"/>
    <col min="15" max="15" width="10.85546875" style="1129" customWidth="1"/>
    <col min="16" max="16" width="10.42578125" style="1129" customWidth="1"/>
    <col min="17" max="17" width="10.28515625" style="1129" customWidth="1"/>
    <col min="18" max="21" width="9.85546875" style="1129" customWidth="1"/>
    <col min="22" max="23" width="10.42578125" style="1129" bestFit="1" customWidth="1"/>
    <col min="24" max="24" width="12.5703125" style="1129" customWidth="1"/>
    <col min="25" max="25" width="13.5703125" style="1294" customWidth="1"/>
    <col min="26" max="26" width="15.140625" style="1129" hidden="1" customWidth="1"/>
    <col min="27" max="27" width="11.140625" style="1129" hidden="1" customWidth="1"/>
    <col min="28" max="28" width="9.5703125" style="1129" hidden="1" customWidth="1"/>
    <col min="29" max="16384" width="9.140625" style="1129"/>
  </cols>
  <sheetData>
    <row r="1" spans="1:87" ht="3.75" customHeight="1">
      <c r="F1" s="1130"/>
      <c r="O1" s="1132"/>
      <c r="X1" s="310"/>
      <c r="Y1" s="311"/>
    </row>
    <row r="2" spans="1:87" ht="15" customHeight="1">
      <c r="B2" s="1133"/>
      <c r="F2" s="1130"/>
      <c r="I2" s="1134"/>
      <c r="J2" s="1135" t="e">
        <f>+E13+I13+J13+K13+L13+N13+O13+P13+Q13+R13</f>
        <v>#REF!</v>
      </c>
      <c r="K2" s="1135"/>
      <c r="L2" s="1135"/>
      <c r="M2" s="1136"/>
      <c r="O2" s="1137"/>
      <c r="T2" s="1138" t="s">
        <v>181</v>
      </c>
      <c r="U2" s="1138"/>
      <c r="V2" s="1138"/>
      <c r="W2" s="1138"/>
      <c r="X2" s="310"/>
      <c r="Y2" s="311"/>
    </row>
    <row r="3" spans="1:87" ht="0.75" customHeight="1">
      <c r="F3" s="1130"/>
      <c r="N3" s="1139"/>
      <c r="O3" s="1139"/>
      <c r="P3" s="1139"/>
      <c r="Q3" s="1139"/>
      <c r="R3" s="1139"/>
      <c r="S3" s="1139"/>
      <c r="T3" s="1139"/>
      <c r="U3" s="1139"/>
      <c r="V3" s="1139"/>
      <c r="W3" s="1139"/>
      <c r="X3" s="310"/>
      <c r="Y3" s="311"/>
    </row>
    <row r="4" spans="1:87" ht="4.5" customHeight="1">
      <c r="F4" s="1130"/>
      <c r="N4" s="1139"/>
      <c r="O4" s="1139"/>
      <c r="P4" s="1139"/>
      <c r="Q4" s="1139"/>
      <c r="R4" s="1139"/>
      <c r="S4" s="1139"/>
      <c r="T4" s="1139"/>
      <c r="U4" s="1139"/>
      <c r="V4" s="1139"/>
      <c r="W4" s="1139"/>
      <c r="X4" s="310"/>
      <c r="Y4" s="311"/>
    </row>
    <row r="5" spans="1:87" s="1140" customFormat="1" ht="39" customHeight="1" thickBot="1">
      <c r="A5" s="2872" t="s">
        <v>182</v>
      </c>
      <c r="B5" s="2872"/>
      <c r="C5" s="2872"/>
      <c r="D5" s="2872"/>
      <c r="E5" s="2872"/>
      <c r="F5" s="2872"/>
      <c r="G5" s="2872"/>
      <c r="H5" s="2872"/>
      <c r="I5" s="2872"/>
      <c r="J5" s="2872"/>
      <c r="K5" s="2872"/>
      <c r="L5" s="2872"/>
      <c r="M5" s="2872"/>
      <c r="N5" s="2872"/>
      <c r="O5" s="2872"/>
      <c r="P5" s="2872"/>
      <c r="Q5" s="2872"/>
      <c r="R5" s="2872"/>
      <c r="S5" s="2872"/>
      <c r="T5" s="2872"/>
      <c r="U5" s="2872"/>
      <c r="V5" s="2872"/>
      <c r="W5" s="2872"/>
      <c r="X5" s="2872"/>
      <c r="Y5" s="2872"/>
    </row>
    <row r="6" spans="1:87" s="1144" customFormat="1" ht="33" customHeight="1" thickBot="1">
      <c r="A6" s="649"/>
      <c r="B6" s="2873" t="s">
        <v>91</v>
      </c>
      <c r="C6" s="2670" t="s">
        <v>87</v>
      </c>
      <c r="D6" s="2673" t="s">
        <v>139</v>
      </c>
      <c r="E6" s="1141" t="s">
        <v>274</v>
      </c>
      <c r="F6" s="1142"/>
      <c r="G6" s="1142"/>
      <c r="H6" s="1142"/>
      <c r="I6" s="1142"/>
      <c r="J6" s="1142"/>
      <c r="K6" s="1142"/>
      <c r="L6" s="1142"/>
      <c r="M6" s="2688" t="s">
        <v>364</v>
      </c>
      <c r="N6" s="1142"/>
      <c r="O6" s="2690" t="s">
        <v>375</v>
      </c>
      <c r="P6" s="2692" t="s">
        <v>370</v>
      </c>
      <c r="Q6" s="2693"/>
      <c r="R6" s="2693"/>
      <c r="S6" s="2693"/>
      <c r="T6" s="2693"/>
      <c r="U6" s="2693"/>
      <c r="V6" s="2693"/>
      <c r="W6" s="2694"/>
      <c r="X6" s="2682" t="s">
        <v>343</v>
      </c>
      <c r="Y6" s="2874" t="s">
        <v>89</v>
      </c>
      <c r="Z6" s="1143"/>
      <c r="AA6" s="1143"/>
      <c r="AB6" s="1143"/>
      <c r="AC6" s="1143"/>
      <c r="AD6" s="1143"/>
      <c r="AE6" s="1143"/>
      <c r="AF6" s="1143"/>
      <c r="AG6" s="1143"/>
      <c r="AH6" s="1143"/>
      <c r="AI6" s="1143"/>
      <c r="AJ6" s="1143"/>
      <c r="AK6" s="1143"/>
      <c r="AL6" s="1143"/>
      <c r="AM6" s="1143"/>
      <c r="AN6" s="1143"/>
      <c r="AO6" s="1143"/>
      <c r="AP6" s="1143"/>
      <c r="AQ6" s="1143"/>
      <c r="AR6" s="1143"/>
      <c r="AS6" s="1143"/>
      <c r="AT6" s="1143"/>
      <c r="AU6" s="1143"/>
      <c r="AV6" s="1143"/>
      <c r="AW6" s="1143"/>
      <c r="AX6" s="1143"/>
      <c r="AY6" s="1143"/>
      <c r="AZ6" s="1143"/>
      <c r="BA6" s="1143"/>
      <c r="BB6" s="1143"/>
      <c r="BC6" s="1143"/>
      <c r="BD6" s="1143"/>
      <c r="BE6" s="1143"/>
      <c r="BF6" s="1143"/>
      <c r="BG6" s="1143"/>
      <c r="BH6" s="1143"/>
      <c r="BI6" s="1143"/>
      <c r="BJ6" s="1143"/>
      <c r="BK6" s="1143"/>
      <c r="BL6" s="1143"/>
      <c r="BM6" s="1143"/>
      <c r="BN6" s="1143"/>
      <c r="BO6" s="1143"/>
      <c r="BP6" s="1143"/>
      <c r="BQ6" s="1143"/>
      <c r="BR6" s="1143"/>
      <c r="BS6" s="1143"/>
      <c r="BT6" s="1143"/>
      <c r="BU6" s="1143"/>
      <c r="BV6" s="1143"/>
      <c r="BW6" s="1143"/>
      <c r="BX6" s="1143"/>
      <c r="BY6" s="1143"/>
      <c r="BZ6" s="1143"/>
      <c r="CA6" s="1143"/>
      <c r="CB6" s="1143"/>
      <c r="CC6" s="1143"/>
      <c r="CD6" s="1143"/>
      <c r="CE6" s="1143"/>
      <c r="CF6" s="1143"/>
      <c r="CG6" s="1143"/>
      <c r="CH6" s="1143"/>
      <c r="CI6" s="1143"/>
    </row>
    <row r="7" spans="1:87" s="1144" customFormat="1" ht="24" customHeight="1" thickBot="1">
      <c r="A7" s="650" t="s">
        <v>90</v>
      </c>
      <c r="B7" s="2873"/>
      <c r="C7" s="2671"/>
      <c r="D7" s="2674"/>
      <c r="E7" s="1145"/>
      <c r="F7" s="1146"/>
      <c r="G7" s="1146"/>
      <c r="H7" s="1146"/>
      <c r="I7" s="1146"/>
      <c r="J7" s="1146"/>
      <c r="K7" s="1146"/>
      <c r="L7" s="1146"/>
      <c r="M7" s="2689"/>
      <c r="N7" s="1146"/>
      <c r="O7" s="2691"/>
      <c r="P7" s="2695"/>
      <c r="Q7" s="2696"/>
      <c r="R7" s="2696"/>
      <c r="S7" s="2696"/>
      <c r="T7" s="2696"/>
      <c r="U7" s="2696"/>
      <c r="V7" s="2696"/>
      <c r="W7" s="2697"/>
      <c r="X7" s="2877"/>
      <c r="Y7" s="2875"/>
      <c r="Z7" s="685">
        <f>+M10+O10+P10+Q10+R10+S10+T10+U10+V10+W10</f>
        <v>324330289</v>
      </c>
      <c r="AA7" s="1143"/>
      <c r="AB7" s="1143"/>
      <c r="AC7" s="1143"/>
      <c r="AD7" s="1143"/>
      <c r="AE7" s="1143"/>
      <c r="AF7" s="1143"/>
      <c r="AG7" s="1143"/>
      <c r="AH7" s="1143"/>
      <c r="AI7" s="1143"/>
      <c r="AJ7" s="1143"/>
      <c r="AK7" s="1143"/>
      <c r="AL7" s="1143"/>
      <c r="AM7" s="1143"/>
      <c r="AN7" s="1143"/>
      <c r="AO7" s="1143"/>
      <c r="AP7" s="1143"/>
      <c r="AQ7" s="1143"/>
      <c r="AR7" s="1143"/>
      <c r="AS7" s="1143"/>
      <c r="AT7" s="1143"/>
      <c r="AU7" s="1143"/>
      <c r="AV7" s="1143"/>
      <c r="AW7" s="1143"/>
      <c r="AX7" s="1143"/>
      <c r="AY7" s="1143"/>
      <c r="AZ7" s="1143"/>
      <c r="BA7" s="1143"/>
      <c r="BB7" s="1143"/>
      <c r="BC7" s="1143"/>
      <c r="BD7" s="1143"/>
      <c r="BE7" s="1143"/>
      <c r="BF7" s="1143"/>
      <c r="BG7" s="1143"/>
      <c r="BH7" s="1143"/>
      <c r="BI7" s="1143"/>
      <c r="BJ7" s="1143"/>
      <c r="BK7" s="1143"/>
      <c r="BL7" s="1143"/>
      <c r="BM7" s="1143"/>
      <c r="BN7" s="1143"/>
      <c r="BO7" s="1143"/>
      <c r="BP7" s="1143"/>
      <c r="BQ7" s="1143"/>
      <c r="BR7" s="1143"/>
      <c r="BS7" s="1143"/>
      <c r="BT7" s="1143"/>
      <c r="BU7" s="1143"/>
      <c r="BV7" s="1143"/>
      <c r="BW7" s="1143"/>
      <c r="BX7" s="1143"/>
      <c r="BY7" s="1143"/>
      <c r="BZ7" s="1143"/>
      <c r="CA7" s="1143"/>
      <c r="CB7" s="1143"/>
      <c r="CC7" s="1143"/>
      <c r="CD7" s="1143"/>
      <c r="CE7" s="1143"/>
      <c r="CF7" s="1143"/>
      <c r="CG7" s="1143"/>
      <c r="CH7" s="1143"/>
      <c r="CI7" s="1143"/>
    </row>
    <row r="8" spans="1:87" s="1144" customFormat="1" ht="40.5" customHeight="1" thickBot="1">
      <c r="A8" s="650"/>
      <c r="B8" s="2873"/>
      <c r="C8" s="2672"/>
      <c r="D8" s="2675"/>
      <c r="E8" s="1147" t="s">
        <v>6</v>
      </c>
      <c r="F8" s="1148" t="s">
        <v>7</v>
      </c>
      <c r="G8" s="1148" t="s">
        <v>273</v>
      </c>
      <c r="H8" s="1148" t="s">
        <v>9</v>
      </c>
      <c r="I8" s="1148" t="s">
        <v>10</v>
      </c>
      <c r="J8" s="1148" t="s">
        <v>11</v>
      </c>
      <c r="K8" s="1148" t="s">
        <v>12</v>
      </c>
      <c r="L8" s="1148" t="s">
        <v>13</v>
      </c>
      <c r="M8" s="1149" t="s">
        <v>344</v>
      </c>
      <c r="N8" s="1830" t="s">
        <v>14</v>
      </c>
      <c r="O8" s="1830" t="s">
        <v>15</v>
      </c>
      <c r="P8" s="1830" t="s">
        <v>16</v>
      </c>
      <c r="Q8" s="1830" t="s">
        <v>17</v>
      </c>
      <c r="R8" s="1830" t="s">
        <v>18</v>
      </c>
      <c r="S8" s="1150" t="s">
        <v>271</v>
      </c>
      <c r="T8" s="1150" t="s">
        <v>272</v>
      </c>
      <c r="U8" s="1150" t="s">
        <v>345</v>
      </c>
      <c r="V8" s="1150" t="s">
        <v>346</v>
      </c>
      <c r="W8" s="1150" t="s">
        <v>347</v>
      </c>
      <c r="X8" s="2878"/>
      <c r="Y8" s="2876"/>
      <c r="Z8" s="685"/>
      <c r="AA8" s="1143"/>
      <c r="AB8" s="1143"/>
      <c r="AC8" s="1143"/>
      <c r="AD8" s="1143"/>
      <c r="AE8" s="1143"/>
      <c r="AF8" s="1143"/>
      <c r="AG8" s="1143"/>
      <c r="AH8" s="1143"/>
      <c r="AI8" s="1143"/>
      <c r="AJ8" s="1143"/>
      <c r="AK8" s="1143"/>
      <c r="AL8" s="1143"/>
      <c r="AM8" s="1143"/>
      <c r="AN8" s="1143"/>
      <c r="AO8" s="1143"/>
      <c r="AP8" s="1143"/>
      <c r="AQ8" s="1143"/>
      <c r="AR8" s="1143"/>
      <c r="AS8" s="1143"/>
      <c r="AT8" s="1143"/>
      <c r="AU8" s="1143"/>
      <c r="AV8" s="1143"/>
      <c r="AW8" s="1143"/>
      <c r="AX8" s="1143"/>
      <c r="AY8" s="1143"/>
      <c r="AZ8" s="1143"/>
      <c r="BA8" s="1143"/>
      <c r="BB8" s="1143"/>
      <c r="BC8" s="1143"/>
      <c r="BD8" s="1143"/>
      <c r="BE8" s="1143"/>
      <c r="BF8" s="1143"/>
      <c r="BG8" s="1143"/>
      <c r="BH8" s="1143"/>
      <c r="BI8" s="1143"/>
      <c r="BJ8" s="1143"/>
      <c r="BK8" s="1143"/>
      <c r="BL8" s="1143"/>
      <c r="BM8" s="1143"/>
      <c r="BN8" s="1143"/>
      <c r="BO8" s="1143"/>
      <c r="BP8" s="1143"/>
      <c r="BQ8" s="1143"/>
      <c r="BR8" s="1143"/>
      <c r="BS8" s="1143"/>
      <c r="BT8" s="1143"/>
      <c r="BU8" s="1143"/>
      <c r="BV8" s="1143"/>
      <c r="BW8" s="1143"/>
      <c r="BX8" s="1143"/>
      <c r="BY8" s="1143"/>
      <c r="BZ8" s="1143"/>
      <c r="CA8" s="1143"/>
      <c r="CB8" s="1143"/>
      <c r="CC8" s="1143"/>
      <c r="CD8" s="1143"/>
      <c r="CE8" s="1143"/>
      <c r="CF8" s="1143"/>
      <c r="CG8" s="1143"/>
      <c r="CH8" s="1143"/>
      <c r="CI8" s="1143"/>
    </row>
    <row r="9" spans="1:87" s="1144" customFormat="1" ht="12.75" customHeight="1" thickBot="1">
      <c r="A9" s="1151">
        <v>1</v>
      </c>
      <c r="B9" s="1151"/>
      <c r="C9" s="1152" t="s">
        <v>140</v>
      </c>
      <c r="D9" s="1612" t="s">
        <v>141</v>
      </c>
      <c r="E9" s="1612"/>
      <c r="F9" s="1613"/>
      <c r="G9" s="1613"/>
      <c r="H9" s="1613"/>
      <c r="I9" s="1612"/>
      <c r="J9" s="1612"/>
      <c r="K9" s="1612"/>
      <c r="L9" s="1612"/>
      <c r="M9" s="1612">
        <v>5</v>
      </c>
      <c r="N9" s="1612" t="s">
        <v>342</v>
      </c>
      <c r="O9" s="1612">
        <v>6</v>
      </c>
      <c r="P9" s="642">
        <v>7</v>
      </c>
      <c r="Q9" s="642">
        <v>8</v>
      </c>
      <c r="R9" s="642">
        <v>9</v>
      </c>
      <c r="S9" s="642">
        <v>10</v>
      </c>
      <c r="T9" s="642">
        <v>11</v>
      </c>
      <c r="U9" s="642">
        <v>12</v>
      </c>
      <c r="V9" s="642">
        <v>13</v>
      </c>
      <c r="W9" s="642">
        <v>14</v>
      </c>
      <c r="X9" s="1153">
        <v>15</v>
      </c>
      <c r="Y9" s="643">
        <v>16</v>
      </c>
      <c r="Z9" s="1144" t="s">
        <v>332</v>
      </c>
    </row>
    <row r="10" spans="1:87" s="1987" customFormat="1" ht="16.5" customHeight="1">
      <c r="A10" s="704"/>
      <c r="B10" s="1509" t="s">
        <v>92</v>
      </c>
      <c r="C10" s="1351"/>
      <c r="D10" s="1352">
        <f>+D11+D12</f>
        <v>324330289</v>
      </c>
      <c r="E10" s="1352">
        <f>+E11+E12</f>
        <v>441028</v>
      </c>
      <c r="F10" s="1510">
        <f t="shared" ref="F10:O10" si="0">+F11+F12</f>
        <v>0</v>
      </c>
      <c r="G10" s="1510">
        <f>+G11+G12</f>
        <v>0</v>
      </c>
      <c r="H10" s="1510">
        <f>+H11+H12</f>
        <v>0</v>
      </c>
      <c r="I10" s="1511">
        <f t="shared" si="0"/>
        <v>364771</v>
      </c>
      <c r="J10" s="1511">
        <f t="shared" si="0"/>
        <v>375013</v>
      </c>
      <c r="K10" s="1511">
        <f t="shared" si="0"/>
        <v>348792</v>
      </c>
      <c r="L10" s="1511">
        <f>+L11+L12</f>
        <v>377448</v>
      </c>
      <c r="M10" s="1352">
        <f>+M11+M12</f>
        <v>2126586</v>
      </c>
      <c r="N10" s="1352">
        <f t="shared" si="0"/>
        <v>745644</v>
      </c>
      <c r="O10" s="1352">
        <f t="shared" si="0"/>
        <v>1527333</v>
      </c>
      <c r="P10" s="1352">
        <f t="shared" ref="P10:X10" si="1">+P11+P12</f>
        <v>27354492</v>
      </c>
      <c r="Q10" s="1352">
        <f t="shared" si="1"/>
        <v>38555127</v>
      </c>
      <c r="R10" s="1352">
        <f t="shared" si="1"/>
        <v>58708855</v>
      </c>
      <c r="S10" s="767">
        <f t="shared" si="1"/>
        <v>73337344</v>
      </c>
      <c r="T10" s="767">
        <f t="shared" si="1"/>
        <v>44229983</v>
      </c>
      <c r="U10" s="767">
        <f t="shared" si="1"/>
        <v>27339828</v>
      </c>
      <c r="V10" s="767">
        <f t="shared" si="1"/>
        <v>25526402</v>
      </c>
      <c r="W10" s="767">
        <f t="shared" si="1"/>
        <v>25624339</v>
      </c>
      <c r="X10" s="652">
        <f t="shared" si="1"/>
        <v>320676370</v>
      </c>
      <c r="Y10" s="331"/>
      <c r="Z10" s="1154">
        <f>X10-X13</f>
        <v>0</v>
      </c>
      <c r="AA10" s="1154"/>
    </row>
    <row r="11" spans="1:87" s="1987" customFormat="1" ht="15" customHeight="1">
      <c r="A11" s="704"/>
      <c r="B11" s="757" t="s">
        <v>93</v>
      </c>
      <c r="C11" s="758"/>
      <c r="D11" s="759">
        <f t="shared" ref="D11:W11" si="2">+D28+D70+D48+D90-D98+D150+D180+D207-D211</f>
        <v>233059607</v>
      </c>
      <c r="E11" s="759">
        <f t="shared" si="2"/>
        <v>441028</v>
      </c>
      <c r="F11" s="759">
        <f t="shared" si="2"/>
        <v>0</v>
      </c>
      <c r="G11" s="759">
        <f t="shared" si="2"/>
        <v>0</v>
      </c>
      <c r="H11" s="759">
        <f t="shared" si="2"/>
        <v>0</v>
      </c>
      <c r="I11" s="759">
        <f t="shared" si="2"/>
        <v>364771</v>
      </c>
      <c r="J11" s="759">
        <f t="shared" si="2"/>
        <v>375013</v>
      </c>
      <c r="K11" s="759">
        <f t="shared" si="2"/>
        <v>348792</v>
      </c>
      <c r="L11" s="759">
        <f t="shared" si="2"/>
        <v>377448</v>
      </c>
      <c r="M11" s="759">
        <f t="shared" si="2"/>
        <v>2126586</v>
      </c>
      <c r="N11" s="759">
        <f t="shared" si="2"/>
        <v>745644</v>
      </c>
      <c r="O11" s="759">
        <f t="shared" si="2"/>
        <v>1489295</v>
      </c>
      <c r="P11" s="759">
        <f t="shared" si="2"/>
        <v>26607014</v>
      </c>
      <c r="Q11" s="759">
        <f t="shared" si="2"/>
        <v>34525643</v>
      </c>
      <c r="R11" s="759">
        <f t="shared" si="2"/>
        <v>31680202</v>
      </c>
      <c r="S11" s="759">
        <f t="shared" si="2"/>
        <v>29414246</v>
      </c>
      <c r="T11" s="759">
        <f t="shared" si="2"/>
        <v>29227127</v>
      </c>
      <c r="U11" s="759">
        <f t="shared" si="2"/>
        <v>27172803</v>
      </c>
      <c r="V11" s="759">
        <f t="shared" si="2"/>
        <v>25359377</v>
      </c>
      <c r="W11" s="759">
        <f t="shared" si="2"/>
        <v>25457314</v>
      </c>
      <c r="X11" s="1123">
        <f>+X28+X70+X48+X90-X98+X150+X180+X207</f>
        <v>229443726</v>
      </c>
      <c r="Y11" s="331"/>
      <c r="Z11" s="1154"/>
      <c r="AA11" s="1154"/>
    </row>
    <row r="12" spans="1:87" s="1987" customFormat="1" ht="14.25" customHeight="1" thickBot="1">
      <c r="A12" s="704"/>
      <c r="B12" s="760" t="s">
        <v>21</v>
      </c>
      <c r="C12" s="761"/>
      <c r="D12" s="762">
        <f>+D81+D37+D59+D114-D116+D164+D191+D220</f>
        <v>91270682</v>
      </c>
      <c r="E12" s="762">
        <f t="shared" ref="E12:L12" si="3">+E81+E37+E59+E114-E116</f>
        <v>0</v>
      </c>
      <c r="F12" s="762">
        <f t="shared" si="3"/>
        <v>0</v>
      </c>
      <c r="G12" s="762">
        <f t="shared" si="3"/>
        <v>0</v>
      </c>
      <c r="H12" s="762">
        <f t="shared" si="3"/>
        <v>0</v>
      </c>
      <c r="I12" s="762">
        <f t="shared" si="3"/>
        <v>0</v>
      </c>
      <c r="J12" s="762">
        <f t="shared" si="3"/>
        <v>0</v>
      </c>
      <c r="K12" s="762">
        <f t="shared" si="3"/>
        <v>0</v>
      </c>
      <c r="L12" s="762">
        <f t="shared" si="3"/>
        <v>0</v>
      </c>
      <c r="M12" s="762">
        <f>+M81+M37+M59+M114-M116+M164+M191+M220</f>
        <v>0</v>
      </c>
      <c r="N12" s="762">
        <f t="shared" ref="N12" si="4">+N81+N37+N59+N114-N116+N164+N191</f>
        <v>0</v>
      </c>
      <c r="O12" s="762">
        <f t="shared" ref="O12:X12" si="5">+O81+O37+O59+O114-O116+O164+O191+O220</f>
        <v>38038</v>
      </c>
      <c r="P12" s="762">
        <f t="shared" si="5"/>
        <v>747478</v>
      </c>
      <c r="Q12" s="762">
        <f t="shared" si="5"/>
        <v>4029484</v>
      </c>
      <c r="R12" s="762">
        <f t="shared" si="5"/>
        <v>27028653</v>
      </c>
      <c r="S12" s="762">
        <f t="shared" si="5"/>
        <v>43923098</v>
      </c>
      <c r="T12" s="762">
        <f t="shared" si="5"/>
        <v>15002856</v>
      </c>
      <c r="U12" s="762">
        <f t="shared" si="5"/>
        <v>167025</v>
      </c>
      <c r="V12" s="762">
        <f t="shared" si="5"/>
        <v>167025</v>
      </c>
      <c r="W12" s="762">
        <f t="shared" si="5"/>
        <v>167025</v>
      </c>
      <c r="X12" s="1123">
        <f t="shared" si="5"/>
        <v>91232644</v>
      </c>
      <c r="Y12" s="331"/>
    </row>
    <row r="13" spans="1:87" s="1159" customFormat="1" ht="13.5" customHeight="1">
      <c r="A13" s="655"/>
      <c r="B13" s="656" t="s">
        <v>22</v>
      </c>
      <c r="C13" s="657"/>
      <c r="D13" s="658">
        <f>+D14+D19</f>
        <v>328775605</v>
      </c>
      <c r="E13" s="658" t="e">
        <f t="shared" ref="E13:W13" si="6">+E14+E19</f>
        <v>#REF!</v>
      </c>
      <c r="F13" s="1155" t="e">
        <f t="shared" si="6"/>
        <v>#REF!</v>
      </c>
      <c r="G13" s="1155" t="e">
        <f t="shared" si="6"/>
        <v>#REF!</v>
      </c>
      <c r="H13" s="1155" t="e">
        <f t="shared" si="6"/>
        <v>#REF!</v>
      </c>
      <c r="I13" s="1156" t="e">
        <f t="shared" si="6"/>
        <v>#REF!</v>
      </c>
      <c r="J13" s="1156" t="e">
        <f t="shared" si="6"/>
        <v>#REF!</v>
      </c>
      <c r="K13" s="1156" t="e">
        <f t="shared" si="6"/>
        <v>#REF!</v>
      </c>
      <c r="L13" s="1156" t="e">
        <f t="shared" si="6"/>
        <v>#REF!</v>
      </c>
      <c r="M13" s="658">
        <f t="shared" si="6"/>
        <v>2126586</v>
      </c>
      <c r="N13" s="658" t="e">
        <f t="shared" si="6"/>
        <v>#REF!</v>
      </c>
      <c r="O13" s="658">
        <f t="shared" si="6"/>
        <v>1527333</v>
      </c>
      <c r="P13" s="658">
        <f t="shared" si="6"/>
        <v>27760197</v>
      </c>
      <c r="Q13" s="658">
        <f t="shared" si="6"/>
        <v>39557818</v>
      </c>
      <c r="R13" s="658">
        <f t="shared" si="6"/>
        <v>59388414</v>
      </c>
      <c r="S13" s="658">
        <f t="shared" si="6"/>
        <v>73808817</v>
      </c>
      <c r="T13" s="658">
        <f t="shared" si="6"/>
        <v>44701455</v>
      </c>
      <c r="U13" s="658">
        <f t="shared" si="6"/>
        <v>27811300</v>
      </c>
      <c r="V13" s="658">
        <f t="shared" si="6"/>
        <v>25997874</v>
      </c>
      <c r="W13" s="658">
        <f t="shared" si="6"/>
        <v>26095811</v>
      </c>
      <c r="X13" s="705">
        <f>+X14+X19</f>
        <v>320676370</v>
      </c>
      <c r="Y13" s="653"/>
      <c r="Z13" s="1157">
        <f>+M13+O13+P13+Q13+R13+S13+T13+U13+V13+W13</f>
        <v>328775605</v>
      </c>
      <c r="AA13" s="1158"/>
    </row>
    <row r="14" spans="1:87" s="1164" customFormat="1" ht="13.5" customHeight="1">
      <c r="A14" s="651"/>
      <c r="B14" s="659" t="s">
        <v>23</v>
      </c>
      <c r="C14" s="660"/>
      <c r="D14" s="1160">
        <f>+D15+D16+D17+D18</f>
        <v>56612769</v>
      </c>
      <c r="E14" s="1160" t="e">
        <f t="shared" ref="E14:L14" si="7">+E15+E16+E18</f>
        <v>#REF!</v>
      </c>
      <c r="F14" s="1160" t="e">
        <f t="shared" si="7"/>
        <v>#REF!</v>
      </c>
      <c r="G14" s="1160" t="e">
        <f t="shared" si="7"/>
        <v>#REF!</v>
      </c>
      <c r="H14" s="1160" t="e">
        <f t="shared" si="7"/>
        <v>#REF!</v>
      </c>
      <c r="I14" s="1160" t="e">
        <f t="shared" si="7"/>
        <v>#REF!</v>
      </c>
      <c r="J14" s="1160" t="e">
        <f t="shared" si="7"/>
        <v>#REF!</v>
      </c>
      <c r="K14" s="1160" t="e">
        <f t="shared" si="7"/>
        <v>#REF!</v>
      </c>
      <c r="L14" s="1160" t="e">
        <f t="shared" si="7"/>
        <v>#REF!</v>
      </c>
      <c r="M14" s="1160">
        <f t="shared" ref="M14:W14" si="8">+M15+M16+M17+M18</f>
        <v>318988</v>
      </c>
      <c r="N14" s="1160" t="e">
        <f t="shared" si="8"/>
        <v>#REF!</v>
      </c>
      <c r="O14" s="1160">
        <f t="shared" si="8"/>
        <v>227327</v>
      </c>
      <c r="P14" s="1160">
        <f t="shared" si="8"/>
        <v>4912719</v>
      </c>
      <c r="Q14" s="1160">
        <f t="shared" si="8"/>
        <v>6384626</v>
      </c>
      <c r="R14" s="1160">
        <f t="shared" si="8"/>
        <v>13032640</v>
      </c>
      <c r="S14" s="1160">
        <f t="shared" si="8"/>
        <v>12997176</v>
      </c>
      <c r="T14" s="1160">
        <f t="shared" si="8"/>
        <v>7485365</v>
      </c>
      <c r="U14" s="1160">
        <f t="shared" si="8"/>
        <v>5113695</v>
      </c>
      <c r="V14" s="1160">
        <f t="shared" si="8"/>
        <v>3022868</v>
      </c>
      <c r="W14" s="1160">
        <f t="shared" si="8"/>
        <v>3117365</v>
      </c>
      <c r="X14" s="1161">
        <f>+X15+X16+X17+X18</f>
        <v>51621138</v>
      </c>
      <c r="Y14" s="1162"/>
      <c r="Z14" s="1163"/>
      <c r="AA14" s="1163"/>
      <c r="AB14" s="1163"/>
      <c r="AC14" s="1163"/>
      <c r="AD14" s="1163"/>
      <c r="AE14" s="1163"/>
      <c r="AF14" s="1163"/>
      <c r="AG14" s="1163"/>
      <c r="AH14" s="1163"/>
      <c r="AI14" s="1163"/>
      <c r="AJ14" s="1163"/>
      <c r="AK14" s="1163"/>
    </row>
    <row r="15" spans="1:87" s="1167" customFormat="1" ht="12" customHeight="1">
      <c r="A15" s="661"/>
      <c r="B15" s="662" t="s">
        <v>24</v>
      </c>
      <c r="C15" s="663"/>
      <c r="D15" s="1165">
        <f>+D83+D92+D134+D209+D30</f>
        <v>44531197</v>
      </c>
      <c r="E15" s="1165">
        <f t="shared" ref="E15:L15" si="9">+E83+E92</f>
        <v>0</v>
      </c>
      <c r="F15" s="1165">
        <f t="shared" si="9"/>
        <v>0</v>
      </c>
      <c r="G15" s="1165">
        <f t="shared" si="9"/>
        <v>0</v>
      </c>
      <c r="H15" s="1165">
        <f t="shared" si="9"/>
        <v>0</v>
      </c>
      <c r="I15" s="1165">
        <f t="shared" si="9"/>
        <v>0</v>
      </c>
      <c r="J15" s="1165">
        <f t="shared" si="9"/>
        <v>0</v>
      </c>
      <c r="K15" s="1165">
        <f t="shared" si="9"/>
        <v>0</v>
      </c>
      <c r="L15" s="1165">
        <f t="shared" si="9"/>
        <v>0</v>
      </c>
      <c r="M15" s="1165">
        <f>+M83+M92+M134+M209+M30</f>
        <v>0</v>
      </c>
      <c r="N15" s="1165">
        <f>+N83+N92+N134</f>
        <v>0</v>
      </c>
      <c r="O15" s="1165">
        <f t="shared" ref="O15:X15" si="10">+O83+O92+O134+O209+O30</f>
        <v>12575</v>
      </c>
      <c r="P15" s="1165">
        <f t="shared" si="10"/>
        <v>4217037</v>
      </c>
      <c r="Q15" s="1165">
        <f t="shared" si="10"/>
        <v>4557655</v>
      </c>
      <c r="R15" s="1165">
        <f t="shared" si="10"/>
        <v>11522522</v>
      </c>
      <c r="S15" s="1165">
        <f t="shared" si="10"/>
        <v>8972503</v>
      </c>
      <c r="T15" s="1165">
        <f t="shared" si="10"/>
        <v>5409393</v>
      </c>
      <c r="U15" s="1165">
        <f t="shared" si="10"/>
        <v>4642223</v>
      </c>
      <c r="V15" s="1165">
        <f t="shared" si="10"/>
        <v>2551396</v>
      </c>
      <c r="W15" s="1165">
        <f t="shared" si="10"/>
        <v>2645893</v>
      </c>
      <c r="X15" s="1166">
        <f t="shared" si="10"/>
        <v>44518622</v>
      </c>
      <c r="Y15" s="653"/>
      <c r="Z15" s="1157">
        <f>+Z13-Z7</f>
        <v>4445316</v>
      </c>
      <c r="AA15" s="1167" t="s">
        <v>390</v>
      </c>
    </row>
    <row r="16" spans="1:87" s="1167" customFormat="1" ht="11.25" customHeight="1">
      <c r="A16" s="661"/>
      <c r="B16" s="1168" t="s">
        <v>25</v>
      </c>
      <c r="C16" s="1169"/>
      <c r="D16" s="1165">
        <f>+D72+D39+D50+D61+D210+D222</f>
        <v>2636256</v>
      </c>
      <c r="E16" s="1165" t="e">
        <f>+#REF!+E72+E39+E50+E61</f>
        <v>#REF!</v>
      </c>
      <c r="F16" s="1170" t="e">
        <f>+#REF!+F72+F39</f>
        <v>#REF!</v>
      </c>
      <c r="G16" s="1170" t="e">
        <f>+#REF!+G72+G39</f>
        <v>#REF!</v>
      </c>
      <c r="H16" s="1170" t="e">
        <f>+#REF!+H72+H39</f>
        <v>#REF!</v>
      </c>
      <c r="I16" s="1171" t="e">
        <f>+#REF!+I72+I39+I50+I61</f>
        <v>#REF!</v>
      </c>
      <c r="J16" s="1171" t="e">
        <f>+#REF!+J72+J39+J50+J61</f>
        <v>#REF!</v>
      </c>
      <c r="K16" s="1171" t="e">
        <f>+#REF!+K72+K39+K50+K61</f>
        <v>#REF!</v>
      </c>
      <c r="L16" s="1171" t="e">
        <f>+#REF!+L72+L39+L50+L61</f>
        <v>#REF!</v>
      </c>
      <c r="M16" s="1165">
        <f>+M72+M39+M50+M61+M210+M222</f>
        <v>318988</v>
      </c>
      <c r="N16" s="1165" t="e">
        <f>+#REF!+N72+N39+N50+N61</f>
        <v>#REF!</v>
      </c>
      <c r="O16" s="1165">
        <f>+O72+O39+O50+O61+O210+O222</f>
        <v>214752</v>
      </c>
      <c r="P16" s="1165">
        <f t="shared" ref="P16:W16" si="11">+P72+P39+P50+P61+P210+P222</f>
        <v>289977</v>
      </c>
      <c r="Q16" s="1165">
        <f t="shared" si="11"/>
        <v>824280</v>
      </c>
      <c r="R16" s="1165">
        <f t="shared" si="11"/>
        <v>553259</v>
      </c>
      <c r="S16" s="1165">
        <f t="shared" si="11"/>
        <v>225000</v>
      </c>
      <c r="T16" s="1165">
        <f t="shared" si="11"/>
        <v>210000</v>
      </c>
      <c r="U16" s="1165">
        <f t="shared" si="11"/>
        <v>0</v>
      </c>
      <c r="V16" s="1165">
        <f t="shared" si="11"/>
        <v>0</v>
      </c>
      <c r="W16" s="1165">
        <f t="shared" si="11"/>
        <v>0</v>
      </c>
      <c r="X16" s="1166">
        <f>SUM(P16:W16)</f>
        <v>2102516</v>
      </c>
      <c r="Y16" s="653"/>
      <c r="Z16" s="1157">
        <f>R15+R16+R17+R20-R10</f>
        <v>0</v>
      </c>
    </row>
    <row r="17" spans="1:37" s="1167" customFormat="1" ht="11.25" customHeight="1">
      <c r="A17" s="661"/>
      <c r="B17" s="1168" t="s">
        <v>28</v>
      </c>
      <c r="C17" s="1169"/>
      <c r="D17" s="1172">
        <f>+D135</f>
        <v>5000000</v>
      </c>
      <c r="E17" s="1172"/>
      <c r="F17" s="1333"/>
      <c r="G17" s="1333"/>
      <c r="H17" s="1333"/>
      <c r="I17" s="1334"/>
      <c r="J17" s="1334"/>
      <c r="K17" s="1334"/>
      <c r="L17" s="1334"/>
      <c r="M17" s="1172">
        <f>+M135</f>
        <v>0</v>
      </c>
      <c r="N17" s="1172">
        <f t="shared" ref="N17:W17" si="12">+N135</f>
        <v>0</v>
      </c>
      <c r="O17" s="1172">
        <f t="shared" si="12"/>
        <v>0</v>
      </c>
      <c r="P17" s="1172">
        <f t="shared" si="12"/>
        <v>0</v>
      </c>
      <c r="Q17" s="1172">
        <f t="shared" si="12"/>
        <v>0</v>
      </c>
      <c r="R17" s="1172">
        <f t="shared" si="12"/>
        <v>277300</v>
      </c>
      <c r="S17" s="1172">
        <f t="shared" si="12"/>
        <v>3328200</v>
      </c>
      <c r="T17" s="1172">
        <f t="shared" si="12"/>
        <v>1394500</v>
      </c>
      <c r="U17" s="1172">
        <f t="shared" si="12"/>
        <v>0</v>
      </c>
      <c r="V17" s="1172">
        <f t="shared" si="12"/>
        <v>0</v>
      </c>
      <c r="W17" s="1172">
        <f t="shared" si="12"/>
        <v>0</v>
      </c>
      <c r="X17" s="1335">
        <f>+X135</f>
        <v>5000000</v>
      </c>
      <c r="Y17" s="653"/>
      <c r="Z17" s="1157"/>
    </row>
    <row r="18" spans="1:37" s="1167" customFormat="1" ht="12" customHeight="1">
      <c r="A18" s="661"/>
      <c r="B18" s="1168" t="s">
        <v>45</v>
      </c>
      <c r="C18" s="1169"/>
      <c r="D18" s="1172">
        <f>D98+D116+D211</f>
        <v>4445316</v>
      </c>
      <c r="E18" s="1172">
        <f t="shared" ref="E18:X18" si="13">E98+E116</f>
        <v>0</v>
      </c>
      <c r="F18" s="1172">
        <f t="shared" si="13"/>
        <v>0</v>
      </c>
      <c r="G18" s="1172">
        <f t="shared" si="13"/>
        <v>0</v>
      </c>
      <c r="H18" s="1172">
        <f t="shared" si="13"/>
        <v>0</v>
      </c>
      <c r="I18" s="1172">
        <f t="shared" si="13"/>
        <v>0</v>
      </c>
      <c r="J18" s="1172">
        <f t="shared" si="13"/>
        <v>0</v>
      </c>
      <c r="K18" s="1172">
        <f t="shared" si="13"/>
        <v>0</v>
      </c>
      <c r="L18" s="1172">
        <f t="shared" si="13"/>
        <v>0</v>
      </c>
      <c r="M18" s="1172">
        <f>M98+M116+M211</f>
        <v>0</v>
      </c>
      <c r="N18" s="1172">
        <f t="shared" si="13"/>
        <v>0</v>
      </c>
      <c r="O18" s="1172">
        <f t="shared" ref="O18:W18" si="14">O98+O116+O211</f>
        <v>0</v>
      </c>
      <c r="P18" s="1172">
        <f t="shared" si="14"/>
        <v>405705</v>
      </c>
      <c r="Q18" s="1172">
        <f t="shared" si="14"/>
        <v>1002691</v>
      </c>
      <c r="R18" s="1172">
        <f t="shared" si="14"/>
        <v>679559</v>
      </c>
      <c r="S18" s="1172">
        <f t="shared" si="14"/>
        <v>471473</v>
      </c>
      <c r="T18" s="1172">
        <f t="shared" si="14"/>
        <v>471472</v>
      </c>
      <c r="U18" s="1172">
        <f t="shared" si="14"/>
        <v>471472</v>
      </c>
      <c r="V18" s="1172">
        <f t="shared" si="14"/>
        <v>471472</v>
      </c>
      <c r="W18" s="1172">
        <f t="shared" si="14"/>
        <v>471472</v>
      </c>
      <c r="X18" s="1173">
        <f t="shared" si="13"/>
        <v>0</v>
      </c>
      <c r="Y18" s="653"/>
      <c r="Z18" s="1157"/>
    </row>
    <row r="19" spans="1:37" s="1164" customFormat="1" ht="12" customHeight="1">
      <c r="A19" s="651"/>
      <c r="B19" s="664" t="s">
        <v>30</v>
      </c>
      <c r="C19" s="665"/>
      <c r="D19" s="666">
        <f>SUM(D20)</f>
        <v>272162836</v>
      </c>
      <c r="E19" s="666">
        <f t="shared" ref="E19:O19" si="15">SUM(E20)</f>
        <v>374874</v>
      </c>
      <c r="F19" s="1174">
        <f t="shared" si="15"/>
        <v>0</v>
      </c>
      <c r="G19" s="1174">
        <f t="shared" si="15"/>
        <v>0</v>
      </c>
      <c r="H19" s="1174">
        <f t="shared" si="15"/>
        <v>0</v>
      </c>
      <c r="I19" s="1175">
        <f t="shared" si="15"/>
        <v>310055</v>
      </c>
      <c r="J19" s="1175">
        <f t="shared" si="15"/>
        <v>318761</v>
      </c>
      <c r="K19" s="1175">
        <f t="shared" si="15"/>
        <v>296473</v>
      </c>
      <c r="L19" s="1175">
        <f t="shared" si="15"/>
        <v>320831</v>
      </c>
      <c r="M19" s="666">
        <f t="shared" si="15"/>
        <v>1807598</v>
      </c>
      <c r="N19" s="666">
        <f t="shared" si="15"/>
        <v>449659</v>
      </c>
      <c r="O19" s="666">
        <f t="shared" si="15"/>
        <v>1300006</v>
      </c>
      <c r="P19" s="666">
        <f t="shared" ref="P19:X19" si="16">SUM(P20)</f>
        <v>22847478</v>
      </c>
      <c r="Q19" s="666">
        <f t="shared" si="16"/>
        <v>33173192</v>
      </c>
      <c r="R19" s="666">
        <f t="shared" si="16"/>
        <v>46355774</v>
      </c>
      <c r="S19" s="666">
        <f t="shared" si="16"/>
        <v>60811641</v>
      </c>
      <c r="T19" s="666">
        <f t="shared" si="16"/>
        <v>37216090</v>
      </c>
      <c r="U19" s="666">
        <f t="shared" si="16"/>
        <v>22697605</v>
      </c>
      <c r="V19" s="666">
        <f t="shared" si="16"/>
        <v>22975006</v>
      </c>
      <c r="W19" s="666">
        <f t="shared" si="16"/>
        <v>22978446</v>
      </c>
      <c r="X19" s="1161">
        <f t="shared" si="16"/>
        <v>269055232</v>
      </c>
      <c r="Y19" s="1162"/>
      <c r="Z19" s="1163"/>
      <c r="AA19" s="1163"/>
      <c r="AB19" s="1163"/>
      <c r="AC19" s="1163"/>
      <c r="AD19" s="1163"/>
      <c r="AE19" s="1163"/>
      <c r="AF19" s="1163"/>
      <c r="AG19" s="1163"/>
      <c r="AH19" s="1163"/>
      <c r="AI19" s="1163"/>
      <c r="AJ19" s="1163"/>
      <c r="AK19" s="1163"/>
    </row>
    <row r="20" spans="1:37" s="1180" customFormat="1" ht="12" customHeight="1">
      <c r="A20" s="667"/>
      <c r="B20" s="1176" t="s">
        <v>33</v>
      </c>
      <c r="C20" s="1177"/>
      <c r="D20" s="1165">
        <f>+D32+D74+D85+D41+D52+D63+D102+D120+D137+D213+D224</f>
        <v>272162836</v>
      </c>
      <c r="E20" s="1165">
        <f t="shared" ref="E20:L20" si="17">+E32+E74+E85+E41+E52+E63+E102+E120</f>
        <v>374874</v>
      </c>
      <c r="F20" s="1165">
        <f t="shared" si="17"/>
        <v>0</v>
      </c>
      <c r="G20" s="1165">
        <f t="shared" si="17"/>
        <v>0</v>
      </c>
      <c r="H20" s="1165">
        <f t="shared" si="17"/>
        <v>0</v>
      </c>
      <c r="I20" s="1165">
        <f t="shared" si="17"/>
        <v>310055</v>
      </c>
      <c r="J20" s="1165">
        <f t="shared" si="17"/>
        <v>318761</v>
      </c>
      <c r="K20" s="1165">
        <f t="shared" si="17"/>
        <v>296473</v>
      </c>
      <c r="L20" s="1165">
        <f t="shared" si="17"/>
        <v>320831</v>
      </c>
      <c r="M20" s="1165">
        <f>+M32+M74+M85+M41+M52+M63+M102+M120+M137+M213+M224</f>
        <v>1807598</v>
      </c>
      <c r="N20" s="1165">
        <f>+N32+N74+N85+N41+N52+N63+N102+N120+N137</f>
        <v>449659</v>
      </c>
      <c r="O20" s="1165">
        <f t="shared" ref="O20:X20" si="18">+O32+O74+O85+O41+O52+O63+O102+O120+O137+O213+O224</f>
        <v>1300006</v>
      </c>
      <c r="P20" s="1165">
        <f t="shared" si="18"/>
        <v>22847478</v>
      </c>
      <c r="Q20" s="1165">
        <f t="shared" si="18"/>
        <v>33173192</v>
      </c>
      <c r="R20" s="1165">
        <f t="shared" si="18"/>
        <v>46355774</v>
      </c>
      <c r="S20" s="1165">
        <f t="shared" si="18"/>
        <v>60811641</v>
      </c>
      <c r="T20" s="1165">
        <f t="shared" si="18"/>
        <v>37216090</v>
      </c>
      <c r="U20" s="1165">
        <f t="shared" si="18"/>
        <v>22697605</v>
      </c>
      <c r="V20" s="1165">
        <f t="shared" si="18"/>
        <v>22975006</v>
      </c>
      <c r="W20" s="1165">
        <f t="shared" si="18"/>
        <v>22978446</v>
      </c>
      <c r="X20" s="1165">
        <f t="shared" si="18"/>
        <v>269055232</v>
      </c>
      <c r="Y20" s="1178"/>
      <c r="Z20" s="1157">
        <f>D15+D16+D17+D20-D10</f>
        <v>0</v>
      </c>
      <c r="AA20" s="1179"/>
      <c r="AB20" s="1179"/>
      <c r="AC20" s="1179"/>
      <c r="AD20" s="1179"/>
      <c r="AE20" s="1179"/>
      <c r="AF20" s="1179"/>
      <c r="AG20" s="1179"/>
      <c r="AH20" s="1179"/>
      <c r="AI20" s="1179"/>
      <c r="AJ20" s="1179"/>
      <c r="AK20" s="1179"/>
    </row>
    <row r="21" spans="1:37" s="1180" customFormat="1" ht="12.75" customHeight="1">
      <c r="A21" s="667"/>
      <c r="B21" s="489" t="s">
        <v>34</v>
      </c>
      <c r="C21" s="1368"/>
      <c r="D21" s="1369">
        <f>+D22+D25</f>
        <v>279799092</v>
      </c>
      <c r="E21" s="1369" t="e">
        <f t="shared" ref="E21:W21" si="19">+E22+E25</f>
        <v>#REF!</v>
      </c>
      <c r="F21" s="1369" t="e">
        <f t="shared" si="19"/>
        <v>#REF!</v>
      </c>
      <c r="G21" s="1369" t="e">
        <f t="shared" si="19"/>
        <v>#REF!</v>
      </c>
      <c r="H21" s="1369" t="e">
        <f t="shared" si="19"/>
        <v>#REF!</v>
      </c>
      <c r="I21" s="1369" t="e">
        <f t="shared" si="19"/>
        <v>#REF!</v>
      </c>
      <c r="J21" s="1369" t="e">
        <f t="shared" si="19"/>
        <v>#REF!</v>
      </c>
      <c r="K21" s="1369" t="e">
        <f t="shared" si="19"/>
        <v>#REF!</v>
      </c>
      <c r="L21" s="1369" t="e">
        <f t="shared" si="19"/>
        <v>#REF!</v>
      </c>
      <c r="M21" s="1369">
        <f t="shared" si="19"/>
        <v>1892106</v>
      </c>
      <c r="N21" s="1369" t="e">
        <f t="shared" si="19"/>
        <v>#REF!</v>
      </c>
      <c r="O21" s="1369">
        <f t="shared" si="19"/>
        <v>1572250</v>
      </c>
      <c r="P21" s="1369">
        <f t="shared" si="19"/>
        <v>20323793</v>
      </c>
      <c r="Q21" s="1369">
        <f t="shared" si="19"/>
        <v>36707352</v>
      </c>
      <c r="R21" s="1369">
        <f t="shared" si="19"/>
        <v>47186333</v>
      </c>
      <c r="S21" s="1369">
        <f t="shared" si="19"/>
        <v>64364841</v>
      </c>
      <c r="T21" s="1369">
        <f t="shared" si="19"/>
        <v>38820590</v>
      </c>
      <c r="U21" s="1369">
        <f t="shared" si="19"/>
        <v>22697605</v>
      </c>
      <c r="V21" s="1369">
        <f t="shared" si="19"/>
        <v>22975636</v>
      </c>
      <c r="W21" s="1369">
        <f t="shared" si="19"/>
        <v>23258586</v>
      </c>
      <c r="X21" s="2864" t="s">
        <v>77</v>
      </c>
      <c r="Y21" s="653"/>
      <c r="Z21" s="1186">
        <f>D53+D64+D75+D86+D110+D128+D141+D214</f>
        <v>277827332</v>
      </c>
      <c r="AA21" s="1179"/>
      <c r="AB21" s="1179"/>
      <c r="AC21" s="1179"/>
      <c r="AD21" s="1179"/>
      <c r="AE21" s="1179"/>
      <c r="AF21" s="1179"/>
      <c r="AG21" s="1179"/>
      <c r="AH21" s="1179"/>
      <c r="AI21" s="1179"/>
      <c r="AJ21" s="1179"/>
      <c r="AK21" s="1179"/>
    </row>
    <row r="22" spans="1:37" s="1164" customFormat="1" ht="12" customHeight="1">
      <c r="A22" s="651"/>
      <c r="B22" s="659" t="s">
        <v>23</v>
      </c>
      <c r="C22" s="660"/>
      <c r="D22" s="1160">
        <f>+D23+D24</f>
        <v>7636256</v>
      </c>
      <c r="E22" s="1160" t="e">
        <f t="shared" ref="E22:L22" si="20">+E23</f>
        <v>#REF!</v>
      </c>
      <c r="F22" s="1181" t="e">
        <f t="shared" si="20"/>
        <v>#REF!</v>
      </c>
      <c r="G22" s="1181" t="e">
        <f t="shared" si="20"/>
        <v>#REF!</v>
      </c>
      <c r="H22" s="1181" t="e">
        <f t="shared" si="20"/>
        <v>#REF!</v>
      </c>
      <c r="I22" s="1182" t="e">
        <f t="shared" si="20"/>
        <v>#REF!</v>
      </c>
      <c r="J22" s="1182" t="e">
        <f t="shared" si="20"/>
        <v>#REF!</v>
      </c>
      <c r="K22" s="1182" t="e">
        <f t="shared" si="20"/>
        <v>#REF!</v>
      </c>
      <c r="L22" s="1182" t="e">
        <f t="shared" si="20"/>
        <v>#REF!</v>
      </c>
      <c r="M22" s="1160">
        <f t="shared" ref="M22:W22" si="21">+M23+M24</f>
        <v>303135</v>
      </c>
      <c r="N22" s="1160" t="e">
        <f t="shared" si="21"/>
        <v>#REF!</v>
      </c>
      <c r="O22" s="1160">
        <f t="shared" si="21"/>
        <v>216191</v>
      </c>
      <c r="P22" s="1160">
        <f t="shared" si="21"/>
        <v>304391</v>
      </c>
      <c r="Q22" s="1160">
        <f t="shared" si="21"/>
        <v>824280</v>
      </c>
      <c r="R22" s="1160">
        <f t="shared" si="21"/>
        <v>830559</v>
      </c>
      <c r="S22" s="1160">
        <f t="shared" si="21"/>
        <v>3553200</v>
      </c>
      <c r="T22" s="1160">
        <f t="shared" si="21"/>
        <v>1604500</v>
      </c>
      <c r="U22" s="1160">
        <f t="shared" si="21"/>
        <v>0</v>
      </c>
      <c r="V22" s="1160">
        <f t="shared" si="21"/>
        <v>0</v>
      </c>
      <c r="W22" s="1160">
        <f t="shared" si="21"/>
        <v>0</v>
      </c>
      <c r="X22" s="2865"/>
      <c r="Y22" s="1162"/>
      <c r="Z22" s="1186"/>
      <c r="AA22" s="1163"/>
      <c r="AB22" s="1163"/>
      <c r="AC22" s="1163"/>
      <c r="AD22" s="1163"/>
      <c r="AE22" s="1163"/>
      <c r="AF22" s="1163"/>
      <c r="AG22" s="1163"/>
      <c r="AH22" s="1163"/>
      <c r="AI22" s="1163"/>
      <c r="AJ22" s="1163"/>
      <c r="AK22" s="1163"/>
    </row>
    <row r="23" spans="1:37" s="1180" customFormat="1" ht="12" customHeight="1">
      <c r="A23" s="667"/>
      <c r="B23" s="1168" t="s">
        <v>25</v>
      </c>
      <c r="C23" s="1183"/>
      <c r="D23" s="1165">
        <f>+D77+D44+D55+D61+D216+D227</f>
        <v>2636256</v>
      </c>
      <c r="E23" s="1165" t="e">
        <f>+#REF!+E77+E44+E55+E61+E216+E227</f>
        <v>#REF!</v>
      </c>
      <c r="F23" s="1165" t="e">
        <f>+#REF!+F77+F44+F55+F61+F216+F227</f>
        <v>#REF!</v>
      </c>
      <c r="G23" s="1165" t="e">
        <f>+#REF!+G77+G44+G55+G61+G216+G227</f>
        <v>#REF!</v>
      </c>
      <c r="H23" s="1165" t="e">
        <f>+#REF!+H77+H44+H55+H61+H216+H227</f>
        <v>#REF!</v>
      </c>
      <c r="I23" s="1165" t="e">
        <f>+#REF!+I77+I44+I55+I61+I216+I227</f>
        <v>#REF!</v>
      </c>
      <c r="J23" s="1165" t="e">
        <f>+#REF!+J77+J44+J55+J61+J216+J227</f>
        <v>#REF!</v>
      </c>
      <c r="K23" s="1165" t="e">
        <f>+#REF!+K77+K44+K55+K61+K216+K227</f>
        <v>#REF!</v>
      </c>
      <c r="L23" s="1165" t="e">
        <f>+#REF!+L77+L44+L55+L61+L216+L227</f>
        <v>#REF!</v>
      </c>
      <c r="M23" s="1165">
        <f>+M77+M44+M55+M61+M216+M227</f>
        <v>303135</v>
      </c>
      <c r="N23" s="1165" t="e">
        <f>+#REF!+N77+N44+N55+N61+N216+N227</f>
        <v>#REF!</v>
      </c>
      <c r="O23" s="1165">
        <f>+O77+O44+O55+O61+O216+O227</f>
        <v>216191</v>
      </c>
      <c r="P23" s="1165">
        <f t="shared" ref="P23:W23" si="22">+P77+P44+P55+P61+P216+P227</f>
        <v>304391</v>
      </c>
      <c r="Q23" s="1165">
        <f t="shared" si="22"/>
        <v>824280</v>
      </c>
      <c r="R23" s="1165">
        <f t="shared" si="22"/>
        <v>553259</v>
      </c>
      <c r="S23" s="1165">
        <f t="shared" si="22"/>
        <v>225000</v>
      </c>
      <c r="T23" s="1165">
        <f t="shared" si="22"/>
        <v>210000</v>
      </c>
      <c r="U23" s="1165">
        <f t="shared" si="22"/>
        <v>0</v>
      </c>
      <c r="V23" s="1165">
        <f t="shared" si="22"/>
        <v>0</v>
      </c>
      <c r="W23" s="1165">
        <f t="shared" si="22"/>
        <v>0</v>
      </c>
      <c r="X23" s="2865"/>
      <c r="Y23" s="1178"/>
      <c r="Z23" s="1186"/>
      <c r="AA23" s="1179"/>
      <c r="AB23" s="1179"/>
      <c r="AC23" s="1179"/>
      <c r="AD23" s="1179"/>
      <c r="AE23" s="1179"/>
      <c r="AF23" s="1179"/>
      <c r="AG23" s="1179"/>
      <c r="AH23" s="1179"/>
      <c r="AI23" s="1179"/>
      <c r="AJ23" s="1179"/>
      <c r="AK23" s="1179"/>
    </row>
    <row r="24" spans="1:37" s="1180" customFormat="1" ht="12" customHeight="1">
      <c r="A24" s="667"/>
      <c r="B24" s="1168" t="s">
        <v>28</v>
      </c>
      <c r="C24" s="1183"/>
      <c r="D24" s="1172">
        <f>+D143</f>
        <v>5000000</v>
      </c>
      <c r="E24" s="1172"/>
      <c r="F24" s="1333"/>
      <c r="G24" s="1333"/>
      <c r="H24" s="1333"/>
      <c r="I24" s="1334"/>
      <c r="J24" s="1334"/>
      <c r="K24" s="1334"/>
      <c r="L24" s="1334"/>
      <c r="M24" s="1172">
        <f>+M143</f>
        <v>0</v>
      </c>
      <c r="N24" s="1172"/>
      <c r="O24" s="1172">
        <f t="shared" ref="O24:W24" si="23">+O143</f>
        <v>0</v>
      </c>
      <c r="P24" s="1172">
        <f t="shared" si="23"/>
        <v>0</v>
      </c>
      <c r="Q24" s="1172">
        <f t="shared" si="23"/>
        <v>0</v>
      </c>
      <c r="R24" s="1172">
        <f t="shared" si="23"/>
        <v>277300</v>
      </c>
      <c r="S24" s="1172">
        <f t="shared" si="23"/>
        <v>3328200</v>
      </c>
      <c r="T24" s="1172">
        <f t="shared" si="23"/>
        <v>1394500</v>
      </c>
      <c r="U24" s="1172">
        <f t="shared" si="23"/>
        <v>0</v>
      </c>
      <c r="V24" s="1172">
        <f t="shared" si="23"/>
        <v>0</v>
      </c>
      <c r="W24" s="1172">
        <f t="shared" si="23"/>
        <v>0</v>
      </c>
      <c r="X24" s="2865"/>
      <c r="Y24" s="1178"/>
      <c r="Z24" s="1186"/>
      <c r="AA24" s="1179"/>
      <c r="AB24" s="1179"/>
      <c r="AC24" s="1179"/>
      <c r="AD24" s="1179"/>
      <c r="AE24" s="1179"/>
      <c r="AF24" s="1179"/>
      <c r="AG24" s="1179"/>
      <c r="AH24" s="1179"/>
      <c r="AI24" s="1179"/>
      <c r="AJ24" s="1179"/>
      <c r="AK24" s="1179"/>
    </row>
    <row r="25" spans="1:37" s="1164" customFormat="1" ht="12" customHeight="1">
      <c r="A25" s="651"/>
      <c r="B25" s="664" t="s">
        <v>30</v>
      </c>
      <c r="C25" s="665"/>
      <c r="D25" s="666">
        <f>+D26</f>
        <v>272162836</v>
      </c>
      <c r="E25" s="666">
        <f t="shared" ref="E25:O25" si="24">+E26</f>
        <v>0</v>
      </c>
      <c r="F25" s="1174">
        <f t="shared" si="24"/>
        <v>0</v>
      </c>
      <c r="G25" s="1174">
        <f t="shared" si="24"/>
        <v>2563346</v>
      </c>
      <c r="H25" s="1174">
        <f t="shared" si="24"/>
        <v>8310034</v>
      </c>
      <c r="I25" s="1175">
        <f t="shared" si="24"/>
        <v>408227</v>
      </c>
      <c r="J25" s="1175">
        <f t="shared" si="24"/>
        <v>423389</v>
      </c>
      <c r="K25" s="1175">
        <f t="shared" si="24"/>
        <v>291513</v>
      </c>
      <c r="L25" s="1175">
        <f t="shared" si="24"/>
        <v>245088</v>
      </c>
      <c r="M25" s="666">
        <f t="shared" si="24"/>
        <v>1588971</v>
      </c>
      <c r="N25" s="666">
        <f t="shared" si="24"/>
        <v>483809</v>
      </c>
      <c r="O25" s="666">
        <f t="shared" si="24"/>
        <v>1356059</v>
      </c>
      <c r="P25" s="666">
        <f t="shared" ref="P25:W25" si="25">+P26</f>
        <v>20019402</v>
      </c>
      <c r="Q25" s="666">
        <f t="shared" si="25"/>
        <v>35883072</v>
      </c>
      <c r="R25" s="666">
        <f t="shared" si="25"/>
        <v>46355774</v>
      </c>
      <c r="S25" s="666">
        <f t="shared" si="25"/>
        <v>60811641</v>
      </c>
      <c r="T25" s="666">
        <f t="shared" si="25"/>
        <v>37216090</v>
      </c>
      <c r="U25" s="666">
        <f t="shared" si="25"/>
        <v>22697605</v>
      </c>
      <c r="V25" s="666">
        <f t="shared" si="25"/>
        <v>22975636</v>
      </c>
      <c r="W25" s="666">
        <f t="shared" si="25"/>
        <v>23258586</v>
      </c>
      <c r="X25" s="2865"/>
      <c r="Y25" s="1162"/>
      <c r="Z25" s="1186"/>
      <c r="AA25" s="1163"/>
      <c r="AB25" s="1163"/>
      <c r="AC25" s="1163"/>
      <c r="AD25" s="1163"/>
      <c r="AE25" s="1163"/>
      <c r="AF25" s="1163"/>
      <c r="AG25" s="1163"/>
      <c r="AH25" s="1163"/>
      <c r="AI25" s="1163"/>
      <c r="AJ25" s="1163"/>
      <c r="AK25" s="1163"/>
    </row>
    <row r="26" spans="1:37" s="1180" customFormat="1" ht="12" customHeight="1" thickBot="1">
      <c r="A26" s="668"/>
      <c r="B26" s="1184" t="s">
        <v>33</v>
      </c>
      <c r="C26" s="669"/>
      <c r="D26" s="670">
        <f>+D35+D79+D88+D46+D57+D68+D112+D130+D145+D218+D229</f>
        <v>272162836</v>
      </c>
      <c r="E26" s="670">
        <f t="shared" ref="E26:W26" si="26">+E35+E79+E88+E46+E57+E68+E112+E130+E145+E218+E229</f>
        <v>0</v>
      </c>
      <c r="F26" s="670">
        <f t="shared" si="26"/>
        <v>0</v>
      </c>
      <c r="G26" s="670">
        <f t="shared" si="26"/>
        <v>2563346</v>
      </c>
      <c r="H26" s="670">
        <f t="shared" si="26"/>
        <v>8310034</v>
      </c>
      <c r="I26" s="670">
        <f t="shared" si="26"/>
        <v>408227</v>
      </c>
      <c r="J26" s="670">
        <f t="shared" si="26"/>
        <v>423389</v>
      </c>
      <c r="K26" s="670">
        <f t="shared" si="26"/>
        <v>291513</v>
      </c>
      <c r="L26" s="670">
        <f t="shared" si="26"/>
        <v>245088</v>
      </c>
      <c r="M26" s="670">
        <f t="shared" si="26"/>
        <v>1588971</v>
      </c>
      <c r="N26" s="670">
        <f t="shared" si="26"/>
        <v>483809</v>
      </c>
      <c r="O26" s="670">
        <f t="shared" si="26"/>
        <v>1356059</v>
      </c>
      <c r="P26" s="670">
        <f t="shared" si="26"/>
        <v>20019402</v>
      </c>
      <c r="Q26" s="670">
        <f t="shared" si="26"/>
        <v>35883072</v>
      </c>
      <c r="R26" s="670">
        <f t="shared" si="26"/>
        <v>46355774</v>
      </c>
      <c r="S26" s="670">
        <f t="shared" si="26"/>
        <v>60811641</v>
      </c>
      <c r="T26" s="670">
        <f t="shared" si="26"/>
        <v>37216090</v>
      </c>
      <c r="U26" s="670">
        <f t="shared" si="26"/>
        <v>22697605</v>
      </c>
      <c r="V26" s="670">
        <f t="shared" si="26"/>
        <v>22975636</v>
      </c>
      <c r="W26" s="670">
        <f t="shared" si="26"/>
        <v>23258586</v>
      </c>
      <c r="X26" s="2866"/>
      <c r="Y26" s="1185"/>
      <c r="Z26" s="1186">
        <f>D20-D26</f>
        <v>0</v>
      </c>
      <c r="AA26" s="1179"/>
      <c r="AB26" s="1179"/>
      <c r="AC26" s="1179"/>
      <c r="AD26" s="1179"/>
      <c r="AE26" s="1179"/>
      <c r="AF26" s="1179"/>
      <c r="AG26" s="1179"/>
      <c r="AH26" s="1179"/>
      <c r="AI26" s="1179"/>
      <c r="AJ26" s="1179"/>
      <c r="AK26" s="1179"/>
    </row>
    <row r="27" spans="1:37" s="1179" customFormat="1" ht="34.5" customHeight="1">
      <c r="A27" s="2867" t="s">
        <v>79</v>
      </c>
      <c r="B27" s="671" t="s">
        <v>540</v>
      </c>
      <c r="C27" s="672" t="s">
        <v>128</v>
      </c>
      <c r="D27" s="693"/>
      <c r="E27" s="1324"/>
      <c r="F27" s="1325"/>
      <c r="G27" s="1325"/>
      <c r="H27" s="1326"/>
      <c r="I27" s="1327"/>
      <c r="J27" s="1327"/>
      <c r="K27" s="1328"/>
      <c r="L27" s="1328"/>
      <c r="M27" s="691"/>
      <c r="N27" s="691"/>
      <c r="O27" s="691"/>
      <c r="P27" s="691"/>
      <c r="Q27" s="691"/>
      <c r="R27" s="691"/>
      <c r="S27" s="691"/>
      <c r="T27" s="691"/>
      <c r="U27" s="691"/>
      <c r="V27" s="691"/>
      <c r="W27" s="870"/>
      <c r="X27" s="1187"/>
      <c r="Y27" s="2869" t="s">
        <v>541</v>
      </c>
    </row>
    <row r="28" spans="1:37" s="1179" customFormat="1" ht="14.25" customHeight="1">
      <c r="A28" s="2868"/>
      <c r="B28" s="358" t="s">
        <v>22</v>
      </c>
      <c r="C28" s="682"/>
      <c r="D28" s="1188">
        <f>+D29+D31</f>
        <v>1966760</v>
      </c>
      <c r="E28" s="1188"/>
      <c r="F28" s="1189"/>
      <c r="G28" s="1189"/>
      <c r="H28" s="1189"/>
      <c r="I28" s="1190"/>
      <c r="J28" s="1190"/>
      <c r="K28" s="1190"/>
      <c r="L28" s="1190"/>
      <c r="M28" s="2487">
        <f t="shared" ref="M28:V28" si="27">+M29+M31</f>
        <v>0</v>
      </c>
      <c r="N28" s="2487">
        <f t="shared" si="27"/>
        <v>526110</v>
      </c>
      <c r="O28" s="2487">
        <f t="shared" si="27"/>
        <v>0</v>
      </c>
      <c r="P28" s="1188">
        <f t="shared" si="27"/>
        <v>280870</v>
      </c>
      <c r="Q28" s="1188">
        <f t="shared" si="27"/>
        <v>281070</v>
      </c>
      <c r="R28" s="1188">
        <f t="shared" si="27"/>
        <v>281170</v>
      </c>
      <c r="S28" s="1188">
        <f t="shared" si="27"/>
        <v>281170</v>
      </c>
      <c r="T28" s="1188">
        <f t="shared" si="27"/>
        <v>281170</v>
      </c>
      <c r="U28" s="1188">
        <f t="shared" si="27"/>
        <v>280970</v>
      </c>
      <c r="V28" s="1188">
        <f t="shared" si="27"/>
        <v>280340</v>
      </c>
      <c r="W28" s="1188"/>
      <c r="X28" s="1191">
        <f>X29+X31</f>
        <v>1966760</v>
      </c>
      <c r="Y28" s="2870"/>
      <c r="Z28" s="1154"/>
    </row>
    <row r="29" spans="1:37" s="1197" customFormat="1" ht="12" customHeight="1">
      <c r="A29" s="2868"/>
      <c r="B29" s="674" t="s">
        <v>36</v>
      </c>
      <c r="C29" s="2825" t="s">
        <v>184</v>
      </c>
      <c r="D29" s="1192">
        <f>+D30</f>
        <v>2000</v>
      </c>
      <c r="E29" s="1192">
        <f t="shared" ref="E29:O29" si="28">+E31</f>
        <v>0</v>
      </c>
      <c r="F29" s="1192">
        <f t="shared" si="28"/>
        <v>0</v>
      </c>
      <c r="G29" s="1192">
        <f t="shared" si="28"/>
        <v>0</v>
      </c>
      <c r="H29" s="1192">
        <f t="shared" si="28"/>
        <v>0</v>
      </c>
      <c r="I29" s="1192">
        <f t="shared" si="28"/>
        <v>0</v>
      </c>
      <c r="J29" s="1192">
        <f t="shared" si="28"/>
        <v>0</v>
      </c>
      <c r="K29" s="1192">
        <f t="shared" si="28"/>
        <v>0</v>
      </c>
      <c r="L29" s="1192">
        <f t="shared" si="28"/>
        <v>0</v>
      </c>
      <c r="M29" s="2488">
        <f t="shared" si="28"/>
        <v>0</v>
      </c>
      <c r="N29" s="2488">
        <f t="shared" si="28"/>
        <v>263055</v>
      </c>
      <c r="O29" s="2488">
        <f t="shared" si="28"/>
        <v>0</v>
      </c>
      <c r="P29" s="1192">
        <f>+P30</f>
        <v>100</v>
      </c>
      <c r="Q29" s="1192">
        <f t="shared" ref="Q29:V29" si="29">+Q30</f>
        <v>300</v>
      </c>
      <c r="R29" s="1192">
        <f t="shared" si="29"/>
        <v>400</v>
      </c>
      <c r="S29" s="1192">
        <f t="shared" si="29"/>
        <v>400</v>
      </c>
      <c r="T29" s="1192">
        <f t="shared" si="29"/>
        <v>400</v>
      </c>
      <c r="U29" s="1192">
        <f t="shared" si="29"/>
        <v>200</v>
      </c>
      <c r="V29" s="1192">
        <f t="shared" si="29"/>
        <v>200</v>
      </c>
      <c r="W29" s="1192"/>
      <c r="X29" s="1195">
        <f>+X30</f>
        <v>2000</v>
      </c>
      <c r="Y29" s="2870"/>
      <c r="Z29" s="1196"/>
    </row>
    <row r="30" spans="1:37" s="1197" customFormat="1" ht="11.25" customHeight="1">
      <c r="A30" s="2868"/>
      <c r="B30" s="675" t="s">
        <v>24</v>
      </c>
      <c r="C30" s="2826"/>
      <c r="D30" s="3115">
        <f>+P30+Q30+R30+S30+T30+U30+V30</f>
        <v>2000</v>
      </c>
      <c r="E30" s="3115"/>
      <c r="F30" s="3116"/>
      <c r="G30" s="3116"/>
      <c r="H30" s="3116"/>
      <c r="I30" s="3117"/>
      <c r="J30" s="3117"/>
      <c r="K30" s="3117"/>
      <c r="L30" s="3117"/>
      <c r="M30" s="3118">
        <v>0</v>
      </c>
      <c r="N30" s="3118"/>
      <c r="O30" s="3118">
        <v>0</v>
      </c>
      <c r="P30" s="3115">
        <v>100</v>
      </c>
      <c r="Q30" s="3115">
        <v>300</v>
      </c>
      <c r="R30" s="3115">
        <v>400</v>
      </c>
      <c r="S30" s="3115">
        <v>400</v>
      </c>
      <c r="T30" s="3115">
        <v>400</v>
      </c>
      <c r="U30" s="3115">
        <v>200</v>
      </c>
      <c r="V30" s="3115">
        <v>200</v>
      </c>
      <c r="W30" s="3119"/>
      <c r="X30" s="3120">
        <f>+V30+U30+T30+S30+R30+Q30+P30</f>
        <v>2000</v>
      </c>
      <c r="Y30" s="2870"/>
      <c r="Z30" s="1196"/>
    </row>
    <row r="31" spans="1:37" s="1179" customFormat="1" ht="12" customHeight="1">
      <c r="A31" s="2868"/>
      <c r="B31" s="502" t="s">
        <v>30</v>
      </c>
      <c r="C31" s="2827"/>
      <c r="D31" s="1201">
        <f>+D32</f>
        <v>1964760</v>
      </c>
      <c r="E31" s="1201"/>
      <c r="F31" s="1193"/>
      <c r="G31" s="1193"/>
      <c r="H31" s="1193"/>
      <c r="I31" s="1194"/>
      <c r="J31" s="1194"/>
      <c r="K31" s="1194"/>
      <c r="L31" s="1194"/>
      <c r="M31" s="2490">
        <f t="shared" ref="M31:V31" si="30">M32</f>
        <v>0</v>
      </c>
      <c r="N31" s="2490">
        <f t="shared" si="30"/>
        <v>263055</v>
      </c>
      <c r="O31" s="2490">
        <f t="shared" si="30"/>
        <v>0</v>
      </c>
      <c r="P31" s="1201">
        <f t="shared" si="30"/>
        <v>280770</v>
      </c>
      <c r="Q31" s="1201">
        <f t="shared" si="30"/>
        <v>280770</v>
      </c>
      <c r="R31" s="1201">
        <f t="shared" si="30"/>
        <v>280770</v>
      </c>
      <c r="S31" s="1201">
        <f t="shared" si="30"/>
        <v>280770</v>
      </c>
      <c r="T31" s="1201">
        <f t="shared" si="30"/>
        <v>280770</v>
      </c>
      <c r="U31" s="1201">
        <f t="shared" si="30"/>
        <v>280770</v>
      </c>
      <c r="V31" s="1201">
        <f t="shared" si="30"/>
        <v>280140</v>
      </c>
      <c r="W31" s="1201"/>
      <c r="X31" s="1195">
        <f>+X32</f>
        <v>1964760</v>
      </c>
      <c r="Y31" s="2870"/>
      <c r="Z31" s="1186"/>
      <c r="AA31" s="1186"/>
    </row>
    <row r="32" spans="1:37" s="1987" customFormat="1">
      <c r="A32" s="2868"/>
      <c r="B32" s="1202" t="s">
        <v>33</v>
      </c>
      <c r="C32" s="2828"/>
      <c r="D32" s="1198">
        <f>+P32+Q32+R32+S32+T32+U32+V32</f>
        <v>1964760</v>
      </c>
      <c r="E32" s="1203"/>
      <c r="F32" s="1204"/>
      <c r="G32" s="1204"/>
      <c r="H32" s="1204"/>
      <c r="I32" s="1205"/>
      <c r="J32" s="1205"/>
      <c r="K32" s="1205"/>
      <c r="L32" s="1205"/>
      <c r="M32" s="1100">
        <f>491426-491426</f>
        <v>0</v>
      </c>
      <c r="N32" s="1100">
        <f>924435-661380</f>
        <v>263055</v>
      </c>
      <c r="O32" s="1100">
        <f>491426-491426</f>
        <v>0</v>
      </c>
      <c r="P32" s="2091">
        <v>280770</v>
      </c>
      <c r="Q32" s="2091">
        <v>280770</v>
      </c>
      <c r="R32" s="2091">
        <v>280770</v>
      </c>
      <c r="S32" s="2091">
        <v>280770</v>
      </c>
      <c r="T32" s="2091">
        <v>280770</v>
      </c>
      <c r="U32" s="2091">
        <v>280770</v>
      </c>
      <c r="V32" s="2091">
        <v>280140</v>
      </c>
      <c r="W32" s="2091"/>
      <c r="X32" s="1166">
        <f>SUM(P32:W32)</f>
        <v>1964760</v>
      </c>
      <c r="Y32" s="2870"/>
      <c r="Z32" s="1154"/>
    </row>
    <row r="33" spans="1:26" s="1987" customFormat="1" ht="12.75" customHeight="1">
      <c r="A33" s="2599"/>
      <c r="B33" s="358" t="s">
        <v>34</v>
      </c>
      <c r="C33" s="677"/>
      <c r="D33" s="1188">
        <f>+D34</f>
        <v>1964760</v>
      </c>
      <c r="E33" s="1188"/>
      <c r="F33" s="1189"/>
      <c r="G33" s="1189"/>
      <c r="H33" s="1189"/>
      <c r="I33" s="1190"/>
      <c r="J33" s="1190"/>
      <c r="K33" s="1190"/>
      <c r="L33" s="1190"/>
      <c r="M33" s="2487">
        <f>+M34</f>
        <v>0</v>
      </c>
      <c r="N33" s="2487">
        <f t="shared" ref="N33:W33" si="31">+N34</f>
        <v>263055</v>
      </c>
      <c r="O33" s="2487">
        <f t="shared" si="31"/>
        <v>0</v>
      </c>
      <c r="P33" s="1188">
        <f t="shared" si="31"/>
        <v>0</v>
      </c>
      <c r="Q33" s="1188">
        <f t="shared" si="31"/>
        <v>280770</v>
      </c>
      <c r="R33" s="1188">
        <f t="shared" si="31"/>
        <v>280770</v>
      </c>
      <c r="S33" s="1188">
        <f t="shared" si="31"/>
        <v>280770</v>
      </c>
      <c r="T33" s="1188">
        <f t="shared" si="31"/>
        <v>280770</v>
      </c>
      <c r="U33" s="1188">
        <f t="shared" si="31"/>
        <v>280770</v>
      </c>
      <c r="V33" s="1188">
        <f t="shared" si="31"/>
        <v>280770</v>
      </c>
      <c r="W33" s="1188">
        <f t="shared" si="31"/>
        <v>280140</v>
      </c>
      <c r="X33" s="2829" t="s">
        <v>77</v>
      </c>
      <c r="Y33" s="2870"/>
      <c r="Z33" s="1154"/>
    </row>
    <row r="34" spans="1:26" s="1987" customFormat="1" ht="12.75" customHeight="1">
      <c r="A34" s="2599"/>
      <c r="B34" s="1209" t="s">
        <v>30</v>
      </c>
      <c r="C34" s="2827"/>
      <c r="D34" s="1201">
        <f>+D35</f>
        <v>1964760</v>
      </c>
      <c r="E34" s="1201"/>
      <c r="F34" s="1193"/>
      <c r="G34" s="1193"/>
      <c r="H34" s="1193"/>
      <c r="I34" s="1194"/>
      <c r="J34" s="1194"/>
      <c r="K34" s="1194"/>
      <c r="L34" s="1194"/>
      <c r="M34" s="2490">
        <f t="shared" ref="M34:W34" si="32">M35</f>
        <v>0</v>
      </c>
      <c r="N34" s="2490">
        <f t="shared" si="32"/>
        <v>263055</v>
      </c>
      <c r="O34" s="2490">
        <f t="shared" si="32"/>
        <v>0</v>
      </c>
      <c r="P34" s="1201">
        <f t="shared" si="32"/>
        <v>0</v>
      </c>
      <c r="Q34" s="1201">
        <f t="shared" si="32"/>
        <v>280770</v>
      </c>
      <c r="R34" s="1201">
        <f t="shared" si="32"/>
        <v>280770</v>
      </c>
      <c r="S34" s="1201">
        <f t="shared" si="32"/>
        <v>280770</v>
      </c>
      <c r="T34" s="1201">
        <f t="shared" si="32"/>
        <v>280770</v>
      </c>
      <c r="U34" s="1201">
        <f t="shared" si="32"/>
        <v>280770</v>
      </c>
      <c r="V34" s="1201">
        <f t="shared" si="32"/>
        <v>280770</v>
      </c>
      <c r="W34" s="1201">
        <f t="shared" si="32"/>
        <v>280140</v>
      </c>
      <c r="X34" s="2830"/>
      <c r="Y34" s="2870"/>
    </row>
    <row r="35" spans="1:26" s="1987" customFormat="1" ht="12" customHeight="1" thickBot="1">
      <c r="A35" s="2600"/>
      <c r="B35" s="1210" t="s">
        <v>33</v>
      </c>
      <c r="C35" s="2832"/>
      <c r="D35" s="1198">
        <f>+Q35+R35+S35+T35+U35+V35+W35</f>
        <v>1964760</v>
      </c>
      <c r="E35" s="681"/>
      <c r="F35" s="1211"/>
      <c r="G35" s="1211"/>
      <c r="H35" s="1211"/>
      <c r="I35" s="1212"/>
      <c r="J35" s="1212"/>
      <c r="K35" s="1212"/>
      <c r="L35" s="1212"/>
      <c r="M35" s="957">
        <f>491426-491426</f>
        <v>0</v>
      </c>
      <c r="N35" s="957">
        <f>924435-661380</f>
        <v>263055</v>
      </c>
      <c r="O35" s="957">
        <f>491426-491426</f>
        <v>0</v>
      </c>
      <c r="P35" s="681">
        <v>0</v>
      </c>
      <c r="Q35" s="2091">
        <v>280770</v>
      </c>
      <c r="R35" s="2091">
        <v>280770</v>
      </c>
      <c r="S35" s="2091">
        <v>280770</v>
      </c>
      <c r="T35" s="2091">
        <v>280770</v>
      </c>
      <c r="U35" s="2091">
        <v>280770</v>
      </c>
      <c r="V35" s="2091">
        <v>280770</v>
      </c>
      <c r="W35" s="2091">
        <v>280140</v>
      </c>
      <c r="X35" s="2831"/>
      <c r="Y35" s="2871"/>
    </row>
    <row r="36" spans="1:26" s="1987" customFormat="1" ht="36.75" hidden="1" customHeight="1">
      <c r="A36" s="2867"/>
      <c r="B36" s="671" t="s">
        <v>185</v>
      </c>
      <c r="C36" s="672" t="s">
        <v>97</v>
      </c>
      <c r="D36" s="693"/>
      <c r="E36" s="1324"/>
      <c r="F36" s="1325"/>
      <c r="G36" s="1325"/>
      <c r="H36" s="1326"/>
      <c r="I36" s="1327"/>
      <c r="J36" s="1327"/>
      <c r="K36" s="1328"/>
      <c r="L36" s="1328"/>
      <c r="M36" s="691"/>
      <c r="N36" s="691"/>
      <c r="O36" s="691"/>
      <c r="P36" s="691"/>
      <c r="Q36" s="691"/>
      <c r="R36" s="691"/>
      <c r="S36" s="691"/>
      <c r="T36" s="691"/>
      <c r="U36" s="691"/>
      <c r="V36" s="691"/>
      <c r="W36" s="870"/>
      <c r="X36" s="1187"/>
      <c r="Y36" s="2869" t="s">
        <v>183</v>
      </c>
    </row>
    <row r="37" spans="1:26" s="1987" customFormat="1" ht="12" hidden="1" customHeight="1">
      <c r="A37" s="2868"/>
      <c r="B37" s="358" t="s">
        <v>22</v>
      </c>
      <c r="C37" s="682"/>
      <c r="D37" s="1188"/>
      <c r="E37" s="1188"/>
      <c r="F37" s="1189"/>
      <c r="G37" s="1189"/>
      <c r="H37" s="1189"/>
      <c r="I37" s="1190"/>
      <c r="J37" s="1190"/>
      <c r="K37" s="1190"/>
      <c r="L37" s="1190"/>
      <c r="M37" s="1188"/>
      <c r="N37" s="1188">
        <f t="shared" ref="N37:T37" si="33">+N38+N40</f>
        <v>0</v>
      </c>
      <c r="O37" s="1188">
        <f t="shared" si="33"/>
        <v>0</v>
      </c>
      <c r="P37" s="1188">
        <f t="shared" si="33"/>
        <v>0</v>
      </c>
      <c r="Q37" s="1188">
        <f t="shared" si="33"/>
        <v>0</v>
      </c>
      <c r="R37" s="1188">
        <f t="shared" si="33"/>
        <v>0</v>
      </c>
      <c r="S37" s="1188">
        <f t="shared" si="33"/>
        <v>0</v>
      </c>
      <c r="T37" s="1188">
        <f t="shared" si="33"/>
        <v>0</v>
      </c>
      <c r="U37" s="1188"/>
      <c r="V37" s="1188"/>
      <c r="W37" s="1188"/>
      <c r="X37" s="1191">
        <f>X38+X40</f>
        <v>0</v>
      </c>
      <c r="Y37" s="2870"/>
      <c r="Z37" s="1154"/>
    </row>
    <row r="38" spans="1:26" s="1987" customFormat="1" ht="12" hidden="1" customHeight="1">
      <c r="A38" s="2868"/>
      <c r="B38" s="674" t="s">
        <v>36</v>
      </c>
      <c r="C38" s="2825" t="s">
        <v>184</v>
      </c>
      <c r="D38" s="1192"/>
      <c r="E38" s="1192"/>
      <c r="F38" s="1193"/>
      <c r="G38" s="1193"/>
      <c r="H38" s="1193"/>
      <c r="I38" s="1194"/>
      <c r="J38" s="1194"/>
      <c r="K38" s="1194"/>
      <c r="L38" s="1194"/>
      <c r="M38" s="1192"/>
      <c r="N38" s="1192">
        <f t="shared" ref="N38:S38" si="34">+N39</f>
        <v>0</v>
      </c>
      <c r="O38" s="1192">
        <f t="shared" si="34"/>
        <v>0</v>
      </c>
      <c r="P38" s="1192">
        <f t="shared" si="34"/>
        <v>0</v>
      </c>
      <c r="Q38" s="1192">
        <f t="shared" si="34"/>
        <v>0</v>
      </c>
      <c r="R38" s="1192">
        <f t="shared" si="34"/>
        <v>0</v>
      </c>
      <c r="S38" s="1192">
        <f t="shared" si="34"/>
        <v>0</v>
      </c>
      <c r="T38" s="1192">
        <f>+T39</f>
        <v>0</v>
      </c>
      <c r="U38" s="1192"/>
      <c r="V38" s="1192"/>
      <c r="W38" s="1192"/>
      <c r="X38" s="1195">
        <f>+X39</f>
        <v>0</v>
      </c>
      <c r="Y38" s="2870"/>
    </row>
    <row r="39" spans="1:26" s="1987" customFormat="1" ht="12" hidden="1" customHeight="1">
      <c r="A39" s="2868"/>
      <c r="B39" s="675" t="s">
        <v>25</v>
      </c>
      <c r="C39" s="2827"/>
      <c r="D39" s="1198"/>
      <c r="E39" s="1198"/>
      <c r="F39" s="1199"/>
      <c r="G39" s="1199"/>
      <c r="H39" s="1199"/>
      <c r="I39" s="1200"/>
      <c r="J39" s="1200"/>
      <c r="K39" s="1200"/>
      <c r="L39" s="1200"/>
      <c r="M39" s="1198"/>
      <c r="N39" s="1198">
        <v>0</v>
      </c>
      <c r="O39" s="1198">
        <v>0</v>
      </c>
      <c r="P39" s="676">
        <v>0</v>
      </c>
      <c r="Q39" s="676">
        <v>0</v>
      </c>
      <c r="R39" s="676">
        <v>0</v>
      </c>
      <c r="S39" s="676">
        <v>0</v>
      </c>
      <c r="T39" s="676">
        <v>0</v>
      </c>
      <c r="U39" s="676"/>
      <c r="V39" s="676"/>
      <c r="W39" s="676"/>
      <c r="X39" s="1166">
        <f>SUM(P39:T39)</f>
        <v>0</v>
      </c>
      <c r="Y39" s="2870"/>
    </row>
    <row r="40" spans="1:26" s="1987" customFormat="1" ht="12" hidden="1" customHeight="1">
      <c r="A40" s="2868"/>
      <c r="B40" s="502" t="s">
        <v>30</v>
      </c>
      <c r="C40" s="2827"/>
      <c r="D40" s="1201"/>
      <c r="E40" s="1201"/>
      <c r="F40" s="1193"/>
      <c r="G40" s="1193"/>
      <c r="H40" s="1193"/>
      <c r="I40" s="1194"/>
      <c r="J40" s="1194"/>
      <c r="K40" s="1194"/>
      <c r="L40" s="1194"/>
      <c r="M40" s="1201"/>
      <c r="N40" s="1201">
        <f>N41</f>
        <v>0</v>
      </c>
      <c r="O40" s="1201">
        <f t="shared" ref="O40:T40" si="35">O41</f>
        <v>0</v>
      </c>
      <c r="P40" s="1201">
        <f t="shared" si="35"/>
        <v>0</v>
      </c>
      <c r="Q40" s="1201">
        <f t="shared" si="35"/>
        <v>0</v>
      </c>
      <c r="R40" s="1201">
        <f t="shared" si="35"/>
        <v>0</v>
      </c>
      <c r="S40" s="1201">
        <f t="shared" si="35"/>
        <v>0</v>
      </c>
      <c r="T40" s="1201">
        <f t="shared" si="35"/>
        <v>0</v>
      </c>
      <c r="U40" s="1201"/>
      <c r="V40" s="1201"/>
      <c r="W40" s="1201"/>
      <c r="X40" s="1213"/>
      <c r="Y40" s="2870"/>
    </row>
    <row r="41" spans="1:26" s="1987" customFormat="1" ht="12" hidden="1" customHeight="1">
      <c r="A41" s="2868"/>
      <c r="B41" s="1202" t="s">
        <v>33</v>
      </c>
      <c r="C41" s="2828"/>
      <c r="D41" s="1198"/>
      <c r="E41" s="1198"/>
      <c r="F41" s="1204"/>
      <c r="G41" s="1204"/>
      <c r="H41" s="1204"/>
      <c r="I41" s="1205"/>
      <c r="J41" s="1205"/>
      <c r="K41" s="1205"/>
      <c r="L41" s="1205"/>
      <c r="M41" s="1198"/>
      <c r="N41" s="1203">
        <v>0</v>
      </c>
      <c r="O41" s="1203">
        <v>0</v>
      </c>
      <c r="P41" s="625">
        <v>0</v>
      </c>
      <c r="Q41" s="625">
        <v>0</v>
      </c>
      <c r="R41" s="625">
        <v>0</v>
      </c>
      <c r="S41" s="625">
        <v>0</v>
      </c>
      <c r="T41" s="625">
        <v>0</v>
      </c>
      <c r="U41" s="625"/>
      <c r="V41" s="625"/>
      <c r="W41" s="625"/>
      <c r="X41" s="1166">
        <f>SUM(P41:T41)</f>
        <v>0</v>
      </c>
      <c r="Y41" s="2870"/>
    </row>
    <row r="42" spans="1:26" s="1987" customFormat="1" ht="12" hidden="1" customHeight="1">
      <c r="A42" s="2599"/>
      <c r="B42" s="358" t="s">
        <v>34</v>
      </c>
      <c r="C42" s="677"/>
      <c r="D42" s="1188"/>
      <c r="E42" s="1188"/>
      <c r="F42" s="1189"/>
      <c r="G42" s="1189"/>
      <c r="H42" s="1189"/>
      <c r="I42" s="1190"/>
      <c r="J42" s="1190"/>
      <c r="K42" s="1190"/>
      <c r="L42" s="1190"/>
      <c r="M42" s="1188"/>
      <c r="N42" s="1188">
        <f t="shared" ref="N42:T42" si="36">N43+N45</f>
        <v>0</v>
      </c>
      <c r="O42" s="1188">
        <f t="shared" si="36"/>
        <v>0</v>
      </c>
      <c r="P42" s="1188">
        <f t="shared" si="36"/>
        <v>0</v>
      </c>
      <c r="Q42" s="1188">
        <f t="shared" si="36"/>
        <v>0</v>
      </c>
      <c r="R42" s="1188">
        <f t="shared" si="36"/>
        <v>0</v>
      </c>
      <c r="S42" s="1188">
        <f t="shared" si="36"/>
        <v>0</v>
      </c>
      <c r="T42" s="1188">
        <f t="shared" si="36"/>
        <v>0</v>
      </c>
      <c r="U42" s="1188"/>
      <c r="V42" s="1188"/>
      <c r="W42" s="1188"/>
      <c r="X42" s="2829" t="s">
        <v>77</v>
      </c>
      <c r="Y42" s="2870"/>
    </row>
    <row r="43" spans="1:26" s="1987" customFormat="1" ht="12" hidden="1" customHeight="1">
      <c r="A43" s="2599"/>
      <c r="B43" s="678" t="s">
        <v>36</v>
      </c>
      <c r="C43" s="2825" t="s">
        <v>184</v>
      </c>
      <c r="D43" s="1192"/>
      <c r="E43" s="1192"/>
      <c r="F43" s="1193"/>
      <c r="G43" s="1193"/>
      <c r="H43" s="1193"/>
      <c r="I43" s="1194"/>
      <c r="J43" s="1194"/>
      <c r="K43" s="1194"/>
      <c r="L43" s="1194"/>
      <c r="M43" s="1192"/>
      <c r="N43" s="1192">
        <f t="shared" ref="N43:T43" si="37">N44</f>
        <v>0</v>
      </c>
      <c r="O43" s="1192">
        <f t="shared" si="37"/>
        <v>0</v>
      </c>
      <c r="P43" s="1192">
        <f t="shared" si="37"/>
        <v>0</v>
      </c>
      <c r="Q43" s="1192">
        <f t="shared" si="37"/>
        <v>0</v>
      </c>
      <c r="R43" s="1192">
        <f t="shared" si="37"/>
        <v>0</v>
      </c>
      <c r="S43" s="1192">
        <f t="shared" si="37"/>
        <v>0</v>
      </c>
      <c r="T43" s="1192">
        <f t="shared" si="37"/>
        <v>0</v>
      </c>
      <c r="U43" s="1192"/>
      <c r="V43" s="1192"/>
      <c r="W43" s="1192"/>
      <c r="X43" s="2830"/>
      <c r="Y43" s="2870"/>
    </row>
    <row r="44" spans="1:26" s="1987" customFormat="1" ht="12" hidden="1" customHeight="1">
      <c r="A44" s="2599"/>
      <c r="B44" s="679" t="s">
        <v>25</v>
      </c>
      <c r="C44" s="2827"/>
      <c r="D44" s="1198"/>
      <c r="E44" s="1198"/>
      <c r="F44" s="1207"/>
      <c r="G44" s="1207"/>
      <c r="H44" s="1207"/>
      <c r="I44" s="1208"/>
      <c r="J44" s="1208"/>
      <c r="K44" s="1208"/>
      <c r="L44" s="1208"/>
      <c r="M44" s="1198"/>
      <c r="N44" s="1206">
        <v>0</v>
      </c>
      <c r="O44" s="1206">
        <v>0</v>
      </c>
      <c r="P44" s="1206">
        <v>0</v>
      </c>
      <c r="Q44" s="1206">
        <v>0</v>
      </c>
      <c r="R44" s="1206">
        <v>0</v>
      </c>
      <c r="S44" s="1206">
        <v>0</v>
      </c>
      <c r="T44" s="1206">
        <v>0</v>
      </c>
      <c r="U44" s="1206"/>
      <c r="V44" s="1206"/>
      <c r="W44" s="1206"/>
      <c r="X44" s="2830"/>
      <c r="Y44" s="2870"/>
    </row>
    <row r="45" spans="1:26" s="1987" customFormat="1" ht="12" hidden="1" customHeight="1">
      <c r="A45" s="2599"/>
      <c r="B45" s="1209" t="s">
        <v>30</v>
      </c>
      <c r="C45" s="2827"/>
      <c r="D45" s="1201"/>
      <c r="E45" s="1201"/>
      <c r="F45" s="1193"/>
      <c r="G45" s="1193"/>
      <c r="H45" s="1193"/>
      <c r="I45" s="1194"/>
      <c r="J45" s="1194"/>
      <c r="K45" s="1194"/>
      <c r="L45" s="1194"/>
      <c r="M45" s="1201"/>
      <c r="N45" s="1201">
        <f t="shared" ref="N45:T45" si="38">N46</f>
        <v>0</v>
      </c>
      <c r="O45" s="1201">
        <f t="shared" si="38"/>
        <v>0</v>
      </c>
      <c r="P45" s="1201">
        <f t="shared" si="38"/>
        <v>0</v>
      </c>
      <c r="Q45" s="1201">
        <f t="shared" si="38"/>
        <v>0</v>
      </c>
      <c r="R45" s="1201">
        <f t="shared" si="38"/>
        <v>0</v>
      </c>
      <c r="S45" s="1201">
        <f t="shared" si="38"/>
        <v>0</v>
      </c>
      <c r="T45" s="1201">
        <f t="shared" si="38"/>
        <v>0</v>
      </c>
      <c r="U45" s="1201"/>
      <c r="V45" s="1201"/>
      <c r="W45" s="1201"/>
      <c r="X45" s="2830"/>
      <c r="Y45" s="2870"/>
    </row>
    <row r="46" spans="1:26" s="1987" customFormat="1" ht="12" hidden="1" customHeight="1" thickBot="1">
      <c r="A46" s="2600"/>
      <c r="B46" s="1210" t="s">
        <v>33</v>
      </c>
      <c r="C46" s="2832"/>
      <c r="D46" s="684"/>
      <c r="E46" s="680"/>
      <c r="F46" s="1211"/>
      <c r="G46" s="1211"/>
      <c r="H46" s="1211"/>
      <c r="I46" s="1212"/>
      <c r="J46" s="1212"/>
      <c r="K46" s="1212"/>
      <c r="L46" s="1212"/>
      <c r="M46" s="684"/>
      <c r="N46" s="681">
        <v>0</v>
      </c>
      <c r="O46" s="681">
        <v>0</v>
      </c>
      <c r="P46" s="681">
        <v>0</v>
      </c>
      <c r="Q46" s="681">
        <v>0</v>
      </c>
      <c r="R46" s="681">
        <v>0</v>
      </c>
      <c r="S46" s="681">
        <v>0</v>
      </c>
      <c r="T46" s="681">
        <v>0</v>
      </c>
      <c r="U46" s="681"/>
      <c r="V46" s="681"/>
      <c r="W46" s="681"/>
      <c r="X46" s="2831"/>
      <c r="Y46" s="2871"/>
    </row>
    <row r="47" spans="1:26" s="1987" customFormat="1" ht="42" customHeight="1">
      <c r="A47" s="2867" t="s">
        <v>80</v>
      </c>
      <c r="B47" s="671" t="s">
        <v>368</v>
      </c>
      <c r="C47" s="672" t="s">
        <v>128</v>
      </c>
      <c r="D47" s="693"/>
      <c r="E47" s="1324"/>
      <c r="F47" s="1325"/>
      <c r="G47" s="1325"/>
      <c r="H47" s="1326"/>
      <c r="I47" s="1327"/>
      <c r="J47" s="1327"/>
      <c r="K47" s="1328"/>
      <c r="L47" s="1328"/>
      <c r="M47" s="691"/>
      <c r="N47" s="691"/>
      <c r="O47" s="691"/>
      <c r="P47" s="691"/>
      <c r="Q47" s="691"/>
      <c r="R47" s="691"/>
      <c r="S47" s="691"/>
      <c r="T47" s="691"/>
      <c r="U47" s="691"/>
      <c r="V47" s="691"/>
      <c r="W47" s="870"/>
      <c r="X47" s="1187"/>
      <c r="Y47" s="2822" t="s">
        <v>482</v>
      </c>
    </row>
    <row r="48" spans="1:26" s="1987" customFormat="1" ht="12" customHeight="1">
      <c r="A48" s="2868"/>
      <c r="B48" s="358" t="s">
        <v>22</v>
      </c>
      <c r="C48" s="682"/>
      <c r="D48" s="1188">
        <f>+D49+D51</f>
        <v>10266850</v>
      </c>
      <c r="E48" s="1188">
        <f t="shared" ref="E48:P48" si="39">+E49+E51</f>
        <v>0</v>
      </c>
      <c r="F48" s="1189">
        <f t="shared" si="39"/>
        <v>0</v>
      </c>
      <c r="G48" s="1189">
        <f t="shared" si="39"/>
        <v>0</v>
      </c>
      <c r="H48" s="1189">
        <f t="shared" si="39"/>
        <v>0</v>
      </c>
      <c r="I48" s="1190">
        <f t="shared" si="39"/>
        <v>0</v>
      </c>
      <c r="J48" s="1190">
        <f t="shared" si="39"/>
        <v>0</v>
      </c>
      <c r="K48" s="1190">
        <f t="shared" si="39"/>
        <v>0</v>
      </c>
      <c r="L48" s="1190">
        <f t="shared" si="39"/>
        <v>0</v>
      </c>
      <c r="M48" s="2487">
        <f>+M49+M51</f>
        <v>0</v>
      </c>
      <c r="N48" s="1188">
        <f t="shared" si="39"/>
        <v>0</v>
      </c>
      <c r="O48" s="1188">
        <f t="shared" si="39"/>
        <v>1192076</v>
      </c>
      <c r="P48" s="1188">
        <f t="shared" si="39"/>
        <v>1774774</v>
      </c>
      <c r="Q48" s="1188">
        <f>+Q49+Q51</f>
        <v>2200000</v>
      </c>
      <c r="R48" s="1188">
        <f>+R49+R51</f>
        <v>2200000</v>
      </c>
      <c r="S48" s="1188">
        <f>+S49+S51</f>
        <v>1500000</v>
      </c>
      <c r="T48" s="1188">
        <f>+T49+T51</f>
        <v>1400000</v>
      </c>
      <c r="U48" s="1188"/>
      <c r="V48" s="1188"/>
      <c r="W48" s="1188"/>
      <c r="X48" s="1191">
        <f>X49+X51</f>
        <v>9074774</v>
      </c>
      <c r="Y48" s="2823"/>
    </row>
    <row r="49" spans="1:25" s="1987" customFormat="1" ht="12" customHeight="1">
      <c r="A49" s="2868"/>
      <c r="B49" s="674" t="s">
        <v>36</v>
      </c>
      <c r="C49" s="2825" t="s">
        <v>269</v>
      </c>
      <c r="D49" s="1192">
        <f>+D50</f>
        <v>1540027</v>
      </c>
      <c r="E49" s="1192">
        <f t="shared" ref="E49:T49" si="40">+E50</f>
        <v>0</v>
      </c>
      <c r="F49" s="1193">
        <f t="shared" si="40"/>
        <v>0</v>
      </c>
      <c r="G49" s="1193">
        <f t="shared" si="40"/>
        <v>0</v>
      </c>
      <c r="H49" s="1193">
        <f t="shared" si="40"/>
        <v>0</v>
      </c>
      <c r="I49" s="1194">
        <f t="shared" si="40"/>
        <v>0</v>
      </c>
      <c r="J49" s="1194">
        <f t="shared" si="40"/>
        <v>0</v>
      </c>
      <c r="K49" s="1194">
        <f t="shared" si="40"/>
        <v>0</v>
      </c>
      <c r="L49" s="1194">
        <f t="shared" si="40"/>
        <v>0</v>
      </c>
      <c r="M49" s="2488">
        <f t="shared" si="40"/>
        <v>0</v>
      </c>
      <c r="N49" s="1192">
        <f t="shared" si="40"/>
        <v>0</v>
      </c>
      <c r="O49" s="1192">
        <f t="shared" si="40"/>
        <v>178811</v>
      </c>
      <c r="P49" s="1192">
        <f t="shared" si="40"/>
        <v>266216</v>
      </c>
      <c r="Q49" s="1192">
        <f t="shared" si="40"/>
        <v>330000</v>
      </c>
      <c r="R49" s="1192">
        <f t="shared" si="40"/>
        <v>330000</v>
      </c>
      <c r="S49" s="1192">
        <f t="shared" si="40"/>
        <v>225000</v>
      </c>
      <c r="T49" s="1192">
        <f t="shared" si="40"/>
        <v>210000</v>
      </c>
      <c r="U49" s="1192"/>
      <c r="V49" s="1192"/>
      <c r="W49" s="1192"/>
      <c r="X49" s="1195">
        <f>+X50</f>
        <v>1361216</v>
      </c>
      <c r="Y49" s="2823"/>
    </row>
    <row r="50" spans="1:25" s="1987" customFormat="1" ht="12" customHeight="1">
      <c r="A50" s="2868"/>
      <c r="B50" s="675" t="s">
        <v>25</v>
      </c>
      <c r="C50" s="2827"/>
      <c r="D50" s="1198">
        <f>M50+O50+P50+Q50+R50+S50+T50+U50+V50+W50</f>
        <v>1540027</v>
      </c>
      <c r="E50" s="1198">
        <v>0</v>
      </c>
      <c r="F50" s="1199"/>
      <c r="G50" s="1199"/>
      <c r="H50" s="1199">
        <v>0</v>
      </c>
      <c r="I50" s="1200"/>
      <c r="J50" s="1200"/>
      <c r="K50" s="1200"/>
      <c r="L50" s="1200"/>
      <c r="M50" s="2489">
        <f>+E50+I50+J50+K50+L50+N50</f>
        <v>0</v>
      </c>
      <c r="N50" s="1198">
        <v>0</v>
      </c>
      <c r="O50" s="1198">
        <f>277800-98989</f>
        <v>178811</v>
      </c>
      <c r="P50" s="676">
        <f>345000-78784</f>
        <v>266216</v>
      </c>
      <c r="Q50" s="676">
        <v>330000</v>
      </c>
      <c r="R50" s="676">
        <v>330000</v>
      </c>
      <c r="S50" s="676">
        <v>225000</v>
      </c>
      <c r="T50" s="676">
        <v>210000</v>
      </c>
      <c r="U50" s="676"/>
      <c r="V50" s="676"/>
      <c r="W50" s="676"/>
      <c r="X50" s="1166">
        <f>SUM(P50:T50)</f>
        <v>1361216</v>
      </c>
      <c r="Y50" s="2823"/>
    </row>
    <row r="51" spans="1:25" s="1987" customFormat="1" ht="12" customHeight="1">
      <c r="A51" s="2868"/>
      <c r="B51" s="502" t="s">
        <v>30</v>
      </c>
      <c r="C51" s="2827"/>
      <c r="D51" s="1201">
        <f>+D52</f>
        <v>8726823</v>
      </c>
      <c r="E51" s="1201">
        <f t="shared" ref="E51:T51" si="41">E52</f>
        <v>0</v>
      </c>
      <c r="F51" s="1193">
        <f t="shared" si="41"/>
        <v>0</v>
      </c>
      <c r="G51" s="1193">
        <f t="shared" si="41"/>
        <v>0</v>
      </c>
      <c r="H51" s="1193">
        <f t="shared" si="41"/>
        <v>0</v>
      </c>
      <c r="I51" s="1194">
        <f t="shared" si="41"/>
        <v>0</v>
      </c>
      <c r="J51" s="1194">
        <f t="shared" si="41"/>
        <v>0</v>
      </c>
      <c r="K51" s="1194">
        <f t="shared" si="41"/>
        <v>0</v>
      </c>
      <c r="L51" s="1194">
        <f t="shared" si="41"/>
        <v>0</v>
      </c>
      <c r="M51" s="2490">
        <f t="shared" si="41"/>
        <v>0</v>
      </c>
      <c r="N51" s="1201">
        <f t="shared" si="41"/>
        <v>0</v>
      </c>
      <c r="O51" s="1201">
        <f t="shared" si="41"/>
        <v>1013265</v>
      </c>
      <c r="P51" s="1201">
        <f t="shared" si="41"/>
        <v>1508558</v>
      </c>
      <c r="Q51" s="1201">
        <f t="shared" si="41"/>
        <v>1870000</v>
      </c>
      <c r="R51" s="1201">
        <f t="shared" si="41"/>
        <v>1870000</v>
      </c>
      <c r="S51" s="1201">
        <f t="shared" si="41"/>
        <v>1275000</v>
      </c>
      <c r="T51" s="1201">
        <f t="shared" si="41"/>
        <v>1190000</v>
      </c>
      <c r="U51" s="1201"/>
      <c r="V51" s="1201"/>
      <c r="W51" s="1201"/>
      <c r="X51" s="1195">
        <f>+X52</f>
        <v>7713558</v>
      </c>
      <c r="Y51" s="2823"/>
    </row>
    <row r="52" spans="1:25" s="1987" customFormat="1" ht="12" customHeight="1">
      <c r="A52" s="2868"/>
      <c r="B52" s="1202" t="s">
        <v>33</v>
      </c>
      <c r="C52" s="2828"/>
      <c r="D52" s="1198">
        <f>M52+O52+P52+Q52+R52+S52+T52+U52+V52+W52</f>
        <v>8726823</v>
      </c>
      <c r="E52" s="1203">
        <v>0</v>
      </c>
      <c r="F52" s="1204"/>
      <c r="G52" s="1204"/>
      <c r="H52" s="1204">
        <v>0</v>
      </c>
      <c r="I52" s="1205"/>
      <c r="J52" s="1205"/>
      <c r="K52" s="1205"/>
      <c r="L52" s="1205"/>
      <c r="M52" s="2489">
        <f>+E52+I52+J52+K52+L52+N52</f>
        <v>0</v>
      </c>
      <c r="N52" s="1203">
        <v>0</v>
      </c>
      <c r="O52" s="1203">
        <f>1574200-560935</f>
        <v>1013265</v>
      </c>
      <c r="P52" s="625">
        <f>1955000-446442</f>
        <v>1508558</v>
      </c>
      <c r="Q52" s="625">
        <v>1870000</v>
      </c>
      <c r="R52" s="625">
        <v>1870000</v>
      </c>
      <c r="S52" s="625">
        <v>1275000</v>
      </c>
      <c r="T52" s="625">
        <v>1190000</v>
      </c>
      <c r="U52" s="625"/>
      <c r="V52" s="625"/>
      <c r="W52" s="625"/>
      <c r="X52" s="1166">
        <f>SUM(P52:T52)</f>
        <v>7713558</v>
      </c>
      <c r="Y52" s="2823"/>
    </row>
    <row r="53" spans="1:25" s="1987" customFormat="1" ht="12" customHeight="1">
      <c r="A53" s="2599"/>
      <c r="B53" s="358" t="s">
        <v>34</v>
      </c>
      <c r="C53" s="677"/>
      <c r="D53" s="1188">
        <f>+D54+D56</f>
        <v>10266850</v>
      </c>
      <c r="E53" s="1188">
        <f t="shared" ref="E53:P53" si="42">E54+E56</f>
        <v>0</v>
      </c>
      <c r="F53" s="1189">
        <f t="shared" si="42"/>
        <v>0</v>
      </c>
      <c r="G53" s="1189">
        <f t="shared" si="42"/>
        <v>0</v>
      </c>
      <c r="H53" s="1189">
        <f t="shared" si="42"/>
        <v>0</v>
      </c>
      <c r="I53" s="1190">
        <f t="shared" si="42"/>
        <v>0</v>
      </c>
      <c r="J53" s="1190">
        <f t="shared" si="42"/>
        <v>0</v>
      </c>
      <c r="K53" s="1190">
        <f t="shared" si="42"/>
        <v>0</v>
      </c>
      <c r="L53" s="1190">
        <f t="shared" si="42"/>
        <v>0</v>
      </c>
      <c r="M53" s="2487">
        <f>M54+M56</f>
        <v>0</v>
      </c>
      <c r="N53" s="1188">
        <f t="shared" si="42"/>
        <v>0</v>
      </c>
      <c r="O53" s="1188">
        <f t="shared" si="42"/>
        <v>1192076</v>
      </c>
      <c r="P53" s="1188">
        <f t="shared" si="42"/>
        <v>1774774</v>
      </c>
      <c r="Q53" s="1188">
        <f>Q54+Q56</f>
        <v>2200000</v>
      </c>
      <c r="R53" s="1188">
        <f>R54+R56</f>
        <v>2200000</v>
      </c>
      <c r="S53" s="1214">
        <f>S54+S56</f>
        <v>1500000</v>
      </c>
      <c r="T53" s="1188">
        <f>T54+T56</f>
        <v>1400000</v>
      </c>
      <c r="U53" s="1188"/>
      <c r="V53" s="1188"/>
      <c r="W53" s="1188"/>
      <c r="X53" s="2829" t="s">
        <v>77</v>
      </c>
      <c r="Y53" s="2823"/>
    </row>
    <row r="54" spans="1:25" s="1987" customFormat="1" ht="12" customHeight="1">
      <c r="A54" s="2599"/>
      <c r="B54" s="678" t="s">
        <v>36</v>
      </c>
      <c r="C54" s="2825" t="s">
        <v>269</v>
      </c>
      <c r="D54" s="1192">
        <f>+D55</f>
        <v>1540027</v>
      </c>
      <c r="E54" s="1192">
        <f t="shared" ref="E54:T54" si="43">E55</f>
        <v>0</v>
      </c>
      <c r="F54" s="1193">
        <f t="shared" si="43"/>
        <v>0</v>
      </c>
      <c r="G54" s="1193">
        <f t="shared" si="43"/>
        <v>0</v>
      </c>
      <c r="H54" s="1193">
        <f t="shared" si="43"/>
        <v>0</v>
      </c>
      <c r="I54" s="1194">
        <f t="shared" si="43"/>
        <v>0</v>
      </c>
      <c r="J54" s="1194">
        <f t="shared" si="43"/>
        <v>0</v>
      </c>
      <c r="K54" s="1194">
        <f t="shared" si="43"/>
        <v>0</v>
      </c>
      <c r="L54" s="1194">
        <f t="shared" si="43"/>
        <v>0</v>
      </c>
      <c r="M54" s="2488">
        <f t="shared" si="43"/>
        <v>0</v>
      </c>
      <c r="N54" s="1192">
        <f t="shared" si="43"/>
        <v>0</v>
      </c>
      <c r="O54" s="1192">
        <f t="shared" si="43"/>
        <v>178811</v>
      </c>
      <c r="P54" s="1192">
        <f t="shared" si="43"/>
        <v>266216</v>
      </c>
      <c r="Q54" s="1192">
        <f t="shared" si="43"/>
        <v>330000</v>
      </c>
      <c r="R54" s="1192">
        <f t="shared" si="43"/>
        <v>330000</v>
      </c>
      <c r="S54" s="1215">
        <f t="shared" si="43"/>
        <v>225000</v>
      </c>
      <c r="T54" s="1192">
        <f t="shared" si="43"/>
        <v>210000</v>
      </c>
      <c r="U54" s="1192"/>
      <c r="V54" s="1192"/>
      <c r="W54" s="1192"/>
      <c r="X54" s="2830"/>
      <c r="Y54" s="2823"/>
    </row>
    <row r="55" spans="1:25" s="1987" customFormat="1" ht="12" customHeight="1">
      <c r="A55" s="2599"/>
      <c r="B55" s="679" t="s">
        <v>25</v>
      </c>
      <c r="C55" s="2827"/>
      <c r="D55" s="1198">
        <f>M55+O55+P55+Q55+R55+S55+T55+U55+V55+W55</f>
        <v>1540027</v>
      </c>
      <c r="E55" s="1206">
        <v>0</v>
      </c>
      <c r="F55" s="1207"/>
      <c r="G55" s="1207"/>
      <c r="H55" s="1207"/>
      <c r="I55" s="1208"/>
      <c r="J55" s="1208"/>
      <c r="K55" s="1208"/>
      <c r="L55" s="1208"/>
      <c r="M55" s="2489">
        <f>+E55+I55+J55+K55+L55+N55</f>
        <v>0</v>
      </c>
      <c r="N55" s="1206">
        <v>0</v>
      </c>
      <c r="O55" s="1206">
        <f>277800-98989</f>
        <v>178811</v>
      </c>
      <c r="P55" s="1206">
        <f>345000-78784</f>
        <v>266216</v>
      </c>
      <c r="Q55" s="1206">
        <v>330000</v>
      </c>
      <c r="R55" s="1206">
        <v>330000</v>
      </c>
      <c r="S55" s="1206">
        <v>225000</v>
      </c>
      <c r="T55" s="1206">
        <v>210000</v>
      </c>
      <c r="U55" s="1206"/>
      <c r="V55" s="1206"/>
      <c r="W55" s="1206"/>
      <c r="X55" s="2830"/>
      <c r="Y55" s="2823"/>
    </row>
    <row r="56" spans="1:25" s="1987" customFormat="1" ht="12" customHeight="1">
      <c r="A56" s="2599"/>
      <c r="B56" s="1209" t="s">
        <v>30</v>
      </c>
      <c r="C56" s="2827"/>
      <c r="D56" s="1201">
        <f>+D57</f>
        <v>8726823</v>
      </c>
      <c r="E56" s="1201">
        <f t="shared" ref="E56:T56" si="44">E57</f>
        <v>0</v>
      </c>
      <c r="F56" s="1193">
        <f t="shared" si="44"/>
        <v>0</v>
      </c>
      <c r="G56" s="1193">
        <f t="shared" si="44"/>
        <v>0</v>
      </c>
      <c r="H56" s="1193">
        <f t="shared" si="44"/>
        <v>0</v>
      </c>
      <c r="I56" s="1194">
        <f t="shared" si="44"/>
        <v>0</v>
      </c>
      <c r="J56" s="1194">
        <f t="shared" si="44"/>
        <v>0</v>
      </c>
      <c r="K56" s="1194">
        <f t="shared" si="44"/>
        <v>0</v>
      </c>
      <c r="L56" s="1194">
        <f t="shared" si="44"/>
        <v>0</v>
      </c>
      <c r="M56" s="2490">
        <f t="shared" si="44"/>
        <v>0</v>
      </c>
      <c r="N56" s="1201">
        <f t="shared" si="44"/>
        <v>0</v>
      </c>
      <c r="O56" s="1201">
        <f t="shared" si="44"/>
        <v>1013265</v>
      </c>
      <c r="P56" s="1201">
        <f t="shared" si="44"/>
        <v>1508558</v>
      </c>
      <c r="Q56" s="1201">
        <f t="shared" si="44"/>
        <v>1870000</v>
      </c>
      <c r="R56" s="1201">
        <f t="shared" si="44"/>
        <v>1870000</v>
      </c>
      <c r="S56" s="1216">
        <f t="shared" si="44"/>
        <v>1275000</v>
      </c>
      <c r="T56" s="1201">
        <f t="shared" si="44"/>
        <v>1190000</v>
      </c>
      <c r="U56" s="1201"/>
      <c r="V56" s="1201"/>
      <c r="W56" s="1201"/>
      <c r="X56" s="2830"/>
      <c r="Y56" s="2823"/>
    </row>
    <row r="57" spans="1:25" s="1987" customFormat="1" ht="12" customHeight="1" thickBot="1">
      <c r="A57" s="2600"/>
      <c r="B57" s="1210" t="s">
        <v>33</v>
      </c>
      <c r="C57" s="2832"/>
      <c r="D57" s="1198">
        <f>M57+O57+P57+Q57+R57+S57+T57+U57+V57+W57</f>
        <v>8726823</v>
      </c>
      <c r="E57" s="681">
        <v>0</v>
      </c>
      <c r="F57" s="1211"/>
      <c r="G57" s="1211"/>
      <c r="H57" s="1211">
        <v>0</v>
      </c>
      <c r="I57" s="1212"/>
      <c r="J57" s="1212"/>
      <c r="K57" s="1212"/>
      <c r="L57" s="1212"/>
      <c r="M57" s="2489">
        <f>+E57+I57+J57+K57+L57+N57</f>
        <v>0</v>
      </c>
      <c r="N57" s="681">
        <v>0</v>
      </c>
      <c r="O57" s="681">
        <f>1574200-560935</f>
        <v>1013265</v>
      </c>
      <c r="P57" s="681">
        <f>1955000-446442</f>
        <v>1508558</v>
      </c>
      <c r="Q57" s="681">
        <v>1870000</v>
      </c>
      <c r="R57" s="681">
        <v>1870000</v>
      </c>
      <c r="S57" s="681">
        <v>1275000</v>
      </c>
      <c r="T57" s="681">
        <v>1190000</v>
      </c>
      <c r="U57" s="681"/>
      <c r="V57" s="681"/>
      <c r="W57" s="681"/>
      <c r="X57" s="2831"/>
      <c r="Y57" s="2824"/>
    </row>
    <row r="58" spans="1:25" s="1987" customFormat="1" ht="43.5" customHeight="1">
      <c r="A58" s="2867" t="s">
        <v>81</v>
      </c>
      <c r="B58" s="671" t="s">
        <v>457</v>
      </c>
      <c r="C58" s="672" t="s">
        <v>97</v>
      </c>
      <c r="D58" s="693"/>
      <c r="E58" s="1324"/>
      <c r="F58" s="1325"/>
      <c r="G58" s="1325"/>
      <c r="H58" s="1326"/>
      <c r="I58" s="1327"/>
      <c r="J58" s="1327"/>
      <c r="K58" s="1328"/>
      <c r="L58" s="1328"/>
      <c r="M58" s="691"/>
      <c r="N58" s="691"/>
      <c r="O58" s="691"/>
      <c r="P58" s="691"/>
      <c r="Q58" s="691"/>
      <c r="R58" s="691"/>
      <c r="S58" s="691"/>
      <c r="T58" s="691"/>
      <c r="U58" s="691"/>
      <c r="V58" s="691"/>
      <c r="W58" s="870"/>
      <c r="X58" s="1187"/>
      <c r="Y58" s="2822" t="s">
        <v>482</v>
      </c>
    </row>
    <row r="59" spans="1:25" s="1987" customFormat="1" ht="12" customHeight="1">
      <c r="A59" s="2868"/>
      <c r="B59" s="358" t="s">
        <v>22</v>
      </c>
      <c r="C59" s="1415"/>
      <c r="D59" s="1416">
        <f>+D60+D62</f>
        <v>38038</v>
      </c>
      <c r="E59" s="1416">
        <f t="shared" ref="E59:P59" si="45">+E60+E62</f>
        <v>0</v>
      </c>
      <c r="F59" s="1417">
        <f t="shared" si="45"/>
        <v>0</v>
      </c>
      <c r="G59" s="1417">
        <f t="shared" si="45"/>
        <v>0</v>
      </c>
      <c r="H59" s="1417">
        <f t="shared" si="45"/>
        <v>0</v>
      </c>
      <c r="I59" s="1418">
        <f t="shared" si="45"/>
        <v>0</v>
      </c>
      <c r="J59" s="1418">
        <f t="shared" si="45"/>
        <v>0</v>
      </c>
      <c r="K59" s="1418">
        <f t="shared" si="45"/>
        <v>0</v>
      </c>
      <c r="L59" s="1418">
        <f t="shared" si="45"/>
        <v>0</v>
      </c>
      <c r="M59" s="1769">
        <f>+M60+M62</f>
        <v>0</v>
      </c>
      <c r="N59" s="1416">
        <f t="shared" si="45"/>
        <v>0</v>
      </c>
      <c r="O59" s="1416">
        <f t="shared" si="45"/>
        <v>38038</v>
      </c>
      <c r="P59" s="1416">
        <f t="shared" si="45"/>
        <v>0</v>
      </c>
      <c r="Q59" s="1416">
        <f>+Q60+Q62</f>
        <v>0</v>
      </c>
      <c r="R59" s="1416">
        <f>+R60+R62</f>
        <v>0</v>
      </c>
      <c r="S59" s="1416">
        <f>+S60+S62</f>
        <v>0</v>
      </c>
      <c r="T59" s="1416">
        <f>+T60+T62</f>
        <v>0</v>
      </c>
      <c r="U59" s="1416"/>
      <c r="V59" s="1416"/>
      <c r="W59" s="1416"/>
      <c r="X59" s="1419">
        <f>X60+X62</f>
        <v>0</v>
      </c>
      <c r="Y59" s="2823"/>
    </row>
    <row r="60" spans="1:25" s="1987" customFormat="1" ht="12" customHeight="1">
      <c r="A60" s="2868"/>
      <c r="B60" s="674" t="s">
        <v>36</v>
      </c>
      <c r="C60" s="2856" t="s">
        <v>269</v>
      </c>
      <c r="D60" s="1420">
        <f>+D61</f>
        <v>5706</v>
      </c>
      <c r="E60" s="1420">
        <f t="shared" ref="E60:T60" si="46">+E61</f>
        <v>0</v>
      </c>
      <c r="F60" s="1421">
        <f t="shared" si="46"/>
        <v>0</v>
      </c>
      <c r="G60" s="1421">
        <f t="shared" si="46"/>
        <v>0</v>
      </c>
      <c r="H60" s="1421">
        <f t="shared" si="46"/>
        <v>0</v>
      </c>
      <c r="I60" s="1422">
        <f t="shared" si="46"/>
        <v>0</v>
      </c>
      <c r="J60" s="1422">
        <f t="shared" si="46"/>
        <v>0</v>
      </c>
      <c r="K60" s="1422">
        <f t="shared" si="46"/>
        <v>0</v>
      </c>
      <c r="L60" s="1422">
        <f t="shared" si="46"/>
        <v>0</v>
      </c>
      <c r="M60" s="2491">
        <f t="shared" si="46"/>
        <v>0</v>
      </c>
      <c r="N60" s="1420">
        <f t="shared" si="46"/>
        <v>0</v>
      </c>
      <c r="O60" s="1420">
        <f t="shared" si="46"/>
        <v>5706</v>
      </c>
      <c r="P60" s="1420">
        <f t="shared" si="46"/>
        <v>0</v>
      </c>
      <c r="Q60" s="1420">
        <f t="shared" si="46"/>
        <v>0</v>
      </c>
      <c r="R60" s="1420">
        <f t="shared" si="46"/>
        <v>0</v>
      </c>
      <c r="S60" s="1420">
        <f t="shared" si="46"/>
        <v>0</v>
      </c>
      <c r="T60" s="1420">
        <f t="shared" si="46"/>
        <v>0</v>
      </c>
      <c r="U60" s="1420"/>
      <c r="V60" s="1420"/>
      <c r="W60" s="1420"/>
      <c r="X60" s="1423">
        <f>+X61</f>
        <v>0</v>
      </c>
      <c r="Y60" s="2823"/>
    </row>
    <row r="61" spans="1:25" s="1987" customFormat="1" ht="12" customHeight="1">
      <c r="A61" s="2868"/>
      <c r="B61" s="675" t="s">
        <v>25</v>
      </c>
      <c r="C61" s="2827"/>
      <c r="D61" s="1424">
        <f>M61+O61+P61+Q61+R61+S61+T61+U61+V61+W61</f>
        <v>5706</v>
      </c>
      <c r="E61" s="1424">
        <v>0</v>
      </c>
      <c r="F61" s="1425"/>
      <c r="G61" s="1425"/>
      <c r="H61" s="1425">
        <v>0</v>
      </c>
      <c r="I61" s="1426"/>
      <c r="J61" s="1426"/>
      <c r="K61" s="1426"/>
      <c r="L61" s="1426"/>
      <c r="M61" s="2492">
        <f>+E61+I61+J61+K61+L61+N61</f>
        <v>0</v>
      </c>
      <c r="N61" s="1424">
        <v>0</v>
      </c>
      <c r="O61" s="1424">
        <f>7200-1494</f>
        <v>5706</v>
      </c>
      <c r="P61" s="676">
        <v>0</v>
      </c>
      <c r="Q61" s="676">
        <v>0</v>
      </c>
      <c r="R61" s="676">
        <v>0</v>
      </c>
      <c r="S61" s="676">
        <v>0</v>
      </c>
      <c r="T61" s="676">
        <v>0</v>
      </c>
      <c r="U61" s="676"/>
      <c r="V61" s="676"/>
      <c r="W61" s="676"/>
      <c r="X61" s="1335">
        <f>SUM(P61:T61)</f>
        <v>0</v>
      </c>
      <c r="Y61" s="2823"/>
    </row>
    <row r="62" spans="1:25" s="1987" customFormat="1" ht="12" customHeight="1">
      <c r="A62" s="2868"/>
      <c r="B62" s="502" t="s">
        <v>30</v>
      </c>
      <c r="C62" s="2827"/>
      <c r="D62" s="1427">
        <f>E62+I62+J62+K62+L62+N62+O62+P62</f>
        <v>32332</v>
      </c>
      <c r="E62" s="1427">
        <f t="shared" ref="E62:T62" si="47">E63</f>
        <v>0</v>
      </c>
      <c r="F62" s="1421">
        <f t="shared" si="47"/>
        <v>0</v>
      </c>
      <c r="G62" s="1421">
        <f t="shared" si="47"/>
        <v>0</v>
      </c>
      <c r="H62" s="1421">
        <f t="shared" si="47"/>
        <v>0</v>
      </c>
      <c r="I62" s="1422">
        <f t="shared" si="47"/>
        <v>0</v>
      </c>
      <c r="J62" s="1422">
        <f t="shared" si="47"/>
        <v>0</v>
      </c>
      <c r="K62" s="1422">
        <f t="shared" si="47"/>
        <v>0</v>
      </c>
      <c r="L62" s="1422">
        <f t="shared" si="47"/>
        <v>0</v>
      </c>
      <c r="M62" s="2493">
        <f t="shared" si="47"/>
        <v>0</v>
      </c>
      <c r="N62" s="1427">
        <f t="shared" si="47"/>
        <v>0</v>
      </c>
      <c r="O62" s="1427">
        <f t="shared" si="47"/>
        <v>32332</v>
      </c>
      <c r="P62" s="1427">
        <f t="shared" si="47"/>
        <v>0</v>
      </c>
      <c r="Q62" s="1427">
        <f t="shared" si="47"/>
        <v>0</v>
      </c>
      <c r="R62" s="1427">
        <f t="shared" si="47"/>
        <v>0</v>
      </c>
      <c r="S62" s="1427">
        <f t="shared" si="47"/>
        <v>0</v>
      </c>
      <c r="T62" s="1427">
        <f t="shared" si="47"/>
        <v>0</v>
      </c>
      <c r="U62" s="1427"/>
      <c r="V62" s="1427"/>
      <c r="W62" s="1427"/>
      <c r="X62" s="1423">
        <f>+X63</f>
        <v>0</v>
      </c>
      <c r="Y62" s="2823"/>
    </row>
    <row r="63" spans="1:25" s="1987" customFormat="1" ht="12" customHeight="1">
      <c r="A63" s="2868"/>
      <c r="B63" s="1898" t="s">
        <v>33</v>
      </c>
      <c r="C63" s="2828"/>
      <c r="D63" s="1424">
        <f>M63+O63+P63+Q63+R63+S63+T63+U63+V63+W63</f>
        <v>32332</v>
      </c>
      <c r="E63" s="1424">
        <v>0</v>
      </c>
      <c r="F63" s="1428"/>
      <c r="G63" s="1428"/>
      <c r="H63" s="1428">
        <v>0</v>
      </c>
      <c r="I63" s="1429"/>
      <c r="J63" s="1429"/>
      <c r="K63" s="1429"/>
      <c r="L63" s="1429"/>
      <c r="M63" s="2492">
        <f>+E63+I63+J63+K63+L63+N63</f>
        <v>0</v>
      </c>
      <c r="N63" s="1430">
        <v>0</v>
      </c>
      <c r="O63" s="1430">
        <f>40800-8468</f>
        <v>32332</v>
      </c>
      <c r="P63" s="625">
        <v>0</v>
      </c>
      <c r="Q63" s="625">
        <v>0</v>
      </c>
      <c r="R63" s="625">
        <v>0</v>
      </c>
      <c r="S63" s="625">
        <v>0</v>
      </c>
      <c r="T63" s="625">
        <v>0</v>
      </c>
      <c r="U63" s="625"/>
      <c r="V63" s="625"/>
      <c r="W63" s="625"/>
      <c r="X63" s="1335">
        <f>SUM(P63:T63)</f>
        <v>0</v>
      </c>
      <c r="Y63" s="2823"/>
    </row>
    <row r="64" spans="1:25" s="1987" customFormat="1" ht="12" customHeight="1">
      <c r="A64" s="2599"/>
      <c r="B64" s="358" t="s">
        <v>34</v>
      </c>
      <c r="C64" s="1431"/>
      <c r="D64" s="1416">
        <f>E64+I64+J64+K64+L64+N64+O64+P64</f>
        <v>38038</v>
      </c>
      <c r="E64" s="1416">
        <f t="shared" ref="E64:P64" si="48">E65+E67</f>
        <v>0</v>
      </c>
      <c r="F64" s="1417">
        <f t="shared" si="48"/>
        <v>0</v>
      </c>
      <c r="G64" s="1417">
        <f t="shared" si="48"/>
        <v>0</v>
      </c>
      <c r="H64" s="1417">
        <f t="shared" si="48"/>
        <v>0</v>
      </c>
      <c r="I64" s="1418">
        <f t="shared" si="48"/>
        <v>0</v>
      </c>
      <c r="J64" s="1418">
        <f t="shared" si="48"/>
        <v>0</v>
      </c>
      <c r="K64" s="1418">
        <f t="shared" si="48"/>
        <v>0</v>
      </c>
      <c r="L64" s="1418">
        <f t="shared" si="48"/>
        <v>0</v>
      </c>
      <c r="M64" s="1769">
        <f>M65+M67</f>
        <v>0</v>
      </c>
      <c r="N64" s="1416">
        <f t="shared" si="48"/>
        <v>0</v>
      </c>
      <c r="O64" s="1416">
        <f t="shared" si="48"/>
        <v>38038</v>
      </c>
      <c r="P64" s="1416">
        <f t="shared" si="48"/>
        <v>0</v>
      </c>
      <c r="Q64" s="1416">
        <f>Q65+Q67</f>
        <v>0</v>
      </c>
      <c r="R64" s="1416">
        <f>R65+R67</f>
        <v>0</v>
      </c>
      <c r="S64" s="1416">
        <f>S65+S67</f>
        <v>0</v>
      </c>
      <c r="T64" s="1416">
        <f>T65+T67</f>
        <v>0</v>
      </c>
      <c r="U64" s="1416"/>
      <c r="V64" s="1416"/>
      <c r="W64" s="1416"/>
      <c r="X64" s="2846" t="s">
        <v>77</v>
      </c>
      <c r="Y64" s="2823"/>
    </row>
    <row r="65" spans="1:26" s="1987" customFormat="1" ht="12" customHeight="1">
      <c r="A65" s="2599"/>
      <c r="B65" s="1899" t="s">
        <v>36</v>
      </c>
      <c r="C65" s="2856" t="s">
        <v>269</v>
      </c>
      <c r="D65" s="1420">
        <f>E65+I65+J65+K65+L65+N65+O65+P65</f>
        <v>5706</v>
      </c>
      <c r="E65" s="1420">
        <f t="shared" ref="E65:T65" si="49">E66</f>
        <v>0</v>
      </c>
      <c r="F65" s="1421">
        <f t="shared" si="49"/>
        <v>0</v>
      </c>
      <c r="G65" s="1421">
        <f t="shared" si="49"/>
        <v>0</v>
      </c>
      <c r="H65" s="1421">
        <f t="shared" si="49"/>
        <v>0</v>
      </c>
      <c r="I65" s="1422">
        <f t="shared" si="49"/>
        <v>0</v>
      </c>
      <c r="J65" s="1422">
        <f t="shared" si="49"/>
        <v>0</v>
      </c>
      <c r="K65" s="1422">
        <f t="shared" si="49"/>
        <v>0</v>
      </c>
      <c r="L65" s="1422">
        <f t="shared" si="49"/>
        <v>0</v>
      </c>
      <c r="M65" s="2491">
        <f t="shared" si="49"/>
        <v>0</v>
      </c>
      <c r="N65" s="1420">
        <f t="shared" si="49"/>
        <v>0</v>
      </c>
      <c r="O65" s="1420">
        <f t="shared" si="49"/>
        <v>5706</v>
      </c>
      <c r="P65" s="1420">
        <f t="shared" si="49"/>
        <v>0</v>
      </c>
      <c r="Q65" s="1420">
        <f t="shared" si="49"/>
        <v>0</v>
      </c>
      <c r="R65" s="1420">
        <f t="shared" si="49"/>
        <v>0</v>
      </c>
      <c r="S65" s="1420">
        <f t="shared" si="49"/>
        <v>0</v>
      </c>
      <c r="T65" s="1420">
        <f t="shared" si="49"/>
        <v>0</v>
      </c>
      <c r="U65" s="1420"/>
      <c r="V65" s="1420"/>
      <c r="W65" s="1420"/>
      <c r="X65" s="2830"/>
      <c r="Y65" s="2823"/>
    </row>
    <row r="66" spans="1:26" s="1987" customFormat="1" ht="12" customHeight="1">
      <c r="A66" s="2599"/>
      <c r="B66" s="679" t="s">
        <v>25</v>
      </c>
      <c r="C66" s="2827"/>
      <c r="D66" s="1424">
        <f>M66+O66+P66+Q66+R66+S66+T66+U66+V66+W66</f>
        <v>5706</v>
      </c>
      <c r="E66" s="1424">
        <v>0</v>
      </c>
      <c r="F66" s="1432"/>
      <c r="G66" s="1432"/>
      <c r="H66" s="1432">
        <v>0</v>
      </c>
      <c r="I66" s="1433"/>
      <c r="J66" s="1433"/>
      <c r="K66" s="1433"/>
      <c r="L66" s="1433"/>
      <c r="M66" s="2492">
        <f>+E66+I66+J66+K66+L66+N66</f>
        <v>0</v>
      </c>
      <c r="N66" s="1356">
        <v>0</v>
      </c>
      <c r="O66" s="1356">
        <f>7200-1494</f>
        <v>5706</v>
      </c>
      <c r="P66" s="1356">
        <v>0</v>
      </c>
      <c r="Q66" s="1356">
        <v>0</v>
      </c>
      <c r="R66" s="1356">
        <v>0</v>
      </c>
      <c r="S66" s="776">
        <v>0</v>
      </c>
      <c r="T66" s="776">
        <v>0</v>
      </c>
      <c r="U66" s="776"/>
      <c r="V66" s="776"/>
      <c r="W66" s="776"/>
      <c r="X66" s="2830"/>
      <c r="Y66" s="2823"/>
    </row>
    <row r="67" spans="1:26" s="1987" customFormat="1" ht="12" customHeight="1">
      <c r="A67" s="2599"/>
      <c r="B67" s="1900" t="s">
        <v>30</v>
      </c>
      <c r="C67" s="2827"/>
      <c r="D67" s="1427">
        <f>E67+I67+J67+K67+L67+N67+O67+P67</f>
        <v>32332</v>
      </c>
      <c r="E67" s="1427">
        <f t="shared" ref="E67:T67" si="50">E68</f>
        <v>0</v>
      </c>
      <c r="F67" s="1421">
        <f t="shared" si="50"/>
        <v>0</v>
      </c>
      <c r="G67" s="1421">
        <f t="shared" si="50"/>
        <v>0</v>
      </c>
      <c r="H67" s="1421">
        <f t="shared" si="50"/>
        <v>0</v>
      </c>
      <c r="I67" s="1422">
        <f t="shared" si="50"/>
        <v>0</v>
      </c>
      <c r="J67" s="1422">
        <f t="shared" si="50"/>
        <v>0</v>
      </c>
      <c r="K67" s="1422">
        <f t="shared" si="50"/>
        <v>0</v>
      </c>
      <c r="L67" s="1422">
        <f t="shared" si="50"/>
        <v>0</v>
      </c>
      <c r="M67" s="2493">
        <f t="shared" si="50"/>
        <v>0</v>
      </c>
      <c r="N67" s="1427">
        <f t="shared" si="50"/>
        <v>0</v>
      </c>
      <c r="O67" s="1427">
        <f t="shared" si="50"/>
        <v>32332</v>
      </c>
      <c r="P67" s="1427">
        <f t="shared" si="50"/>
        <v>0</v>
      </c>
      <c r="Q67" s="1427">
        <f t="shared" si="50"/>
        <v>0</v>
      </c>
      <c r="R67" s="1427">
        <f t="shared" si="50"/>
        <v>0</v>
      </c>
      <c r="S67" s="1427">
        <f t="shared" si="50"/>
        <v>0</v>
      </c>
      <c r="T67" s="1427">
        <f t="shared" si="50"/>
        <v>0</v>
      </c>
      <c r="U67" s="1427"/>
      <c r="V67" s="1427"/>
      <c r="W67" s="1427"/>
      <c r="X67" s="2830"/>
      <c r="Y67" s="2823"/>
    </row>
    <row r="68" spans="1:26" s="1987" customFormat="1" ht="12" customHeight="1" thickBot="1">
      <c r="A68" s="2600"/>
      <c r="B68" s="1210" t="s">
        <v>33</v>
      </c>
      <c r="C68" s="2832"/>
      <c r="D68" s="684">
        <f>M68+O68+P68+Q68+R68+S68+T68+U68+V68+W68</f>
        <v>32332</v>
      </c>
      <c r="E68" s="680">
        <v>0</v>
      </c>
      <c r="F68" s="1211"/>
      <c r="G68" s="1211"/>
      <c r="H68" s="1211">
        <v>0</v>
      </c>
      <c r="I68" s="1212"/>
      <c r="J68" s="1212"/>
      <c r="K68" s="1212"/>
      <c r="L68" s="1212"/>
      <c r="M68" s="1992">
        <f>+E68+I68+J68+K68+L68+N68</f>
        <v>0</v>
      </c>
      <c r="N68" s="681">
        <v>0</v>
      </c>
      <c r="O68" s="681">
        <f>40800-8468</f>
        <v>32332</v>
      </c>
      <c r="P68" s="681">
        <v>0</v>
      </c>
      <c r="Q68" s="681">
        <v>0</v>
      </c>
      <c r="R68" s="681">
        <v>0</v>
      </c>
      <c r="S68" s="575">
        <v>0</v>
      </c>
      <c r="T68" s="575">
        <v>0</v>
      </c>
      <c r="U68" s="575"/>
      <c r="V68" s="575"/>
      <c r="W68" s="575"/>
      <c r="X68" s="2831"/>
      <c r="Y68" s="2824"/>
    </row>
    <row r="69" spans="1:26" ht="28.5" customHeight="1">
      <c r="A69" s="2867" t="s">
        <v>82</v>
      </c>
      <c r="B69" s="671" t="s">
        <v>441</v>
      </c>
      <c r="C69" s="672" t="s">
        <v>128</v>
      </c>
      <c r="D69" s="693"/>
      <c r="E69" s="691"/>
      <c r="F69" s="1325"/>
      <c r="G69" s="1325"/>
      <c r="H69" s="1326"/>
      <c r="I69" s="1327"/>
      <c r="J69" s="1328"/>
      <c r="K69" s="1328"/>
      <c r="L69" s="1328"/>
      <c r="M69" s="691"/>
      <c r="N69" s="691"/>
      <c r="O69" s="691"/>
      <c r="P69" s="691"/>
      <c r="Q69" s="691"/>
      <c r="R69" s="691"/>
      <c r="S69" s="691"/>
      <c r="T69" s="691"/>
      <c r="U69" s="691"/>
      <c r="V69" s="691"/>
      <c r="W69" s="870"/>
      <c r="X69" s="1217"/>
      <c r="Y69" s="2886" t="s">
        <v>129</v>
      </c>
      <c r="Z69" s="1154"/>
    </row>
    <row r="70" spans="1:26" ht="13.5" customHeight="1">
      <c r="A70" s="2868"/>
      <c r="B70" s="358" t="s">
        <v>22</v>
      </c>
      <c r="C70" s="682"/>
      <c r="D70" s="1188">
        <f>D71+D73</f>
        <v>2328152</v>
      </c>
      <c r="E70" s="1188">
        <f t="shared" ref="E70:Q70" si="51">+E73+E71</f>
        <v>441028</v>
      </c>
      <c r="F70" s="1189">
        <f t="shared" si="51"/>
        <v>0</v>
      </c>
      <c r="G70" s="1189">
        <f t="shared" si="51"/>
        <v>0</v>
      </c>
      <c r="H70" s="1189">
        <f t="shared" si="51"/>
        <v>0</v>
      </c>
      <c r="I70" s="1190">
        <f t="shared" si="51"/>
        <v>364771</v>
      </c>
      <c r="J70" s="1190">
        <f t="shared" si="51"/>
        <v>375013</v>
      </c>
      <c r="K70" s="1190">
        <f t="shared" si="51"/>
        <v>348792</v>
      </c>
      <c r="L70" s="1190">
        <f t="shared" si="51"/>
        <v>377448</v>
      </c>
      <c r="M70" s="1188">
        <f>+M73+M71</f>
        <v>2126586</v>
      </c>
      <c r="N70" s="1188">
        <f t="shared" si="51"/>
        <v>219534</v>
      </c>
      <c r="O70" s="1188">
        <f t="shared" si="51"/>
        <v>201566</v>
      </c>
      <c r="P70" s="1188">
        <f t="shared" si="51"/>
        <v>0</v>
      </c>
      <c r="Q70" s="1188">
        <f t="shared" si="51"/>
        <v>0</v>
      </c>
      <c r="R70" s="1188">
        <f>+R73+R71</f>
        <v>0</v>
      </c>
      <c r="S70" s="1188">
        <f>+S73+S71</f>
        <v>0</v>
      </c>
      <c r="T70" s="1188">
        <f>+T73+T71</f>
        <v>0</v>
      </c>
      <c r="U70" s="1188"/>
      <c r="V70" s="1188"/>
      <c r="W70" s="1188"/>
      <c r="X70" s="1220">
        <f>+X73+X71</f>
        <v>0</v>
      </c>
      <c r="Y70" s="2884"/>
      <c r="Z70" s="1154"/>
    </row>
    <row r="71" spans="1:26" ht="14.25" customHeight="1">
      <c r="A71" s="2868"/>
      <c r="B71" s="674" t="s">
        <v>36</v>
      </c>
      <c r="C71" s="2887" t="s">
        <v>184</v>
      </c>
      <c r="D71" s="1513">
        <f t="shared" ref="D71:I71" si="52">D72</f>
        <v>349223</v>
      </c>
      <c r="E71" s="1513">
        <f t="shared" si="52"/>
        <v>66154</v>
      </c>
      <c r="F71" s="1189">
        <f t="shared" si="52"/>
        <v>0</v>
      </c>
      <c r="G71" s="1189">
        <f t="shared" si="52"/>
        <v>0</v>
      </c>
      <c r="H71" s="1189">
        <f t="shared" si="52"/>
        <v>0</v>
      </c>
      <c r="I71" s="1190">
        <f t="shared" si="52"/>
        <v>54716</v>
      </c>
      <c r="J71" s="1190">
        <f t="shared" ref="J71:T71" si="53">+J72</f>
        <v>56252</v>
      </c>
      <c r="K71" s="1190">
        <f t="shared" si="53"/>
        <v>52319</v>
      </c>
      <c r="L71" s="1190">
        <f t="shared" si="53"/>
        <v>56617</v>
      </c>
      <c r="M71" s="1513">
        <f t="shared" si="53"/>
        <v>318988</v>
      </c>
      <c r="N71" s="1513">
        <f t="shared" si="53"/>
        <v>32930</v>
      </c>
      <c r="O71" s="1513">
        <f t="shared" si="53"/>
        <v>30235</v>
      </c>
      <c r="P71" s="1513">
        <f t="shared" si="53"/>
        <v>0</v>
      </c>
      <c r="Q71" s="1513">
        <f t="shared" si="53"/>
        <v>0</v>
      </c>
      <c r="R71" s="1513">
        <f t="shared" si="53"/>
        <v>0</v>
      </c>
      <c r="S71" s="1513">
        <f t="shared" si="53"/>
        <v>0</v>
      </c>
      <c r="T71" s="1513">
        <f t="shared" si="53"/>
        <v>0</v>
      </c>
      <c r="U71" s="1513"/>
      <c r="V71" s="1513"/>
      <c r="W71" s="1513"/>
      <c r="X71" s="1514">
        <f>+X72</f>
        <v>0</v>
      </c>
      <c r="Y71" s="2884"/>
    </row>
    <row r="72" spans="1:26">
      <c r="A72" s="2868"/>
      <c r="B72" s="1515" t="s">
        <v>25</v>
      </c>
      <c r="C72" s="2827"/>
      <c r="D72" s="1222">
        <f>M72+O72+P72+Q72+R72+S72+T72+U72+V72+W72</f>
        <v>349223</v>
      </c>
      <c r="E72" s="1198">
        <v>66154</v>
      </c>
      <c r="F72" s="1199"/>
      <c r="G72" s="1199"/>
      <c r="H72" s="1199"/>
      <c r="I72" s="1200">
        <v>54716</v>
      </c>
      <c r="J72" s="1516">
        <v>56252</v>
      </c>
      <c r="K72" s="1516">
        <f>44352+12000-4033</f>
        <v>52319</v>
      </c>
      <c r="L72" s="1516">
        <v>56617</v>
      </c>
      <c r="M72" s="1198">
        <f>+E72+I72+J72+K72+L72+N72</f>
        <v>318988</v>
      </c>
      <c r="N72" s="1225">
        <v>32930</v>
      </c>
      <c r="O72" s="1225">
        <f>40163-9928</f>
        <v>30235</v>
      </c>
      <c r="P72" s="627">
        <v>0</v>
      </c>
      <c r="Q72" s="627">
        <v>0</v>
      </c>
      <c r="R72" s="627">
        <v>0</v>
      </c>
      <c r="S72" s="627">
        <v>0</v>
      </c>
      <c r="T72" s="627">
        <v>0</v>
      </c>
      <c r="U72" s="627"/>
      <c r="V72" s="627"/>
      <c r="W72" s="627"/>
      <c r="X72" s="1166">
        <f>SUM(P72:T72)</f>
        <v>0</v>
      </c>
      <c r="Y72" s="2884"/>
      <c r="Z72" s="1136"/>
    </row>
    <row r="73" spans="1:26" ht="12.75" customHeight="1">
      <c r="A73" s="2868"/>
      <c r="B73" s="502" t="s">
        <v>30</v>
      </c>
      <c r="C73" s="2827"/>
      <c r="D73" s="1201">
        <f t="shared" ref="D73:X73" si="54">+D74</f>
        <v>1978929</v>
      </c>
      <c r="E73" s="1201">
        <f t="shared" si="54"/>
        <v>374874</v>
      </c>
      <c r="F73" s="1193">
        <f t="shared" si="54"/>
        <v>0</v>
      </c>
      <c r="G73" s="1193">
        <f t="shared" si="54"/>
        <v>0</v>
      </c>
      <c r="H73" s="1193">
        <f t="shared" si="54"/>
        <v>0</v>
      </c>
      <c r="I73" s="1194">
        <f t="shared" si="54"/>
        <v>310055</v>
      </c>
      <c r="J73" s="1194">
        <f t="shared" si="54"/>
        <v>318761</v>
      </c>
      <c r="K73" s="1194">
        <f t="shared" si="54"/>
        <v>296473</v>
      </c>
      <c r="L73" s="1194">
        <f t="shared" si="54"/>
        <v>320831</v>
      </c>
      <c r="M73" s="1201">
        <f t="shared" si="54"/>
        <v>1807598</v>
      </c>
      <c r="N73" s="1201">
        <f t="shared" si="54"/>
        <v>186604</v>
      </c>
      <c r="O73" s="1216">
        <f t="shared" si="54"/>
        <v>171331</v>
      </c>
      <c r="P73" s="1216">
        <f t="shared" si="54"/>
        <v>0</v>
      </c>
      <c r="Q73" s="1216">
        <f t="shared" si="54"/>
        <v>0</v>
      </c>
      <c r="R73" s="1216">
        <f t="shared" si="54"/>
        <v>0</v>
      </c>
      <c r="S73" s="1216">
        <f t="shared" si="54"/>
        <v>0</v>
      </c>
      <c r="T73" s="1216">
        <f t="shared" si="54"/>
        <v>0</v>
      </c>
      <c r="U73" s="1216"/>
      <c r="V73" s="1216"/>
      <c r="W73" s="1216"/>
      <c r="X73" s="1220">
        <f t="shared" si="54"/>
        <v>0</v>
      </c>
      <c r="Y73" s="2884"/>
    </row>
    <row r="74" spans="1:26">
      <c r="A74" s="2868"/>
      <c r="B74" s="1517" t="s">
        <v>33</v>
      </c>
      <c r="C74" s="2828"/>
      <c r="D74" s="1222">
        <f>M74+O74+P74+Q74+R74+S74+T74+U74+V74+W74</f>
        <v>1978929</v>
      </c>
      <c r="E74" s="1225">
        <v>374874</v>
      </c>
      <c r="F74" s="1224"/>
      <c r="G74" s="1224"/>
      <c r="H74" s="1224"/>
      <c r="I74" s="1516">
        <v>310055</v>
      </c>
      <c r="J74" s="1200">
        <v>318761</v>
      </c>
      <c r="K74" s="1200">
        <f>251327+68000-22854</f>
        <v>296473</v>
      </c>
      <c r="L74" s="1200">
        <f>268327+52504</f>
        <v>320831</v>
      </c>
      <c r="M74" s="1198">
        <f>+E74+I74+J74+K74+L74+N74</f>
        <v>1807598</v>
      </c>
      <c r="N74" s="1198">
        <v>186604</v>
      </c>
      <c r="O74" s="1198">
        <f>227588-56257</f>
        <v>171331</v>
      </c>
      <c r="P74" s="1198">
        <v>0</v>
      </c>
      <c r="Q74" s="676">
        <v>0</v>
      </c>
      <c r="R74" s="676">
        <v>0</v>
      </c>
      <c r="S74" s="676">
        <v>0</v>
      </c>
      <c r="T74" s="676">
        <v>0</v>
      </c>
      <c r="U74" s="676"/>
      <c r="V74" s="676"/>
      <c r="W74" s="676"/>
      <c r="X74" s="1166">
        <f>SUM(P74:T74)</f>
        <v>0</v>
      </c>
      <c r="Y74" s="2884"/>
      <c r="Z74" s="1136"/>
    </row>
    <row r="75" spans="1:26" ht="12.75" customHeight="1">
      <c r="A75" s="2599"/>
      <c r="B75" s="501" t="s">
        <v>34</v>
      </c>
      <c r="C75" s="683"/>
      <c r="D75" s="697">
        <f>D76+D78</f>
        <v>2328152</v>
      </c>
      <c r="E75" s="697">
        <f>+E78+E76</f>
        <v>3874</v>
      </c>
      <c r="F75" s="1230">
        <f>+F78+F76</f>
        <v>0</v>
      </c>
      <c r="G75" s="1230">
        <f>+G78+G76</f>
        <v>0</v>
      </c>
      <c r="H75" s="1230">
        <f>+H78+H76</f>
        <v>0</v>
      </c>
      <c r="I75" s="1231">
        <f>+I78+I76</f>
        <v>480461</v>
      </c>
      <c r="J75" s="1190">
        <f t="shared" ref="J75:Q75" si="55">+J78+J76</f>
        <v>496759</v>
      </c>
      <c r="K75" s="1190">
        <f t="shared" si="55"/>
        <v>344217</v>
      </c>
      <c r="L75" s="1190">
        <f t="shared" si="55"/>
        <v>289417</v>
      </c>
      <c r="M75" s="1188">
        <f>+M78+M76</f>
        <v>1892106</v>
      </c>
      <c r="N75" s="1188">
        <f t="shared" si="55"/>
        <v>277378</v>
      </c>
      <c r="O75" s="1188">
        <f t="shared" si="55"/>
        <v>342136</v>
      </c>
      <c r="P75" s="1188">
        <f t="shared" si="55"/>
        <v>93910</v>
      </c>
      <c r="Q75" s="1188">
        <f t="shared" si="55"/>
        <v>0</v>
      </c>
      <c r="R75" s="1188">
        <f>+R78+R76</f>
        <v>0</v>
      </c>
      <c r="S75" s="1188">
        <f>+S78+S76</f>
        <v>0</v>
      </c>
      <c r="T75" s="1188">
        <f>+T78+T76</f>
        <v>0</v>
      </c>
      <c r="U75" s="1188"/>
      <c r="V75" s="1188"/>
      <c r="W75" s="1188"/>
      <c r="X75" s="2829" t="s">
        <v>77</v>
      </c>
      <c r="Y75" s="2884"/>
    </row>
    <row r="76" spans="1:26" ht="14.25" customHeight="1">
      <c r="A76" s="2599"/>
      <c r="B76" s="674" t="s">
        <v>36</v>
      </c>
      <c r="C76" s="2887" t="s">
        <v>184</v>
      </c>
      <c r="D76" s="1518">
        <f t="shared" ref="D76:I76" si="56">D77</f>
        <v>349223</v>
      </c>
      <c r="E76" s="1518">
        <f t="shared" si="56"/>
        <v>3874</v>
      </c>
      <c r="F76" s="1230">
        <f t="shared" si="56"/>
        <v>0</v>
      </c>
      <c r="G76" s="1230">
        <f t="shared" si="56"/>
        <v>0</v>
      </c>
      <c r="H76" s="1230">
        <f t="shared" si="56"/>
        <v>0</v>
      </c>
      <c r="I76" s="1231">
        <f t="shared" si="56"/>
        <v>72234</v>
      </c>
      <c r="J76" s="1190">
        <f t="shared" ref="J76:T76" si="57">+J77</f>
        <v>73370</v>
      </c>
      <c r="K76" s="1190">
        <f t="shared" si="57"/>
        <v>52704</v>
      </c>
      <c r="L76" s="1190">
        <f t="shared" si="57"/>
        <v>44329</v>
      </c>
      <c r="M76" s="1513">
        <f t="shared" si="57"/>
        <v>303135</v>
      </c>
      <c r="N76" s="1513">
        <f t="shared" si="57"/>
        <v>56624</v>
      </c>
      <c r="O76" s="1513">
        <f t="shared" si="57"/>
        <v>31674</v>
      </c>
      <c r="P76" s="1513">
        <f t="shared" si="57"/>
        <v>14414</v>
      </c>
      <c r="Q76" s="1513">
        <f t="shared" si="57"/>
        <v>0</v>
      </c>
      <c r="R76" s="1513">
        <f t="shared" si="57"/>
        <v>0</v>
      </c>
      <c r="S76" s="1513">
        <f t="shared" si="57"/>
        <v>0</v>
      </c>
      <c r="T76" s="1513">
        <f t="shared" si="57"/>
        <v>0</v>
      </c>
      <c r="U76" s="1513"/>
      <c r="V76" s="1513"/>
      <c r="W76" s="1513"/>
      <c r="X76" s="2830"/>
      <c r="Y76" s="2884"/>
    </row>
    <row r="77" spans="1:26">
      <c r="A77" s="2599"/>
      <c r="B77" s="1515" t="s">
        <v>25</v>
      </c>
      <c r="C77" s="2827"/>
      <c r="D77" s="1222">
        <f>M77+O77+P77+Q77+R77+S77+T77+U77+V77+W77</f>
        <v>349223</v>
      </c>
      <c r="E77" s="676">
        <v>3874</v>
      </c>
      <c r="F77" s="1519"/>
      <c r="G77" s="1519"/>
      <c r="H77" s="1519"/>
      <c r="I77" s="1520">
        <v>72234</v>
      </c>
      <c r="J77" s="1516">
        <v>73370</v>
      </c>
      <c r="K77" s="1516">
        <f>44352+12000-3648</f>
        <v>52704</v>
      </c>
      <c r="L77" s="1516">
        <f>47352-3023</f>
        <v>44329</v>
      </c>
      <c r="M77" s="1198">
        <f>+E77+I77+J77+K77+L77+N77</f>
        <v>303135</v>
      </c>
      <c r="N77" s="1225">
        <v>56624</v>
      </c>
      <c r="O77" s="1225">
        <f>35934-4260</f>
        <v>31674</v>
      </c>
      <c r="P77" s="627">
        <f>20082-5668</f>
        <v>14414</v>
      </c>
      <c r="Q77" s="627">
        <v>0</v>
      </c>
      <c r="R77" s="627">
        <v>0</v>
      </c>
      <c r="S77" s="627">
        <v>0</v>
      </c>
      <c r="T77" s="627">
        <v>0</v>
      </c>
      <c r="U77" s="627"/>
      <c r="V77" s="627"/>
      <c r="W77" s="627"/>
      <c r="X77" s="2830"/>
      <c r="Y77" s="2884"/>
    </row>
    <row r="78" spans="1:26" ht="12.75" customHeight="1">
      <c r="A78" s="2599"/>
      <c r="B78" s="1232" t="s">
        <v>30</v>
      </c>
      <c r="C78" s="2827"/>
      <c r="D78" s="1201">
        <f t="shared" ref="D78:T78" si="58">+D79</f>
        <v>1978929</v>
      </c>
      <c r="E78" s="1201">
        <f t="shared" si="58"/>
        <v>0</v>
      </c>
      <c r="F78" s="1193">
        <f t="shared" si="58"/>
        <v>0</v>
      </c>
      <c r="G78" s="1193">
        <f t="shared" si="58"/>
        <v>0</v>
      </c>
      <c r="H78" s="1193">
        <f t="shared" si="58"/>
        <v>0</v>
      </c>
      <c r="I78" s="1194">
        <f t="shared" si="58"/>
        <v>408227</v>
      </c>
      <c r="J78" s="1194">
        <f t="shared" si="58"/>
        <v>423389</v>
      </c>
      <c r="K78" s="1194">
        <f t="shared" si="58"/>
        <v>291513</v>
      </c>
      <c r="L78" s="1194">
        <f t="shared" si="58"/>
        <v>245088</v>
      </c>
      <c r="M78" s="1201">
        <f t="shared" si="58"/>
        <v>1588971</v>
      </c>
      <c r="N78" s="1201">
        <f t="shared" si="58"/>
        <v>220754</v>
      </c>
      <c r="O78" s="1216">
        <f t="shared" si="58"/>
        <v>310462</v>
      </c>
      <c r="P78" s="1216">
        <f t="shared" si="58"/>
        <v>79496</v>
      </c>
      <c r="Q78" s="1216">
        <f t="shared" si="58"/>
        <v>0</v>
      </c>
      <c r="R78" s="1216">
        <f>+R79</f>
        <v>0</v>
      </c>
      <c r="S78" s="1216">
        <f t="shared" si="58"/>
        <v>0</v>
      </c>
      <c r="T78" s="1216">
        <f t="shared" si="58"/>
        <v>0</v>
      </c>
      <c r="U78" s="1216"/>
      <c r="V78" s="1216"/>
      <c r="W78" s="1216"/>
      <c r="X78" s="2830"/>
      <c r="Y78" s="2884"/>
    </row>
    <row r="79" spans="1:26" ht="12.75" customHeight="1" thickBot="1">
      <c r="A79" s="2600"/>
      <c r="B79" s="1210" t="s">
        <v>33</v>
      </c>
      <c r="C79" s="2832"/>
      <c r="D79" s="1119">
        <f>M79+O79+P79+Q79+R79+S79+T79+U79+V79+W79</f>
        <v>1978929</v>
      </c>
      <c r="E79" s="681">
        <v>0</v>
      </c>
      <c r="F79" s="1211">
        <v>0</v>
      </c>
      <c r="G79" s="1211"/>
      <c r="H79" s="1211"/>
      <c r="I79" s="1212">
        <v>408227</v>
      </c>
      <c r="J79" s="1233">
        <v>423389</v>
      </c>
      <c r="K79" s="1233">
        <f>251327+68000-27814</f>
        <v>291513</v>
      </c>
      <c r="L79" s="1233">
        <f>268327-23239</f>
        <v>245088</v>
      </c>
      <c r="M79" s="684">
        <f>+E79+I79+J79+K79+L79+N79</f>
        <v>1588971</v>
      </c>
      <c r="N79" s="684">
        <v>220754</v>
      </c>
      <c r="O79" s="684">
        <f>332421-21959</f>
        <v>310462</v>
      </c>
      <c r="P79" s="684">
        <f>113794-34298</f>
        <v>79496</v>
      </c>
      <c r="Q79" s="684">
        <v>0</v>
      </c>
      <c r="R79" s="684">
        <v>0</v>
      </c>
      <c r="S79" s="684">
        <v>0</v>
      </c>
      <c r="T79" s="684">
        <v>0</v>
      </c>
      <c r="U79" s="684"/>
      <c r="V79" s="684"/>
      <c r="W79" s="684"/>
      <c r="X79" s="2831"/>
      <c r="Y79" s="2885"/>
    </row>
    <row r="80" spans="1:26" s="1179" customFormat="1" ht="39.75" hidden="1" customHeight="1">
      <c r="A80" s="2867" t="s">
        <v>83</v>
      </c>
      <c r="B80" s="671" t="s">
        <v>191</v>
      </c>
      <c r="C80" s="672" t="s">
        <v>97</v>
      </c>
      <c r="D80" s="693"/>
      <c r="E80" s="691"/>
      <c r="F80" s="1325"/>
      <c r="G80" s="1325"/>
      <c r="H80" s="1326"/>
      <c r="I80" s="1327"/>
      <c r="J80" s="1327"/>
      <c r="K80" s="1328"/>
      <c r="L80" s="1328"/>
      <c r="M80" s="691"/>
      <c r="N80" s="691"/>
      <c r="O80" s="691"/>
      <c r="P80" s="691"/>
      <c r="Q80" s="691"/>
      <c r="R80" s="691"/>
      <c r="S80" s="691"/>
      <c r="T80" s="691"/>
      <c r="U80" s="691"/>
      <c r="V80" s="691"/>
      <c r="W80" s="870"/>
      <c r="X80" s="1217"/>
      <c r="Y80" s="2822" t="s">
        <v>483</v>
      </c>
    </row>
    <row r="81" spans="1:28" s="1179" customFormat="1" ht="14.25" hidden="1" customHeight="1">
      <c r="A81" s="2868"/>
      <c r="B81" s="358" t="s">
        <v>22</v>
      </c>
      <c r="C81" s="682"/>
      <c r="D81" s="1188"/>
      <c r="E81" s="1188"/>
      <c r="F81" s="1189"/>
      <c r="G81" s="1189"/>
      <c r="H81" s="1189"/>
      <c r="I81" s="1190"/>
      <c r="J81" s="1190"/>
      <c r="K81" s="1190"/>
      <c r="L81" s="1190"/>
      <c r="M81" s="1188"/>
      <c r="N81" s="1188"/>
      <c r="O81" s="1188"/>
      <c r="P81" s="1188"/>
      <c r="Q81" s="1188"/>
      <c r="R81" s="1188"/>
      <c r="S81" s="1188"/>
      <c r="T81" s="1188"/>
      <c r="U81" s="1188"/>
      <c r="V81" s="1188"/>
      <c r="W81" s="1188"/>
      <c r="X81" s="1191">
        <f>+X82+X84</f>
        <v>0</v>
      </c>
      <c r="Y81" s="2823"/>
      <c r="Z81" s="1154"/>
    </row>
    <row r="82" spans="1:28" s="1238" customFormat="1" ht="13.5" hidden="1" customHeight="1">
      <c r="A82" s="2868"/>
      <c r="B82" s="674" t="s">
        <v>36</v>
      </c>
      <c r="C82" s="2825" t="s">
        <v>192</v>
      </c>
      <c r="D82" s="1234"/>
      <c r="E82" s="1234"/>
      <c r="F82" s="1235"/>
      <c r="G82" s="1235"/>
      <c r="H82" s="1235"/>
      <c r="I82" s="1236"/>
      <c r="J82" s="1236"/>
      <c r="K82" s="1236"/>
      <c r="L82" s="1236"/>
      <c r="M82" s="1234"/>
      <c r="N82" s="1234"/>
      <c r="O82" s="1234"/>
      <c r="P82" s="1234"/>
      <c r="Q82" s="1234"/>
      <c r="R82" s="1234"/>
      <c r="S82" s="1234"/>
      <c r="T82" s="1234"/>
      <c r="U82" s="1234"/>
      <c r="V82" s="1234"/>
      <c r="W82" s="1234"/>
      <c r="X82" s="1237">
        <f t="shared" ref="X82" si="59">+X83</f>
        <v>0</v>
      </c>
      <c r="Y82" s="2823"/>
    </row>
    <row r="83" spans="1:28" s="1179" customFormat="1" ht="13.5" hidden="1" customHeight="1">
      <c r="A83" s="2868"/>
      <c r="B83" s="675" t="s">
        <v>24</v>
      </c>
      <c r="C83" s="2827"/>
      <c r="D83" s="1222"/>
      <c r="E83" s="1206"/>
      <c r="F83" s="1207"/>
      <c r="G83" s="1207"/>
      <c r="H83" s="1207"/>
      <c r="I83" s="1208"/>
      <c r="J83" s="1208"/>
      <c r="K83" s="1208"/>
      <c r="L83" s="1208"/>
      <c r="M83" s="1198"/>
      <c r="N83" s="1206"/>
      <c r="O83" s="1206"/>
      <c r="P83" s="1601"/>
      <c r="Q83" s="1239"/>
      <c r="R83" s="1239"/>
      <c r="S83" s="1239"/>
      <c r="T83" s="1239"/>
      <c r="U83" s="1239"/>
      <c r="V83" s="1239"/>
      <c r="W83" s="1239"/>
      <c r="X83" s="1166">
        <f>SUM(P83:T83)</f>
        <v>0</v>
      </c>
      <c r="Y83" s="2823"/>
    </row>
    <row r="84" spans="1:28" s="1179" customFormat="1" ht="11.25" hidden="1" customHeight="1">
      <c r="A84" s="2868"/>
      <c r="B84" s="502" t="s">
        <v>30</v>
      </c>
      <c r="C84" s="2827"/>
      <c r="D84" s="1201"/>
      <c r="E84" s="1201"/>
      <c r="F84" s="1193"/>
      <c r="G84" s="1193"/>
      <c r="H84" s="1193"/>
      <c r="I84" s="1194"/>
      <c r="J84" s="1194"/>
      <c r="K84" s="1194"/>
      <c r="L84" s="1194"/>
      <c r="M84" s="1201"/>
      <c r="N84" s="1201"/>
      <c r="O84" s="1201"/>
      <c r="P84" s="1201"/>
      <c r="Q84" s="1201"/>
      <c r="R84" s="1201"/>
      <c r="S84" s="1201"/>
      <c r="T84" s="1201"/>
      <c r="U84" s="1240"/>
      <c r="V84" s="1240"/>
      <c r="W84" s="1240"/>
      <c r="X84" s="1241">
        <f t="shared" ref="X84" si="60">+X85</f>
        <v>0</v>
      </c>
      <c r="Y84" s="2823"/>
    </row>
    <row r="85" spans="1:28" s="1987" customFormat="1" ht="12" hidden="1" customHeight="1">
      <c r="A85" s="2868"/>
      <c r="B85" s="1202" t="s">
        <v>33</v>
      </c>
      <c r="C85" s="2828"/>
      <c r="D85" s="1222"/>
      <c r="E85" s="1203"/>
      <c r="F85" s="1204"/>
      <c r="G85" s="1204"/>
      <c r="H85" s="1204"/>
      <c r="I85" s="1205"/>
      <c r="J85" s="1205"/>
      <c r="K85" s="1205"/>
      <c r="L85" s="1205"/>
      <c r="M85" s="1198"/>
      <c r="N85" s="1203"/>
      <c r="O85" s="1203"/>
      <c r="P85" s="625"/>
      <c r="Q85" s="625"/>
      <c r="R85" s="625"/>
      <c r="S85" s="625"/>
      <c r="T85" s="625"/>
      <c r="U85" s="625"/>
      <c r="V85" s="625"/>
      <c r="W85" s="625"/>
      <c r="X85" s="1166">
        <f>SUM(P85:T85)</f>
        <v>0</v>
      </c>
      <c r="Y85" s="2823"/>
    </row>
    <row r="86" spans="1:28" s="1987" customFormat="1" ht="14.25" hidden="1" customHeight="1">
      <c r="A86" s="2599"/>
      <c r="B86" s="358" t="s">
        <v>34</v>
      </c>
      <c r="C86" s="677"/>
      <c r="D86" s="1188"/>
      <c r="E86" s="1188"/>
      <c r="F86" s="1189"/>
      <c r="G86" s="1189"/>
      <c r="H86" s="1189"/>
      <c r="I86" s="1190"/>
      <c r="J86" s="1190"/>
      <c r="K86" s="1190"/>
      <c r="L86" s="1190"/>
      <c r="M86" s="1188"/>
      <c r="N86" s="1188"/>
      <c r="O86" s="1188"/>
      <c r="P86" s="1188"/>
      <c r="Q86" s="1188"/>
      <c r="R86" s="1188"/>
      <c r="S86" s="1188"/>
      <c r="T86" s="1188"/>
      <c r="U86" s="1188"/>
      <c r="V86" s="1188"/>
      <c r="W86" s="1188"/>
      <c r="X86" s="2829" t="s">
        <v>77</v>
      </c>
      <c r="Y86" s="2823"/>
    </row>
    <row r="87" spans="1:28" s="1987" customFormat="1" ht="13.5" hidden="1" customHeight="1">
      <c r="A87" s="2599"/>
      <c r="B87" s="1232" t="s">
        <v>30</v>
      </c>
      <c r="C87" s="2827"/>
      <c r="D87" s="1201"/>
      <c r="E87" s="1201"/>
      <c r="F87" s="1193"/>
      <c r="G87" s="1193"/>
      <c r="H87" s="1193"/>
      <c r="I87" s="1194"/>
      <c r="J87" s="1194"/>
      <c r="K87" s="1194"/>
      <c r="L87" s="1194"/>
      <c r="M87" s="1201"/>
      <c r="N87" s="1201"/>
      <c r="O87" s="1201"/>
      <c r="P87" s="1201"/>
      <c r="Q87" s="1201"/>
      <c r="R87" s="1201"/>
      <c r="S87" s="1201"/>
      <c r="T87" s="1201"/>
      <c r="U87" s="1201"/>
      <c r="V87" s="1201"/>
      <c r="W87" s="1201"/>
      <c r="X87" s="2830"/>
      <c r="Y87" s="2823"/>
    </row>
    <row r="88" spans="1:28" s="1987" customFormat="1" ht="14.25" hidden="1" customHeight="1" thickBot="1">
      <c r="A88" s="2600"/>
      <c r="B88" s="1210" t="s">
        <v>33</v>
      </c>
      <c r="C88" s="2832"/>
      <c r="D88" s="1222"/>
      <c r="E88" s="681"/>
      <c r="F88" s="1211"/>
      <c r="G88" s="1211"/>
      <c r="H88" s="1211"/>
      <c r="I88" s="1212"/>
      <c r="J88" s="1212"/>
      <c r="K88" s="1212"/>
      <c r="L88" s="1212"/>
      <c r="M88" s="1198"/>
      <c r="N88" s="681"/>
      <c r="O88" s="681"/>
      <c r="P88" s="681"/>
      <c r="Q88" s="681"/>
      <c r="R88" s="681"/>
      <c r="S88" s="575"/>
      <c r="T88" s="575"/>
      <c r="U88" s="575"/>
      <c r="V88" s="575"/>
      <c r="W88" s="575"/>
      <c r="X88" s="2831"/>
      <c r="Y88" s="2824"/>
    </row>
    <row r="89" spans="1:28" s="1179" customFormat="1" ht="17.25" customHeight="1">
      <c r="A89" s="2867" t="s">
        <v>83</v>
      </c>
      <c r="B89" s="671" t="s">
        <v>350</v>
      </c>
      <c r="C89" s="672" t="s">
        <v>128</v>
      </c>
      <c r="D89" s="1324"/>
      <c r="E89" s="1324"/>
      <c r="F89" s="1325"/>
      <c r="G89" s="1325"/>
      <c r="H89" s="1326"/>
      <c r="I89" s="1327"/>
      <c r="J89" s="1327"/>
      <c r="K89" s="1327"/>
      <c r="L89" s="1327"/>
      <c r="M89" s="1324"/>
      <c r="N89" s="1324"/>
      <c r="O89" s="1324"/>
      <c r="P89" s="1324"/>
      <c r="Q89" s="1324"/>
      <c r="R89" s="1324"/>
      <c r="S89" s="1324"/>
      <c r="T89" s="1324"/>
      <c r="U89" s="1324"/>
      <c r="V89" s="1324"/>
      <c r="W89" s="1324"/>
      <c r="X89" s="1324"/>
      <c r="Y89" s="2883" t="s">
        <v>484</v>
      </c>
      <c r="Z89" s="1218"/>
      <c r="AA89" s="1219"/>
      <c r="AB89" s="1186"/>
    </row>
    <row r="90" spans="1:28" s="1179" customFormat="1" ht="15.75" customHeight="1">
      <c r="A90" s="2868"/>
      <c r="B90" s="358" t="s">
        <v>22</v>
      </c>
      <c r="C90" s="1415"/>
      <c r="D90" s="1360">
        <f>+D101+D91</f>
        <v>217403340</v>
      </c>
      <c r="E90" s="1360">
        <f t="shared" ref="E90:T90" si="61">+E101+E91</f>
        <v>0</v>
      </c>
      <c r="F90" s="1360">
        <f t="shared" si="61"/>
        <v>0</v>
      </c>
      <c r="G90" s="1360">
        <f t="shared" si="61"/>
        <v>0</v>
      </c>
      <c r="H90" s="1360">
        <f t="shared" si="61"/>
        <v>0</v>
      </c>
      <c r="I90" s="1360">
        <f t="shared" si="61"/>
        <v>0</v>
      </c>
      <c r="J90" s="1360">
        <f t="shared" si="61"/>
        <v>0</v>
      </c>
      <c r="K90" s="1360">
        <f t="shared" si="61"/>
        <v>0</v>
      </c>
      <c r="L90" s="1360">
        <f t="shared" si="61"/>
        <v>0</v>
      </c>
      <c r="M90" s="1360">
        <f t="shared" si="61"/>
        <v>0</v>
      </c>
      <c r="N90" s="1360">
        <f t="shared" si="61"/>
        <v>0</v>
      </c>
      <c r="O90" s="1360">
        <f t="shared" si="61"/>
        <v>95653</v>
      </c>
      <c r="P90" s="1360">
        <f t="shared" si="61"/>
        <v>24758040</v>
      </c>
      <c r="Q90" s="1360">
        <f t="shared" si="61"/>
        <v>29390316</v>
      </c>
      <c r="R90" s="1360">
        <f t="shared" si="61"/>
        <v>28199628</v>
      </c>
      <c r="S90" s="1360">
        <f t="shared" si="61"/>
        <v>28103574</v>
      </c>
      <c r="T90" s="1360">
        <f t="shared" si="61"/>
        <v>28016454</v>
      </c>
      <c r="U90" s="1360">
        <f>+U101+U91</f>
        <v>27362330</v>
      </c>
      <c r="V90" s="1360">
        <f>+V101+V91</f>
        <v>25549534</v>
      </c>
      <c r="W90" s="1360">
        <f>+W101+W91</f>
        <v>25927811</v>
      </c>
      <c r="X90" s="1434">
        <f>+X101+X91</f>
        <v>213367192</v>
      </c>
      <c r="Y90" s="2884"/>
      <c r="Z90" s="1154"/>
      <c r="AA90" s="1219"/>
    </row>
    <row r="91" spans="1:28" s="1163" customFormat="1" ht="15.75" customHeight="1">
      <c r="A91" s="2868"/>
      <c r="B91" s="674" t="s">
        <v>36</v>
      </c>
      <c r="C91" s="2888" t="s">
        <v>337</v>
      </c>
      <c r="D91" s="1435">
        <f>D92+D98</f>
        <v>35843672</v>
      </c>
      <c r="E91" s="1435">
        <f t="shared" ref="E91:T91" si="62">E92+E98</f>
        <v>0</v>
      </c>
      <c r="F91" s="1435">
        <f t="shared" si="62"/>
        <v>0</v>
      </c>
      <c r="G91" s="1435">
        <f t="shared" si="62"/>
        <v>0</v>
      </c>
      <c r="H91" s="1435">
        <f t="shared" si="62"/>
        <v>0</v>
      </c>
      <c r="I91" s="1435">
        <f t="shared" si="62"/>
        <v>0</v>
      </c>
      <c r="J91" s="1435">
        <f t="shared" si="62"/>
        <v>0</v>
      </c>
      <c r="K91" s="1435">
        <f t="shared" si="62"/>
        <v>0</v>
      </c>
      <c r="L91" s="1435">
        <f t="shared" si="62"/>
        <v>0</v>
      </c>
      <c r="M91" s="1435">
        <f t="shared" si="62"/>
        <v>0</v>
      </c>
      <c r="N91" s="1435">
        <f t="shared" si="62"/>
        <v>0</v>
      </c>
      <c r="O91" s="1435">
        <f>O92+O98</f>
        <v>12575</v>
      </c>
      <c r="P91" s="1435">
        <f t="shared" si="62"/>
        <v>4575014</v>
      </c>
      <c r="Q91" s="1435">
        <f t="shared" si="62"/>
        <v>4998299</v>
      </c>
      <c r="R91" s="1435">
        <f t="shared" si="62"/>
        <v>4900757</v>
      </c>
      <c r="S91" s="1435">
        <f t="shared" si="62"/>
        <v>4932265</v>
      </c>
      <c r="T91" s="1435">
        <f t="shared" si="62"/>
        <v>5174159</v>
      </c>
      <c r="U91" s="1435">
        <f>U92+U98</f>
        <v>5112520</v>
      </c>
      <c r="V91" s="1435">
        <f>V92+V98</f>
        <v>3021693</v>
      </c>
      <c r="W91" s="1435">
        <f>W92+W98</f>
        <v>3116390</v>
      </c>
      <c r="X91" s="1436">
        <f>X92+X98</f>
        <v>31890602</v>
      </c>
      <c r="Y91" s="2884"/>
      <c r="Z91" s="1243"/>
      <c r="AA91" s="1226"/>
    </row>
    <row r="92" spans="1:28" s="1179" customFormat="1">
      <c r="A92" s="2868"/>
      <c r="B92" s="675" t="s">
        <v>24</v>
      </c>
      <c r="C92" s="2827"/>
      <c r="D92" s="1437">
        <f t="shared" ref="D92:D98" si="63">M92+O92+P92+Q92+R92+S92+T92+U92+V92+W92</f>
        <v>31903177</v>
      </c>
      <c r="E92" s="1438">
        <f t="shared" ref="E92:T92" si="64">E94+E95+E96+E97</f>
        <v>0</v>
      </c>
      <c r="F92" s="1438">
        <f t="shared" si="64"/>
        <v>0</v>
      </c>
      <c r="G92" s="1438">
        <f t="shared" si="64"/>
        <v>0</v>
      </c>
      <c r="H92" s="1438">
        <f t="shared" si="64"/>
        <v>0</v>
      </c>
      <c r="I92" s="1438">
        <f t="shared" si="64"/>
        <v>0</v>
      </c>
      <c r="J92" s="1438">
        <f t="shared" si="64"/>
        <v>0</v>
      </c>
      <c r="K92" s="1438">
        <f t="shared" si="64"/>
        <v>0</v>
      </c>
      <c r="L92" s="1438">
        <f t="shared" si="64"/>
        <v>0</v>
      </c>
      <c r="M92" s="1424">
        <f>+E92+I92+J92+K92+L92+N92</f>
        <v>0</v>
      </c>
      <c r="N92" s="1438">
        <f t="shared" si="64"/>
        <v>0</v>
      </c>
      <c r="O92" s="1438">
        <f t="shared" si="64"/>
        <v>12575</v>
      </c>
      <c r="P92" s="1438">
        <f t="shared" si="64"/>
        <v>4204424</v>
      </c>
      <c r="Q92" s="1438">
        <f t="shared" si="64"/>
        <v>4307355</v>
      </c>
      <c r="R92" s="1438">
        <f t="shared" si="64"/>
        <v>4374282</v>
      </c>
      <c r="S92" s="1438">
        <f t="shared" si="64"/>
        <v>4461767</v>
      </c>
      <c r="T92" s="1438">
        <f t="shared" si="64"/>
        <v>4703662</v>
      </c>
      <c r="U92" s="1438">
        <f>U94+U95+U96+U97</f>
        <v>4642023</v>
      </c>
      <c r="V92" s="1438">
        <f>V94+V95+V96+V97</f>
        <v>2551196</v>
      </c>
      <c r="W92" s="1438">
        <f>W94+W95+W96+W97</f>
        <v>2645893</v>
      </c>
      <c r="X92" s="1439">
        <f>X94+X95+X96+X97</f>
        <v>31890602</v>
      </c>
      <c r="Y92" s="2884"/>
      <c r="Z92" s="1243"/>
      <c r="AA92" s="1219"/>
    </row>
    <row r="93" spans="1:28" s="1179" customFormat="1" hidden="1">
      <c r="A93" s="2868"/>
      <c r="B93" s="1512" t="s">
        <v>186</v>
      </c>
      <c r="C93" s="2827"/>
      <c r="D93" s="1437">
        <f t="shared" si="63"/>
        <v>0</v>
      </c>
      <c r="E93" s="1440"/>
      <c r="F93" s="1440"/>
      <c r="G93" s="1440"/>
      <c r="H93" s="1440"/>
      <c r="I93" s="1440"/>
      <c r="J93" s="1440"/>
      <c r="K93" s="1440"/>
      <c r="L93" s="1440"/>
      <c r="M93" s="1440"/>
      <c r="N93" s="1440"/>
      <c r="O93" s="1440"/>
      <c r="P93" s="1440"/>
      <c r="Q93" s="1440"/>
      <c r="R93" s="1440"/>
      <c r="S93" s="1440"/>
      <c r="T93" s="1440"/>
      <c r="U93" s="1440"/>
      <c r="V93" s="1440"/>
      <c r="W93" s="1440"/>
      <c r="X93" s="1441"/>
      <c r="Y93" s="2884"/>
      <c r="Z93" s="1154"/>
      <c r="AA93" s="1219"/>
    </row>
    <row r="94" spans="1:28" s="1179" customFormat="1" hidden="1">
      <c r="A94" s="2868"/>
      <c r="B94" s="1521" t="s">
        <v>187</v>
      </c>
      <c r="C94" s="2827"/>
      <c r="D94" s="1437">
        <f t="shared" si="63"/>
        <v>2587293</v>
      </c>
      <c r="E94" s="1442"/>
      <c r="F94" s="1442"/>
      <c r="G94" s="1442"/>
      <c r="H94" s="1442"/>
      <c r="I94" s="1442"/>
      <c r="J94" s="1442"/>
      <c r="K94" s="1442"/>
      <c r="L94" s="1442"/>
      <c r="M94" s="1442"/>
      <c r="N94" s="1442"/>
      <c r="O94" s="1442">
        <v>0</v>
      </c>
      <c r="P94" s="1442">
        <f>350438+910967+566172+109184+404167+93706</f>
        <v>2434634</v>
      </c>
      <c r="Q94" s="1442"/>
      <c r="R94" s="1442"/>
      <c r="S94" s="1442"/>
      <c r="T94" s="1442">
        <v>152659</v>
      </c>
      <c r="U94" s="1442"/>
      <c r="V94" s="1442"/>
      <c r="W94" s="1442"/>
      <c r="X94" s="1443">
        <f>P94+Q94+R94+S94+T94</f>
        <v>2587293</v>
      </c>
      <c r="Y94" s="2884"/>
      <c r="Z94" s="1154"/>
      <c r="AA94" s="1219"/>
    </row>
    <row r="95" spans="1:28" s="1179" customFormat="1" hidden="1">
      <c r="A95" s="2868"/>
      <c r="B95" s="1522" t="s">
        <v>188</v>
      </c>
      <c r="C95" s="2827"/>
      <c r="D95" s="1437">
        <f t="shared" si="63"/>
        <v>0</v>
      </c>
      <c r="E95" s="1444"/>
      <c r="F95" s="1444"/>
      <c r="G95" s="1444"/>
      <c r="H95" s="1444"/>
      <c r="I95" s="1444"/>
      <c r="J95" s="1444"/>
      <c r="K95" s="1444"/>
      <c r="L95" s="1444"/>
      <c r="M95" s="1444"/>
      <c r="N95" s="1444"/>
      <c r="O95" s="1444"/>
      <c r="P95" s="1444"/>
      <c r="Q95" s="1444"/>
      <c r="R95" s="1444"/>
      <c r="S95" s="1444"/>
      <c r="T95" s="1444"/>
      <c r="U95" s="1444"/>
      <c r="V95" s="1444"/>
      <c r="W95" s="1444"/>
      <c r="X95" s="1443">
        <f>P95+Q95+R95+S95+T95</f>
        <v>0</v>
      </c>
      <c r="Y95" s="2884"/>
      <c r="Z95" s="1154"/>
      <c r="AA95" s="1219"/>
    </row>
    <row r="96" spans="1:28" s="1179" customFormat="1" hidden="1">
      <c r="A96" s="2868"/>
      <c r="B96" s="1523" t="s">
        <v>189</v>
      </c>
      <c r="C96" s="2827"/>
      <c r="D96" s="1437">
        <f t="shared" si="63"/>
        <v>29315884</v>
      </c>
      <c r="E96" s="1445"/>
      <c r="F96" s="1445"/>
      <c r="G96" s="1445"/>
      <c r="H96" s="1445"/>
      <c r="I96" s="1445"/>
      <c r="J96" s="1445"/>
      <c r="K96" s="1445"/>
      <c r="L96" s="1445"/>
      <c r="M96" s="1445">
        <v>0</v>
      </c>
      <c r="N96" s="1445">
        <v>0</v>
      </c>
      <c r="O96" s="1445">
        <f>25145+6274-18844</f>
        <v>12575</v>
      </c>
      <c r="P96" s="1244">
        <f>851713+1276394+93851+1982466-350438-910967-566172-109184-404167-93706</f>
        <v>1769790</v>
      </c>
      <c r="Q96" s="1244">
        <f>868747+1301922+95728+2022114+18844</f>
        <v>4307355</v>
      </c>
      <c r="R96" s="1245">
        <f>886122+1327960+97643+2062557</f>
        <v>4374282</v>
      </c>
      <c r="S96" s="1245">
        <f>903845+1354520+99595+2103807</f>
        <v>4461767</v>
      </c>
      <c r="T96" s="1245">
        <f>921922+1381610+101587+2145884</f>
        <v>4551003</v>
      </c>
      <c r="U96" s="1245">
        <v>4642023</v>
      </c>
      <c r="V96" s="1245">
        <v>2551196</v>
      </c>
      <c r="W96" s="1245">
        <v>2645893</v>
      </c>
      <c r="X96" s="1446">
        <f>P96+Q96+R96+S96+T96+U96+V96+W96</f>
        <v>29303309</v>
      </c>
      <c r="Y96" s="2884"/>
      <c r="Z96" s="1154"/>
      <c r="AA96" s="1219"/>
    </row>
    <row r="97" spans="1:30" s="1179" customFormat="1" hidden="1">
      <c r="A97" s="2868"/>
      <c r="B97" s="1524" t="s">
        <v>190</v>
      </c>
      <c r="C97" s="2827"/>
      <c r="D97" s="1437">
        <f t="shared" si="63"/>
        <v>0</v>
      </c>
      <c r="E97" s="1447"/>
      <c r="F97" s="1447"/>
      <c r="G97" s="1447"/>
      <c r="H97" s="1447"/>
      <c r="I97" s="1447"/>
      <c r="J97" s="1447"/>
      <c r="K97" s="1447"/>
      <c r="L97" s="1447"/>
      <c r="M97" s="1447"/>
      <c r="N97" s="1447"/>
      <c r="O97" s="1447"/>
      <c r="P97" s="1447"/>
      <c r="Q97" s="1447"/>
      <c r="R97" s="1447"/>
      <c r="S97" s="1447"/>
      <c r="T97" s="1447"/>
      <c r="U97" s="1447"/>
      <c r="V97" s="1447"/>
      <c r="W97" s="1447"/>
      <c r="X97" s="1443">
        <f>P97+Q97+R97+S97+T97</f>
        <v>0</v>
      </c>
      <c r="Y97" s="2884"/>
      <c r="Z97" s="1154"/>
      <c r="AA97" s="1219"/>
    </row>
    <row r="98" spans="1:30" s="1179" customFormat="1">
      <c r="A98" s="2868"/>
      <c r="B98" s="1525" t="s">
        <v>45</v>
      </c>
      <c r="C98" s="2827"/>
      <c r="D98" s="1437">
        <f t="shared" si="63"/>
        <v>3940495</v>
      </c>
      <c r="E98" s="1438">
        <f t="shared" ref="E98:W98" si="65">E99+E100</f>
        <v>0</v>
      </c>
      <c r="F98" s="1438">
        <f t="shared" si="65"/>
        <v>0</v>
      </c>
      <c r="G98" s="1438">
        <f t="shared" si="65"/>
        <v>0</v>
      </c>
      <c r="H98" s="1438">
        <f t="shared" si="65"/>
        <v>0</v>
      </c>
      <c r="I98" s="1438">
        <f t="shared" si="65"/>
        <v>0</v>
      </c>
      <c r="J98" s="1438">
        <f t="shared" si="65"/>
        <v>0</v>
      </c>
      <c r="K98" s="1438">
        <f t="shared" si="65"/>
        <v>0</v>
      </c>
      <c r="L98" s="1438">
        <f t="shared" si="65"/>
        <v>0</v>
      </c>
      <c r="M98" s="1424">
        <f>+E98+I98+J98+K98+L98+N98</f>
        <v>0</v>
      </c>
      <c r="N98" s="1438">
        <f t="shared" si="65"/>
        <v>0</v>
      </c>
      <c r="O98" s="1438">
        <f t="shared" si="65"/>
        <v>0</v>
      </c>
      <c r="P98" s="1438">
        <f t="shared" si="65"/>
        <v>370590</v>
      </c>
      <c r="Q98" s="1438">
        <f t="shared" si="65"/>
        <v>690944</v>
      </c>
      <c r="R98" s="1438">
        <f t="shared" si="65"/>
        <v>526475</v>
      </c>
      <c r="S98" s="1438">
        <f t="shared" si="65"/>
        <v>470498</v>
      </c>
      <c r="T98" s="1438">
        <f t="shared" si="65"/>
        <v>470497</v>
      </c>
      <c r="U98" s="1438">
        <f t="shared" si="65"/>
        <v>470497</v>
      </c>
      <c r="V98" s="1438">
        <f t="shared" si="65"/>
        <v>470497</v>
      </c>
      <c r="W98" s="1438">
        <f t="shared" si="65"/>
        <v>470497</v>
      </c>
      <c r="X98" s="1448">
        <f>X99+X100</f>
        <v>0</v>
      </c>
      <c r="Y98" s="2884"/>
      <c r="Z98" s="1154"/>
      <c r="AA98" s="1219"/>
    </row>
    <row r="99" spans="1:30" s="1179" customFormat="1" ht="12.75" hidden="1" customHeight="1">
      <c r="A99" s="2868"/>
      <c r="B99" s="1526" t="s">
        <v>330</v>
      </c>
      <c r="C99" s="2827"/>
      <c r="D99" s="1449">
        <f>M99+N99+O99+P99+Q99+R99+S99+T99+U99+V99+W99</f>
        <v>576046</v>
      </c>
      <c r="E99" s="1449"/>
      <c r="F99" s="1449"/>
      <c r="G99" s="1449"/>
      <c r="H99" s="1449"/>
      <c r="I99" s="1449"/>
      <c r="J99" s="1449"/>
      <c r="K99" s="1449"/>
      <c r="L99" s="1449"/>
      <c r="M99" s="1449"/>
      <c r="N99" s="1449"/>
      <c r="O99" s="1527">
        <f>42324-42324</f>
        <v>0</v>
      </c>
      <c r="P99" s="3121">
        <f>70707+28533-13791-19134</f>
        <v>66315</v>
      </c>
      <c r="Q99" s="3121">
        <f>70632+15201+19134</f>
        <v>104967</v>
      </c>
      <c r="R99" s="1246">
        <f>70167+14504</f>
        <v>84671</v>
      </c>
      <c r="S99" s="1246">
        <v>64019</v>
      </c>
      <c r="T99" s="1246">
        <v>64019</v>
      </c>
      <c r="U99" s="1246">
        <v>64019</v>
      </c>
      <c r="V99" s="1246">
        <v>64018</v>
      </c>
      <c r="W99" s="1246">
        <v>64018</v>
      </c>
      <c r="X99" s="1450">
        <v>0</v>
      </c>
      <c r="Y99" s="2884"/>
      <c r="Z99" s="1154"/>
      <c r="AA99" s="1219"/>
    </row>
    <row r="100" spans="1:30" s="1179" customFormat="1" ht="12.75" hidden="1" customHeight="1">
      <c r="A100" s="2868"/>
      <c r="B100" s="1526" t="s">
        <v>331</v>
      </c>
      <c r="C100" s="2827"/>
      <c r="D100" s="1449">
        <f>M100+N100+O100+P100+Q100+R100+S100+T100+U100+V100+W100</f>
        <v>3364449</v>
      </c>
      <c r="E100" s="1449"/>
      <c r="F100" s="1449"/>
      <c r="G100" s="1449"/>
      <c r="H100" s="1449"/>
      <c r="I100" s="1449"/>
      <c r="J100" s="1449"/>
      <c r="K100" s="1449"/>
      <c r="L100" s="1449"/>
      <c r="M100" s="1449"/>
      <c r="N100" s="1449"/>
      <c r="O100" s="1527">
        <f>88661-88661</f>
        <v>0</v>
      </c>
      <c r="P100" s="3121">
        <f>303188+204030-7098-195845</f>
        <v>304275</v>
      </c>
      <c r="Q100" s="3121">
        <f>390656-525+1+195845</f>
        <v>585977</v>
      </c>
      <c r="R100" s="1246">
        <f>441506+300-2</f>
        <v>441804</v>
      </c>
      <c r="S100" s="1246">
        <v>406479</v>
      </c>
      <c r="T100" s="1246">
        <v>406478</v>
      </c>
      <c r="U100" s="1246">
        <v>406478</v>
      </c>
      <c r="V100" s="1246">
        <v>406479</v>
      </c>
      <c r="W100" s="1246">
        <v>406479</v>
      </c>
      <c r="X100" s="1450">
        <v>0</v>
      </c>
      <c r="Y100" s="2884"/>
      <c r="Z100" s="1154"/>
      <c r="AA100" s="1219"/>
    </row>
    <row r="101" spans="1:30" s="1179" customFormat="1">
      <c r="A101" s="2868"/>
      <c r="B101" s="502" t="s">
        <v>30</v>
      </c>
      <c r="C101" s="2827"/>
      <c r="D101" s="1427">
        <f>+D102</f>
        <v>181559668</v>
      </c>
      <c r="E101" s="1427">
        <f t="shared" ref="E101:X101" si="66">+E102</f>
        <v>0</v>
      </c>
      <c r="F101" s="1421">
        <f t="shared" si="66"/>
        <v>0</v>
      </c>
      <c r="G101" s="1421">
        <f t="shared" si="66"/>
        <v>0</v>
      </c>
      <c r="H101" s="1421">
        <f t="shared" si="66"/>
        <v>0</v>
      </c>
      <c r="I101" s="1422">
        <f t="shared" si="66"/>
        <v>0</v>
      </c>
      <c r="J101" s="1422">
        <f t="shared" si="66"/>
        <v>0</v>
      </c>
      <c r="K101" s="1422">
        <f>+K102</f>
        <v>0</v>
      </c>
      <c r="L101" s="1422">
        <f t="shared" si="66"/>
        <v>0</v>
      </c>
      <c r="M101" s="1427">
        <f t="shared" si="66"/>
        <v>0</v>
      </c>
      <c r="N101" s="1427">
        <f t="shared" si="66"/>
        <v>0</v>
      </c>
      <c r="O101" s="1427">
        <f t="shared" si="66"/>
        <v>83078</v>
      </c>
      <c r="P101" s="1427">
        <f>+P102</f>
        <v>20183026</v>
      </c>
      <c r="Q101" s="1427">
        <f>+Q102</f>
        <v>24392017</v>
      </c>
      <c r="R101" s="1357">
        <f t="shared" si="66"/>
        <v>23298871</v>
      </c>
      <c r="S101" s="1357">
        <f t="shared" si="66"/>
        <v>23171309</v>
      </c>
      <c r="T101" s="1357">
        <f t="shared" si="66"/>
        <v>22842295</v>
      </c>
      <c r="U101" s="1357">
        <f t="shared" si="66"/>
        <v>22249810</v>
      </c>
      <c r="V101" s="1357">
        <f t="shared" si="66"/>
        <v>22527841</v>
      </c>
      <c r="W101" s="1357">
        <f t="shared" si="66"/>
        <v>22811421</v>
      </c>
      <c r="X101" s="1441">
        <f t="shared" si="66"/>
        <v>181476590</v>
      </c>
      <c r="Y101" s="2884"/>
      <c r="Z101" s="1247"/>
      <c r="AA101" s="1219"/>
    </row>
    <row r="102" spans="1:30" s="1987" customFormat="1" ht="13.5" thickBot="1">
      <c r="A102" s="2868"/>
      <c r="B102" s="1512" t="s">
        <v>33</v>
      </c>
      <c r="C102" s="2828"/>
      <c r="D102" s="1437">
        <f>M102+O102+P102+Q102+R102+S102+T102+U102+V102+W102</f>
        <v>181559668</v>
      </c>
      <c r="E102" s="1356">
        <f t="shared" ref="E102:X102" si="67">SUM(E104:E109)</f>
        <v>0</v>
      </c>
      <c r="F102" s="1356">
        <f t="shared" si="67"/>
        <v>0</v>
      </c>
      <c r="G102" s="1356">
        <f t="shared" si="67"/>
        <v>0</v>
      </c>
      <c r="H102" s="1356">
        <f t="shared" si="67"/>
        <v>0</v>
      </c>
      <c r="I102" s="1356">
        <f t="shared" si="67"/>
        <v>0</v>
      </c>
      <c r="J102" s="1356">
        <f t="shared" si="67"/>
        <v>0</v>
      </c>
      <c r="K102" s="1356">
        <f t="shared" si="67"/>
        <v>0</v>
      </c>
      <c r="L102" s="1356">
        <f t="shared" si="67"/>
        <v>0</v>
      </c>
      <c r="M102" s="1424">
        <f>+E102+I102+J102+K102+L102+N102</f>
        <v>0</v>
      </c>
      <c r="N102" s="1356">
        <f t="shared" si="67"/>
        <v>0</v>
      </c>
      <c r="O102" s="1356">
        <f t="shared" si="67"/>
        <v>83078</v>
      </c>
      <c r="P102" s="1356">
        <f t="shared" si="67"/>
        <v>20183026</v>
      </c>
      <c r="Q102" s="1356">
        <f t="shared" si="67"/>
        <v>24392017</v>
      </c>
      <c r="R102" s="1356">
        <f t="shared" si="67"/>
        <v>23298871</v>
      </c>
      <c r="S102" s="1356">
        <f t="shared" si="67"/>
        <v>23171309</v>
      </c>
      <c r="T102" s="1356">
        <f t="shared" si="67"/>
        <v>22842295</v>
      </c>
      <c r="U102" s="1356">
        <f>SUM(U104:U109)</f>
        <v>22249810</v>
      </c>
      <c r="V102" s="1356">
        <f>SUM(V104:V109)</f>
        <v>22527841</v>
      </c>
      <c r="W102" s="1356">
        <f>SUM(W104:W109)</f>
        <v>22811421</v>
      </c>
      <c r="X102" s="1439">
        <f t="shared" si="67"/>
        <v>181476590</v>
      </c>
      <c r="Y102" s="2884"/>
      <c r="Z102" s="1221"/>
      <c r="AA102" s="1219"/>
      <c r="AD102" s="1227"/>
    </row>
    <row r="103" spans="1:30" s="1987" customFormat="1" hidden="1">
      <c r="A103" s="2868"/>
      <c r="B103" s="1512" t="s">
        <v>186</v>
      </c>
      <c r="C103" s="1451"/>
      <c r="D103" s="1356"/>
      <c r="E103" s="1424"/>
      <c r="F103" s="1452"/>
      <c r="G103" s="1452"/>
      <c r="H103" s="1452"/>
      <c r="I103" s="1426"/>
      <c r="J103" s="1426"/>
      <c r="K103" s="1426"/>
      <c r="L103" s="1426"/>
      <c r="M103" s="1424"/>
      <c r="N103" s="1424"/>
      <c r="O103" s="1424"/>
      <c r="P103" s="1453"/>
      <c r="Q103" s="1453"/>
      <c r="R103" s="1453"/>
      <c r="S103" s="1453"/>
      <c r="T103" s="1453"/>
      <c r="U103" s="1453"/>
      <c r="V103" s="1453"/>
      <c r="W103" s="1453"/>
      <c r="X103" s="1335"/>
      <c r="Y103" s="2884"/>
      <c r="Z103" s="1221"/>
      <c r="AA103" s="1219"/>
      <c r="AD103" s="686"/>
    </row>
    <row r="104" spans="1:30" s="1987" customFormat="1" hidden="1">
      <c r="A104" s="2868"/>
      <c r="B104" s="1521" t="s">
        <v>187</v>
      </c>
      <c r="C104" s="1249"/>
      <c r="D104" s="1250">
        <f t="shared" ref="D104:D109" si="68">+E104+I104+J104+K104+L104+N104+O104+P104+Q104+R104+S104+T104+U104+V104+W104</f>
        <v>25429296</v>
      </c>
      <c r="E104" s="1251"/>
      <c r="F104" s="1251"/>
      <c r="G104" s="1251"/>
      <c r="H104" s="1251"/>
      <c r="I104" s="1251"/>
      <c r="J104" s="1251"/>
      <c r="K104" s="1251"/>
      <c r="L104" s="1251"/>
      <c r="M104" s="1251"/>
      <c r="N104" s="1251"/>
      <c r="O104" s="1252">
        <f>140250-133832</f>
        <v>6418</v>
      </c>
      <c r="P104" s="1252">
        <f>2407721+10000000-10000000+1253504+1281625+2511971+1354412+618711-750000+677628+530994</f>
        <v>9886566</v>
      </c>
      <c r="Q104" s="1252">
        <f>2407721+10000000-9866168</f>
        <v>2541553</v>
      </c>
      <c r="R104" s="1252">
        <v>2407721</v>
      </c>
      <c r="S104" s="1252">
        <f>1820395+620000</f>
        <v>2440395</v>
      </c>
      <c r="T104" s="1252">
        <f>1820395+865067</f>
        <v>2685462</v>
      </c>
      <c r="U104" s="1252">
        <v>1820395</v>
      </c>
      <c r="V104" s="1252">
        <v>1820395</v>
      </c>
      <c r="W104" s="1252">
        <v>1820391</v>
      </c>
      <c r="X104" s="1253">
        <f t="shared" ref="X104:X109" si="69">P104+Q104+R104+S104+T104+U104+V104+W104</f>
        <v>25422878</v>
      </c>
      <c r="Y104" s="2884"/>
      <c r="Z104" s="1154"/>
      <c r="AA104" s="1219"/>
      <c r="AD104" s="686"/>
    </row>
    <row r="105" spans="1:30" s="1987" customFormat="1" hidden="1">
      <c r="A105" s="2868"/>
      <c r="B105" s="1522" t="s">
        <v>188</v>
      </c>
      <c r="C105" s="1454"/>
      <c r="D105" s="1250">
        <f t="shared" si="68"/>
        <v>17541028</v>
      </c>
      <c r="E105" s="1444"/>
      <c r="F105" s="1444"/>
      <c r="G105" s="1444"/>
      <c r="H105" s="1444"/>
      <c r="I105" s="1444"/>
      <c r="J105" s="1444"/>
      <c r="K105" s="1444"/>
      <c r="L105" s="1444"/>
      <c r="M105" s="1444"/>
      <c r="N105" s="1444"/>
      <c r="O105" s="1444">
        <f>182812-177406</f>
        <v>5406</v>
      </c>
      <c r="P105" s="1444">
        <f>2618000-403790</f>
        <v>2214210</v>
      </c>
      <c r="Q105" s="1444">
        <f>2618000+177406</f>
        <v>2795406</v>
      </c>
      <c r="R105" s="1444">
        <v>2618000</v>
      </c>
      <c r="S105" s="1444">
        <f>1813339+841315</f>
        <v>2654654</v>
      </c>
      <c r="T105" s="1444">
        <v>1813339</v>
      </c>
      <c r="U105" s="1444">
        <v>1813339</v>
      </c>
      <c r="V105" s="1444">
        <v>1813339</v>
      </c>
      <c r="W105" s="1444">
        <v>1813335</v>
      </c>
      <c r="X105" s="1253">
        <f t="shared" si="69"/>
        <v>17535622</v>
      </c>
      <c r="Y105" s="2884"/>
      <c r="Z105" s="1154"/>
      <c r="AA105" s="1219"/>
      <c r="AD105" s="686"/>
    </row>
    <row r="106" spans="1:30" s="1228" customFormat="1" hidden="1">
      <c r="A106" s="2868"/>
      <c r="B106" s="1523" t="s">
        <v>189</v>
      </c>
      <c r="C106" s="1455"/>
      <c r="D106" s="1445">
        <f t="shared" si="68"/>
        <v>100018175</v>
      </c>
      <c r="E106" s="1445"/>
      <c r="F106" s="1445"/>
      <c r="G106" s="1445"/>
      <c r="H106" s="1445"/>
      <c r="I106" s="1445"/>
      <c r="J106" s="1445"/>
      <c r="K106" s="1445"/>
      <c r="L106" s="1445"/>
      <c r="M106" s="1445"/>
      <c r="N106" s="1445"/>
      <c r="O106" s="1255">
        <f>142489+35554-106789</f>
        <v>71254</v>
      </c>
      <c r="P106" s="1256">
        <f>4826373+7232899+531823-1253504-1281625-2511971-1354412-618711-677628-530994</f>
        <v>4362250</v>
      </c>
      <c r="Q106" s="1256">
        <f>4922901+7377557+542459+106789</f>
        <v>12949706</v>
      </c>
      <c r="R106" s="1256">
        <f>5021358+7525108+553309</f>
        <v>13099775</v>
      </c>
      <c r="S106" s="1256">
        <f>5121786+7675610+564375</f>
        <v>13361771</v>
      </c>
      <c r="T106" s="1256">
        <f>5224221+7829122+575662</f>
        <v>13629005</v>
      </c>
      <c r="U106" s="1256">
        <v>13901587</v>
      </c>
      <c r="V106" s="1256">
        <v>14179618</v>
      </c>
      <c r="W106" s="1256">
        <v>14463209</v>
      </c>
      <c r="X106" s="1446">
        <f t="shared" si="69"/>
        <v>99946921</v>
      </c>
      <c r="Y106" s="2884"/>
      <c r="Z106" s="1154"/>
      <c r="AA106" s="1219"/>
      <c r="AD106" s="1229"/>
    </row>
    <row r="107" spans="1:30" s="1228" customFormat="1" hidden="1">
      <c r="A107" s="2868"/>
      <c r="B107" s="1528" t="s">
        <v>190</v>
      </c>
      <c r="C107" s="1456"/>
      <c r="D107" s="1250">
        <f t="shared" si="68"/>
        <v>16241692</v>
      </c>
      <c r="E107" s="1447"/>
      <c r="F107" s="1447"/>
      <c r="G107" s="1447"/>
      <c r="H107" s="1447"/>
      <c r="I107" s="1447"/>
      <c r="J107" s="1447"/>
      <c r="K107" s="1447"/>
      <c r="L107" s="1447"/>
      <c r="M107" s="1447">
        <f>+E107+I107+J107+K107+L107</f>
        <v>0</v>
      </c>
      <c r="N107" s="1447"/>
      <c r="O107" s="1447"/>
      <c r="P107" s="1447">
        <f>2190000-570000</f>
        <v>1620000</v>
      </c>
      <c r="Q107" s="1447">
        <v>2190000</v>
      </c>
      <c r="R107" s="1447">
        <v>2190000</v>
      </c>
      <c r="S107" s="1447">
        <v>2048339</v>
      </c>
      <c r="T107" s="1447">
        <v>2048339</v>
      </c>
      <c r="U107" s="1447">
        <v>2048339</v>
      </c>
      <c r="V107" s="1447">
        <v>2048339</v>
      </c>
      <c r="W107" s="1447">
        <v>2048336</v>
      </c>
      <c r="X107" s="1253">
        <f t="shared" si="69"/>
        <v>16241692</v>
      </c>
      <c r="Y107" s="2884"/>
      <c r="Z107" s="1154"/>
      <c r="AA107" s="1219"/>
      <c r="AD107" s="1229"/>
    </row>
    <row r="108" spans="1:30" s="1228" customFormat="1" hidden="1">
      <c r="A108" s="2868"/>
      <c r="B108" s="1526" t="s">
        <v>365</v>
      </c>
      <c r="C108" s="1457"/>
      <c r="D108" s="1250">
        <f t="shared" si="68"/>
        <v>3264265</v>
      </c>
      <c r="E108" s="1449"/>
      <c r="F108" s="1449"/>
      <c r="G108" s="1449"/>
      <c r="H108" s="1449"/>
      <c r="I108" s="1449"/>
      <c r="J108" s="1449"/>
      <c r="K108" s="1449"/>
      <c r="L108" s="1449"/>
      <c r="M108" s="1449"/>
      <c r="N108" s="1449"/>
      <c r="O108" s="1529">
        <f>239836-239836</f>
        <v>0</v>
      </c>
      <c r="P108" s="1258">
        <f>400673+161686-78150-108427</f>
        <v>375782</v>
      </c>
      <c r="Q108" s="1529">
        <f>400248+86140-1+108427</f>
        <v>594814</v>
      </c>
      <c r="R108" s="1258">
        <f>397613+82194</f>
        <v>479807</v>
      </c>
      <c r="S108" s="1258">
        <v>362772</v>
      </c>
      <c r="T108" s="1258">
        <v>362772</v>
      </c>
      <c r="U108" s="1258">
        <v>362772</v>
      </c>
      <c r="V108" s="1258">
        <v>362773</v>
      </c>
      <c r="W108" s="1258">
        <v>362773</v>
      </c>
      <c r="X108" s="1253">
        <f t="shared" si="69"/>
        <v>3264265</v>
      </c>
      <c r="Y108" s="2884"/>
      <c r="Z108" s="1154"/>
      <c r="AA108" s="1219"/>
      <c r="AD108" s="1229"/>
    </row>
    <row r="109" spans="1:30" s="1228" customFormat="1" hidden="1">
      <c r="A109" s="2868"/>
      <c r="B109" s="1526" t="s">
        <v>366</v>
      </c>
      <c r="C109" s="1458"/>
      <c r="D109" s="1250">
        <f t="shared" si="68"/>
        <v>19065212</v>
      </c>
      <c r="E109" s="1449"/>
      <c r="F109" s="1449"/>
      <c r="G109" s="1449"/>
      <c r="H109" s="1449"/>
      <c r="I109" s="1449"/>
      <c r="J109" s="1449"/>
      <c r="K109" s="1449"/>
      <c r="L109" s="1449"/>
      <c r="M109" s="1449"/>
      <c r="N109" s="1449"/>
      <c r="O109" s="1529">
        <f>502414-502414</f>
        <v>0</v>
      </c>
      <c r="P109" s="1258">
        <f>1718064+1156172-40224-1109794</f>
        <v>1724218</v>
      </c>
      <c r="Q109" s="1529">
        <f>2213719-2975+1109794</f>
        <v>3320538</v>
      </c>
      <c r="R109" s="1258">
        <f>2501869+1700-1</f>
        <v>2503568</v>
      </c>
      <c r="S109" s="1258">
        <v>2303378</v>
      </c>
      <c r="T109" s="1258">
        <v>2303378</v>
      </c>
      <c r="U109" s="1258">
        <v>2303378</v>
      </c>
      <c r="V109" s="1258">
        <v>2303377</v>
      </c>
      <c r="W109" s="1258">
        <v>2303377</v>
      </c>
      <c r="X109" s="1253">
        <f t="shared" si="69"/>
        <v>19065212</v>
      </c>
      <c r="Y109" s="2884"/>
      <c r="Z109" s="1154"/>
      <c r="AA109" s="1219"/>
      <c r="AD109" s="1229"/>
    </row>
    <row r="110" spans="1:30" s="1987" customFormat="1" ht="16.5" customHeight="1">
      <c r="A110" s="2599"/>
      <c r="B110" s="501" t="s">
        <v>34</v>
      </c>
      <c r="C110" s="683"/>
      <c r="D110" s="1260">
        <f>+D111</f>
        <v>181559668</v>
      </c>
      <c r="E110" s="1260">
        <f t="shared" ref="E110:W110" si="70">+E111</f>
        <v>0</v>
      </c>
      <c r="F110" s="1261">
        <f t="shared" si="70"/>
        <v>0</v>
      </c>
      <c r="G110" s="1261">
        <f t="shared" si="70"/>
        <v>2563346</v>
      </c>
      <c r="H110" s="1261">
        <f t="shared" si="70"/>
        <v>8175757</v>
      </c>
      <c r="I110" s="1262">
        <f t="shared" si="70"/>
        <v>0</v>
      </c>
      <c r="J110" s="1262">
        <f t="shared" si="70"/>
        <v>0</v>
      </c>
      <c r="K110" s="1262">
        <f t="shared" si="70"/>
        <v>0</v>
      </c>
      <c r="L110" s="1262">
        <f t="shared" si="70"/>
        <v>0</v>
      </c>
      <c r="M110" s="1260">
        <f t="shared" si="70"/>
        <v>0</v>
      </c>
      <c r="N110" s="1260">
        <f t="shared" si="70"/>
        <v>0</v>
      </c>
      <c r="O110" s="1260">
        <f t="shared" si="70"/>
        <v>0</v>
      </c>
      <c r="P110" s="1260">
        <f t="shared" si="70"/>
        <v>17556224</v>
      </c>
      <c r="Q110" s="1260">
        <f t="shared" si="70"/>
        <v>27101897</v>
      </c>
      <c r="R110" s="1260">
        <f t="shared" si="70"/>
        <v>23298871</v>
      </c>
      <c r="S110" s="1359">
        <f t="shared" si="70"/>
        <v>23171309</v>
      </c>
      <c r="T110" s="1359">
        <f t="shared" si="70"/>
        <v>22842295</v>
      </c>
      <c r="U110" s="1359">
        <f t="shared" si="70"/>
        <v>22249810</v>
      </c>
      <c r="V110" s="1359">
        <f t="shared" si="70"/>
        <v>22527841</v>
      </c>
      <c r="W110" s="1359">
        <f t="shared" si="70"/>
        <v>22811421</v>
      </c>
      <c r="X110" s="2846" t="s">
        <v>77</v>
      </c>
      <c r="Y110" s="2884"/>
      <c r="Z110" s="1263"/>
      <c r="AA110" s="1219"/>
    </row>
    <row r="111" spans="1:30" s="1987" customFormat="1">
      <c r="A111" s="2599"/>
      <c r="B111" s="1530" t="s">
        <v>30</v>
      </c>
      <c r="C111" s="2888" t="s">
        <v>329</v>
      </c>
      <c r="D111" s="1427">
        <f t="shared" ref="D111:W111" si="71">+D112</f>
        <v>181559668</v>
      </c>
      <c r="E111" s="1427">
        <f t="shared" si="71"/>
        <v>0</v>
      </c>
      <c r="F111" s="1421">
        <f t="shared" si="71"/>
        <v>0</v>
      </c>
      <c r="G111" s="1421">
        <f t="shared" si="71"/>
        <v>2563346</v>
      </c>
      <c r="H111" s="1421">
        <f t="shared" si="71"/>
        <v>8175757</v>
      </c>
      <c r="I111" s="1422">
        <f t="shared" si="71"/>
        <v>0</v>
      </c>
      <c r="J111" s="1422">
        <f t="shared" si="71"/>
        <v>0</v>
      </c>
      <c r="K111" s="1422">
        <f t="shared" si="71"/>
        <v>0</v>
      </c>
      <c r="L111" s="1422">
        <f t="shared" si="71"/>
        <v>0</v>
      </c>
      <c r="M111" s="1427">
        <f t="shared" si="71"/>
        <v>0</v>
      </c>
      <c r="N111" s="1427">
        <f t="shared" si="71"/>
        <v>0</v>
      </c>
      <c r="O111" s="1427">
        <f t="shared" si="71"/>
        <v>0</v>
      </c>
      <c r="P111" s="1427">
        <f t="shared" si="71"/>
        <v>17556224</v>
      </c>
      <c r="Q111" s="1357">
        <f t="shared" si="71"/>
        <v>27101897</v>
      </c>
      <c r="R111" s="1357">
        <f t="shared" si="71"/>
        <v>23298871</v>
      </c>
      <c r="S111" s="1357">
        <f t="shared" si="71"/>
        <v>23171309</v>
      </c>
      <c r="T111" s="1357">
        <f t="shared" si="71"/>
        <v>22842295</v>
      </c>
      <c r="U111" s="1357">
        <f t="shared" si="71"/>
        <v>22249810</v>
      </c>
      <c r="V111" s="1357">
        <f t="shared" si="71"/>
        <v>22527841</v>
      </c>
      <c r="W111" s="1357">
        <f t="shared" si="71"/>
        <v>22811421</v>
      </c>
      <c r="X111" s="2830"/>
      <c r="Y111" s="2884"/>
      <c r="Z111" s="1221"/>
      <c r="AA111" s="1219"/>
    </row>
    <row r="112" spans="1:30" s="1987" customFormat="1" ht="15.75" customHeight="1" thickBot="1">
      <c r="A112" s="2600"/>
      <c r="B112" s="1210" t="s">
        <v>33</v>
      </c>
      <c r="C112" s="2832"/>
      <c r="D112" s="1119">
        <f>M112+O112+P112+Q112+R112+S112+T112+U112+V112+W112</f>
        <v>181559668</v>
      </c>
      <c r="E112" s="681"/>
      <c r="F112" s="1211">
        <v>0</v>
      </c>
      <c r="G112" s="1211">
        <v>2563346</v>
      </c>
      <c r="H112" s="1211">
        <f>8310034-134277</f>
        <v>8175757</v>
      </c>
      <c r="I112" s="1212"/>
      <c r="J112" s="1212"/>
      <c r="K112" s="1212"/>
      <c r="L112" s="1212"/>
      <c r="M112" s="684">
        <f>+E112+I112+J112+K112+L112+N112</f>
        <v>0</v>
      </c>
      <c r="N112" s="681">
        <v>0</v>
      </c>
      <c r="O112" s="681">
        <f>1513355-270000-1243355</f>
        <v>0</v>
      </c>
      <c r="P112" s="681">
        <f>30449000-8318334-1514057-118374-2942011</f>
        <v>17556224</v>
      </c>
      <c r="Q112" s="681">
        <f>51433208-8318334-17866393+1853416</f>
        <v>27101897</v>
      </c>
      <c r="R112" s="681">
        <f>30885930-8318334+1316270-584995</f>
        <v>23298871</v>
      </c>
      <c r="S112" s="681">
        <f>29939078-8229084+354097+1107218</f>
        <v>23171309</v>
      </c>
      <c r="T112" s="681">
        <f>30223312-8246084-386089+82192+1168964</f>
        <v>22842295</v>
      </c>
      <c r="U112" s="681">
        <f>30407494-8157684</f>
        <v>22249810</v>
      </c>
      <c r="V112" s="681">
        <f>30073524-7545683</f>
        <v>22527841</v>
      </c>
      <c r="W112" s="681">
        <f>30175721-7364300</f>
        <v>22811421</v>
      </c>
      <c r="X112" s="2831"/>
      <c r="Y112" s="2885"/>
      <c r="Z112" s="1154"/>
      <c r="AA112" s="1154"/>
    </row>
    <row r="113" spans="1:26" s="1987" customFormat="1" ht="26.25" customHeight="1">
      <c r="A113" s="2867" t="s">
        <v>136</v>
      </c>
      <c r="B113" s="671" t="s">
        <v>351</v>
      </c>
      <c r="C113" s="672" t="s">
        <v>97</v>
      </c>
      <c r="D113" s="1323"/>
      <c r="E113" s="1317"/>
      <c r="F113" s="1318"/>
      <c r="G113" s="1318"/>
      <c r="H113" s="1319"/>
      <c r="I113" s="1320"/>
      <c r="J113" s="1321"/>
      <c r="K113" s="1320"/>
      <c r="L113" s="1320"/>
      <c r="M113" s="1316"/>
      <c r="N113" s="1316"/>
      <c r="O113" s="1316"/>
      <c r="P113" s="1317"/>
      <c r="Q113" s="1317"/>
      <c r="R113" s="1317"/>
      <c r="S113" s="1317"/>
      <c r="T113" s="1317"/>
      <c r="U113" s="1317"/>
      <c r="V113" s="1317"/>
      <c r="W113" s="1322"/>
      <c r="X113" s="1217"/>
      <c r="Y113" s="2886" t="s">
        <v>485</v>
      </c>
      <c r="Z113" s="1154"/>
    </row>
    <row r="114" spans="1:26" s="1987" customFormat="1" ht="14.25" customHeight="1">
      <c r="A114" s="2868"/>
      <c r="B114" s="358" t="s">
        <v>22</v>
      </c>
      <c r="C114" s="682"/>
      <c r="D114" s="1713">
        <f t="shared" ref="D114:X114" si="72">+D119+D115</f>
        <v>1885239</v>
      </c>
      <c r="E114" s="1713">
        <f t="shared" si="72"/>
        <v>0</v>
      </c>
      <c r="F114" s="1713">
        <f t="shared" si="72"/>
        <v>0</v>
      </c>
      <c r="G114" s="1713">
        <f t="shared" si="72"/>
        <v>0</v>
      </c>
      <c r="H114" s="1713">
        <f t="shared" si="72"/>
        <v>0</v>
      </c>
      <c r="I114" s="1713">
        <f t="shared" si="72"/>
        <v>0</v>
      </c>
      <c r="J114" s="1713">
        <f t="shared" si="72"/>
        <v>0</v>
      </c>
      <c r="K114" s="1713">
        <f t="shared" si="72"/>
        <v>0</v>
      </c>
      <c r="L114" s="1713">
        <f t="shared" si="72"/>
        <v>0</v>
      </c>
      <c r="M114" s="1713">
        <f t="shared" si="72"/>
        <v>0</v>
      </c>
      <c r="N114" s="1713">
        <f t="shared" si="72"/>
        <v>0</v>
      </c>
      <c r="O114" s="1713">
        <f t="shared" si="72"/>
        <v>0</v>
      </c>
      <c r="P114" s="1713">
        <f t="shared" si="72"/>
        <v>395593</v>
      </c>
      <c r="Q114" s="1713">
        <f t="shared" si="72"/>
        <v>478146</v>
      </c>
      <c r="R114" s="1713">
        <f t="shared" si="72"/>
        <v>171500</v>
      </c>
      <c r="S114" s="1713">
        <f t="shared" si="72"/>
        <v>168000</v>
      </c>
      <c r="T114" s="1713">
        <f t="shared" si="72"/>
        <v>168000</v>
      </c>
      <c r="U114" s="1713">
        <f>+U119+U115</f>
        <v>168000</v>
      </c>
      <c r="V114" s="1713">
        <f>+V119+V115</f>
        <v>168000</v>
      </c>
      <c r="W114" s="1713">
        <f>+W119+W115</f>
        <v>168000</v>
      </c>
      <c r="X114" s="1714">
        <f t="shared" si="72"/>
        <v>1835624</v>
      </c>
      <c r="Y114" s="2889"/>
      <c r="Z114" s="1243"/>
    </row>
    <row r="115" spans="1:26" s="1987" customFormat="1" ht="13.5" customHeight="1">
      <c r="A115" s="2868"/>
      <c r="B115" s="674" t="s">
        <v>36</v>
      </c>
      <c r="C115" s="2888" t="s">
        <v>337</v>
      </c>
      <c r="D115" s="1715">
        <f>+D116</f>
        <v>49615</v>
      </c>
      <c r="E115" s="1715">
        <f t="shared" ref="E115:W115" si="73">+E116</f>
        <v>0</v>
      </c>
      <c r="F115" s="1715">
        <f t="shared" si="73"/>
        <v>0</v>
      </c>
      <c r="G115" s="1715">
        <f t="shared" si="73"/>
        <v>0</v>
      </c>
      <c r="H115" s="1715">
        <f t="shared" si="73"/>
        <v>0</v>
      </c>
      <c r="I115" s="1715">
        <f t="shared" si="73"/>
        <v>0</v>
      </c>
      <c r="J115" s="1715">
        <f t="shared" si="73"/>
        <v>0</v>
      </c>
      <c r="K115" s="1715">
        <f t="shared" si="73"/>
        <v>0</v>
      </c>
      <c r="L115" s="1715">
        <f t="shared" si="73"/>
        <v>0</v>
      </c>
      <c r="M115" s="1715">
        <f t="shared" si="73"/>
        <v>0</v>
      </c>
      <c r="N115" s="1715">
        <f t="shared" si="73"/>
        <v>0</v>
      </c>
      <c r="O115" s="1715">
        <f t="shared" si="73"/>
        <v>0</v>
      </c>
      <c r="P115" s="1715">
        <f t="shared" si="73"/>
        <v>35115</v>
      </c>
      <c r="Q115" s="1715">
        <f t="shared" si="73"/>
        <v>8125</v>
      </c>
      <c r="R115" s="1715">
        <f t="shared" si="73"/>
        <v>1500</v>
      </c>
      <c r="S115" s="1715">
        <f t="shared" si="73"/>
        <v>975</v>
      </c>
      <c r="T115" s="1715">
        <f t="shared" si="73"/>
        <v>975</v>
      </c>
      <c r="U115" s="1715">
        <f t="shared" si="73"/>
        <v>975</v>
      </c>
      <c r="V115" s="1715">
        <f t="shared" si="73"/>
        <v>975</v>
      </c>
      <c r="W115" s="1715">
        <f t="shared" si="73"/>
        <v>975</v>
      </c>
      <c r="X115" s="1716">
        <f>+X116</f>
        <v>0</v>
      </c>
      <c r="Y115" s="2889"/>
      <c r="Z115" s="1154"/>
    </row>
    <row r="116" spans="1:26" s="1987" customFormat="1" ht="13.5" customHeight="1">
      <c r="A116" s="2868"/>
      <c r="B116" s="1531" t="s">
        <v>45</v>
      </c>
      <c r="C116" s="2827"/>
      <c r="D116" s="1717">
        <f>M116+O116+P116+Q116+R116+S116+T116+U116+V116+W116</f>
        <v>49615</v>
      </c>
      <c r="E116" s="1718">
        <f t="shared" ref="E116:L116" si="74">E117+E118</f>
        <v>0</v>
      </c>
      <c r="F116" s="1718">
        <f t="shared" si="74"/>
        <v>0</v>
      </c>
      <c r="G116" s="1718">
        <f t="shared" si="74"/>
        <v>0</v>
      </c>
      <c r="H116" s="1718">
        <f t="shared" si="74"/>
        <v>0</v>
      </c>
      <c r="I116" s="1718">
        <f t="shared" si="74"/>
        <v>0</v>
      </c>
      <c r="J116" s="1718">
        <f t="shared" si="74"/>
        <v>0</v>
      </c>
      <c r="K116" s="1718">
        <f t="shared" si="74"/>
        <v>0</v>
      </c>
      <c r="L116" s="1718">
        <f t="shared" si="74"/>
        <v>0</v>
      </c>
      <c r="M116" s="1719">
        <f>+E116+I116+J116+K116+L116+N116</f>
        <v>0</v>
      </c>
      <c r="N116" s="1718">
        <f t="shared" ref="N116:X116" si="75">N117+N118</f>
        <v>0</v>
      </c>
      <c r="O116" s="1718">
        <f t="shared" si="75"/>
        <v>0</v>
      </c>
      <c r="P116" s="1718">
        <f t="shared" si="75"/>
        <v>35115</v>
      </c>
      <c r="Q116" s="1718">
        <f t="shared" si="75"/>
        <v>8125</v>
      </c>
      <c r="R116" s="1718">
        <f t="shared" si="75"/>
        <v>1500</v>
      </c>
      <c r="S116" s="1718">
        <f t="shared" si="75"/>
        <v>975</v>
      </c>
      <c r="T116" s="1718">
        <f t="shared" si="75"/>
        <v>975</v>
      </c>
      <c r="U116" s="1718">
        <f t="shared" si="75"/>
        <v>975</v>
      </c>
      <c r="V116" s="1718">
        <f t="shared" si="75"/>
        <v>975</v>
      </c>
      <c r="W116" s="1718">
        <f t="shared" si="75"/>
        <v>975</v>
      </c>
      <c r="X116" s="1720">
        <f t="shared" si="75"/>
        <v>0</v>
      </c>
      <c r="Y116" s="2889"/>
      <c r="Z116" s="1154"/>
    </row>
    <row r="117" spans="1:26" s="1987" customFormat="1" ht="13.5" hidden="1" customHeight="1">
      <c r="A117" s="2868"/>
      <c r="B117" s="1526" t="s">
        <v>330</v>
      </c>
      <c r="C117" s="2827"/>
      <c r="D117" s="1721">
        <f>M117+N117+O117+P117+Q117+R117+S117+T117+U117+V117+W117</f>
        <v>8047</v>
      </c>
      <c r="E117" s="1721"/>
      <c r="F117" s="1721"/>
      <c r="G117" s="1721"/>
      <c r="H117" s="1721"/>
      <c r="I117" s="1721"/>
      <c r="J117" s="1721"/>
      <c r="K117" s="1721"/>
      <c r="L117" s="1721"/>
      <c r="M117" s="1721"/>
      <c r="N117" s="1721"/>
      <c r="O117" s="1722">
        <f>7350-7350</f>
        <v>0</v>
      </c>
      <c r="P117" s="3121">
        <f>1410+7350-713-1410</f>
        <v>6637</v>
      </c>
      <c r="Q117" s="3121">
        <v>1410</v>
      </c>
      <c r="R117" s="1246"/>
      <c r="S117" s="1246"/>
      <c r="T117" s="1246"/>
      <c r="U117" s="1246"/>
      <c r="V117" s="1246"/>
      <c r="W117" s="1246"/>
      <c r="X117" s="1723">
        <v>0</v>
      </c>
      <c r="Y117" s="2889"/>
      <c r="Z117" s="1154"/>
    </row>
    <row r="118" spans="1:26" s="1987" customFormat="1" ht="13.5" hidden="1" customHeight="1">
      <c r="A118" s="2868"/>
      <c r="B118" s="1526" t="s">
        <v>331</v>
      </c>
      <c r="C118" s="2827"/>
      <c r="D118" s="1721">
        <f>M118+N118+O118+P118+Q118+R118+S118+T118+U118+V118+W118</f>
        <v>41568</v>
      </c>
      <c r="E118" s="1721"/>
      <c r="F118" s="1721"/>
      <c r="G118" s="1721"/>
      <c r="H118" s="1721"/>
      <c r="I118" s="1721"/>
      <c r="J118" s="1721"/>
      <c r="K118" s="1721"/>
      <c r="L118" s="1721"/>
      <c r="M118" s="1721"/>
      <c r="N118" s="1721"/>
      <c r="O118" s="1722">
        <f>71550-71550</f>
        <v>0</v>
      </c>
      <c r="P118" s="3121">
        <f>70413-43819+7099-5215</f>
        <v>28478</v>
      </c>
      <c r="Q118" s="3121">
        <f>975+525+5215</f>
        <v>6715</v>
      </c>
      <c r="R118" s="1246">
        <f>1800-300</f>
        <v>1500</v>
      </c>
      <c r="S118" s="1246">
        <v>975</v>
      </c>
      <c r="T118" s="1246">
        <v>975</v>
      </c>
      <c r="U118" s="1246">
        <v>975</v>
      </c>
      <c r="V118" s="1246">
        <v>975</v>
      </c>
      <c r="W118" s="1246">
        <v>975</v>
      </c>
      <c r="X118" s="1723">
        <v>0</v>
      </c>
      <c r="Y118" s="2889"/>
      <c r="Z118" s="1154"/>
    </row>
    <row r="119" spans="1:26" s="1987" customFormat="1" ht="13.5" customHeight="1">
      <c r="A119" s="2868"/>
      <c r="B119" s="502" t="s">
        <v>30</v>
      </c>
      <c r="C119" s="2827"/>
      <c r="D119" s="1724">
        <f>+D120</f>
        <v>1835624</v>
      </c>
      <c r="E119" s="1724">
        <f t="shared" ref="E119:X119" si="76">+E120</f>
        <v>0</v>
      </c>
      <c r="F119" s="1725">
        <f t="shared" si="76"/>
        <v>0</v>
      </c>
      <c r="G119" s="1725">
        <f t="shared" si="76"/>
        <v>0</v>
      </c>
      <c r="H119" s="1725">
        <f t="shared" si="76"/>
        <v>0</v>
      </c>
      <c r="I119" s="1726">
        <f t="shared" si="76"/>
        <v>0</v>
      </c>
      <c r="J119" s="1726">
        <f t="shared" si="76"/>
        <v>0</v>
      </c>
      <c r="K119" s="1726">
        <f>+K120</f>
        <v>0</v>
      </c>
      <c r="L119" s="1726">
        <f t="shared" si="76"/>
        <v>0</v>
      </c>
      <c r="M119" s="1724">
        <f t="shared" si="76"/>
        <v>0</v>
      </c>
      <c r="N119" s="1724">
        <f t="shared" si="76"/>
        <v>0</v>
      </c>
      <c r="O119" s="1724">
        <f t="shared" si="76"/>
        <v>0</v>
      </c>
      <c r="P119" s="1724">
        <f>+P120</f>
        <v>360478</v>
      </c>
      <c r="Q119" s="1724">
        <f>+Q120</f>
        <v>470021</v>
      </c>
      <c r="R119" s="1727">
        <f t="shared" si="76"/>
        <v>170000</v>
      </c>
      <c r="S119" s="1727">
        <f t="shared" si="76"/>
        <v>167025</v>
      </c>
      <c r="T119" s="1727">
        <f t="shared" si="76"/>
        <v>167025</v>
      </c>
      <c r="U119" s="1727">
        <f t="shared" si="76"/>
        <v>167025</v>
      </c>
      <c r="V119" s="1727">
        <f t="shared" si="76"/>
        <v>167025</v>
      </c>
      <c r="W119" s="1727">
        <f t="shared" si="76"/>
        <v>167025</v>
      </c>
      <c r="X119" s="1728">
        <f t="shared" si="76"/>
        <v>1835624</v>
      </c>
      <c r="Y119" s="2889"/>
      <c r="Z119" s="1243"/>
    </row>
    <row r="120" spans="1:26" s="1987" customFormat="1">
      <c r="A120" s="2868"/>
      <c r="B120" s="1512" t="s">
        <v>33</v>
      </c>
      <c r="C120" s="2828"/>
      <c r="D120" s="1717">
        <f>M120+O120+P120+Q120+R120+S120+T120+U120+V120+W120</f>
        <v>1835624</v>
      </c>
      <c r="E120" s="1729">
        <f t="shared" ref="E120:T120" si="77">SUM(E122:E127)</f>
        <v>0</v>
      </c>
      <c r="F120" s="1729">
        <f t="shared" si="77"/>
        <v>0</v>
      </c>
      <c r="G120" s="1729">
        <f t="shared" si="77"/>
        <v>0</v>
      </c>
      <c r="H120" s="1729">
        <f t="shared" si="77"/>
        <v>0</v>
      </c>
      <c r="I120" s="1729">
        <f t="shared" si="77"/>
        <v>0</v>
      </c>
      <c r="J120" s="1729">
        <f t="shared" si="77"/>
        <v>0</v>
      </c>
      <c r="K120" s="1729">
        <f t="shared" si="77"/>
        <v>0</v>
      </c>
      <c r="L120" s="1729">
        <f t="shared" si="77"/>
        <v>0</v>
      </c>
      <c r="M120" s="1719">
        <f>+E120+I120+J120+K120+L120+N120</f>
        <v>0</v>
      </c>
      <c r="N120" s="1729">
        <f t="shared" si="77"/>
        <v>0</v>
      </c>
      <c r="O120" s="1729">
        <f t="shared" si="77"/>
        <v>0</v>
      </c>
      <c r="P120" s="1729">
        <f t="shared" si="77"/>
        <v>360478</v>
      </c>
      <c r="Q120" s="1729">
        <f t="shared" si="77"/>
        <v>470021</v>
      </c>
      <c r="R120" s="1729">
        <f t="shared" si="77"/>
        <v>170000</v>
      </c>
      <c r="S120" s="1729">
        <f t="shared" si="77"/>
        <v>167025</v>
      </c>
      <c r="T120" s="1729">
        <f t="shared" si="77"/>
        <v>167025</v>
      </c>
      <c r="U120" s="1729">
        <f>SUM(U122:U127)</f>
        <v>167025</v>
      </c>
      <c r="V120" s="1729">
        <f>SUM(V122:V127)</f>
        <v>167025</v>
      </c>
      <c r="W120" s="1729">
        <f>SUM(W122:W127)</f>
        <v>167025</v>
      </c>
      <c r="X120" s="1730">
        <f>SUM(X122:X127)</f>
        <v>1835624</v>
      </c>
      <c r="Y120" s="2889"/>
      <c r="Z120" s="1154"/>
    </row>
    <row r="121" spans="1:26" s="1987" customFormat="1" hidden="1">
      <c r="A121" s="2868"/>
      <c r="B121" s="1512" t="s">
        <v>186</v>
      </c>
      <c r="C121" s="1248"/>
      <c r="D121" s="1729"/>
      <c r="E121" s="1719"/>
      <c r="F121" s="1731"/>
      <c r="G121" s="1731"/>
      <c r="H121" s="1731"/>
      <c r="I121" s="1732"/>
      <c r="J121" s="1732"/>
      <c r="K121" s="1732"/>
      <c r="L121" s="1732"/>
      <c r="M121" s="1719"/>
      <c r="N121" s="1719"/>
      <c r="O121" s="1719"/>
      <c r="P121" s="1733"/>
      <c r="Q121" s="1733"/>
      <c r="R121" s="1733"/>
      <c r="S121" s="1733"/>
      <c r="T121" s="1733"/>
      <c r="U121" s="1733"/>
      <c r="V121" s="1733"/>
      <c r="W121" s="1733"/>
      <c r="X121" s="1730"/>
      <c r="Y121" s="2889"/>
      <c r="Z121" s="1154"/>
    </row>
    <row r="122" spans="1:26" s="1987" customFormat="1" hidden="1">
      <c r="A122" s="2868"/>
      <c r="B122" s="1521" t="s">
        <v>187</v>
      </c>
      <c r="C122" s="1249"/>
      <c r="D122" s="1721">
        <f>M122+N122+O122+P122+Q122+R122+S122+T122+U122+V122+W122</f>
        <v>1380475</v>
      </c>
      <c r="E122" s="1251"/>
      <c r="F122" s="1251"/>
      <c r="G122" s="1251"/>
      <c r="H122" s="1251"/>
      <c r="I122" s="1251"/>
      <c r="J122" s="1251"/>
      <c r="K122" s="1251"/>
      <c r="L122" s="1251"/>
      <c r="M122" s="1251"/>
      <c r="N122" s="1251"/>
      <c r="O122" s="1252"/>
      <c r="P122" s="1252">
        <v>144500</v>
      </c>
      <c r="Q122" s="1252">
        <f>144500+224475</f>
        <v>368975</v>
      </c>
      <c r="R122" s="1252">
        <v>144500</v>
      </c>
      <c r="S122" s="1252">
        <v>144500</v>
      </c>
      <c r="T122" s="1252">
        <v>144500</v>
      </c>
      <c r="U122" s="1252">
        <v>144500</v>
      </c>
      <c r="V122" s="1252">
        <v>144500</v>
      </c>
      <c r="W122" s="1252">
        <v>144500</v>
      </c>
      <c r="X122" s="1253">
        <f t="shared" ref="X122:X127" si="78">P122+Q122+R122+S122+T122+U122+V122+W122</f>
        <v>1380475</v>
      </c>
      <c r="Y122" s="2889"/>
      <c r="Z122" s="1154"/>
    </row>
    <row r="123" spans="1:26" s="1987" customFormat="1" hidden="1">
      <c r="A123" s="2868"/>
      <c r="B123" s="1522" t="s">
        <v>188</v>
      </c>
      <c r="C123" s="1254"/>
      <c r="D123" s="1721">
        <f>M123+N123+O123+P123+Q123+R123+S123+T123+U123+V123+W123</f>
        <v>168000</v>
      </c>
      <c r="E123" s="1734"/>
      <c r="F123" s="1734"/>
      <c r="G123" s="1734"/>
      <c r="H123" s="1734"/>
      <c r="I123" s="1734"/>
      <c r="J123" s="1734"/>
      <c r="K123" s="1734"/>
      <c r="L123" s="1734"/>
      <c r="M123" s="1734"/>
      <c r="N123" s="1734"/>
      <c r="O123" s="1734"/>
      <c r="P123" s="1734">
        <v>17000</v>
      </c>
      <c r="Q123" s="1734">
        <f>17000+32000</f>
        <v>49000</v>
      </c>
      <c r="R123" s="1734">
        <v>17000</v>
      </c>
      <c r="S123" s="1734">
        <v>17000</v>
      </c>
      <c r="T123" s="1734">
        <v>17000</v>
      </c>
      <c r="U123" s="1734">
        <v>17000</v>
      </c>
      <c r="V123" s="1734">
        <v>17000</v>
      </c>
      <c r="W123" s="1734">
        <v>17000</v>
      </c>
      <c r="X123" s="1253">
        <f t="shared" si="78"/>
        <v>168000</v>
      </c>
      <c r="Y123" s="2889"/>
      <c r="Z123" s="1154"/>
    </row>
    <row r="124" spans="1:26" s="1987" customFormat="1" hidden="1">
      <c r="A124" s="2868"/>
      <c r="B124" s="1523" t="s">
        <v>189</v>
      </c>
      <c r="C124" s="1455"/>
      <c r="D124" s="1735">
        <f>+E124+I124+J124+K124+L124+N124+O124+P124+Q124+R124+S124+T124</f>
        <v>0</v>
      </c>
      <c r="E124" s="1735"/>
      <c r="F124" s="1735"/>
      <c r="G124" s="1735"/>
      <c r="H124" s="1735"/>
      <c r="I124" s="1735"/>
      <c r="J124" s="1735"/>
      <c r="K124" s="1735"/>
      <c r="L124" s="1735"/>
      <c r="M124" s="1735"/>
      <c r="N124" s="1735"/>
      <c r="O124" s="1255"/>
      <c r="P124" s="1256"/>
      <c r="Q124" s="1256"/>
      <c r="R124" s="1256"/>
      <c r="S124" s="1256"/>
      <c r="T124" s="1256"/>
      <c r="U124" s="1256"/>
      <c r="V124" s="1256"/>
      <c r="W124" s="1256"/>
      <c r="X124" s="1253">
        <f t="shared" si="78"/>
        <v>0</v>
      </c>
      <c r="Y124" s="2889"/>
      <c r="Z124" s="1154"/>
    </row>
    <row r="125" spans="1:26" s="1987" customFormat="1" hidden="1">
      <c r="A125" s="2868"/>
      <c r="B125" s="1532" t="s">
        <v>190</v>
      </c>
      <c r="C125" s="1257"/>
      <c r="D125" s="3122">
        <f>+E125+I125+J125+K125+L125+N125+O125+P125+Q125+R125+S125+T125</f>
        <v>6000</v>
      </c>
      <c r="E125" s="1736"/>
      <c r="F125" s="1736"/>
      <c r="G125" s="1736"/>
      <c r="H125" s="1736"/>
      <c r="I125" s="1736"/>
      <c r="J125" s="1736"/>
      <c r="K125" s="1736"/>
      <c r="L125" s="1736"/>
      <c r="M125" s="1736">
        <f>+E125+I125+J125+K125+L125</f>
        <v>0</v>
      </c>
      <c r="N125" s="1736"/>
      <c r="O125" s="1736"/>
      <c r="P125" s="1736"/>
      <c r="Q125" s="1736">
        <v>6000</v>
      </c>
      <c r="R125" s="1736"/>
      <c r="S125" s="1736"/>
      <c r="T125" s="1736"/>
      <c r="U125" s="1736"/>
      <c r="V125" s="1736"/>
      <c r="W125" s="1736"/>
      <c r="X125" s="1253">
        <f t="shared" si="78"/>
        <v>6000</v>
      </c>
      <c r="Y125" s="2889"/>
      <c r="Z125" s="1154"/>
    </row>
    <row r="126" spans="1:26" s="1987" customFormat="1" hidden="1">
      <c r="A126" s="2868"/>
      <c r="B126" s="1526" t="s">
        <v>563</v>
      </c>
      <c r="C126" s="1457"/>
      <c r="D126" s="1721">
        <f>M126+N126+O126+P126+Q126+R126+S126+T126</f>
        <v>45597</v>
      </c>
      <c r="E126" s="1721"/>
      <c r="F126" s="1721"/>
      <c r="G126" s="1721"/>
      <c r="H126" s="1721"/>
      <c r="I126" s="1721"/>
      <c r="J126" s="1721"/>
      <c r="K126" s="1721"/>
      <c r="L126" s="1721"/>
      <c r="M126" s="1721"/>
      <c r="N126" s="1721"/>
      <c r="O126" s="1721">
        <f>41650-41650</f>
        <v>0</v>
      </c>
      <c r="P126" s="1721">
        <f>7990+41650-4043-7990</f>
        <v>37607</v>
      </c>
      <c r="Q126" s="1721">
        <v>7990</v>
      </c>
      <c r="R126" s="1721"/>
      <c r="S126" s="1721"/>
      <c r="T126" s="1721"/>
      <c r="U126" s="1721"/>
      <c r="V126" s="1721"/>
      <c r="W126" s="1721"/>
      <c r="X126" s="1253">
        <f t="shared" si="78"/>
        <v>45597</v>
      </c>
      <c r="Y126" s="2889"/>
      <c r="Z126" s="1154"/>
    </row>
    <row r="127" spans="1:26" s="1987" customFormat="1" hidden="1">
      <c r="A127" s="2868"/>
      <c r="B127" s="1526" t="s">
        <v>366</v>
      </c>
      <c r="C127" s="1259"/>
      <c r="D127" s="1721">
        <f>M127+N127+O127+P127+Q127+R127+S127+T127+5525+5525+5525</f>
        <v>235552</v>
      </c>
      <c r="E127" s="1721"/>
      <c r="F127" s="1721"/>
      <c r="G127" s="1721"/>
      <c r="H127" s="1721"/>
      <c r="I127" s="1721"/>
      <c r="J127" s="1721"/>
      <c r="K127" s="1721"/>
      <c r="L127" s="1721"/>
      <c r="M127" s="1721"/>
      <c r="N127" s="1721"/>
      <c r="O127" s="1721">
        <f>405450-405450</f>
        <v>0</v>
      </c>
      <c r="P127" s="1721">
        <f>399010-248308+40225-29556</f>
        <v>161371</v>
      </c>
      <c r="Q127" s="1721">
        <f>5525+2975+29556</f>
        <v>38056</v>
      </c>
      <c r="R127" s="1721">
        <f>10200-1700</f>
        <v>8500</v>
      </c>
      <c r="S127" s="1721">
        <v>5525</v>
      </c>
      <c r="T127" s="1721">
        <v>5525</v>
      </c>
      <c r="U127" s="1721">
        <v>5525</v>
      </c>
      <c r="V127" s="1721">
        <v>5525</v>
      </c>
      <c r="W127" s="1721">
        <v>5525</v>
      </c>
      <c r="X127" s="1253">
        <f t="shared" si="78"/>
        <v>235552</v>
      </c>
      <c r="Y127" s="2889"/>
      <c r="Z127" s="1154"/>
    </row>
    <row r="128" spans="1:26" s="1987" customFormat="1" ht="16.5" customHeight="1">
      <c r="A128" s="2868"/>
      <c r="B128" s="501" t="s">
        <v>34</v>
      </c>
      <c r="C128" s="683"/>
      <c r="D128" s="1260">
        <f>+D129</f>
        <v>1835624</v>
      </c>
      <c r="E128" s="1260">
        <f t="shared" ref="E128:W128" si="79">+E129</f>
        <v>0</v>
      </c>
      <c r="F128" s="1261">
        <f t="shared" si="79"/>
        <v>0</v>
      </c>
      <c r="G128" s="1261">
        <f t="shared" si="79"/>
        <v>0</v>
      </c>
      <c r="H128" s="1261">
        <f t="shared" si="79"/>
        <v>134277</v>
      </c>
      <c r="I128" s="1262">
        <f t="shared" si="79"/>
        <v>0</v>
      </c>
      <c r="J128" s="1262">
        <f t="shared" si="79"/>
        <v>0</v>
      </c>
      <c r="K128" s="1262">
        <f t="shared" si="79"/>
        <v>0</v>
      </c>
      <c r="L128" s="1262">
        <f t="shared" si="79"/>
        <v>0</v>
      </c>
      <c r="M128" s="1260">
        <f t="shared" si="79"/>
        <v>0</v>
      </c>
      <c r="N128" s="1260">
        <f t="shared" si="79"/>
        <v>0</v>
      </c>
      <c r="O128" s="1260">
        <f t="shared" si="79"/>
        <v>0</v>
      </c>
      <c r="P128" s="1260">
        <f t="shared" si="79"/>
        <v>360478</v>
      </c>
      <c r="Q128" s="1260">
        <f t="shared" si="79"/>
        <v>470021</v>
      </c>
      <c r="R128" s="1260">
        <f t="shared" si="79"/>
        <v>170000</v>
      </c>
      <c r="S128" s="1260">
        <f t="shared" si="79"/>
        <v>167025</v>
      </c>
      <c r="T128" s="1260">
        <f t="shared" si="79"/>
        <v>167025</v>
      </c>
      <c r="U128" s="1260">
        <f t="shared" si="79"/>
        <v>167025</v>
      </c>
      <c r="V128" s="1260">
        <f t="shared" si="79"/>
        <v>167025</v>
      </c>
      <c r="W128" s="1260">
        <f t="shared" si="79"/>
        <v>167025</v>
      </c>
      <c r="X128" s="2891" t="s">
        <v>77</v>
      </c>
      <c r="Y128" s="2889"/>
      <c r="Z128" s="1154"/>
    </row>
    <row r="129" spans="1:26" s="1987" customFormat="1" ht="15.75" customHeight="1">
      <c r="A129" s="2868"/>
      <c r="B129" s="1398" t="s">
        <v>30</v>
      </c>
      <c r="C129" s="2888" t="s">
        <v>329</v>
      </c>
      <c r="D129" s="1737">
        <f t="shared" ref="D129:W129" si="80">+D130</f>
        <v>1835624</v>
      </c>
      <c r="E129" s="1737">
        <f t="shared" si="80"/>
        <v>0</v>
      </c>
      <c r="F129" s="1738">
        <f t="shared" si="80"/>
        <v>0</v>
      </c>
      <c r="G129" s="1738">
        <f t="shared" si="80"/>
        <v>0</v>
      </c>
      <c r="H129" s="1738">
        <f t="shared" si="80"/>
        <v>134277</v>
      </c>
      <c r="I129" s="1739">
        <f t="shared" si="80"/>
        <v>0</v>
      </c>
      <c r="J129" s="1739">
        <f t="shared" si="80"/>
        <v>0</v>
      </c>
      <c r="K129" s="1739">
        <f t="shared" si="80"/>
        <v>0</v>
      </c>
      <c r="L129" s="1739">
        <f t="shared" si="80"/>
        <v>0</v>
      </c>
      <c r="M129" s="1737">
        <f t="shared" si="80"/>
        <v>0</v>
      </c>
      <c r="N129" s="1737">
        <f t="shared" si="80"/>
        <v>0</v>
      </c>
      <c r="O129" s="1740">
        <f t="shared" si="80"/>
        <v>0</v>
      </c>
      <c r="P129" s="1740">
        <f t="shared" si="80"/>
        <v>360478</v>
      </c>
      <c r="Q129" s="1740">
        <f t="shared" si="80"/>
        <v>470021</v>
      </c>
      <c r="R129" s="1740">
        <f t="shared" si="80"/>
        <v>170000</v>
      </c>
      <c r="S129" s="1740">
        <f t="shared" si="80"/>
        <v>167025</v>
      </c>
      <c r="T129" s="1740">
        <f t="shared" si="80"/>
        <v>167025</v>
      </c>
      <c r="U129" s="1740">
        <f t="shared" si="80"/>
        <v>167025</v>
      </c>
      <c r="V129" s="1740">
        <f t="shared" si="80"/>
        <v>167025</v>
      </c>
      <c r="W129" s="1740">
        <f t="shared" si="80"/>
        <v>167025</v>
      </c>
      <c r="X129" s="2830"/>
      <c r="Y129" s="2889"/>
      <c r="Z129" s="1154"/>
    </row>
    <row r="130" spans="1:26" s="1987" customFormat="1" ht="13.5" customHeight="1" thickBot="1">
      <c r="A130" s="2882"/>
      <c r="B130" s="1210" t="s">
        <v>33</v>
      </c>
      <c r="C130" s="2832"/>
      <c r="D130" s="1119">
        <f>M130+O130+P130+Q130+R130+S130+T130+U130+V130+W130</f>
        <v>1835624</v>
      </c>
      <c r="E130" s="681"/>
      <c r="F130" s="1211">
        <v>0</v>
      </c>
      <c r="G130" s="1211"/>
      <c r="H130" s="1211">
        <v>134277</v>
      </c>
      <c r="I130" s="1212"/>
      <c r="J130" s="1212"/>
      <c r="K130" s="1212"/>
      <c r="L130" s="1212"/>
      <c r="M130" s="684">
        <f>+E130+I130+J130+K130+L130+N130</f>
        <v>0</v>
      </c>
      <c r="N130" s="681"/>
      <c r="O130" s="1539">
        <f>447100-447100</f>
        <v>0</v>
      </c>
      <c r="P130" s="1539">
        <f>551000-189158+36182-37546</f>
        <v>360478</v>
      </c>
      <c r="Q130" s="1539">
        <f>192515-22515+300021</f>
        <v>470021</v>
      </c>
      <c r="R130" s="1539">
        <f>171700-1700</f>
        <v>170000</v>
      </c>
      <c r="S130" s="1539">
        <v>167025</v>
      </c>
      <c r="T130" s="1539">
        <v>167025</v>
      </c>
      <c r="U130" s="1539">
        <v>167025</v>
      </c>
      <c r="V130" s="1539">
        <v>167025</v>
      </c>
      <c r="W130" s="1539">
        <v>167025</v>
      </c>
      <c r="X130" s="2831"/>
      <c r="Y130" s="2890"/>
      <c r="Z130" s="1154"/>
    </row>
    <row r="131" spans="1:26" s="1987" customFormat="1" ht="26.25" customHeight="1">
      <c r="A131" s="2867" t="s">
        <v>104</v>
      </c>
      <c r="B131" s="3123" t="s">
        <v>442</v>
      </c>
      <c r="C131" s="1831" t="s">
        <v>97</v>
      </c>
      <c r="D131" s="1324"/>
      <c r="E131" s="691"/>
      <c r="F131" s="1325"/>
      <c r="G131" s="1325"/>
      <c r="H131" s="1326"/>
      <c r="I131" s="1327"/>
      <c r="J131" s="1328"/>
      <c r="K131" s="1327"/>
      <c r="L131" s="1327"/>
      <c r="M131" s="1324"/>
      <c r="N131" s="1324"/>
      <c r="O131" s="1324"/>
      <c r="P131" s="691"/>
      <c r="Q131" s="691"/>
      <c r="R131" s="691"/>
      <c r="S131" s="691"/>
      <c r="T131" s="691"/>
      <c r="U131" s="691"/>
      <c r="V131" s="691"/>
      <c r="W131" s="870"/>
      <c r="X131" s="1534"/>
      <c r="Y131" s="2886" t="s">
        <v>486</v>
      </c>
      <c r="Z131" s="1154"/>
    </row>
    <row r="132" spans="1:26" s="1987" customFormat="1" ht="13.5" customHeight="1">
      <c r="A132" s="2868"/>
      <c r="B132" s="489" t="s">
        <v>22</v>
      </c>
      <c r="C132" s="3124"/>
      <c r="D132" s="3125">
        <f>+D133+D136</f>
        <v>89390020</v>
      </c>
      <c r="E132" s="3125"/>
      <c r="F132" s="3125"/>
      <c r="G132" s="3125"/>
      <c r="H132" s="3125"/>
      <c r="I132" s="3125"/>
      <c r="J132" s="3125"/>
      <c r="K132" s="3125"/>
      <c r="L132" s="3125"/>
      <c r="M132" s="3125">
        <f t="shared" ref="M132:W132" si="81">+M133+M136</f>
        <v>0</v>
      </c>
      <c r="N132" s="3125">
        <f t="shared" si="81"/>
        <v>0</v>
      </c>
      <c r="O132" s="3125">
        <f t="shared" si="81"/>
        <v>0</v>
      </c>
      <c r="P132" s="3125">
        <f>+P133+P136</f>
        <v>380000</v>
      </c>
      <c r="Q132" s="3125">
        <f t="shared" si="81"/>
        <v>3559463</v>
      </c>
      <c r="R132" s="3125">
        <f t="shared" si="81"/>
        <v>26858653</v>
      </c>
      <c r="S132" s="3125">
        <f t="shared" si="81"/>
        <v>43756073</v>
      </c>
      <c r="T132" s="3125">
        <f t="shared" si="81"/>
        <v>14835831</v>
      </c>
      <c r="U132" s="3125">
        <f t="shared" si="81"/>
        <v>0</v>
      </c>
      <c r="V132" s="3125">
        <f t="shared" si="81"/>
        <v>0</v>
      </c>
      <c r="W132" s="3125">
        <f t="shared" si="81"/>
        <v>0</v>
      </c>
      <c r="X132" s="3126">
        <f>SUM(M132:W132)</f>
        <v>89390020</v>
      </c>
      <c r="Y132" s="2889"/>
      <c r="Z132" s="1154"/>
    </row>
    <row r="133" spans="1:26" s="1987" customFormat="1" ht="13.5" customHeight="1">
      <c r="A133" s="2868"/>
      <c r="B133" s="773" t="s">
        <v>36</v>
      </c>
      <c r="C133" s="3127" t="s">
        <v>376</v>
      </c>
      <c r="D133" s="3128">
        <f>+D134+D135</f>
        <v>17526020</v>
      </c>
      <c r="E133" s="3128"/>
      <c r="F133" s="3128"/>
      <c r="G133" s="3128"/>
      <c r="H133" s="3128"/>
      <c r="I133" s="3128"/>
      <c r="J133" s="3128"/>
      <c r="K133" s="3128"/>
      <c r="L133" s="3128"/>
      <c r="M133" s="3128">
        <f>+M134+M135</f>
        <v>0</v>
      </c>
      <c r="N133" s="3128">
        <v>0</v>
      </c>
      <c r="O133" s="3128">
        <f t="shared" ref="O133:X133" si="82">+O134+O135</f>
        <v>0</v>
      </c>
      <c r="P133" s="3128">
        <f t="shared" si="82"/>
        <v>0</v>
      </c>
      <c r="Q133" s="3128">
        <f t="shared" si="82"/>
        <v>200000</v>
      </c>
      <c r="R133" s="3128">
        <f t="shared" si="82"/>
        <v>7387653</v>
      </c>
      <c r="S133" s="3128">
        <f t="shared" si="82"/>
        <v>7838536</v>
      </c>
      <c r="T133" s="3128">
        <f t="shared" si="82"/>
        <v>2099831</v>
      </c>
      <c r="U133" s="3128">
        <f t="shared" si="82"/>
        <v>0</v>
      </c>
      <c r="V133" s="3128">
        <f t="shared" si="82"/>
        <v>0</v>
      </c>
      <c r="W133" s="3128">
        <f t="shared" si="82"/>
        <v>0</v>
      </c>
      <c r="X133" s="3129">
        <f t="shared" si="82"/>
        <v>17526020</v>
      </c>
      <c r="Y133" s="2889"/>
      <c r="Z133" s="1154"/>
    </row>
    <row r="134" spans="1:26" s="1987" customFormat="1" ht="13.5" customHeight="1">
      <c r="A134" s="2868"/>
      <c r="B134" s="3130" t="s">
        <v>24</v>
      </c>
      <c r="C134" s="3127"/>
      <c r="D134" s="3131">
        <f t="shared" ref="D134:W134" si="83">+D152+D166+D182+D193</f>
        <v>12526020</v>
      </c>
      <c r="E134" s="3131">
        <f t="shared" si="83"/>
        <v>0</v>
      </c>
      <c r="F134" s="3131">
        <f t="shared" si="83"/>
        <v>0</v>
      </c>
      <c r="G134" s="3131">
        <f t="shared" si="83"/>
        <v>0</v>
      </c>
      <c r="H134" s="3131">
        <f t="shared" si="83"/>
        <v>0</v>
      </c>
      <c r="I134" s="3131">
        <f t="shared" si="83"/>
        <v>0</v>
      </c>
      <c r="J134" s="3131">
        <f t="shared" si="83"/>
        <v>0</v>
      </c>
      <c r="K134" s="3131">
        <f t="shared" si="83"/>
        <v>0</v>
      </c>
      <c r="L134" s="3131">
        <f t="shared" si="83"/>
        <v>0</v>
      </c>
      <c r="M134" s="3131">
        <f t="shared" si="83"/>
        <v>0</v>
      </c>
      <c r="N134" s="3131">
        <f t="shared" si="83"/>
        <v>0</v>
      </c>
      <c r="O134" s="3131">
        <f t="shared" si="83"/>
        <v>0</v>
      </c>
      <c r="P134" s="3131">
        <f t="shared" si="83"/>
        <v>0</v>
      </c>
      <c r="Q134" s="3131">
        <f t="shared" si="83"/>
        <v>200000</v>
      </c>
      <c r="R134" s="3131">
        <f t="shared" si="83"/>
        <v>7110353</v>
      </c>
      <c r="S134" s="3131">
        <f>+S152+S166+S182+S193</f>
        <v>4510336</v>
      </c>
      <c r="T134" s="3131">
        <f t="shared" si="83"/>
        <v>705331</v>
      </c>
      <c r="U134" s="3131">
        <f t="shared" si="83"/>
        <v>0</v>
      </c>
      <c r="V134" s="3131">
        <f t="shared" si="83"/>
        <v>0</v>
      </c>
      <c r="W134" s="3131">
        <f t="shared" si="83"/>
        <v>0</v>
      </c>
      <c r="X134" s="3132">
        <f>SUM(M134:W134)</f>
        <v>12526020</v>
      </c>
      <c r="Y134" s="2889"/>
      <c r="Z134" s="1154"/>
    </row>
    <row r="135" spans="1:26" s="1987" customFormat="1" ht="13.5" customHeight="1">
      <c r="A135" s="2868"/>
      <c r="B135" s="3130" t="s">
        <v>28</v>
      </c>
      <c r="C135" s="3127"/>
      <c r="D135" s="3131">
        <f>+D153+D167+D194</f>
        <v>5000000</v>
      </c>
      <c r="E135" s="3131">
        <f t="shared" ref="E135:W135" si="84">+E153+E167+E194</f>
        <v>0</v>
      </c>
      <c r="F135" s="3131">
        <f t="shared" si="84"/>
        <v>0</v>
      </c>
      <c r="G135" s="3131">
        <f t="shared" si="84"/>
        <v>0</v>
      </c>
      <c r="H135" s="3131">
        <f t="shared" si="84"/>
        <v>0</v>
      </c>
      <c r="I135" s="3131">
        <f t="shared" si="84"/>
        <v>0</v>
      </c>
      <c r="J135" s="3131">
        <f t="shared" si="84"/>
        <v>0</v>
      </c>
      <c r="K135" s="3131">
        <f t="shared" si="84"/>
        <v>0</v>
      </c>
      <c r="L135" s="3131">
        <f t="shared" si="84"/>
        <v>0</v>
      </c>
      <c r="M135" s="3131">
        <f t="shared" si="84"/>
        <v>0</v>
      </c>
      <c r="N135" s="3131">
        <f t="shared" si="84"/>
        <v>0</v>
      </c>
      <c r="O135" s="3131">
        <f t="shared" si="84"/>
        <v>0</v>
      </c>
      <c r="P135" s="3131">
        <f t="shared" si="84"/>
        <v>0</v>
      </c>
      <c r="Q135" s="3131">
        <f t="shared" si="84"/>
        <v>0</v>
      </c>
      <c r="R135" s="3131">
        <f t="shared" si="84"/>
        <v>277300</v>
      </c>
      <c r="S135" s="3131">
        <f t="shared" si="84"/>
        <v>3328200</v>
      </c>
      <c r="T135" s="3131">
        <f t="shared" si="84"/>
        <v>1394500</v>
      </c>
      <c r="U135" s="3131">
        <f t="shared" si="84"/>
        <v>0</v>
      </c>
      <c r="V135" s="3131">
        <f t="shared" si="84"/>
        <v>0</v>
      </c>
      <c r="W135" s="3131">
        <f t="shared" si="84"/>
        <v>0</v>
      </c>
      <c r="X135" s="3132">
        <f>SUM(M135:W135)</f>
        <v>5000000</v>
      </c>
      <c r="Y135" s="2889"/>
      <c r="Z135" s="1154"/>
    </row>
    <row r="136" spans="1:26" s="1987" customFormat="1" ht="13.5" customHeight="1">
      <c r="A136" s="2868"/>
      <c r="B136" s="488" t="s">
        <v>30</v>
      </c>
      <c r="C136" s="3127"/>
      <c r="D136" s="3133">
        <f>+D137</f>
        <v>71864000</v>
      </c>
      <c r="E136" s="3133">
        <f t="shared" ref="E136:W136" si="85">+E137</f>
        <v>0</v>
      </c>
      <c r="F136" s="3133">
        <f t="shared" si="85"/>
        <v>0</v>
      </c>
      <c r="G136" s="3133">
        <f t="shared" si="85"/>
        <v>0</v>
      </c>
      <c r="H136" s="3133">
        <f t="shared" si="85"/>
        <v>0</v>
      </c>
      <c r="I136" s="3133">
        <f t="shared" si="85"/>
        <v>0</v>
      </c>
      <c r="J136" s="3133">
        <f t="shared" si="85"/>
        <v>0</v>
      </c>
      <c r="K136" s="3133">
        <f t="shared" si="85"/>
        <v>0</v>
      </c>
      <c r="L136" s="3133">
        <f t="shared" si="85"/>
        <v>0</v>
      </c>
      <c r="M136" s="3133">
        <f t="shared" si="85"/>
        <v>0</v>
      </c>
      <c r="N136" s="3133">
        <f t="shared" si="85"/>
        <v>0</v>
      </c>
      <c r="O136" s="3133">
        <f t="shared" si="85"/>
        <v>0</v>
      </c>
      <c r="P136" s="3133">
        <f t="shared" si="85"/>
        <v>380000</v>
      </c>
      <c r="Q136" s="3133">
        <f t="shared" si="85"/>
        <v>3359463</v>
      </c>
      <c r="R136" s="3133">
        <f t="shared" si="85"/>
        <v>19471000</v>
      </c>
      <c r="S136" s="3133">
        <f t="shared" si="85"/>
        <v>35917537</v>
      </c>
      <c r="T136" s="3133">
        <f t="shared" si="85"/>
        <v>12736000</v>
      </c>
      <c r="U136" s="3133">
        <f t="shared" si="85"/>
        <v>0</v>
      </c>
      <c r="V136" s="3133">
        <f t="shared" si="85"/>
        <v>0</v>
      </c>
      <c r="W136" s="3133">
        <f t="shared" si="85"/>
        <v>0</v>
      </c>
      <c r="X136" s="3129">
        <f>+X138+X139+X140</f>
        <v>71864000</v>
      </c>
      <c r="Y136" s="2889"/>
      <c r="Z136" s="1154"/>
    </row>
    <row r="137" spans="1:26" s="1987" customFormat="1" ht="12.75" customHeight="1">
      <c r="A137" s="2868"/>
      <c r="B137" s="487" t="s">
        <v>33</v>
      </c>
      <c r="C137" s="3127"/>
      <c r="D137" s="3131">
        <f>+D138+D139+D140</f>
        <v>71864000</v>
      </c>
      <c r="E137" s="3131">
        <f t="shared" ref="E137:W137" si="86">+E138+E139+E140</f>
        <v>0</v>
      </c>
      <c r="F137" s="3131">
        <f t="shared" si="86"/>
        <v>0</v>
      </c>
      <c r="G137" s="3131">
        <f t="shared" si="86"/>
        <v>0</v>
      </c>
      <c r="H137" s="3131">
        <f t="shared" si="86"/>
        <v>0</v>
      </c>
      <c r="I137" s="3131">
        <f t="shared" si="86"/>
        <v>0</v>
      </c>
      <c r="J137" s="3131">
        <f t="shared" si="86"/>
        <v>0</v>
      </c>
      <c r="K137" s="3131">
        <f t="shared" si="86"/>
        <v>0</v>
      </c>
      <c r="L137" s="3131">
        <f t="shared" si="86"/>
        <v>0</v>
      </c>
      <c r="M137" s="3131">
        <f t="shared" si="86"/>
        <v>0</v>
      </c>
      <c r="N137" s="3131">
        <f t="shared" si="86"/>
        <v>0</v>
      </c>
      <c r="O137" s="3131">
        <f t="shared" si="86"/>
        <v>0</v>
      </c>
      <c r="P137" s="3131">
        <f t="shared" si="86"/>
        <v>380000</v>
      </c>
      <c r="Q137" s="3131">
        <f t="shared" si="86"/>
        <v>3359463</v>
      </c>
      <c r="R137" s="3131">
        <f t="shared" si="86"/>
        <v>19471000</v>
      </c>
      <c r="S137" s="3131">
        <f t="shared" si="86"/>
        <v>35917537</v>
      </c>
      <c r="T137" s="3131">
        <f t="shared" si="86"/>
        <v>12736000</v>
      </c>
      <c r="U137" s="3131">
        <f t="shared" si="86"/>
        <v>0</v>
      </c>
      <c r="V137" s="3131">
        <f t="shared" si="86"/>
        <v>0</v>
      </c>
      <c r="W137" s="3131">
        <f t="shared" si="86"/>
        <v>0</v>
      </c>
      <c r="X137" s="3129">
        <f>SUM(M137:W137)</f>
        <v>71864000</v>
      </c>
      <c r="Y137" s="2889"/>
      <c r="Z137" s="1154"/>
    </row>
    <row r="138" spans="1:26" s="1987" customFormat="1" ht="23.25" hidden="1" customHeight="1">
      <c r="A138" s="2868"/>
      <c r="B138" s="3130" t="s">
        <v>377</v>
      </c>
      <c r="C138" s="3127"/>
      <c r="D138" s="3131">
        <f t="shared" ref="D138:W138" si="87">+D156+D170+D185+D197</f>
        <v>20000000</v>
      </c>
      <c r="E138" s="3131">
        <f t="shared" si="87"/>
        <v>0</v>
      </c>
      <c r="F138" s="3131">
        <f t="shared" si="87"/>
        <v>0</v>
      </c>
      <c r="G138" s="3131">
        <f t="shared" si="87"/>
        <v>0</v>
      </c>
      <c r="H138" s="3131">
        <f t="shared" si="87"/>
        <v>0</v>
      </c>
      <c r="I138" s="3131">
        <f t="shared" si="87"/>
        <v>0</v>
      </c>
      <c r="J138" s="3131">
        <f t="shared" si="87"/>
        <v>0</v>
      </c>
      <c r="K138" s="3131">
        <f t="shared" si="87"/>
        <v>0</v>
      </c>
      <c r="L138" s="3131">
        <f t="shared" si="87"/>
        <v>0</v>
      </c>
      <c r="M138" s="3131">
        <f t="shared" si="87"/>
        <v>0</v>
      </c>
      <c r="N138" s="3131">
        <f t="shared" si="87"/>
        <v>0</v>
      </c>
      <c r="O138" s="3131">
        <f t="shared" si="87"/>
        <v>0</v>
      </c>
      <c r="P138" s="3131">
        <f t="shared" si="87"/>
        <v>380000</v>
      </c>
      <c r="Q138" s="3131">
        <f t="shared" si="87"/>
        <v>3359463</v>
      </c>
      <c r="R138" s="3131">
        <f t="shared" si="87"/>
        <v>10000000</v>
      </c>
      <c r="S138" s="3131">
        <f t="shared" si="87"/>
        <v>5124537</v>
      </c>
      <c r="T138" s="3131">
        <f t="shared" si="87"/>
        <v>1136000</v>
      </c>
      <c r="U138" s="3131">
        <f t="shared" si="87"/>
        <v>0</v>
      </c>
      <c r="V138" s="3131">
        <f t="shared" si="87"/>
        <v>0</v>
      </c>
      <c r="W138" s="3131">
        <f t="shared" si="87"/>
        <v>0</v>
      </c>
      <c r="X138" s="3132">
        <f>SUM(M138:W138)</f>
        <v>20000000</v>
      </c>
      <c r="Y138" s="2889"/>
      <c r="Z138" s="1154"/>
    </row>
    <row r="139" spans="1:26" s="1987" customFormat="1" ht="20.25" hidden="1" customHeight="1">
      <c r="A139" s="2868"/>
      <c r="B139" s="3130" t="s">
        <v>378</v>
      </c>
      <c r="C139" s="3127"/>
      <c r="D139" s="3131">
        <f>+D171</f>
        <v>10000000</v>
      </c>
      <c r="E139" s="3131">
        <f t="shared" ref="E139:W139" si="88">+E171</f>
        <v>0</v>
      </c>
      <c r="F139" s="3131">
        <f t="shared" si="88"/>
        <v>0</v>
      </c>
      <c r="G139" s="3131">
        <f t="shared" si="88"/>
        <v>0</v>
      </c>
      <c r="H139" s="3131">
        <f t="shared" si="88"/>
        <v>0</v>
      </c>
      <c r="I139" s="3131">
        <f t="shared" si="88"/>
        <v>0</v>
      </c>
      <c r="J139" s="3131">
        <f t="shared" si="88"/>
        <v>0</v>
      </c>
      <c r="K139" s="3131">
        <f t="shared" si="88"/>
        <v>0</v>
      </c>
      <c r="L139" s="3131">
        <f t="shared" si="88"/>
        <v>0</v>
      </c>
      <c r="M139" s="3131">
        <f t="shared" si="88"/>
        <v>0</v>
      </c>
      <c r="N139" s="3131">
        <f t="shared" si="88"/>
        <v>0</v>
      </c>
      <c r="O139" s="3131">
        <f t="shared" si="88"/>
        <v>0</v>
      </c>
      <c r="P139" s="3131">
        <f t="shared" si="88"/>
        <v>0</v>
      </c>
      <c r="Q139" s="3131">
        <f t="shared" si="88"/>
        <v>0</v>
      </c>
      <c r="R139" s="3131">
        <f t="shared" si="88"/>
        <v>7143000</v>
      </c>
      <c r="S139" s="3131">
        <f t="shared" si="88"/>
        <v>2857000</v>
      </c>
      <c r="T139" s="3131">
        <f t="shared" si="88"/>
        <v>0</v>
      </c>
      <c r="U139" s="3131">
        <f t="shared" si="88"/>
        <v>0</v>
      </c>
      <c r="V139" s="3131">
        <f t="shared" si="88"/>
        <v>0</v>
      </c>
      <c r="W139" s="3131">
        <f t="shared" si="88"/>
        <v>0</v>
      </c>
      <c r="X139" s="3132">
        <f>SUM(M139:W139)</f>
        <v>10000000</v>
      </c>
      <c r="Y139" s="2889"/>
      <c r="Z139" s="1154"/>
    </row>
    <row r="140" spans="1:26" s="1987" customFormat="1" ht="27" hidden="1" customHeight="1">
      <c r="A140" s="2868"/>
      <c r="B140" s="3130" t="s">
        <v>379</v>
      </c>
      <c r="C140" s="3127"/>
      <c r="D140" s="3134">
        <f>+D198</f>
        <v>41864000</v>
      </c>
      <c r="E140" s="3134">
        <f t="shared" ref="E140:W140" si="89">+E198</f>
        <v>0</v>
      </c>
      <c r="F140" s="3134">
        <f t="shared" si="89"/>
        <v>0</v>
      </c>
      <c r="G140" s="3134">
        <f t="shared" si="89"/>
        <v>0</v>
      </c>
      <c r="H140" s="3134">
        <f t="shared" si="89"/>
        <v>0</v>
      </c>
      <c r="I140" s="3134">
        <f t="shared" si="89"/>
        <v>0</v>
      </c>
      <c r="J140" s="3134">
        <f t="shared" si="89"/>
        <v>0</v>
      </c>
      <c r="K140" s="3134">
        <f t="shared" si="89"/>
        <v>0</v>
      </c>
      <c r="L140" s="3134">
        <f t="shared" si="89"/>
        <v>0</v>
      </c>
      <c r="M140" s="3134">
        <f t="shared" si="89"/>
        <v>0</v>
      </c>
      <c r="N140" s="3134">
        <f t="shared" si="89"/>
        <v>0</v>
      </c>
      <c r="O140" s="3134">
        <f t="shared" si="89"/>
        <v>0</v>
      </c>
      <c r="P140" s="3134">
        <f t="shared" si="89"/>
        <v>0</v>
      </c>
      <c r="Q140" s="3134">
        <f t="shared" si="89"/>
        <v>0</v>
      </c>
      <c r="R140" s="3134">
        <f t="shared" si="89"/>
        <v>2328000</v>
      </c>
      <c r="S140" s="3134">
        <f t="shared" si="89"/>
        <v>27936000</v>
      </c>
      <c r="T140" s="3134">
        <f t="shared" si="89"/>
        <v>11600000</v>
      </c>
      <c r="U140" s="3134">
        <f t="shared" si="89"/>
        <v>0</v>
      </c>
      <c r="V140" s="3134">
        <f t="shared" si="89"/>
        <v>0</v>
      </c>
      <c r="W140" s="3134">
        <f t="shared" si="89"/>
        <v>0</v>
      </c>
      <c r="X140" s="3132">
        <f>SUM(M140:W140)</f>
        <v>41864000</v>
      </c>
      <c r="Y140" s="2889"/>
      <c r="Z140" s="1154"/>
    </row>
    <row r="141" spans="1:26" s="1987" customFormat="1" ht="15.75" customHeight="1">
      <c r="A141" s="2868"/>
      <c r="B141" s="695" t="s">
        <v>380</v>
      </c>
      <c r="C141" s="3124"/>
      <c r="D141" s="3125">
        <f t="shared" ref="D141:W141" si="90">+D142+D144</f>
        <v>76864000</v>
      </c>
      <c r="E141" s="3125" t="e">
        <f t="shared" si="90"/>
        <v>#REF!</v>
      </c>
      <c r="F141" s="3125" t="e">
        <f t="shared" si="90"/>
        <v>#REF!</v>
      </c>
      <c r="G141" s="3125" t="e">
        <f t="shared" si="90"/>
        <v>#REF!</v>
      </c>
      <c r="H141" s="3125" t="e">
        <f t="shared" si="90"/>
        <v>#REF!</v>
      </c>
      <c r="I141" s="3125" t="e">
        <f t="shared" si="90"/>
        <v>#REF!</v>
      </c>
      <c r="J141" s="3125" t="e">
        <f t="shared" si="90"/>
        <v>#REF!</v>
      </c>
      <c r="K141" s="3125" t="e">
        <f t="shared" si="90"/>
        <v>#REF!</v>
      </c>
      <c r="L141" s="3125" t="e">
        <f t="shared" si="90"/>
        <v>#REF!</v>
      </c>
      <c r="M141" s="3125">
        <f t="shared" si="90"/>
        <v>0</v>
      </c>
      <c r="N141" s="3125">
        <f t="shared" si="90"/>
        <v>0</v>
      </c>
      <c r="O141" s="3125">
        <f t="shared" si="90"/>
        <v>0</v>
      </c>
      <c r="P141" s="3125">
        <f t="shared" si="90"/>
        <v>380000</v>
      </c>
      <c r="Q141" s="3125">
        <f t="shared" si="90"/>
        <v>3359463</v>
      </c>
      <c r="R141" s="3125">
        <f t="shared" si="90"/>
        <v>19748300</v>
      </c>
      <c r="S141" s="3125">
        <f t="shared" si="90"/>
        <v>39245737</v>
      </c>
      <c r="T141" s="3125">
        <f t="shared" si="90"/>
        <v>14130500</v>
      </c>
      <c r="U141" s="3125">
        <f t="shared" si="90"/>
        <v>0</v>
      </c>
      <c r="V141" s="3125">
        <f t="shared" si="90"/>
        <v>0</v>
      </c>
      <c r="W141" s="3125">
        <f t="shared" si="90"/>
        <v>0</v>
      </c>
      <c r="X141" s="2865" t="s">
        <v>77</v>
      </c>
      <c r="Y141" s="2889"/>
      <c r="Z141" s="1154"/>
    </row>
    <row r="142" spans="1:26" s="1987" customFormat="1" ht="13.5" customHeight="1">
      <c r="A142" s="2868"/>
      <c r="B142" s="773" t="s">
        <v>36</v>
      </c>
      <c r="C142" s="3127" t="s">
        <v>381</v>
      </c>
      <c r="D142" s="3128">
        <f>+D143</f>
        <v>5000000</v>
      </c>
      <c r="E142" s="3128" t="e">
        <f>+E143+#REF!</f>
        <v>#REF!</v>
      </c>
      <c r="F142" s="3128" t="e">
        <f>+F143+#REF!</f>
        <v>#REF!</v>
      </c>
      <c r="G142" s="3128" t="e">
        <f>+G143+#REF!</f>
        <v>#REF!</v>
      </c>
      <c r="H142" s="3128" t="e">
        <f>+H143+#REF!</f>
        <v>#REF!</v>
      </c>
      <c r="I142" s="3128" t="e">
        <f>+I143+#REF!</f>
        <v>#REF!</v>
      </c>
      <c r="J142" s="3128" t="e">
        <f>+J143+#REF!</f>
        <v>#REF!</v>
      </c>
      <c r="K142" s="3128" t="e">
        <f>+K143+#REF!</f>
        <v>#REF!</v>
      </c>
      <c r="L142" s="3128" t="e">
        <f>+L143+#REF!</f>
        <v>#REF!</v>
      </c>
      <c r="M142" s="3128">
        <f t="shared" ref="M142:W142" si="91">+M143</f>
        <v>0</v>
      </c>
      <c r="N142" s="3128">
        <f t="shared" si="91"/>
        <v>0</v>
      </c>
      <c r="O142" s="3128">
        <f t="shared" si="91"/>
        <v>0</v>
      </c>
      <c r="P142" s="3128">
        <f t="shared" si="91"/>
        <v>0</v>
      </c>
      <c r="Q142" s="3128">
        <f t="shared" si="91"/>
        <v>0</v>
      </c>
      <c r="R142" s="3128">
        <f t="shared" si="91"/>
        <v>277300</v>
      </c>
      <c r="S142" s="3128">
        <f t="shared" si="91"/>
        <v>3328200</v>
      </c>
      <c r="T142" s="3128">
        <f t="shared" si="91"/>
        <v>1394500</v>
      </c>
      <c r="U142" s="3128">
        <f t="shared" si="91"/>
        <v>0</v>
      </c>
      <c r="V142" s="3128">
        <f t="shared" si="91"/>
        <v>0</v>
      </c>
      <c r="W142" s="3128">
        <f t="shared" si="91"/>
        <v>0</v>
      </c>
      <c r="X142" s="2865"/>
      <c r="Y142" s="2889"/>
      <c r="Z142" s="1154"/>
    </row>
    <row r="143" spans="1:26" s="1987" customFormat="1" ht="13.5" customHeight="1">
      <c r="A143" s="2868"/>
      <c r="B143" s="3130" t="s">
        <v>28</v>
      </c>
      <c r="C143" s="3127"/>
      <c r="D143" s="3135">
        <f t="shared" ref="D143:W143" si="92">+D174+D201</f>
        <v>5000000</v>
      </c>
      <c r="E143" s="3135">
        <f t="shared" si="92"/>
        <v>0</v>
      </c>
      <c r="F143" s="3135">
        <f t="shared" si="92"/>
        <v>0</v>
      </c>
      <c r="G143" s="3135">
        <f t="shared" si="92"/>
        <v>0</v>
      </c>
      <c r="H143" s="3135">
        <f t="shared" si="92"/>
        <v>0</v>
      </c>
      <c r="I143" s="3135">
        <f t="shared" si="92"/>
        <v>0</v>
      </c>
      <c r="J143" s="3135">
        <f t="shared" si="92"/>
        <v>0</v>
      </c>
      <c r="K143" s="3135">
        <f t="shared" si="92"/>
        <v>0</v>
      </c>
      <c r="L143" s="3135">
        <f t="shared" si="92"/>
        <v>0</v>
      </c>
      <c r="M143" s="3135">
        <f t="shared" si="92"/>
        <v>0</v>
      </c>
      <c r="N143" s="3135">
        <f t="shared" si="92"/>
        <v>0</v>
      </c>
      <c r="O143" s="3135">
        <f t="shared" si="92"/>
        <v>0</v>
      </c>
      <c r="P143" s="3135">
        <f t="shared" si="92"/>
        <v>0</v>
      </c>
      <c r="Q143" s="3135">
        <f t="shared" si="92"/>
        <v>0</v>
      </c>
      <c r="R143" s="3135">
        <f t="shared" si="92"/>
        <v>277300</v>
      </c>
      <c r="S143" s="3135">
        <f t="shared" si="92"/>
        <v>3328200</v>
      </c>
      <c r="T143" s="3135">
        <f t="shared" si="92"/>
        <v>1394500</v>
      </c>
      <c r="U143" s="3135">
        <f t="shared" si="92"/>
        <v>0</v>
      </c>
      <c r="V143" s="3135">
        <f t="shared" si="92"/>
        <v>0</v>
      </c>
      <c r="W143" s="3135">
        <f t="shared" si="92"/>
        <v>0</v>
      </c>
      <c r="X143" s="2865"/>
      <c r="Y143" s="2889"/>
      <c r="Z143" s="1154"/>
    </row>
    <row r="144" spans="1:26" s="1987" customFormat="1" ht="13.5" customHeight="1">
      <c r="A144" s="2868"/>
      <c r="B144" s="488" t="s">
        <v>30</v>
      </c>
      <c r="C144" s="3127"/>
      <c r="D144" s="3128">
        <f>+D145</f>
        <v>71864000</v>
      </c>
      <c r="E144" s="3128">
        <f t="shared" ref="E144:W144" si="93">+E145</f>
        <v>0</v>
      </c>
      <c r="F144" s="3128">
        <f t="shared" si="93"/>
        <v>0</v>
      </c>
      <c r="G144" s="3128">
        <f t="shared" si="93"/>
        <v>0</v>
      </c>
      <c r="H144" s="3128">
        <f t="shared" si="93"/>
        <v>0</v>
      </c>
      <c r="I144" s="3128">
        <f t="shared" si="93"/>
        <v>0</v>
      </c>
      <c r="J144" s="3128">
        <f t="shared" si="93"/>
        <v>0</v>
      </c>
      <c r="K144" s="3128">
        <f t="shared" si="93"/>
        <v>0</v>
      </c>
      <c r="L144" s="3128">
        <f t="shared" si="93"/>
        <v>0</v>
      </c>
      <c r="M144" s="3128">
        <f t="shared" si="93"/>
        <v>0</v>
      </c>
      <c r="N144" s="3128">
        <f t="shared" si="93"/>
        <v>0</v>
      </c>
      <c r="O144" s="3128">
        <f t="shared" si="93"/>
        <v>0</v>
      </c>
      <c r="P144" s="3128">
        <f>+P145</f>
        <v>380000</v>
      </c>
      <c r="Q144" s="3128">
        <f>+Q145</f>
        <v>3359463</v>
      </c>
      <c r="R144" s="3128">
        <f t="shared" si="93"/>
        <v>19471000</v>
      </c>
      <c r="S144" s="3128">
        <f t="shared" si="93"/>
        <v>35917537</v>
      </c>
      <c r="T144" s="3128">
        <f t="shared" si="93"/>
        <v>12736000</v>
      </c>
      <c r="U144" s="3128">
        <f t="shared" si="93"/>
        <v>0</v>
      </c>
      <c r="V144" s="3128">
        <f t="shared" si="93"/>
        <v>0</v>
      </c>
      <c r="W144" s="3128">
        <f t="shared" si="93"/>
        <v>0</v>
      </c>
      <c r="X144" s="2865"/>
      <c r="Y144" s="2889"/>
      <c r="Z144" s="1154"/>
    </row>
    <row r="145" spans="1:26" s="1987" customFormat="1" ht="14.25" customHeight="1" thickBot="1">
      <c r="A145" s="2868"/>
      <c r="B145" s="496" t="s">
        <v>33</v>
      </c>
      <c r="C145" s="3127"/>
      <c r="D145" s="3131">
        <f>+D161+D176+D203+D188</f>
        <v>71864000</v>
      </c>
      <c r="E145" s="3131">
        <f t="shared" ref="E145:W145" si="94">+E161+E176+E203+E188</f>
        <v>0</v>
      </c>
      <c r="F145" s="3131">
        <f t="shared" si="94"/>
        <v>0</v>
      </c>
      <c r="G145" s="3131">
        <f t="shared" si="94"/>
        <v>0</v>
      </c>
      <c r="H145" s="3131">
        <f t="shared" si="94"/>
        <v>0</v>
      </c>
      <c r="I145" s="3131">
        <f t="shared" si="94"/>
        <v>0</v>
      </c>
      <c r="J145" s="3131">
        <f t="shared" si="94"/>
        <v>0</v>
      </c>
      <c r="K145" s="3131">
        <f t="shared" si="94"/>
        <v>0</v>
      </c>
      <c r="L145" s="3131">
        <f t="shared" si="94"/>
        <v>0</v>
      </c>
      <c r="M145" s="3131">
        <f t="shared" si="94"/>
        <v>0</v>
      </c>
      <c r="N145" s="3131">
        <f t="shared" si="94"/>
        <v>0</v>
      </c>
      <c r="O145" s="3131">
        <f t="shared" si="94"/>
        <v>0</v>
      </c>
      <c r="P145" s="3131">
        <f>+P161+P176+P203+P188</f>
        <v>380000</v>
      </c>
      <c r="Q145" s="3131">
        <f t="shared" si="94"/>
        <v>3359463</v>
      </c>
      <c r="R145" s="3131">
        <f t="shared" si="94"/>
        <v>19471000</v>
      </c>
      <c r="S145" s="3131">
        <f t="shared" si="94"/>
        <v>35917537</v>
      </c>
      <c r="T145" s="3131">
        <f t="shared" si="94"/>
        <v>12736000</v>
      </c>
      <c r="U145" s="3131">
        <f t="shared" si="94"/>
        <v>0</v>
      </c>
      <c r="V145" s="3131">
        <f>+V161+V176+V203+V188</f>
        <v>0</v>
      </c>
      <c r="W145" s="3131">
        <f t="shared" si="94"/>
        <v>0</v>
      </c>
      <c r="X145" s="2865"/>
      <c r="Y145" s="2889"/>
      <c r="Z145" s="1154"/>
    </row>
    <row r="146" spans="1:26" s="1987" customFormat="1" ht="22.5" hidden="1" customHeight="1">
      <c r="A146" s="2535"/>
      <c r="B146" s="1537" t="s">
        <v>377</v>
      </c>
      <c r="C146" s="3127"/>
      <c r="D146" s="3135">
        <f>+D162+D177+D189+D204</f>
        <v>20000000</v>
      </c>
      <c r="E146" s="3135">
        <f t="shared" ref="E146:W146" si="95">+E162+E177+E189+E204</f>
        <v>0</v>
      </c>
      <c r="F146" s="3135">
        <f t="shared" si="95"/>
        <v>0</v>
      </c>
      <c r="G146" s="3135">
        <f t="shared" si="95"/>
        <v>0</v>
      </c>
      <c r="H146" s="3135">
        <f t="shared" si="95"/>
        <v>0</v>
      </c>
      <c r="I146" s="3135">
        <f t="shared" si="95"/>
        <v>0</v>
      </c>
      <c r="J146" s="3135">
        <f t="shared" si="95"/>
        <v>0</v>
      </c>
      <c r="K146" s="3135">
        <f t="shared" si="95"/>
        <v>0</v>
      </c>
      <c r="L146" s="3135">
        <f t="shared" si="95"/>
        <v>0</v>
      </c>
      <c r="M146" s="3135">
        <f t="shared" si="95"/>
        <v>0</v>
      </c>
      <c r="N146" s="3135">
        <f t="shared" si="95"/>
        <v>0</v>
      </c>
      <c r="O146" s="3135">
        <f t="shared" si="95"/>
        <v>0</v>
      </c>
      <c r="P146" s="3135">
        <f>+P162+P177+P189+P204</f>
        <v>380000</v>
      </c>
      <c r="Q146" s="3135">
        <f t="shared" si="95"/>
        <v>3359463</v>
      </c>
      <c r="R146" s="3135">
        <f t="shared" si="95"/>
        <v>10000000</v>
      </c>
      <c r="S146" s="3135">
        <f t="shared" si="95"/>
        <v>5124537</v>
      </c>
      <c r="T146" s="3135">
        <f t="shared" si="95"/>
        <v>1136000</v>
      </c>
      <c r="U146" s="3135">
        <f t="shared" si="95"/>
        <v>0</v>
      </c>
      <c r="V146" s="3135">
        <f t="shared" si="95"/>
        <v>0</v>
      </c>
      <c r="W146" s="3135">
        <f t="shared" si="95"/>
        <v>0</v>
      </c>
      <c r="X146" s="2865"/>
      <c r="Y146" s="1538"/>
      <c r="Z146" s="1154"/>
    </row>
    <row r="147" spans="1:26" s="1987" customFormat="1" ht="19.5" hidden="1" customHeight="1">
      <c r="A147" s="2535"/>
      <c r="B147" s="775" t="s">
        <v>378</v>
      </c>
      <c r="C147" s="3127"/>
      <c r="D147" s="3131">
        <f>+D178</f>
        <v>10000000</v>
      </c>
      <c r="E147" s="3131">
        <f t="shared" ref="E147:W147" si="96">+E178</f>
        <v>0</v>
      </c>
      <c r="F147" s="3131">
        <f t="shared" si="96"/>
        <v>0</v>
      </c>
      <c r="G147" s="3131">
        <f t="shared" si="96"/>
        <v>0</v>
      </c>
      <c r="H147" s="3131">
        <f t="shared" si="96"/>
        <v>0</v>
      </c>
      <c r="I147" s="3131">
        <f t="shared" si="96"/>
        <v>0</v>
      </c>
      <c r="J147" s="3131">
        <f t="shared" si="96"/>
        <v>0</v>
      </c>
      <c r="K147" s="3131">
        <f t="shared" si="96"/>
        <v>0</v>
      </c>
      <c r="L147" s="3131">
        <f t="shared" si="96"/>
        <v>0</v>
      </c>
      <c r="M147" s="3131">
        <f t="shared" si="96"/>
        <v>0</v>
      </c>
      <c r="N147" s="3131">
        <f t="shared" si="96"/>
        <v>0</v>
      </c>
      <c r="O147" s="3131">
        <f t="shared" si="96"/>
        <v>0</v>
      </c>
      <c r="P147" s="3131">
        <f t="shared" si="96"/>
        <v>0</v>
      </c>
      <c r="Q147" s="3131">
        <f t="shared" si="96"/>
        <v>0</v>
      </c>
      <c r="R147" s="3131">
        <f t="shared" si="96"/>
        <v>7143000</v>
      </c>
      <c r="S147" s="3131">
        <f t="shared" si="96"/>
        <v>2857000</v>
      </c>
      <c r="T147" s="3131">
        <f t="shared" si="96"/>
        <v>0</v>
      </c>
      <c r="U147" s="3131">
        <f t="shared" si="96"/>
        <v>0</v>
      </c>
      <c r="V147" s="3131">
        <f t="shared" si="96"/>
        <v>0</v>
      </c>
      <c r="W147" s="3131">
        <f t="shared" si="96"/>
        <v>0</v>
      </c>
      <c r="X147" s="2865"/>
      <c r="Y147" s="1538"/>
      <c r="Z147" s="1154"/>
    </row>
    <row r="148" spans="1:26" s="1987" customFormat="1" ht="21" hidden="1" customHeight="1" thickBot="1">
      <c r="A148" s="2535"/>
      <c r="B148" s="3136" t="s">
        <v>379</v>
      </c>
      <c r="C148" s="3137"/>
      <c r="D148" s="3138">
        <f>+D205</f>
        <v>41864000</v>
      </c>
      <c r="E148" s="3138">
        <f t="shared" ref="E148:W148" si="97">+E205</f>
        <v>0</v>
      </c>
      <c r="F148" s="3138">
        <f t="shared" si="97"/>
        <v>0</v>
      </c>
      <c r="G148" s="3138">
        <f t="shared" si="97"/>
        <v>0</v>
      </c>
      <c r="H148" s="3138">
        <f t="shared" si="97"/>
        <v>0</v>
      </c>
      <c r="I148" s="3138">
        <f t="shared" si="97"/>
        <v>0</v>
      </c>
      <c r="J148" s="3138">
        <f t="shared" si="97"/>
        <v>0</v>
      </c>
      <c r="K148" s="3138">
        <f t="shared" si="97"/>
        <v>0</v>
      </c>
      <c r="L148" s="3138">
        <f t="shared" si="97"/>
        <v>0</v>
      </c>
      <c r="M148" s="3138">
        <f t="shared" si="97"/>
        <v>0</v>
      </c>
      <c r="N148" s="3138">
        <f t="shared" si="97"/>
        <v>0</v>
      </c>
      <c r="O148" s="3138">
        <f t="shared" si="97"/>
        <v>0</v>
      </c>
      <c r="P148" s="3138">
        <f t="shared" si="97"/>
        <v>0</v>
      </c>
      <c r="Q148" s="3138">
        <f t="shared" si="97"/>
        <v>0</v>
      </c>
      <c r="R148" s="3138">
        <f t="shared" si="97"/>
        <v>2328000</v>
      </c>
      <c r="S148" s="3138">
        <f t="shared" si="97"/>
        <v>27936000</v>
      </c>
      <c r="T148" s="3138">
        <f t="shared" si="97"/>
        <v>11600000</v>
      </c>
      <c r="U148" s="3138">
        <f t="shared" si="97"/>
        <v>0</v>
      </c>
      <c r="V148" s="3138">
        <f t="shared" si="97"/>
        <v>0</v>
      </c>
      <c r="W148" s="3138">
        <f t="shared" si="97"/>
        <v>0</v>
      </c>
      <c r="X148" s="2866"/>
      <c r="Y148" s="1538"/>
      <c r="Z148" s="1154"/>
    </row>
    <row r="149" spans="1:26" s="1987" customFormat="1" ht="18.75" hidden="1" customHeight="1">
      <c r="A149" s="2868" t="s">
        <v>408</v>
      </c>
      <c r="B149" s="1288" t="s">
        <v>382</v>
      </c>
      <c r="C149" s="1533" t="s">
        <v>128</v>
      </c>
      <c r="D149" s="1323"/>
      <c r="E149" s="1317"/>
      <c r="F149" s="1318"/>
      <c r="G149" s="1318"/>
      <c r="H149" s="1319"/>
      <c r="I149" s="1320"/>
      <c r="J149" s="1321"/>
      <c r="K149" s="1320"/>
      <c r="L149" s="1320"/>
      <c r="M149" s="1316"/>
      <c r="N149" s="1316"/>
      <c r="O149" s="1316"/>
      <c r="P149" s="1317"/>
      <c r="Q149" s="1317"/>
      <c r="R149" s="1317"/>
      <c r="S149" s="1317"/>
      <c r="T149" s="1317"/>
      <c r="U149" s="1317"/>
      <c r="V149" s="1317"/>
      <c r="W149" s="1322"/>
      <c r="X149" s="1534"/>
      <c r="Y149" s="1538"/>
      <c r="Z149" s="1154"/>
    </row>
    <row r="150" spans="1:26" s="1987" customFormat="1" ht="13.5" hidden="1" customHeight="1">
      <c r="A150" s="2868"/>
      <c r="B150" s="501" t="s">
        <v>22</v>
      </c>
      <c r="C150" s="1540"/>
      <c r="D150" s="1315">
        <f t="shared" ref="D150:D156" si="98">SUM(M150:W150)</f>
        <v>0</v>
      </c>
      <c r="E150" s="1260"/>
      <c r="F150" s="1260"/>
      <c r="G150" s="1260"/>
      <c r="H150" s="1260"/>
      <c r="I150" s="1260"/>
      <c r="J150" s="1260"/>
      <c r="K150" s="1260"/>
      <c r="L150" s="1260"/>
      <c r="M150" s="1260">
        <f>+M151+M154</f>
        <v>0</v>
      </c>
      <c r="N150" s="1260">
        <f t="shared" ref="N150:W150" si="99">+N151+N154</f>
        <v>0</v>
      </c>
      <c r="O150" s="1260">
        <f t="shared" si="99"/>
        <v>0</v>
      </c>
      <c r="P150" s="1260">
        <f t="shared" si="99"/>
        <v>0</v>
      </c>
      <c r="Q150" s="1260">
        <f t="shared" si="99"/>
        <v>0</v>
      </c>
      <c r="R150" s="1260">
        <f t="shared" si="99"/>
        <v>0</v>
      </c>
      <c r="S150" s="1260">
        <f t="shared" si="99"/>
        <v>0</v>
      </c>
      <c r="T150" s="1260">
        <f t="shared" si="99"/>
        <v>0</v>
      </c>
      <c r="U150" s="1260">
        <f t="shared" si="99"/>
        <v>0</v>
      </c>
      <c r="V150" s="1260">
        <f t="shared" si="99"/>
        <v>0</v>
      </c>
      <c r="W150" s="1260">
        <f t="shared" si="99"/>
        <v>0</v>
      </c>
      <c r="X150" s="1272">
        <f>SUM(M150:W150)</f>
        <v>0</v>
      </c>
      <c r="Y150" s="1538"/>
      <c r="Z150" s="1154"/>
    </row>
    <row r="151" spans="1:26" s="1987" customFormat="1" ht="13.5" hidden="1" customHeight="1">
      <c r="A151" s="2868"/>
      <c r="B151" s="674" t="s">
        <v>36</v>
      </c>
      <c r="C151" s="2833" t="s">
        <v>389</v>
      </c>
      <c r="D151" s="1264">
        <f t="shared" si="98"/>
        <v>0</v>
      </c>
      <c r="E151" s="1536"/>
      <c r="F151" s="1541"/>
      <c r="G151" s="1541"/>
      <c r="H151" s="1541"/>
      <c r="I151" s="1542"/>
      <c r="J151" s="1542"/>
      <c r="K151" s="1542"/>
      <c r="L151" s="1542"/>
      <c r="M151" s="1201">
        <f>+M152+M153</f>
        <v>0</v>
      </c>
      <c r="N151" s="1201">
        <f t="shared" ref="N151:W151" si="100">+N152+N153</f>
        <v>0</v>
      </c>
      <c r="O151" s="1201">
        <f t="shared" si="100"/>
        <v>0</v>
      </c>
      <c r="P151" s="1201">
        <f t="shared" si="100"/>
        <v>0</v>
      </c>
      <c r="Q151" s="1201">
        <f t="shared" si="100"/>
        <v>0</v>
      </c>
      <c r="R151" s="1201">
        <f t="shared" si="100"/>
        <v>0</v>
      </c>
      <c r="S151" s="1201">
        <f t="shared" si="100"/>
        <v>0</v>
      </c>
      <c r="T151" s="1201">
        <f t="shared" si="100"/>
        <v>0</v>
      </c>
      <c r="U151" s="1201">
        <f t="shared" si="100"/>
        <v>0</v>
      </c>
      <c r="V151" s="1201">
        <f t="shared" si="100"/>
        <v>0</v>
      </c>
      <c r="W151" s="1201">
        <f t="shared" si="100"/>
        <v>0</v>
      </c>
      <c r="X151" s="1272">
        <f t="shared" ref="X151:X156" si="101">SUM(M151:W151)</f>
        <v>0</v>
      </c>
      <c r="Y151" s="1538"/>
      <c r="Z151" s="1154"/>
    </row>
    <row r="152" spans="1:26" s="1987" customFormat="1" ht="13.5" hidden="1" customHeight="1">
      <c r="A152" s="2868"/>
      <c r="B152" s="1332" t="s">
        <v>24</v>
      </c>
      <c r="C152" s="2834"/>
      <c r="D152" s="1223">
        <f t="shared" si="98"/>
        <v>0</v>
      </c>
      <c r="E152" s="1225"/>
      <c r="F152" s="1224"/>
      <c r="G152" s="1224"/>
      <c r="H152" s="1224"/>
      <c r="I152" s="1516"/>
      <c r="J152" s="1516"/>
      <c r="K152" s="1516"/>
      <c r="L152" s="1516"/>
      <c r="M152" s="1198"/>
      <c r="N152" s="1225"/>
      <c r="O152" s="1223"/>
      <c r="P152" s="1223">
        <f>225270-225270</f>
        <v>0</v>
      </c>
      <c r="Q152" s="1223">
        <f>1524390-1524390</f>
        <v>0</v>
      </c>
      <c r="R152" s="1223">
        <f>1840690-1840690</f>
        <v>0</v>
      </c>
      <c r="S152" s="1223"/>
      <c r="T152" s="1223"/>
      <c r="U152" s="1543"/>
      <c r="V152" s="1543"/>
      <c r="W152" s="1543"/>
      <c r="X152" s="1544">
        <f t="shared" si="101"/>
        <v>0</v>
      </c>
      <c r="Y152" s="1538"/>
      <c r="Z152" s="1154"/>
    </row>
    <row r="153" spans="1:26" s="1987" customFormat="1" ht="13.5" hidden="1" customHeight="1">
      <c r="A153" s="2868"/>
      <c r="B153" s="1332" t="s">
        <v>78</v>
      </c>
      <c r="C153" s="2834"/>
      <c r="D153" s="1535">
        <f t="shared" si="98"/>
        <v>0</v>
      </c>
      <c r="E153" s="1545"/>
      <c r="F153" s="1546"/>
      <c r="G153" s="1546"/>
      <c r="H153" s="1546"/>
      <c r="I153" s="1547"/>
      <c r="J153" s="1547"/>
      <c r="K153" s="1547"/>
      <c r="L153" s="1547"/>
      <c r="M153" s="1548"/>
      <c r="N153" s="1545"/>
      <c r="O153" s="1535"/>
      <c r="P153" s="1535"/>
      <c r="Q153" s="1535"/>
      <c r="R153" s="1535"/>
      <c r="S153" s="1535"/>
      <c r="T153" s="1535"/>
      <c r="U153" s="1549"/>
      <c r="V153" s="1549"/>
      <c r="W153" s="1549"/>
      <c r="X153" s="1550">
        <f t="shared" si="101"/>
        <v>0</v>
      </c>
      <c r="Y153" s="1538"/>
      <c r="Z153" s="1154"/>
    </row>
    <row r="154" spans="1:26" s="1987" customFormat="1" ht="13.5" hidden="1" customHeight="1">
      <c r="A154" s="2868"/>
      <c r="B154" s="502" t="s">
        <v>30</v>
      </c>
      <c r="C154" s="2834"/>
      <c r="D154" s="1264">
        <f t="shared" si="98"/>
        <v>0</v>
      </c>
      <c r="E154" s="1536"/>
      <c r="F154" s="1541"/>
      <c r="G154" s="1541"/>
      <c r="H154" s="1541"/>
      <c r="I154" s="1542"/>
      <c r="J154" s="1542"/>
      <c r="K154" s="1542"/>
      <c r="L154" s="1542"/>
      <c r="M154" s="1201">
        <f>+M155</f>
        <v>0</v>
      </c>
      <c r="N154" s="1201">
        <f t="shared" ref="N154:W154" si="102">+N155</f>
        <v>0</v>
      </c>
      <c r="O154" s="1201">
        <f t="shared" si="102"/>
        <v>0</v>
      </c>
      <c r="P154" s="1201">
        <f t="shared" si="102"/>
        <v>0</v>
      </c>
      <c r="Q154" s="1201">
        <f t="shared" si="102"/>
        <v>0</v>
      </c>
      <c r="R154" s="1201">
        <f t="shared" si="102"/>
        <v>0</v>
      </c>
      <c r="S154" s="1201">
        <f t="shared" si="102"/>
        <v>0</v>
      </c>
      <c r="T154" s="1201">
        <f t="shared" si="102"/>
        <v>0</v>
      </c>
      <c r="U154" s="1201">
        <f t="shared" si="102"/>
        <v>0</v>
      </c>
      <c r="V154" s="1201">
        <f t="shared" si="102"/>
        <v>0</v>
      </c>
      <c r="W154" s="1201">
        <f t="shared" si="102"/>
        <v>0</v>
      </c>
      <c r="X154" s="1551">
        <f t="shared" si="101"/>
        <v>0</v>
      </c>
      <c r="Y154" s="1538"/>
      <c r="Z154" s="1154"/>
    </row>
    <row r="155" spans="1:26" s="1987" customFormat="1" ht="13.5" hidden="1" customHeight="1">
      <c r="A155" s="2868"/>
      <c r="B155" s="487" t="s">
        <v>33</v>
      </c>
      <c r="C155" s="2834"/>
      <c r="D155" s="1223">
        <f t="shared" si="98"/>
        <v>0</v>
      </c>
      <c r="E155" s="1225"/>
      <c r="F155" s="1224"/>
      <c r="G155" s="1224"/>
      <c r="H155" s="1224"/>
      <c r="I155" s="1516"/>
      <c r="J155" s="1516"/>
      <c r="K155" s="1516"/>
      <c r="L155" s="1516"/>
      <c r="M155" s="1198">
        <f>+M156</f>
        <v>0</v>
      </c>
      <c r="N155" s="1198">
        <f t="shared" ref="N155:W155" si="103">+N156</f>
        <v>0</v>
      </c>
      <c r="O155" s="1198">
        <f t="shared" si="103"/>
        <v>0</v>
      </c>
      <c r="P155" s="1198">
        <f t="shared" si="103"/>
        <v>0</v>
      </c>
      <c r="Q155" s="1198">
        <f t="shared" si="103"/>
        <v>0</v>
      </c>
      <c r="R155" s="1198">
        <f t="shared" si="103"/>
        <v>0</v>
      </c>
      <c r="S155" s="1198">
        <f t="shared" si="103"/>
        <v>0</v>
      </c>
      <c r="T155" s="1198">
        <f t="shared" si="103"/>
        <v>0</v>
      </c>
      <c r="U155" s="1198">
        <f t="shared" si="103"/>
        <v>0</v>
      </c>
      <c r="V155" s="1198">
        <f t="shared" si="103"/>
        <v>0</v>
      </c>
      <c r="W155" s="1198">
        <f t="shared" si="103"/>
        <v>0</v>
      </c>
      <c r="X155" s="1544">
        <f t="shared" si="101"/>
        <v>0</v>
      </c>
      <c r="Y155" s="1538"/>
      <c r="Z155" s="1154"/>
    </row>
    <row r="156" spans="1:26" s="1987" customFormat="1" ht="24.75" hidden="1" customHeight="1">
      <c r="A156" s="2868"/>
      <c r="B156" s="775" t="s">
        <v>383</v>
      </c>
      <c r="C156" s="2835"/>
      <c r="D156" s="1535">
        <f t="shared" si="98"/>
        <v>0</v>
      </c>
      <c r="E156" s="1545"/>
      <c r="F156" s="1546"/>
      <c r="G156" s="1546"/>
      <c r="H156" s="1546"/>
      <c r="I156" s="1547"/>
      <c r="J156" s="1547"/>
      <c r="K156" s="1547"/>
      <c r="L156" s="1547"/>
      <c r="M156" s="1548"/>
      <c r="N156" s="1545"/>
      <c r="O156" s="1535"/>
      <c r="P156" s="1535">
        <f>479800-479800</f>
        <v>0</v>
      </c>
      <c r="Q156" s="1535">
        <f>624800-624800</f>
        <v>0</v>
      </c>
      <c r="R156" s="1535">
        <f>312400-312400</f>
        <v>0</v>
      </c>
      <c r="S156" s="1535"/>
      <c r="T156" s="1535"/>
      <c r="U156" s="1549"/>
      <c r="V156" s="1549"/>
      <c r="W156" s="1535"/>
      <c r="X156" s="1550">
        <f t="shared" si="101"/>
        <v>0</v>
      </c>
      <c r="Y156" s="1538"/>
      <c r="Z156" s="1154"/>
    </row>
    <row r="157" spans="1:26" s="1987" customFormat="1" ht="13.5" hidden="1" customHeight="1">
      <c r="A157" s="2868"/>
      <c r="B157" s="358" t="s">
        <v>380</v>
      </c>
      <c r="C157" s="677"/>
      <c r="D157" s="1360">
        <f t="shared" ref="D157:D162" si="104">SUM(M157:W157)</f>
        <v>0</v>
      </c>
      <c r="E157" s="1360"/>
      <c r="F157" s="1413"/>
      <c r="G157" s="1413"/>
      <c r="H157" s="1413"/>
      <c r="I157" s="1414"/>
      <c r="J157" s="1414"/>
      <c r="K157" s="1414"/>
      <c r="L157" s="1414"/>
      <c r="M157" s="1360">
        <f>+M158+M160</f>
        <v>0</v>
      </c>
      <c r="N157" s="1360">
        <f t="shared" ref="N157:W157" si="105">+N158+N160</f>
        <v>0</v>
      </c>
      <c r="O157" s="1360">
        <f t="shared" si="105"/>
        <v>0</v>
      </c>
      <c r="P157" s="1360">
        <f t="shared" si="105"/>
        <v>0</v>
      </c>
      <c r="Q157" s="1360">
        <f t="shared" si="105"/>
        <v>0</v>
      </c>
      <c r="R157" s="1360">
        <f t="shared" si="105"/>
        <v>0</v>
      </c>
      <c r="S157" s="1360">
        <f t="shared" si="105"/>
        <v>0</v>
      </c>
      <c r="T157" s="1360">
        <f t="shared" si="105"/>
        <v>0</v>
      </c>
      <c r="U157" s="1360">
        <f t="shared" si="105"/>
        <v>0</v>
      </c>
      <c r="V157" s="1360">
        <f t="shared" si="105"/>
        <v>0</v>
      </c>
      <c r="W157" s="1360">
        <f t="shared" si="105"/>
        <v>0</v>
      </c>
      <c r="X157" s="2846" t="s">
        <v>77</v>
      </c>
      <c r="Y157" s="1538"/>
      <c r="Z157" s="1154"/>
    </row>
    <row r="158" spans="1:26" s="1987" customFormat="1" ht="13.5" hidden="1" customHeight="1">
      <c r="A158" s="2868"/>
      <c r="B158" s="674" t="s">
        <v>36</v>
      </c>
      <c r="C158" s="2833" t="s">
        <v>389</v>
      </c>
      <c r="D158" s="1405">
        <f t="shared" si="104"/>
        <v>0</v>
      </c>
      <c r="E158" s="1406"/>
      <c r="F158" s="1407"/>
      <c r="G158" s="1407"/>
      <c r="H158" s="1407"/>
      <c r="I158" s="1408"/>
      <c r="J158" s="1408"/>
      <c r="K158" s="1408"/>
      <c r="L158" s="1408"/>
      <c r="M158" s="1357">
        <f>+M159</f>
        <v>0</v>
      </c>
      <c r="N158" s="1357">
        <f t="shared" ref="N158:W158" si="106">+N159</f>
        <v>0</v>
      </c>
      <c r="O158" s="1357">
        <f t="shared" si="106"/>
        <v>0</v>
      </c>
      <c r="P158" s="1357">
        <f t="shared" si="106"/>
        <v>0</v>
      </c>
      <c r="Q158" s="1357">
        <f t="shared" si="106"/>
        <v>0</v>
      </c>
      <c r="R158" s="1357">
        <f t="shared" si="106"/>
        <v>0</v>
      </c>
      <c r="S158" s="1357">
        <f t="shared" si="106"/>
        <v>0</v>
      </c>
      <c r="T158" s="1357">
        <f t="shared" si="106"/>
        <v>0</v>
      </c>
      <c r="U158" s="1357">
        <f t="shared" si="106"/>
        <v>0</v>
      </c>
      <c r="V158" s="1357">
        <f t="shared" si="106"/>
        <v>0</v>
      </c>
      <c r="W158" s="1357">
        <f t="shared" si="106"/>
        <v>0</v>
      </c>
      <c r="X158" s="2830"/>
      <c r="Y158" s="1538"/>
      <c r="Z158" s="1154"/>
    </row>
    <row r="159" spans="1:26" s="1987" customFormat="1" ht="13.5" hidden="1" customHeight="1">
      <c r="A159" s="2868"/>
      <c r="B159" s="1332" t="s">
        <v>78</v>
      </c>
      <c r="C159" s="2835"/>
      <c r="D159" s="1358">
        <f t="shared" si="104"/>
        <v>0</v>
      </c>
      <c r="E159" s="1409"/>
      <c r="F159" s="1410"/>
      <c r="G159" s="1410"/>
      <c r="H159" s="1410"/>
      <c r="I159" s="1411"/>
      <c r="J159" s="1411"/>
      <c r="K159" s="1411"/>
      <c r="L159" s="1411"/>
      <c r="M159" s="1356"/>
      <c r="N159" s="1409"/>
      <c r="O159" s="1412"/>
      <c r="P159" s="1412"/>
      <c r="Q159" s="1412"/>
      <c r="R159" s="1412"/>
      <c r="S159" s="1412"/>
      <c r="T159" s="1412"/>
      <c r="U159" s="1412"/>
      <c r="V159" s="1412"/>
      <c r="W159" s="1412"/>
      <c r="X159" s="2830"/>
      <c r="Y159" s="1538"/>
      <c r="Z159" s="1154"/>
    </row>
    <row r="160" spans="1:26" s="1987" customFormat="1" ht="12" hidden="1" customHeight="1">
      <c r="A160" s="2868"/>
      <c r="B160" s="502" t="s">
        <v>30</v>
      </c>
      <c r="C160" s="2836" t="s">
        <v>329</v>
      </c>
      <c r="D160" s="1552">
        <f t="shared" si="104"/>
        <v>0</v>
      </c>
      <c r="E160" s="1553"/>
      <c r="F160" s="1554"/>
      <c r="G160" s="1554"/>
      <c r="H160" s="1554"/>
      <c r="I160" s="1555"/>
      <c r="J160" s="1555"/>
      <c r="K160" s="1555"/>
      <c r="L160" s="1555"/>
      <c r="M160" s="1556">
        <f>+M161</f>
        <v>0</v>
      </c>
      <c r="N160" s="1556">
        <f t="shared" ref="N160:W160" si="107">+N161</f>
        <v>0</v>
      </c>
      <c r="O160" s="1556">
        <f t="shared" si="107"/>
        <v>0</v>
      </c>
      <c r="P160" s="1556">
        <f t="shared" si="107"/>
        <v>0</v>
      </c>
      <c r="Q160" s="1556">
        <f t="shared" si="107"/>
        <v>0</v>
      </c>
      <c r="R160" s="1556">
        <f t="shared" si="107"/>
        <v>0</v>
      </c>
      <c r="S160" s="1556">
        <f t="shared" si="107"/>
        <v>0</v>
      </c>
      <c r="T160" s="1556">
        <f t="shared" si="107"/>
        <v>0</v>
      </c>
      <c r="U160" s="1556">
        <f t="shared" si="107"/>
        <v>0</v>
      </c>
      <c r="V160" s="1556">
        <f t="shared" si="107"/>
        <v>0</v>
      </c>
      <c r="W160" s="1556">
        <f t="shared" si="107"/>
        <v>0</v>
      </c>
      <c r="X160" s="2830"/>
      <c r="Y160" s="1538"/>
      <c r="Z160" s="1154"/>
    </row>
    <row r="161" spans="1:26" s="1987" customFormat="1" ht="15" hidden="1" customHeight="1">
      <c r="A161" s="2868"/>
      <c r="B161" s="487" t="s">
        <v>33</v>
      </c>
      <c r="C161" s="2837"/>
      <c r="D161" s="1358">
        <f>SUM(M161:W161)</f>
        <v>0</v>
      </c>
      <c r="E161" s="1409"/>
      <c r="F161" s="1410"/>
      <c r="G161" s="1410"/>
      <c r="H161" s="1410"/>
      <c r="I161" s="1411"/>
      <c r="J161" s="1411"/>
      <c r="K161" s="1411"/>
      <c r="L161" s="1411"/>
      <c r="M161" s="1356">
        <f>+M162</f>
        <v>0</v>
      </c>
      <c r="N161" s="1356">
        <f t="shared" ref="N161:W161" si="108">+N162</f>
        <v>0</v>
      </c>
      <c r="O161" s="1356">
        <f t="shared" si="108"/>
        <v>0</v>
      </c>
      <c r="P161" s="1356">
        <f t="shared" si="108"/>
        <v>0</v>
      </c>
      <c r="Q161" s="1356">
        <f t="shared" si="108"/>
        <v>0</v>
      </c>
      <c r="R161" s="1356">
        <f t="shared" si="108"/>
        <v>0</v>
      </c>
      <c r="S161" s="1356">
        <f t="shared" si="108"/>
        <v>0</v>
      </c>
      <c r="T161" s="1356">
        <f t="shared" si="108"/>
        <v>0</v>
      </c>
      <c r="U161" s="1356">
        <f t="shared" si="108"/>
        <v>0</v>
      </c>
      <c r="V161" s="1356">
        <f t="shared" si="108"/>
        <v>0</v>
      </c>
      <c r="W161" s="1356">
        <f t="shared" si="108"/>
        <v>0</v>
      </c>
      <c r="X161" s="2830"/>
      <c r="Y161" s="1538"/>
      <c r="Z161" s="1154"/>
    </row>
    <row r="162" spans="1:26" s="1987" customFormat="1" ht="24" hidden="1" customHeight="1">
      <c r="A162" s="2537"/>
      <c r="B162" s="1557" t="s">
        <v>377</v>
      </c>
      <c r="C162" s="2837"/>
      <c r="D162" s="1558">
        <f t="shared" si="104"/>
        <v>0</v>
      </c>
      <c r="E162" s="1559"/>
      <c r="F162" s="1560"/>
      <c r="G162" s="1560"/>
      <c r="H162" s="1560"/>
      <c r="I162" s="1561"/>
      <c r="J162" s="1561"/>
      <c r="K162" s="1561"/>
      <c r="L162" s="1561"/>
      <c r="M162" s="1562"/>
      <c r="N162" s="1559"/>
      <c r="O162" s="1558"/>
      <c r="P162" s="1558">
        <f>479800-479800</f>
        <v>0</v>
      </c>
      <c r="Q162" s="1558">
        <f>624800-624800</f>
        <v>0</v>
      </c>
      <c r="R162" s="1558">
        <f>312400-312400</f>
        <v>0</v>
      </c>
      <c r="S162" s="1558"/>
      <c r="T162" s="1558"/>
      <c r="U162" s="1558"/>
      <c r="V162" s="1558"/>
      <c r="W162" s="1558"/>
      <c r="X162" s="2830"/>
      <c r="Y162" s="1538"/>
      <c r="Z162" s="1154"/>
    </row>
    <row r="163" spans="1:26" s="1987" customFormat="1" ht="15.75" hidden="1" customHeight="1">
      <c r="A163" s="2880" t="s">
        <v>408</v>
      </c>
      <c r="B163" s="1766" t="s">
        <v>382</v>
      </c>
      <c r="C163" s="1767" t="s">
        <v>97</v>
      </c>
      <c r="D163" s="1563"/>
      <c r="E163" s="1564"/>
      <c r="F163" s="1565"/>
      <c r="G163" s="1565"/>
      <c r="H163" s="1566"/>
      <c r="I163" s="1567"/>
      <c r="J163" s="1568"/>
      <c r="K163" s="1567"/>
      <c r="L163" s="1567"/>
      <c r="M163" s="1569"/>
      <c r="N163" s="1569"/>
      <c r="O163" s="1569"/>
      <c r="P163" s="1564"/>
      <c r="Q163" s="1564"/>
      <c r="R163" s="1564"/>
      <c r="S163" s="1564"/>
      <c r="T163" s="1564"/>
      <c r="U163" s="1564"/>
      <c r="V163" s="1564"/>
      <c r="W163" s="1570"/>
      <c r="X163" s="1571"/>
      <c r="Y163" s="1538"/>
      <c r="Z163" s="1154"/>
    </row>
    <row r="164" spans="1:26" s="1987" customFormat="1" ht="13.5" hidden="1" customHeight="1">
      <c r="A164" s="2868"/>
      <c r="B164" s="501" t="s">
        <v>22</v>
      </c>
      <c r="C164" s="1572"/>
      <c r="D164" s="1315">
        <f t="shared" ref="D164:D171" si="109">SUM(M164:W164)</f>
        <v>32635230</v>
      </c>
      <c r="E164" s="1260"/>
      <c r="F164" s="1260"/>
      <c r="G164" s="1260"/>
      <c r="H164" s="1260"/>
      <c r="I164" s="1260"/>
      <c r="J164" s="1260"/>
      <c r="K164" s="1260"/>
      <c r="L164" s="1260"/>
      <c r="M164" s="1260">
        <f>+M165+M168</f>
        <v>0</v>
      </c>
      <c r="N164" s="1260">
        <f t="shared" ref="N164:W164" si="110">+N165+N168</f>
        <v>0</v>
      </c>
      <c r="O164" s="1260">
        <f t="shared" si="110"/>
        <v>0</v>
      </c>
      <c r="P164" s="1260">
        <f t="shared" si="110"/>
        <v>380000</v>
      </c>
      <c r="Q164" s="1260">
        <f t="shared" si="110"/>
        <v>3559463</v>
      </c>
      <c r="R164" s="1260">
        <f t="shared" si="110"/>
        <v>21749853</v>
      </c>
      <c r="S164" s="1260">
        <f t="shared" si="110"/>
        <v>6945914</v>
      </c>
      <c r="T164" s="1260">
        <f t="shared" si="110"/>
        <v>0</v>
      </c>
      <c r="U164" s="1260">
        <f t="shared" si="110"/>
        <v>0</v>
      </c>
      <c r="V164" s="1260">
        <f t="shared" si="110"/>
        <v>0</v>
      </c>
      <c r="W164" s="1260">
        <f t="shared" si="110"/>
        <v>0</v>
      </c>
      <c r="X164" s="1272">
        <f>+X165+X168</f>
        <v>32635230</v>
      </c>
      <c r="Y164" s="1538"/>
      <c r="Z164" s="1154"/>
    </row>
    <row r="165" spans="1:26" s="1987" customFormat="1" ht="14.25" hidden="1" customHeight="1">
      <c r="A165" s="2868"/>
      <c r="B165" s="674" t="s">
        <v>36</v>
      </c>
      <c r="C165" s="2833" t="s">
        <v>389</v>
      </c>
      <c r="D165" s="1405">
        <f t="shared" si="109"/>
        <v>5311030</v>
      </c>
      <c r="E165" s="1406"/>
      <c r="F165" s="1407"/>
      <c r="G165" s="1407"/>
      <c r="H165" s="1407"/>
      <c r="I165" s="1408"/>
      <c r="J165" s="1408"/>
      <c r="K165" s="1408"/>
      <c r="L165" s="1408"/>
      <c r="M165" s="1357">
        <f>+M166+M167</f>
        <v>0</v>
      </c>
      <c r="N165" s="1357">
        <f t="shared" ref="N165:W165" si="111">+N166+N167</f>
        <v>0</v>
      </c>
      <c r="O165" s="1357">
        <f t="shared" si="111"/>
        <v>0</v>
      </c>
      <c r="P165" s="1357">
        <f t="shared" si="111"/>
        <v>0</v>
      </c>
      <c r="Q165" s="1357">
        <f t="shared" si="111"/>
        <v>200000</v>
      </c>
      <c r="R165" s="1357">
        <f t="shared" si="111"/>
        <v>4606853</v>
      </c>
      <c r="S165" s="1357">
        <f t="shared" si="111"/>
        <v>504177</v>
      </c>
      <c r="T165" s="1357">
        <f t="shared" si="111"/>
        <v>0</v>
      </c>
      <c r="U165" s="1357">
        <f t="shared" si="111"/>
        <v>0</v>
      </c>
      <c r="V165" s="1357">
        <f t="shared" si="111"/>
        <v>0</v>
      </c>
      <c r="W165" s="1357">
        <f t="shared" si="111"/>
        <v>0</v>
      </c>
      <c r="X165" s="1573">
        <f t="shared" ref="X165:X171" si="112">SUM(M165:W165)</f>
        <v>5311030</v>
      </c>
      <c r="Y165" s="1538"/>
      <c r="Z165" s="1154"/>
    </row>
    <row r="166" spans="1:26" s="1987" customFormat="1" ht="15" hidden="1" customHeight="1">
      <c r="A166" s="2868"/>
      <c r="B166" s="1332" t="s">
        <v>24</v>
      </c>
      <c r="C166" s="2834"/>
      <c r="D166" s="1358">
        <f t="shared" si="109"/>
        <v>5311030</v>
      </c>
      <c r="E166" s="1409"/>
      <c r="F166" s="1410"/>
      <c r="G166" s="1410"/>
      <c r="H166" s="1410"/>
      <c r="I166" s="1411"/>
      <c r="J166" s="1411"/>
      <c r="K166" s="1411"/>
      <c r="L166" s="1411"/>
      <c r="M166" s="1356"/>
      <c r="N166" s="1409"/>
      <c r="O166" s="1358"/>
      <c r="P166" s="1358">
        <f>1300+98700-100000</f>
        <v>0</v>
      </c>
      <c r="Q166" s="1358">
        <f>2771900+1650960-4222860</f>
        <v>200000</v>
      </c>
      <c r="R166" s="1358">
        <f>1331570+1528290+1746993</f>
        <v>4606853</v>
      </c>
      <c r="S166" s="1358">
        <v>504177</v>
      </c>
      <c r="T166" s="1358"/>
      <c r="U166" s="1358"/>
      <c r="V166" s="1358"/>
      <c r="W166" s="1358"/>
      <c r="X166" s="1574">
        <f t="shared" si="112"/>
        <v>5311030</v>
      </c>
      <c r="Y166" s="1538"/>
      <c r="Z166" s="1154"/>
    </row>
    <row r="167" spans="1:26" s="1987" customFormat="1" ht="17.25" hidden="1" customHeight="1">
      <c r="A167" s="2868"/>
      <c r="B167" s="1332" t="s">
        <v>78</v>
      </c>
      <c r="C167" s="2834"/>
      <c r="D167" s="1412">
        <f t="shared" si="109"/>
        <v>0</v>
      </c>
      <c r="E167" s="1575"/>
      <c r="F167" s="1576"/>
      <c r="G167" s="1576"/>
      <c r="H167" s="1576"/>
      <c r="I167" s="1577"/>
      <c r="J167" s="1577"/>
      <c r="K167" s="1577"/>
      <c r="L167" s="1577"/>
      <c r="M167" s="1578"/>
      <c r="N167" s="1575"/>
      <c r="O167" s="1412"/>
      <c r="P167" s="1412"/>
      <c r="Q167" s="1412"/>
      <c r="R167" s="1412"/>
      <c r="S167" s="1412"/>
      <c r="T167" s="1412"/>
      <c r="U167" s="1412"/>
      <c r="V167" s="1412"/>
      <c r="W167" s="1412"/>
      <c r="X167" s="1579">
        <f t="shared" si="112"/>
        <v>0</v>
      </c>
      <c r="Y167" s="1538"/>
      <c r="Z167" s="1154"/>
    </row>
    <row r="168" spans="1:26" s="922" customFormat="1" ht="15.75" hidden="1" customHeight="1">
      <c r="A168" s="2868"/>
      <c r="B168" s="1768" t="s">
        <v>30</v>
      </c>
      <c r="C168" s="2834"/>
      <c r="D168" s="1405">
        <f t="shared" si="109"/>
        <v>27324200</v>
      </c>
      <c r="E168" s="1406"/>
      <c r="F168" s="1407"/>
      <c r="G168" s="1407"/>
      <c r="H168" s="1407"/>
      <c r="I168" s="1408"/>
      <c r="J168" s="1408"/>
      <c r="K168" s="1408"/>
      <c r="L168" s="1408"/>
      <c r="M168" s="1405">
        <f>+M169</f>
        <v>0</v>
      </c>
      <c r="N168" s="1405">
        <f t="shared" ref="N168:W168" si="113">+N169</f>
        <v>0</v>
      </c>
      <c r="O168" s="1405">
        <f t="shared" si="113"/>
        <v>0</v>
      </c>
      <c r="P168" s="1405">
        <f>+P169</f>
        <v>380000</v>
      </c>
      <c r="Q168" s="1405">
        <f t="shared" si="113"/>
        <v>3359463</v>
      </c>
      <c r="R168" s="1405">
        <f t="shared" si="113"/>
        <v>17143000</v>
      </c>
      <c r="S168" s="1405">
        <f t="shared" si="113"/>
        <v>6441737</v>
      </c>
      <c r="T168" s="1405">
        <f t="shared" si="113"/>
        <v>0</v>
      </c>
      <c r="U168" s="1405">
        <f t="shared" si="113"/>
        <v>0</v>
      </c>
      <c r="V168" s="1405">
        <f t="shared" si="113"/>
        <v>0</v>
      </c>
      <c r="W168" s="1405">
        <f t="shared" si="113"/>
        <v>0</v>
      </c>
      <c r="X168" s="1573">
        <f t="shared" si="112"/>
        <v>27324200</v>
      </c>
      <c r="Y168" s="1538"/>
      <c r="Z168" s="1243"/>
    </row>
    <row r="169" spans="1:26" s="1987" customFormat="1" ht="13.5" hidden="1" customHeight="1">
      <c r="A169" s="2868"/>
      <c r="B169" s="487" t="s">
        <v>33</v>
      </c>
      <c r="C169" s="2834"/>
      <c r="D169" s="1358">
        <f t="shared" si="109"/>
        <v>27324200</v>
      </c>
      <c r="E169" s="1409"/>
      <c r="F169" s="1410"/>
      <c r="G169" s="1410"/>
      <c r="H169" s="1410"/>
      <c r="I169" s="1411"/>
      <c r="J169" s="1411"/>
      <c r="K169" s="1411"/>
      <c r="L169" s="1411"/>
      <c r="M169" s="1356">
        <f>+M170+M171</f>
        <v>0</v>
      </c>
      <c r="N169" s="1356">
        <f t="shared" ref="N169:W169" si="114">+N170+N171</f>
        <v>0</v>
      </c>
      <c r="O169" s="1356">
        <f t="shared" si="114"/>
        <v>0</v>
      </c>
      <c r="P169" s="1356">
        <f t="shared" si="114"/>
        <v>380000</v>
      </c>
      <c r="Q169" s="1356">
        <f t="shared" si="114"/>
        <v>3359463</v>
      </c>
      <c r="R169" s="1356">
        <f t="shared" si="114"/>
        <v>17143000</v>
      </c>
      <c r="S169" s="1356">
        <f t="shared" si="114"/>
        <v>6441737</v>
      </c>
      <c r="T169" s="1356">
        <f t="shared" si="114"/>
        <v>0</v>
      </c>
      <c r="U169" s="1356">
        <f t="shared" si="114"/>
        <v>0</v>
      </c>
      <c r="V169" s="1356">
        <f t="shared" si="114"/>
        <v>0</v>
      </c>
      <c r="W169" s="1356">
        <f t="shared" si="114"/>
        <v>0</v>
      </c>
      <c r="X169" s="1574">
        <f t="shared" si="112"/>
        <v>27324200</v>
      </c>
      <c r="Y169" s="1538"/>
      <c r="Z169" s="1154"/>
    </row>
    <row r="170" spans="1:26" s="1987" customFormat="1" ht="27" hidden="1" customHeight="1">
      <c r="A170" s="2868"/>
      <c r="B170" s="775" t="s">
        <v>377</v>
      </c>
      <c r="C170" s="2834"/>
      <c r="D170" s="1412">
        <f t="shared" si="109"/>
        <v>17324200</v>
      </c>
      <c r="E170" s="1575"/>
      <c r="F170" s="1576"/>
      <c r="G170" s="1576"/>
      <c r="H170" s="1576"/>
      <c r="I170" s="1577"/>
      <c r="J170" s="1577"/>
      <c r="K170" s="1577"/>
      <c r="L170" s="1577"/>
      <c r="M170" s="1578">
        <v>0</v>
      </c>
      <c r="N170" s="1575"/>
      <c r="O170" s="1412">
        <v>0</v>
      </c>
      <c r="P170" s="1412">
        <f>964000+479800-1063800</f>
        <v>380000</v>
      </c>
      <c r="Q170" s="1412">
        <f>6627800+624800-3893137</f>
        <v>3359463</v>
      </c>
      <c r="R170" s="1412">
        <f>8003000+624800+1372200</f>
        <v>10000000</v>
      </c>
      <c r="S170" s="1412">
        <v>3584737</v>
      </c>
      <c r="T170" s="1412">
        <v>0</v>
      </c>
      <c r="U170" s="1412">
        <v>0</v>
      </c>
      <c r="V170" s="1412">
        <v>0</v>
      </c>
      <c r="W170" s="1412">
        <v>0</v>
      </c>
      <c r="X170" s="1579">
        <f t="shared" si="112"/>
        <v>17324200</v>
      </c>
      <c r="Y170" s="1538"/>
      <c r="Z170" s="1154"/>
    </row>
    <row r="171" spans="1:26" s="1987" customFormat="1" ht="21.75" hidden="1" customHeight="1">
      <c r="A171" s="2868"/>
      <c r="B171" s="775" t="s">
        <v>378</v>
      </c>
      <c r="C171" s="2835"/>
      <c r="D171" s="1412">
        <f t="shared" si="109"/>
        <v>10000000</v>
      </c>
      <c r="E171" s="1575"/>
      <c r="F171" s="1576"/>
      <c r="G171" s="1576"/>
      <c r="H171" s="1576"/>
      <c r="I171" s="1577"/>
      <c r="J171" s="1577"/>
      <c r="K171" s="1577"/>
      <c r="L171" s="1577"/>
      <c r="M171" s="1578">
        <v>0</v>
      </c>
      <c r="N171" s="1575"/>
      <c r="O171" s="1412">
        <v>0</v>
      </c>
      <c r="P171" s="1412">
        <v>0</v>
      </c>
      <c r="Q171" s="1412">
        <f>3000000-3000000</f>
        <v>0</v>
      </c>
      <c r="R171" s="1412">
        <f>7000000+143000</f>
        <v>7143000</v>
      </c>
      <c r="S171" s="1412">
        <v>2857000</v>
      </c>
      <c r="T171" s="1412">
        <v>0</v>
      </c>
      <c r="U171" s="1412">
        <v>0</v>
      </c>
      <c r="V171" s="1412">
        <v>0</v>
      </c>
      <c r="W171" s="1412">
        <v>0</v>
      </c>
      <c r="X171" s="1579">
        <f t="shared" si="112"/>
        <v>10000000</v>
      </c>
      <c r="Y171" s="1538"/>
      <c r="Z171" s="1154"/>
    </row>
    <row r="172" spans="1:26" s="1987" customFormat="1" ht="17.25" hidden="1" customHeight="1">
      <c r="A172" s="2868"/>
      <c r="B172" s="501" t="s">
        <v>380</v>
      </c>
      <c r="C172" s="677"/>
      <c r="D172" s="1260">
        <f t="shared" ref="D172:W172" si="115">+D173+D175</f>
        <v>27324200</v>
      </c>
      <c r="E172" s="1260">
        <f t="shared" si="115"/>
        <v>0</v>
      </c>
      <c r="F172" s="1260">
        <f t="shared" si="115"/>
        <v>0</v>
      </c>
      <c r="G172" s="1260">
        <f t="shared" si="115"/>
        <v>0</v>
      </c>
      <c r="H172" s="1260">
        <f t="shared" si="115"/>
        <v>0</v>
      </c>
      <c r="I172" s="1260">
        <f t="shared" si="115"/>
        <v>0</v>
      </c>
      <c r="J172" s="1260">
        <f t="shared" si="115"/>
        <v>0</v>
      </c>
      <c r="K172" s="1260">
        <f t="shared" si="115"/>
        <v>0</v>
      </c>
      <c r="L172" s="1260">
        <f t="shared" si="115"/>
        <v>0</v>
      </c>
      <c r="M172" s="1260">
        <f t="shared" si="115"/>
        <v>0</v>
      </c>
      <c r="N172" s="1260">
        <f t="shared" si="115"/>
        <v>0</v>
      </c>
      <c r="O172" s="1260">
        <f t="shared" si="115"/>
        <v>0</v>
      </c>
      <c r="P172" s="1260">
        <f t="shared" si="115"/>
        <v>380000</v>
      </c>
      <c r="Q172" s="1260">
        <f t="shared" si="115"/>
        <v>3359463</v>
      </c>
      <c r="R172" s="1260">
        <f t="shared" si="115"/>
        <v>17143000</v>
      </c>
      <c r="S172" s="1260">
        <f t="shared" si="115"/>
        <v>6441737</v>
      </c>
      <c r="T172" s="1260">
        <f t="shared" si="115"/>
        <v>0</v>
      </c>
      <c r="U172" s="1260">
        <f t="shared" si="115"/>
        <v>0</v>
      </c>
      <c r="V172" s="1260">
        <f t="shared" si="115"/>
        <v>0</v>
      </c>
      <c r="W172" s="1260">
        <f t="shared" si="115"/>
        <v>0</v>
      </c>
      <c r="X172" s="2846" t="s">
        <v>77</v>
      </c>
      <c r="Y172" s="1538"/>
      <c r="Z172" s="1154"/>
    </row>
    <row r="173" spans="1:26" s="1987" customFormat="1" ht="13.5" hidden="1" customHeight="1">
      <c r="A173" s="2868"/>
      <c r="B173" s="674" t="s">
        <v>36</v>
      </c>
      <c r="C173" s="2833" t="s">
        <v>389</v>
      </c>
      <c r="D173" s="1405">
        <f t="shared" ref="D173:D178" si="116">SUM(M173:W173)</f>
        <v>0</v>
      </c>
      <c r="E173" s="1406"/>
      <c r="F173" s="1407"/>
      <c r="G173" s="1407"/>
      <c r="H173" s="1407"/>
      <c r="I173" s="1408"/>
      <c r="J173" s="1408"/>
      <c r="K173" s="1408"/>
      <c r="L173" s="1408"/>
      <c r="M173" s="1357">
        <f t="shared" ref="M173:W173" si="117">+M174</f>
        <v>0</v>
      </c>
      <c r="N173" s="1357">
        <f t="shared" si="117"/>
        <v>0</v>
      </c>
      <c r="O173" s="1357">
        <f t="shared" si="117"/>
        <v>0</v>
      </c>
      <c r="P173" s="1357">
        <f t="shared" si="117"/>
        <v>0</v>
      </c>
      <c r="Q173" s="1357">
        <f t="shared" si="117"/>
        <v>0</v>
      </c>
      <c r="R173" s="1357">
        <f t="shared" si="117"/>
        <v>0</v>
      </c>
      <c r="S173" s="1357">
        <f t="shared" si="117"/>
        <v>0</v>
      </c>
      <c r="T173" s="1357">
        <f t="shared" si="117"/>
        <v>0</v>
      </c>
      <c r="U173" s="1357">
        <f t="shared" si="117"/>
        <v>0</v>
      </c>
      <c r="V173" s="1357">
        <f t="shared" si="117"/>
        <v>0</v>
      </c>
      <c r="W173" s="1357">
        <f t="shared" si="117"/>
        <v>0</v>
      </c>
      <c r="X173" s="2830"/>
      <c r="Y173" s="1538"/>
      <c r="Z173" s="1154"/>
    </row>
    <row r="174" spans="1:26" s="1987" customFormat="1" ht="15" hidden="1" customHeight="1">
      <c r="A174" s="2868"/>
      <c r="B174" s="1332" t="s">
        <v>78</v>
      </c>
      <c r="C174" s="2835"/>
      <c r="D174" s="1412">
        <f t="shared" si="116"/>
        <v>0</v>
      </c>
      <c r="E174" s="1575"/>
      <c r="F174" s="1576"/>
      <c r="G174" s="1576"/>
      <c r="H174" s="1576"/>
      <c r="I174" s="1577"/>
      <c r="J174" s="1577"/>
      <c r="K174" s="1577"/>
      <c r="L174" s="1577"/>
      <c r="M174" s="1578"/>
      <c r="N174" s="1575"/>
      <c r="O174" s="1412"/>
      <c r="P174" s="1412"/>
      <c r="Q174" s="1412"/>
      <c r="R174" s="1412"/>
      <c r="S174" s="1412"/>
      <c r="T174" s="1412"/>
      <c r="U174" s="1412"/>
      <c r="V174" s="1412"/>
      <c r="W174" s="1412"/>
      <c r="X174" s="2830"/>
      <c r="Y174" s="1538"/>
      <c r="Z174" s="1154"/>
    </row>
    <row r="175" spans="1:26" s="1987" customFormat="1" ht="18.75" hidden="1" customHeight="1">
      <c r="A175" s="2868"/>
      <c r="B175" s="1768" t="s">
        <v>30</v>
      </c>
      <c r="C175" s="2841" t="s">
        <v>396</v>
      </c>
      <c r="D175" s="1405">
        <f t="shared" si="116"/>
        <v>27324200</v>
      </c>
      <c r="E175" s="1406"/>
      <c r="F175" s="1407"/>
      <c r="G175" s="1407"/>
      <c r="H175" s="1407"/>
      <c r="I175" s="1408"/>
      <c r="J175" s="1408"/>
      <c r="K175" s="1408"/>
      <c r="L175" s="1408"/>
      <c r="M175" s="1357">
        <f>+M176</f>
        <v>0</v>
      </c>
      <c r="N175" s="1357">
        <f t="shared" ref="N175:W175" si="118">+N176</f>
        <v>0</v>
      </c>
      <c r="O175" s="1357">
        <f t="shared" si="118"/>
        <v>0</v>
      </c>
      <c r="P175" s="1357">
        <f t="shared" si="118"/>
        <v>380000</v>
      </c>
      <c r="Q175" s="1357">
        <f t="shared" si="118"/>
        <v>3359463</v>
      </c>
      <c r="R175" s="1357">
        <f t="shared" si="118"/>
        <v>17143000</v>
      </c>
      <c r="S175" s="1357">
        <f t="shared" si="118"/>
        <v>6441737</v>
      </c>
      <c r="T175" s="1357">
        <f t="shared" si="118"/>
        <v>0</v>
      </c>
      <c r="U175" s="1357">
        <f t="shared" si="118"/>
        <v>0</v>
      </c>
      <c r="V175" s="1357">
        <f t="shared" si="118"/>
        <v>0</v>
      </c>
      <c r="W175" s="1357">
        <f t="shared" si="118"/>
        <v>0</v>
      </c>
      <c r="X175" s="2830"/>
      <c r="Y175" s="1538"/>
      <c r="Z175" s="1154"/>
    </row>
    <row r="176" spans="1:26" s="1987" customFormat="1" ht="18" hidden="1" customHeight="1">
      <c r="A176" s="2881"/>
      <c r="B176" s="1619" t="s">
        <v>33</v>
      </c>
      <c r="C176" s="2842"/>
      <c r="D176" s="1358">
        <f t="shared" si="116"/>
        <v>27324200</v>
      </c>
      <c r="E176" s="1409"/>
      <c r="F176" s="1410"/>
      <c r="G176" s="1410"/>
      <c r="H176" s="1410"/>
      <c r="I176" s="1411"/>
      <c r="J176" s="1411"/>
      <c r="K176" s="1411"/>
      <c r="L176" s="1411"/>
      <c r="M176" s="1356">
        <f>+M177+M178</f>
        <v>0</v>
      </c>
      <c r="N176" s="1356">
        <f t="shared" ref="N176:W176" si="119">+N177+N178</f>
        <v>0</v>
      </c>
      <c r="O176" s="1356">
        <f t="shared" si="119"/>
        <v>0</v>
      </c>
      <c r="P176" s="1358">
        <f>+P177+P178</f>
        <v>380000</v>
      </c>
      <c r="Q176" s="1358">
        <f t="shared" si="119"/>
        <v>3359463</v>
      </c>
      <c r="R176" s="1358">
        <f t="shared" si="119"/>
        <v>17143000</v>
      </c>
      <c r="S176" s="1358">
        <f t="shared" si="119"/>
        <v>6441737</v>
      </c>
      <c r="T176" s="1358">
        <f t="shared" si="119"/>
        <v>0</v>
      </c>
      <c r="U176" s="1358">
        <f t="shared" si="119"/>
        <v>0</v>
      </c>
      <c r="V176" s="1358">
        <f t="shared" si="119"/>
        <v>0</v>
      </c>
      <c r="W176" s="1358">
        <f t="shared" si="119"/>
        <v>0</v>
      </c>
      <c r="X176" s="2830"/>
      <c r="Y176" s="1538"/>
      <c r="Z176" s="1154"/>
    </row>
    <row r="177" spans="1:26" s="1987" customFormat="1" ht="22.5" hidden="1" customHeight="1">
      <c r="A177" s="1507"/>
      <c r="B177" s="1537" t="s">
        <v>384</v>
      </c>
      <c r="C177" s="2541" t="s">
        <v>329</v>
      </c>
      <c r="D177" s="1412">
        <f t="shared" si="116"/>
        <v>17324200</v>
      </c>
      <c r="E177" s="1575"/>
      <c r="F177" s="1576"/>
      <c r="G177" s="1576"/>
      <c r="H177" s="1576"/>
      <c r="I177" s="1577"/>
      <c r="J177" s="1577"/>
      <c r="K177" s="1577"/>
      <c r="L177" s="1577"/>
      <c r="M177" s="1578"/>
      <c r="N177" s="1575"/>
      <c r="O177" s="1412"/>
      <c r="P177" s="1412">
        <f>964000+479800-1063800</f>
        <v>380000</v>
      </c>
      <c r="Q177" s="1412">
        <f>6627800+624800-3893137</f>
        <v>3359463</v>
      </c>
      <c r="R177" s="1412">
        <f>8003000+624800+1372200</f>
        <v>10000000</v>
      </c>
      <c r="S177" s="1412">
        <v>3584737</v>
      </c>
      <c r="T177" s="1412"/>
      <c r="U177" s="1412"/>
      <c r="V177" s="1412"/>
      <c r="W177" s="1412"/>
      <c r="X177" s="2830"/>
      <c r="Y177" s="1538"/>
      <c r="Z177" s="1154"/>
    </row>
    <row r="178" spans="1:26" s="1987" customFormat="1" ht="24" hidden="1" customHeight="1">
      <c r="A178" s="1507"/>
      <c r="B178" s="775" t="s">
        <v>385</v>
      </c>
      <c r="C178" s="2541" t="s">
        <v>289</v>
      </c>
      <c r="D178" s="1358">
        <f t="shared" si="116"/>
        <v>10000000</v>
      </c>
      <c r="E178" s="1409"/>
      <c r="F178" s="1410"/>
      <c r="G178" s="1410"/>
      <c r="H178" s="1410"/>
      <c r="I178" s="1411"/>
      <c r="J178" s="1411"/>
      <c r="K178" s="1411"/>
      <c r="L178" s="1411"/>
      <c r="M178" s="1356"/>
      <c r="N178" s="1409"/>
      <c r="O178" s="1358"/>
      <c r="P178" s="1358">
        <v>0</v>
      </c>
      <c r="Q178" s="1358">
        <f>3000000-3000000</f>
        <v>0</v>
      </c>
      <c r="R178" s="1358">
        <f>7000000+143000</f>
        <v>7143000</v>
      </c>
      <c r="S178" s="1358">
        <v>2857000</v>
      </c>
      <c r="T178" s="1358"/>
      <c r="U178" s="1358"/>
      <c r="V178" s="1358"/>
      <c r="W178" s="1358"/>
      <c r="X178" s="2879"/>
      <c r="Y178" s="1538"/>
      <c r="Z178" s="1154"/>
    </row>
    <row r="179" spans="1:26" s="1987" customFormat="1" ht="15" hidden="1" customHeight="1">
      <c r="A179" s="2868" t="s">
        <v>410</v>
      </c>
      <c r="B179" s="1331" t="s">
        <v>386</v>
      </c>
      <c r="C179" s="1580" t="s">
        <v>128</v>
      </c>
      <c r="D179" s="1563"/>
      <c r="E179" s="1564"/>
      <c r="F179" s="1565"/>
      <c r="G179" s="1565"/>
      <c r="H179" s="1566"/>
      <c r="I179" s="1567"/>
      <c r="J179" s="1568"/>
      <c r="K179" s="1567"/>
      <c r="L179" s="1567"/>
      <c r="M179" s="1569"/>
      <c r="N179" s="1569"/>
      <c r="O179" s="1569"/>
      <c r="P179" s="1564"/>
      <c r="Q179" s="1564"/>
      <c r="R179" s="1564"/>
      <c r="S179" s="1564"/>
      <c r="T179" s="1564"/>
      <c r="U179" s="1564"/>
      <c r="V179" s="1564"/>
      <c r="W179" s="1570"/>
      <c r="X179" s="1571"/>
      <c r="Y179" s="1538"/>
      <c r="Z179" s="1154"/>
    </row>
    <row r="180" spans="1:26" s="1987" customFormat="1" ht="13.5" hidden="1" customHeight="1">
      <c r="A180" s="2868"/>
      <c r="B180" s="501" t="s">
        <v>22</v>
      </c>
      <c r="C180" s="1572"/>
      <c r="D180" s="1315">
        <f>+D181+D183</f>
        <v>0</v>
      </c>
      <c r="E180" s="1315">
        <f t="shared" ref="E180:W180" si="120">+E181+E183</f>
        <v>0</v>
      </c>
      <c r="F180" s="1315">
        <f t="shared" si="120"/>
        <v>0</v>
      </c>
      <c r="G180" s="1315">
        <f t="shared" si="120"/>
        <v>0</v>
      </c>
      <c r="H180" s="1315">
        <f t="shared" si="120"/>
        <v>0</v>
      </c>
      <c r="I180" s="1315">
        <f t="shared" si="120"/>
        <v>0</v>
      </c>
      <c r="J180" s="1315">
        <f t="shared" si="120"/>
        <v>0</v>
      </c>
      <c r="K180" s="1315">
        <f t="shared" si="120"/>
        <v>0</v>
      </c>
      <c r="L180" s="1315">
        <f t="shared" si="120"/>
        <v>0</v>
      </c>
      <c r="M180" s="1315">
        <f t="shared" si="120"/>
        <v>0</v>
      </c>
      <c r="N180" s="1315">
        <f t="shared" si="120"/>
        <v>0</v>
      </c>
      <c r="O180" s="1315">
        <f t="shared" si="120"/>
        <v>0</v>
      </c>
      <c r="P180" s="1315">
        <f t="shared" si="120"/>
        <v>0</v>
      </c>
      <c r="Q180" s="1315">
        <f t="shared" si="120"/>
        <v>0</v>
      </c>
      <c r="R180" s="1315">
        <f t="shared" si="120"/>
        <v>0</v>
      </c>
      <c r="S180" s="1315">
        <f t="shared" si="120"/>
        <v>0</v>
      </c>
      <c r="T180" s="1315">
        <f t="shared" si="120"/>
        <v>0</v>
      </c>
      <c r="U180" s="1315">
        <f t="shared" si="120"/>
        <v>0</v>
      </c>
      <c r="V180" s="1315">
        <f t="shared" si="120"/>
        <v>0</v>
      </c>
      <c r="W180" s="1315">
        <f t="shared" si="120"/>
        <v>0</v>
      </c>
      <c r="X180" s="1581">
        <f>+X181+X183</f>
        <v>0</v>
      </c>
      <c r="Y180" s="1538"/>
      <c r="Z180" s="1154"/>
    </row>
    <row r="181" spans="1:26" s="1987" customFormat="1" ht="13.5" hidden="1" customHeight="1">
      <c r="A181" s="2868"/>
      <c r="B181" s="1582" t="s">
        <v>36</v>
      </c>
      <c r="C181" s="2843" t="s">
        <v>389</v>
      </c>
      <c r="D181" s="1405">
        <f>SUM(M181:W181)</f>
        <v>0</v>
      </c>
      <c r="E181" s="1409"/>
      <c r="F181" s="1410"/>
      <c r="G181" s="1410"/>
      <c r="H181" s="1410"/>
      <c r="I181" s="1411"/>
      <c r="J181" s="1411"/>
      <c r="K181" s="1411"/>
      <c r="L181" s="1411"/>
      <c r="M181" s="1357">
        <f>+M182</f>
        <v>0</v>
      </c>
      <c r="N181" s="1357">
        <f t="shared" ref="N181:W181" si="121">+N182</f>
        <v>0</v>
      </c>
      <c r="O181" s="1357">
        <f t="shared" si="121"/>
        <v>0</v>
      </c>
      <c r="P181" s="1357">
        <f t="shared" si="121"/>
        <v>0</v>
      </c>
      <c r="Q181" s="1357">
        <f t="shared" si="121"/>
        <v>0</v>
      </c>
      <c r="R181" s="1357">
        <f t="shared" si="121"/>
        <v>0</v>
      </c>
      <c r="S181" s="1357">
        <f t="shared" si="121"/>
        <v>0</v>
      </c>
      <c r="T181" s="1357">
        <f t="shared" si="121"/>
        <v>0</v>
      </c>
      <c r="U181" s="1357">
        <f t="shared" si="121"/>
        <v>0</v>
      </c>
      <c r="V181" s="1357">
        <f t="shared" si="121"/>
        <v>0</v>
      </c>
      <c r="W181" s="1357">
        <f t="shared" si="121"/>
        <v>0</v>
      </c>
      <c r="X181" s="1573">
        <f>SUM(M181:W181)</f>
        <v>0</v>
      </c>
      <c r="Y181" s="1538"/>
      <c r="Z181" s="1154"/>
    </row>
    <row r="182" spans="1:26" s="1987" customFormat="1" ht="13.5" hidden="1" customHeight="1">
      <c r="A182" s="2868"/>
      <c r="B182" s="1583" t="s">
        <v>24</v>
      </c>
      <c r="C182" s="2844"/>
      <c r="D182" s="1412">
        <f>SUM(M182:W182)</f>
        <v>0</v>
      </c>
      <c r="E182" s="1575"/>
      <c r="F182" s="1576"/>
      <c r="G182" s="1576"/>
      <c r="H182" s="1576"/>
      <c r="I182" s="1577"/>
      <c r="J182" s="1577"/>
      <c r="K182" s="1577"/>
      <c r="L182" s="1577"/>
      <c r="M182" s="1578">
        <v>0</v>
      </c>
      <c r="N182" s="1575"/>
      <c r="O182" s="1412">
        <v>0</v>
      </c>
      <c r="P182" s="1412">
        <v>0</v>
      </c>
      <c r="Q182" s="1412">
        <v>0</v>
      </c>
      <c r="R182" s="1412">
        <v>0</v>
      </c>
      <c r="S182" s="1412">
        <v>0</v>
      </c>
      <c r="T182" s="1412">
        <v>0</v>
      </c>
      <c r="U182" s="1412">
        <v>0</v>
      </c>
      <c r="V182" s="1412">
        <v>0</v>
      </c>
      <c r="W182" s="1412"/>
      <c r="X182" s="1579">
        <f>SUM(M182:W182)</f>
        <v>0</v>
      </c>
      <c r="Y182" s="1538"/>
      <c r="Z182" s="1154"/>
    </row>
    <row r="183" spans="1:26" s="1987" customFormat="1" ht="13.5" hidden="1" customHeight="1">
      <c r="A183" s="2868"/>
      <c r="B183" s="502" t="s">
        <v>30</v>
      </c>
      <c r="C183" s="2838" t="s">
        <v>184</v>
      </c>
      <c r="D183" s="1405">
        <f>SUM(M183:W183)</f>
        <v>0</v>
      </c>
      <c r="E183" s="1406"/>
      <c r="F183" s="1407"/>
      <c r="G183" s="1407"/>
      <c r="H183" s="1407"/>
      <c r="I183" s="1408"/>
      <c r="J183" s="1408"/>
      <c r="K183" s="1408"/>
      <c r="L183" s="1408"/>
      <c r="M183" s="1357">
        <f>+M184</f>
        <v>0</v>
      </c>
      <c r="N183" s="1357">
        <f t="shared" ref="N183:W183" si="122">+N184</f>
        <v>0</v>
      </c>
      <c r="O183" s="1357">
        <f t="shared" si="122"/>
        <v>0</v>
      </c>
      <c r="P183" s="1357">
        <f t="shared" si="122"/>
        <v>0</v>
      </c>
      <c r="Q183" s="1357">
        <f t="shared" si="122"/>
        <v>0</v>
      </c>
      <c r="R183" s="1357">
        <f t="shared" si="122"/>
        <v>0</v>
      </c>
      <c r="S183" s="1357">
        <f t="shared" si="122"/>
        <v>0</v>
      </c>
      <c r="T183" s="1357">
        <f t="shared" si="122"/>
        <v>0</v>
      </c>
      <c r="U183" s="1357">
        <f t="shared" si="122"/>
        <v>0</v>
      </c>
      <c r="V183" s="1357">
        <f t="shared" si="122"/>
        <v>0</v>
      </c>
      <c r="W183" s="1357">
        <f t="shared" si="122"/>
        <v>0</v>
      </c>
      <c r="X183" s="1573">
        <f>SUM(M183:W183)</f>
        <v>0</v>
      </c>
      <c r="Y183" s="1538"/>
      <c r="Z183" s="1154"/>
    </row>
    <row r="184" spans="1:26" s="1987" customFormat="1" ht="13.5" hidden="1" customHeight="1">
      <c r="A184" s="2868"/>
      <c r="B184" s="487" t="s">
        <v>33</v>
      </c>
      <c r="C184" s="2839"/>
      <c r="D184" s="1358">
        <f>SUM(M184:W184)</f>
        <v>0</v>
      </c>
      <c r="E184" s="1409"/>
      <c r="F184" s="1410"/>
      <c r="G184" s="1410"/>
      <c r="H184" s="1410"/>
      <c r="I184" s="1411"/>
      <c r="J184" s="1411"/>
      <c r="K184" s="1411"/>
      <c r="L184" s="1411"/>
      <c r="M184" s="1356">
        <f>+M185</f>
        <v>0</v>
      </c>
      <c r="N184" s="1356">
        <f t="shared" ref="N184:W184" si="123">+N185</f>
        <v>0</v>
      </c>
      <c r="O184" s="1356">
        <f t="shared" si="123"/>
        <v>0</v>
      </c>
      <c r="P184" s="1356">
        <f t="shared" si="123"/>
        <v>0</v>
      </c>
      <c r="Q184" s="1356">
        <f t="shared" si="123"/>
        <v>0</v>
      </c>
      <c r="R184" s="1356">
        <f t="shared" si="123"/>
        <v>0</v>
      </c>
      <c r="S184" s="1356">
        <f t="shared" si="123"/>
        <v>0</v>
      </c>
      <c r="T184" s="1356">
        <f t="shared" si="123"/>
        <v>0</v>
      </c>
      <c r="U184" s="1356">
        <f t="shared" si="123"/>
        <v>0</v>
      </c>
      <c r="V184" s="1356">
        <f t="shared" si="123"/>
        <v>0</v>
      </c>
      <c r="W184" s="1356">
        <f t="shared" si="123"/>
        <v>0</v>
      </c>
      <c r="X184" s="1574">
        <f>SUM(M184:W184)</f>
        <v>0</v>
      </c>
      <c r="Y184" s="1538"/>
      <c r="Z184" s="1154"/>
    </row>
    <row r="185" spans="1:26" s="1987" customFormat="1" ht="22.5" hidden="1" customHeight="1">
      <c r="A185" s="2868"/>
      <c r="B185" s="1584" t="s">
        <v>383</v>
      </c>
      <c r="C185" s="2840"/>
      <c r="D185" s="1412">
        <f>SUM(M185:W185)</f>
        <v>0</v>
      </c>
      <c r="E185" s="1575"/>
      <c r="F185" s="1576"/>
      <c r="G185" s="1576"/>
      <c r="H185" s="1576"/>
      <c r="I185" s="1577"/>
      <c r="J185" s="1577"/>
      <c r="K185" s="1577"/>
      <c r="L185" s="1577"/>
      <c r="M185" s="1578">
        <v>0</v>
      </c>
      <c r="N185" s="1575"/>
      <c r="O185" s="1412">
        <v>0</v>
      </c>
      <c r="P185" s="1412">
        <v>0</v>
      </c>
      <c r="Q185" s="1412">
        <v>0</v>
      </c>
      <c r="R185" s="1412">
        <f>312400-312400</f>
        <v>0</v>
      </c>
      <c r="S185" s="1412">
        <f>624800-624800</f>
        <v>0</v>
      </c>
      <c r="T185" s="1412">
        <f>625000-625000</f>
        <v>0</v>
      </c>
      <c r="U185" s="1412">
        <v>0</v>
      </c>
      <c r="V185" s="1412">
        <v>0</v>
      </c>
      <c r="W185" s="1412">
        <v>0</v>
      </c>
      <c r="X185" s="1579">
        <f>SUM(M185:W185)</f>
        <v>0</v>
      </c>
      <c r="Y185" s="1538"/>
      <c r="Z185" s="1154"/>
    </row>
    <row r="186" spans="1:26" s="1987" customFormat="1" ht="13.5" hidden="1" customHeight="1">
      <c r="A186" s="2868"/>
      <c r="B186" s="501" t="s">
        <v>380</v>
      </c>
      <c r="C186" s="683"/>
      <c r="D186" s="1260">
        <f>+D187</f>
        <v>0</v>
      </c>
      <c r="E186" s="1260">
        <f t="shared" ref="E186:W186" si="124">+E187</f>
        <v>0</v>
      </c>
      <c r="F186" s="1260">
        <f t="shared" si="124"/>
        <v>0</v>
      </c>
      <c r="G186" s="1260">
        <f t="shared" si="124"/>
        <v>0</v>
      </c>
      <c r="H186" s="1260">
        <f t="shared" si="124"/>
        <v>0</v>
      </c>
      <c r="I186" s="1260">
        <f t="shared" si="124"/>
        <v>0</v>
      </c>
      <c r="J186" s="1260">
        <f t="shared" si="124"/>
        <v>0</v>
      </c>
      <c r="K186" s="1260">
        <f t="shared" si="124"/>
        <v>0</v>
      </c>
      <c r="L186" s="1260">
        <f t="shared" si="124"/>
        <v>0</v>
      </c>
      <c r="M186" s="1260">
        <f t="shared" si="124"/>
        <v>0</v>
      </c>
      <c r="N186" s="1260">
        <f t="shared" si="124"/>
        <v>0</v>
      </c>
      <c r="O186" s="1260">
        <f t="shared" si="124"/>
        <v>0</v>
      </c>
      <c r="P186" s="1260">
        <f t="shared" si="124"/>
        <v>0</v>
      </c>
      <c r="Q186" s="1260">
        <f t="shared" si="124"/>
        <v>0</v>
      </c>
      <c r="R186" s="1260">
        <f t="shared" si="124"/>
        <v>0</v>
      </c>
      <c r="S186" s="1260">
        <f t="shared" si="124"/>
        <v>0</v>
      </c>
      <c r="T186" s="1260">
        <f t="shared" si="124"/>
        <v>0</v>
      </c>
      <c r="U186" s="1260">
        <f t="shared" si="124"/>
        <v>0</v>
      </c>
      <c r="V186" s="1260">
        <f t="shared" si="124"/>
        <v>0</v>
      </c>
      <c r="W186" s="1260">
        <f t="shared" si="124"/>
        <v>0</v>
      </c>
      <c r="X186" s="2846" t="s">
        <v>77</v>
      </c>
      <c r="Y186" s="1538"/>
      <c r="Z186" s="1154"/>
    </row>
    <row r="187" spans="1:26" s="1987" customFormat="1" ht="13.5" hidden="1" customHeight="1">
      <c r="A187" s="2868"/>
      <c r="B187" s="502" t="s">
        <v>30</v>
      </c>
      <c r="C187" s="2838" t="s">
        <v>329</v>
      </c>
      <c r="D187" s="1405">
        <f>SUM(M187:W187)</f>
        <v>0</v>
      </c>
      <c r="E187" s="1406"/>
      <c r="F187" s="1407"/>
      <c r="G187" s="1407"/>
      <c r="H187" s="1407"/>
      <c r="I187" s="1408"/>
      <c r="J187" s="1408"/>
      <c r="K187" s="1408"/>
      <c r="L187" s="1408"/>
      <c r="M187" s="1427">
        <f>+M188</f>
        <v>0</v>
      </c>
      <c r="N187" s="1427">
        <f t="shared" ref="N187:W188" si="125">+N188</f>
        <v>0</v>
      </c>
      <c r="O187" s="1427">
        <f t="shared" si="125"/>
        <v>0</v>
      </c>
      <c r="P187" s="1427">
        <f t="shared" si="125"/>
        <v>0</v>
      </c>
      <c r="Q187" s="1427">
        <f t="shared" si="125"/>
        <v>0</v>
      </c>
      <c r="R187" s="1427">
        <f t="shared" si="125"/>
        <v>0</v>
      </c>
      <c r="S187" s="1427">
        <f t="shared" si="125"/>
        <v>0</v>
      </c>
      <c r="T187" s="1427">
        <f t="shared" si="125"/>
        <v>0</v>
      </c>
      <c r="U187" s="1427">
        <f t="shared" si="125"/>
        <v>0</v>
      </c>
      <c r="V187" s="1427">
        <f t="shared" si="125"/>
        <v>0</v>
      </c>
      <c r="W187" s="1427">
        <f t="shared" si="125"/>
        <v>0</v>
      </c>
      <c r="X187" s="2830"/>
      <c r="Y187" s="1538"/>
      <c r="Z187" s="1154"/>
    </row>
    <row r="188" spans="1:26" s="1987" customFormat="1" ht="13.5" hidden="1" customHeight="1" thickBot="1">
      <c r="A188" s="2882"/>
      <c r="B188" s="496" t="s">
        <v>33</v>
      </c>
      <c r="C188" s="2845"/>
      <c r="D188" s="1354">
        <f>SUM(M188:W188)</f>
        <v>0</v>
      </c>
      <c r="E188" s="681"/>
      <c r="F188" s="1211"/>
      <c r="G188" s="1211"/>
      <c r="H188" s="1211"/>
      <c r="I188" s="1212"/>
      <c r="J188" s="1212"/>
      <c r="K188" s="1212"/>
      <c r="L188" s="1212"/>
      <c r="M188" s="684">
        <f>+M189</f>
        <v>0</v>
      </c>
      <c r="N188" s="684">
        <f t="shared" si="125"/>
        <v>0</v>
      </c>
      <c r="O188" s="684">
        <f t="shared" si="125"/>
        <v>0</v>
      </c>
      <c r="P188" s="684">
        <f t="shared" si="125"/>
        <v>0</v>
      </c>
      <c r="Q188" s="684">
        <f t="shared" si="125"/>
        <v>0</v>
      </c>
      <c r="R188" s="684">
        <f t="shared" si="125"/>
        <v>0</v>
      </c>
      <c r="S188" s="684">
        <f t="shared" si="125"/>
        <v>0</v>
      </c>
      <c r="T188" s="684">
        <f t="shared" si="125"/>
        <v>0</v>
      </c>
      <c r="U188" s="684">
        <f t="shared" si="125"/>
        <v>0</v>
      </c>
      <c r="V188" s="684">
        <f t="shared" si="125"/>
        <v>0</v>
      </c>
      <c r="W188" s="684">
        <f t="shared" si="125"/>
        <v>0</v>
      </c>
      <c r="X188" s="2831"/>
      <c r="Y188" s="1585"/>
      <c r="Z188" s="1154">
        <f>+D184+D195</f>
        <v>44539800</v>
      </c>
    </row>
    <row r="189" spans="1:26" s="1987" customFormat="1" ht="12" hidden="1" customHeight="1" thickBot="1">
      <c r="A189" s="1508"/>
      <c r="B189" s="1586" t="s">
        <v>377</v>
      </c>
      <c r="C189" s="1587"/>
      <c r="D189" s="1588">
        <f>SUM(M189:W189)</f>
        <v>0</v>
      </c>
      <c r="E189" s="1589"/>
      <c r="F189" s="1590"/>
      <c r="G189" s="1590"/>
      <c r="H189" s="1590"/>
      <c r="I189" s="1591"/>
      <c r="J189" s="1591"/>
      <c r="K189" s="1591"/>
      <c r="L189" s="1591"/>
      <c r="M189" s="1592"/>
      <c r="N189" s="1589"/>
      <c r="O189" s="1588"/>
      <c r="P189" s="1588"/>
      <c r="Q189" s="1588">
        <v>0</v>
      </c>
      <c r="R189" s="1588">
        <f>312400-312400</f>
        <v>0</v>
      </c>
      <c r="S189" s="1588">
        <f>624800-624800</f>
        <v>0</v>
      </c>
      <c r="T189" s="1588">
        <f>625000-625000</f>
        <v>0</v>
      </c>
      <c r="U189" s="1593"/>
      <c r="V189" s="1593"/>
      <c r="W189" s="1588"/>
      <c r="X189" s="1459"/>
      <c r="Y189" s="1585"/>
      <c r="Z189" s="1154"/>
    </row>
    <row r="190" spans="1:26" s="1987" customFormat="1" ht="16.5" hidden="1" customHeight="1">
      <c r="A190" s="2868" t="s">
        <v>409</v>
      </c>
      <c r="B190" s="1331" t="s">
        <v>386</v>
      </c>
      <c r="C190" s="3139" t="s">
        <v>97</v>
      </c>
      <c r="D190" s="3140"/>
      <c r="E190" s="3141"/>
      <c r="F190" s="3142"/>
      <c r="G190" s="3142"/>
      <c r="H190" s="3143"/>
      <c r="I190" s="3144"/>
      <c r="J190" s="3145"/>
      <c r="K190" s="3144"/>
      <c r="L190" s="3144"/>
      <c r="M190" s="3146"/>
      <c r="N190" s="3146"/>
      <c r="O190" s="3146"/>
      <c r="P190" s="3141"/>
      <c r="Q190" s="3141"/>
      <c r="R190" s="3141"/>
      <c r="S190" s="3141"/>
      <c r="T190" s="3141"/>
      <c r="U190" s="3141"/>
      <c r="V190" s="3141"/>
      <c r="W190" s="3147"/>
      <c r="X190" s="2536"/>
      <c r="Y190" s="1538"/>
      <c r="Z190" s="1154"/>
    </row>
    <row r="191" spans="1:26" s="1987" customFormat="1" ht="13.5" hidden="1" customHeight="1">
      <c r="A191" s="2868"/>
      <c r="B191" s="501" t="s">
        <v>22</v>
      </c>
      <c r="C191" s="3148"/>
      <c r="D191" s="1315">
        <f t="shared" ref="D191:X191" si="126">+D192+D195</f>
        <v>56754790</v>
      </c>
      <c r="E191" s="1315">
        <f t="shared" si="126"/>
        <v>0</v>
      </c>
      <c r="F191" s="1315">
        <f t="shared" si="126"/>
        <v>0</v>
      </c>
      <c r="G191" s="1315">
        <f t="shared" si="126"/>
        <v>0</v>
      </c>
      <c r="H191" s="1315">
        <f t="shared" si="126"/>
        <v>0</v>
      </c>
      <c r="I191" s="1315">
        <f t="shared" si="126"/>
        <v>0</v>
      </c>
      <c r="J191" s="1315">
        <f t="shared" si="126"/>
        <v>0</v>
      </c>
      <c r="K191" s="1315">
        <f t="shared" si="126"/>
        <v>0</v>
      </c>
      <c r="L191" s="1315">
        <f t="shared" si="126"/>
        <v>0</v>
      </c>
      <c r="M191" s="1315">
        <f t="shared" si="126"/>
        <v>0</v>
      </c>
      <c r="N191" s="1315">
        <f t="shared" si="126"/>
        <v>0</v>
      </c>
      <c r="O191" s="1315">
        <f t="shared" si="126"/>
        <v>0</v>
      </c>
      <c r="P191" s="1315">
        <f t="shared" si="126"/>
        <v>0</v>
      </c>
      <c r="Q191" s="1315">
        <f t="shared" si="126"/>
        <v>0</v>
      </c>
      <c r="R191" s="1315">
        <f t="shared" si="126"/>
        <v>5108800</v>
      </c>
      <c r="S191" s="1315">
        <f t="shared" si="126"/>
        <v>36810159</v>
      </c>
      <c r="T191" s="1315">
        <f t="shared" si="126"/>
        <v>14835831</v>
      </c>
      <c r="U191" s="1315">
        <f t="shared" si="126"/>
        <v>0</v>
      </c>
      <c r="V191" s="1315">
        <f t="shared" si="126"/>
        <v>0</v>
      </c>
      <c r="W191" s="1315">
        <f t="shared" si="126"/>
        <v>0</v>
      </c>
      <c r="X191" s="1272">
        <f t="shared" si="126"/>
        <v>56754790</v>
      </c>
      <c r="Y191" s="1538"/>
      <c r="Z191" s="1154"/>
    </row>
    <row r="192" spans="1:26" s="1987" customFormat="1" ht="13.5" hidden="1" customHeight="1">
      <c r="A192" s="2868"/>
      <c r="B192" s="1582" t="s">
        <v>36</v>
      </c>
      <c r="C192" s="2833" t="s">
        <v>389</v>
      </c>
      <c r="D192" s="1264">
        <f>SUM(M192:W192)</f>
        <v>12214990</v>
      </c>
      <c r="E192" s="1536"/>
      <c r="F192" s="1541"/>
      <c r="G192" s="1541"/>
      <c r="H192" s="1541"/>
      <c r="I192" s="1542"/>
      <c r="J192" s="1542"/>
      <c r="K192" s="1542"/>
      <c r="L192" s="1542"/>
      <c r="M192" s="1201">
        <f>+M193+M194</f>
        <v>0</v>
      </c>
      <c r="N192" s="1201">
        <f t="shared" ref="N192:W192" si="127">+N193+N194</f>
        <v>0</v>
      </c>
      <c r="O192" s="1201">
        <f t="shared" si="127"/>
        <v>0</v>
      </c>
      <c r="P192" s="1201">
        <f t="shared" si="127"/>
        <v>0</v>
      </c>
      <c r="Q192" s="1201">
        <f>+Q193+Q194</f>
        <v>0</v>
      </c>
      <c r="R192" s="1201">
        <f>+R193+R194</f>
        <v>2780800</v>
      </c>
      <c r="S192" s="1201">
        <f>+S193+S194</f>
        <v>7334359</v>
      </c>
      <c r="T192" s="1201">
        <f t="shared" si="127"/>
        <v>2099831</v>
      </c>
      <c r="U192" s="1201">
        <f t="shared" si="127"/>
        <v>0</v>
      </c>
      <c r="V192" s="1201">
        <f t="shared" si="127"/>
        <v>0</v>
      </c>
      <c r="W192" s="1201">
        <f t="shared" si="127"/>
        <v>0</v>
      </c>
      <c r="X192" s="3149">
        <f>SUM(M192:W192)</f>
        <v>12214990</v>
      </c>
      <c r="Y192" s="1538"/>
      <c r="Z192" s="1154"/>
    </row>
    <row r="193" spans="1:26" s="1987" customFormat="1" ht="13.5" hidden="1" customHeight="1">
      <c r="A193" s="2868"/>
      <c r="B193" s="1332" t="s">
        <v>24</v>
      </c>
      <c r="C193" s="2834"/>
      <c r="D193" s="1223">
        <f>SUM(M193:W193)</f>
        <v>7214990</v>
      </c>
      <c r="E193" s="1225"/>
      <c r="F193" s="1224"/>
      <c r="G193" s="1224"/>
      <c r="H193" s="1224"/>
      <c r="I193" s="1516"/>
      <c r="J193" s="1516"/>
      <c r="K193" s="1516"/>
      <c r="L193" s="1516"/>
      <c r="M193" s="1206"/>
      <c r="N193" s="1225"/>
      <c r="O193" s="1223"/>
      <c r="P193" s="1223"/>
      <c r="Q193" s="1223">
        <v>0</v>
      </c>
      <c r="R193" s="1223">
        <f>2191100+312400</f>
        <v>2503500</v>
      </c>
      <c r="S193" s="1223">
        <v>4006159</v>
      </c>
      <c r="T193" s="1223">
        <f>825200-119869</f>
        <v>705331</v>
      </c>
      <c r="U193" s="1223"/>
      <c r="V193" s="1223"/>
      <c r="W193" s="1223"/>
      <c r="X193" s="3150">
        <f>SUM(M193:W193)</f>
        <v>7214990</v>
      </c>
      <c r="Y193" s="1538"/>
      <c r="Z193" s="1154"/>
    </row>
    <row r="194" spans="1:26" s="1987" customFormat="1" ht="13.5" hidden="1" customHeight="1">
      <c r="A194" s="2868"/>
      <c r="B194" s="1332" t="s">
        <v>28</v>
      </c>
      <c r="C194" s="2834"/>
      <c r="D194" s="1223">
        <f>SUM(M194:W194)</f>
        <v>5000000</v>
      </c>
      <c r="E194" s="1225"/>
      <c r="F194" s="1224"/>
      <c r="G194" s="1224"/>
      <c r="H194" s="1224"/>
      <c r="I194" s="1516"/>
      <c r="J194" s="1516"/>
      <c r="K194" s="1516"/>
      <c r="L194" s="1516"/>
      <c r="M194" s="1206"/>
      <c r="N194" s="1225"/>
      <c r="O194" s="1223"/>
      <c r="P194" s="1223"/>
      <c r="Q194" s="1223">
        <v>0</v>
      </c>
      <c r="R194" s="1223">
        <v>277300</v>
      </c>
      <c r="S194" s="1223">
        <v>3328200</v>
      </c>
      <c r="T194" s="1223">
        <v>1394500</v>
      </c>
      <c r="U194" s="1223"/>
      <c r="V194" s="1223"/>
      <c r="W194" s="1223"/>
      <c r="X194" s="3150">
        <f>SUM(M194:W194)</f>
        <v>5000000</v>
      </c>
      <c r="Y194" s="1538"/>
      <c r="Z194" s="1154"/>
    </row>
    <row r="195" spans="1:26" s="1987" customFormat="1" ht="15.75" hidden="1" customHeight="1">
      <c r="A195" s="2868"/>
      <c r="B195" s="1768" t="s">
        <v>30</v>
      </c>
      <c r="C195" s="2834"/>
      <c r="D195" s="1264">
        <f>SUM(M195:W195)</f>
        <v>44539800</v>
      </c>
      <c r="E195" s="1264">
        <f t="shared" ref="E195:W195" si="128">+E196</f>
        <v>0</v>
      </c>
      <c r="F195" s="1264">
        <f t="shared" si="128"/>
        <v>0</v>
      </c>
      <c r="G195" s="1264">
        <f t="shared" si="128"/>
        <v>0</v>
      </c>
      <c r="H195" s="1264">
        <f t="shared" si="128"/>
        <v>0</v>
      </c>
      <c r="I195" s="1264">
        <f t="shared" si="128"/>
        <v>0</v>
      </c>
      <c r="J195" s="1264">
        <f t="shared" si="128"/>
        <v>0</v>
      </c>
      <c r="K195" s="1264">
        <f t="shared" si="128"/>
        <v>0</v>
      </c>
      <c r="L195" s="1264">
        <f t="shared" si="128"/>
        <v>0</v>
      </c>
      <c r="M195" s="1264">
        <f t="shared" si="128"/>
        <v>0</v>
      </c>
      <c r="N195" s="1264">
        <f t="shared" si="128"/>
        <v>0</v>
      </c>
      <c r="O195" s="1264">
        <f t="shared" si="128"/>
        <v>0</v>
      </c>
      <c r="P195" s="1264">
        <f t="shared" si="128"/>
        <v>0</v>
      </c>
      <c r="Q195" s="1264">
        <f t="shared" si="128"/>
        <v>0</v>
      </c>
      <c r="R195" s="1264">
        <f t="shared" si="128"/>
        <v>2328000</v>
      </c>
      <c r="S195" s="1264">
        <f t="shared" si="128"/>
        <v>29475800</v>
      </c>
      <c r="T195" s="1264">
        <f t="shared" si="128"/>
        <v>12736000</v>
      </c>
      <c r="U195" s="1264">
        <f t="shared" si="128"/>
        <v>0</v>
      </c>
      <c r="V195" s="1264">
        <f t="shared" si="128"/>
        <v>0</v>
      </c>
      <c r="W195" s="1264">
        <f t="shared" si="128"/>
        <v>0</v>
      </c>
      <c r="X195" s="3151">
        <f>SUM(M195:W195)</f>
        <v>44539800</v>
      </c>
      <c r="Y195" s="1538"/>
      <c r="Z195" s="1154"/>
    </row>
    <row r="196" spans="1:26" s="1987" customFormat="1" ht="12" hidden="1" customHeight="1">
      <c r="A196" s="2868"/>
      <c r="B196" s="1619" t="s">
        <v>33</v>
      </c>
      <c r="C196" s="2834"/>
      <c r="D196" s="1223">
        <f>+D197+D198</f>
        <v>44539800</v>
      </c>
      <c r="E196" s="1223">
        <f t="shared" ref="E196:W196" si="129">+E197+E198</f>
        <v>0</v>
      </c>
      <c r="F196" s="1223">
        <f t="shared" si="129"/>
        <v>0</v>
      </c>
      <c r="G196" s="1223">
        <f t="shared" si="129"/>
        <v>0</v>
      </c>
      <c r="H196" s="1223">
        <f t="shared" si="129"/>
        <v>0</v>
      </c>
      <c r="I196" s="1223">
        <f t="shared" si="129"/>
        <v>0</v>
      </c>
      <c r="J196" s="1223">
        <f t="shared" si="129"/>
        <v>0</v>
      </c>
      <c r="K196" s="1223">
        <f t="shared" si="129"/>
        <v>0</v>
      </c>
      <c r="L196" s="1223">
        <f t="shared" si="129"/>
        <v>0</v>
      </c>
      <c r="M196" s="1223">
        <f t="shared" si="129"/>
        <v>0</v>
      </c>
      <c r="N196" s="1223">
        <f t="shared" si="129"/>
        <v>0</v>
      </c>
      <c r="O196" s="1223">
        <f t="shared" si="129"/>
        <v>0</v>
      </c>
      <c r="P196" s="1223">
        <f t="shared" si="129"/>
        <v>0</v>
      </c>
      <c r="Q196" s="1223">
        <f t="shared" si="129"/>
        <v>0</v>
      </c>
      <c r="R196" s="1223">
        <f t="shared" si="129"/>
        <v>2328000</v>
      </c>
      <c r="S196" s="1223">
        <f t="shared" si="129"/>
        <v>29475800</v>
      </c>
      <c r="T196" s="1223">
        <f t="shared" si="129"/>
        <v>12736000</v>
      </c>
      <c r="U196" s="1223">
        <f t="shared" si="129"/>
        <v>0</v>
      </c>
      <c r="V196" s="1223">
        <f t="shared" si="129"/>
        <v>0</v>
      </c>
      <c r="W196" s="1223">
        <f t="shared" si="129"/>
        <v>0</v>
      </c>
      <c r="X196" s="3150">
        <f>+X197+X198</f>
        <v>44539800</v>
      </c>
      <c r="Y196" s="1538"/>
      <c r="Z196" s="1154"/>
    </row>
    <row r="197" spans="1:26" s="1987" customFormat="1" ht="22.5" hidden="1" customHeight="1">
      <c r="A197" s="2868"/>
      <c r="B197" s="1537" t="s">
        <v>387</v>
      </c>
      <c r="C197" s="2834"/>
      <c r="D197" s="1535">
        <f>+M197+O197+P197+Q197+R197+S197+T197+U197+V197+W197</f>
        <v>2675800</v>
      </c>
      <c r="E197" s="1545"/>
      <c r="F197" s="1546"/>
      <c r="G197" s="1546"/>
      <c r="H197" s="1546"/>
      <c r="I197" s="1547"/>
      <c r="J197" s="1547"/>
      <c r="K197" s="1547"/>
      <c r="L197" s="1547"/>
      <c r="M197" s="3152">
        <v>0</v>
      </c>
      <c r="N197" s="1545"/>
      <c r="O197" s="1535">
        <v>0</v>
      </c>
      <c r="P197" s="1535">
        <v>0</v>
      </c>
      <c r="Q197" s="1535">
        <v>0</v>
      </c>
      <c r="R197" s="1535">
        <v>0</v>
      </c>
      <c r="S197" s="1535">
        <f>915000+624800</f>
        <v>1539800</v>
      </c>
      <c r="T197" s="1535">
        <f>511000+625000</f>
        <v>1136000</v>
      </c>
      <c r="U197" s="1535">
        <v>0</v>
      </c>
      <c r="V197" s="1535">
        <v>0</v>
      </c>
      <c r="W197" s="1535">
        <v>0</v>
      </c>
      <c r="X197" s="3153">
        <f>SUM(M197:W197)</f>
        <v>2675800</v>
      </c>
      <c r="Y197" s="1538"/>
      <c r="Z197" s="1154"/>
    </row>
    <row r="198" spans="1:26" s="1987" customFormat="1" ht="23.25" hidden="1" customHeight="1">
      <c r="A198" s="2868"/>
      <c r="B198" s="3136" t="s">
        <v>379</v>
      </c>
      <c r="C198" s="2835"/>
      <c r="D198" s="1535">
        <f>+M198+O198+P198+Q198+R198+S198+T198+U198+V198+W198</f>
        <v>41864000</v>
      </c>
      <c r="E198" s="3154"/>
      <c r="F198" s="3155"/>
      <c r="G198" s="3155"/>
      <c r="H198" s="3155"/>
      <c r="I198" s="3156"/>
      <c r="J198" s="3156"/>
      <c r="K198" s="3156"/>
      <c r="L198" s="3156"/>
      <c r="M198" s="3157">
        <v>0</v>
      </c>
      <c r="N198" s="3154"/>
      <c r="O198" s="3158">
        <v>0</v>
      </c>
      <c r="P198" s="3158">
        <v>0</v>
      </c>
      <c r="Q198" s="3158">
        <v>0</v>
      </c>
      <c r="R198" s="3158">
        <v>2328000</v>
      </c>
      <c r="S198" s="3158">
        <v>27936000</v>
      </c>
      <c r="T198" s="3158">
        <v>11600000</v>
      </c>
      <c r="U198" s="3158">
        <v>0</v>
      </c>
      <c r="V198" s="3158">
        <v>0</v>
      </c>
      <c r="W198" s="3158">
        <v>0</v>
      </c>
      <c r="X198" s="3153">
        <f>SUM(M198:W198)</f>
        <v>41864000</v>
      </c>
      <c r="Y198" s="1538"/>
      <c r="Z198" s="1154"/>
    </row>
    <row r="199" spans="1:26" s="1987" customFormat="1" ht="13.5" hidden="1" customHeight="1">
      <c r="A199" s="2868"/>
      <c r="B199" s="358" t="s">
        <v>380</v>
      </c>
      <c r="C199" s="677"/>
      <c r="D199" s="1242">
        <f t="shared" ref="D199:W199" si="130">+D200+D202</f>
        <v>49539800</v>
      </c>
      <c r="E199" s="1242" t="e">
        <f t="shared" si="130"/>
        <v>#REF!</v>
      </c>
      <c r="F199" s="1242" t="e">
        <f t="shared" si="130"/>
        <v>#REF!</v>
      </c>
      <c r="G199" s="1242" t="e">
        <f t="shared" si="130"/>
        <v>#REF!</v>
      </c>
      <c r="H199" s="1242" t="e">
        <f t="shared" si="130"/>
        <v>#REF!</v>
      </c>
      <c r="I199" s="1242" t="e">
        <f t="shared" si="130"/>
        <v>#REF!</v>
      </c>
      <c r="J199" s="1242" t="e">
        <f t="shared" si="130"/>
        <v>#REF!</v>
      </c>
      <c r="K199" s="1242" t="e">
        <f t="shared" si="130"/>
        <v>#REF!</v>
      </c>
      <c r="L199" s="1242" t="e">
        <f t="shared" si="130"/>
        <v>#REF!</v>
      </c>
      <c r="M199" s="1242">
        <f t="shared" si="130"/>
        <v>0</v>
      </c>
      <c r="N199" s="1242">
        <f t="shared" si="130"/>
        <v>0</v>
      </c>
      <c r="O199" s="1242">
        <f t="shared" si="130"/>
        <v>0</v>
      </c>
      <c r="P199" s="1242">
        <f t="shared" si="130"/>
        <v>0</v>
      </c>
      <c r="Q199" s="1242">
        <f t="shared" si="130"/>
        <v>0</v>
      </c>
      <c r="R199" s="1242">
        <f t="shared" si="130"/>
        <v>2605300</v>
      </c>
      <c r="S199" s="1242">
        <f t="shared" si="130"/>
        <v>32804000</v>
      </c>
      <c r="T199" s="1242">
        <f t="shared" si="130"/>
        <v>14130500</v>
      </c>
      <c r="U199" s="1242">
        <f t="shared" si="130"/>
        <v>0</v>
      </c>
      <c r="V199" s="1242">
        <f t="shared" si="130"/>
        <v>0</v>
      </c>
      <c r="W199" s="1242">
        <f t="shared" si="130"/>
        <v>0</v>
      </c>
      <c r="X199" s="2829" t="s">
        <v>77</v>
      </c>
      <c r="Y199" s="1538"/>
      <c r="Z199" s="1154"/>
    </row>
    <row r="200" spans="1:26" s="1987" customFormat="1" ht="15" hidden="1" customHeight="1">
      <c r="A200" s="2868"/>
      <c r="B200" s="1582" t="s">
        <v>36</v>
      </c>
      <c r="C200" s="2841" t="s">
        <v>396</v>
      </c>
      <c r="D200" s="1264">
        <f>+D201</f>
        <v>5000000</v>
      </c>
      <c r="E200" s="1264" t="e">
        <f>+E201+#REF!</f>
        <v>#REF!</v>
      </c>
      <c r="F200" s="1264" t="e">
        <f>+F201+#REF!</f>
        <v>#REF!</v>
      </c>
      <c r="G200" s="1264" t="e">
        <f>+G201+#REF!</f>
        <v>#REF!</v>
      </c>
      <c r="H200" s="1264" t="e">
        <f>+H201+#REF!</f>
        <v>#REF!</v>
      </c>
      <c r="I200" s="1264" t="e">
        <f>+I201+#REF!</f>
        <v>#REF!</v>
      </c>
      <c r="J200" s="1264" t="e">
        <f>+J201+#REF!</f>
        <v>#REF!</v>
      </c>
      <c r="K200" s="1264" t="e">
        <f>+K201+#REF!</f>
        <v>#REF!</v>
      </c>
      <c r="L200" s="1264" t="e">
        <f>+L201+#REF!</f>
        <v>#REF!</v>
      </c>
      <c r="M200" s="1264">
        <f>+M201</f>
        <v>0</v>
      </c>
      <c r="N200" s="1264">
        <f t="shared" ref="N200:W200" si="131">+N201</f>
        <v>0</v>
      </c>
      <c r="O200" s="1264">
        <f t="shared" si="131"/>
        <v>0</v>
      </c>
      <c r="P200" s="1264">
        <f t="shared" si="131"/>
        <v>0</v>
      </c>
      <c r="Q200" s="1264">
        <f t="shared" si="131"/>
        <v>0</v>
      </c>
      <c r="R200" s="1264">
        <f t="shared" si="131"/>
        <v>277300</v>
      </c>
      <c r="S200" s="1264">
        <f t="shared" si="131"/>
        <v>3328200</v>
      </c>
      <c r="T200" s="1264">
        <f t="shared" si="131"/>
        <v>1394500</v>
      </c>
      <c r="U200" s="1264">
        <f t="shared" si="131"/>
        <v>0</v>
      </c>
      <c r="V200" s="1264">
        <f t="shared" si="131"/>
        <v>0</v>
      </c>
      <c r="W200" s="1264">
        <f t="shared" si="131"/>
        <v>0</v>
      </c>
      <c r="X200" s="2830"/>
      <c r="Y200" s="1538"/>
      <c r="Z200" s="1154"/>
    </row>
    <row r="201" spans="1:26" s="1987" customFormat="1" ht="16.5" hidden="1" customHeight="1">
      <c r="A201" s="2868"/>
      <c r="B201" s="1332" t="s">
        <v>28</v>
      </c>
      <c r="C201" s="3159"/>
      <c r="D201" s="1223">
        <f>SUM(M201:W201)</f>
        <v>5000000</v>
      </c>
      <c r="E201" s="1225"/>
      <c r="F201" s="1224"/>
      <c r="G201" s="1224"/>
      <c r="H201" s="1224"/>
      <c r="I201" s="1516"/>
      <c r="J201" s="1516"/>
      <c r="K201" s="1516"/>
      <c r="L201" s="1516"/>
      <c r="M201" s="1206"/>
      <c r="N201" s="1225"/>
      <c r="O201" s="1223"/>
      <c r="P201" s="1223"/>
      <c r="Q201" s="1223">
        <v>0</v>
      </c>
      <c r="R201" s="1223">
        <v>277300</v>
      </c>
      <c r="S201" s="1223">
        <v>3328200</v>
      </c>
      <c r="T201" s="1223">
        <v>1394500</v>
      </c>
      <c r="U201" s="1223"/>
      <c r="V201" s="1223"/>
      <c r="W201" s="1223"/>
      <c r="X201" s="2830"/>
      <c r="Y201" s="1538"/>
      <c r="Z201" s="1154"/>
    </row>
    <row r="202" spans="1:26" s="1987" customFormat="1" ht="16.5" hidden="1" customHeight="1">
      <c r="A202" s="2868"/>
      <c r="B202" s="1768" t="s">
        <v>30</v>
      </c>
      <c r="C202" s="3159"/>
      <c r="D202" s="1264">
        <f>SUM(M202:W202)</f>
        <v>44539800</v>
      </c>
      <c r="E202" s="1264">
        <f t="shared" ref="E202:W202" si="132">+E203</f>
        <v>0</v>
      </c>
      <c r="F202" s="1264">
        <f t="shared" si="132"/>
        <v>0</v>
      </c>
      <c r="G202" s="1264">
        <f t="shared" si="132"/>
        <v>0</v>
      </c>
      <c r="H202" s="1264">
        <f t="shared" si="132"/>
        <v>0</v>
      </c>
      <c r="I202" s="1264">
        <f t="shared" si="132"/>
        <v>0</v>
      </c>
      <c r="J202" s="1264">
        <f t="shared" si="132"/>
        <v>0</v>
      </c>
      <c r="K202" s="1264">
        <f t="shared" si="132"/>
        <v>0</v>
      </c>
      <c r="L202" s="1264">
        <f t="shared" si="132"/>
        <v>0</v>
      </c>
      <c r="M202" s="1264">
        <f t="shared" si="132"/>
        <v>0</v>
      </c>
      <c r="N202" s="1264">
        <f t="shared" si="132"/>
        <v>0</v>
      </c>
      <c r="O202" s="1264">
        <f t="shared" si="132"/>
        <v>0</v>
      </c>
      <c r="P202" s="1264">
        <f t="shared" si="132"/>
        <v>0</v>
      </c>
      <c r="Q202" s="1264">
        <f t="shared" si="132"/>
        <v>0</v>
      </c>
      <c r="R202" s="1264">
        <f t="shared" si="132"/>
        <v>2328000</v>
      </c>
      <c r="S202" s="1264">
        <f t="shared" si="132"/>
        <v>29475800</v>
      </c>
      <c r="T202" s="1264">
        <f t="shared" si="132"/>
        <v>12736000</v>
      </c>
      <c r="U202" s="1264">
        <f t="shared" si="132"/>
        <v>0</v>
      </c>
      <c r="V202" s="1264">
        <f t="shared" si="132"/>
        <v>0</v>
      </c>
      <c r="W202" s="1264">
        <f t="shared" si="132"/>
        <v>0</v>
      </c>
      <c r="X202" s="2830"/>
      <c r="Y202" s="1538"/>
      <c r="Z202" s="1154"/>
    </row>
    <row r="203" spans="1:26" s="1987" customFormat="1" ht="15" hidden="1" customHeight="1">
      <c r="A203" s="1507"/>
      <c r="B203" s="1619" t="s">
        <v>33</v>
      </c>
      <c r="C203" s="3160"/>
      <c r="D203" s="1223">
        <f>SUM(M203:W203)</f>
        <v>44539800</v>
      </c>
      <c r="E203" s="1223">
        <f t="shared" ref="E203:W203" si="133">+E204+E205</f>
        <v>0</v>
      </c>
      <c r="F203" s="1223">
        <f t="shared" si="133"/>
        <v>0</v>
      </c>
      <c r="G203" s="1223">
        <f t="shared" si="133"/>
        <v>0</v>
      </c>
      <c r="H203" s="1223">
        <f t="shared" si="133"/>
        <v>0</v>
      </c>
      <c r="I203" s="1223">
        <f t="shared" si="133"/>
        <v>0</v>
      </c>
      <c r="J203" s="1223">
        <f t="shared" si="133"/>
        <v>0</v>
      </c>
      <c r="K203" s="1223">
        <f t="shared" si="133"/>
        <v>0</v>
      </c>
      <c r="L203" s="1223">
        <f t="shared" si="133"/>
        <v>0</v>
      </c>
      <c r="M203" s="1223">
        <f t="shared" si="133"/>
        <v>0</v>
      </c>
      <c r="N203" s="1223">
        <f t="shared" si="133"/>
        <v>0</v>
      </c>
      <c r="O203" s="1223">
        <f t="shared" si="133"/>
        <v>0</v>
      </c>
      <c r="P203" s="1223">
        <f t="shared" si="133"/>
        <v>0</v>
      </c>
      <c r="Q203" s="1223">
        <f t="shared" si="133"/>
        <v>0</v>
      </c>
      <c r="R203" s="1223">
        <f>+R204+R205</f>
        <v>2328000</v>
      </c>
      <c r="S203" s="1223">
        <f t="shared" si="133"/>
        <v>29475800</v>
      </c>
      <c r="T203" s="1223">
        <f t="shared" si="133"/>
        <v>12736000</v>
      </c>
      <c r="U203" s="1223">
        <f t="shared" si="133"/>
        <v>0</v>
      </c>
      <c r="V203" s="1223">
        <f t="shared" si="133"/>
        <v>0</v>
      </c>
      <c r="W203" s="1223">
        <f t="shared" si="133"/>
        <v>0</v>
      </c>
      <c r="X203" s="2830"/>
      <c r="Y203" s="1538"/>
      <c r="Z203" s="1154"/>
    </row>
    <row r="204" spans="1:26" s="1987" customFormat="1" ht="27.75" hidden="1" customHeight="1">
      <c r="A204" s="1507"/>
      <c r="B204" s="1537" t="s">
        <v>377</v>
      </c>
      <c r="C204" s="3161" t="s">
        <v>329</v>
      </c>
      <c r="D204" s="3131">
        <f>SUM(M204:W204)</f>
        <v>2675800</v>
      </c>
      <c r="E204" s="3162"/>
      <c r="F204" s="3163"/>
      <c r="G204" s="3163"/>
      <c r="H204" s="3163"/>
      <c r="I204" s="3164"/>
      <c r="J204" s="3164"/>
      <c r="K204" s="3164"/>
      <c r="L204" s="3164"/>
      <c r="M204" s="3165">
        <v>0</v>
      </c>
      <c r="N204" s="3166"/>
      <c r="O204" s="3131">
        <v>0</v>
      </c>
      <c r="P204" s="3131">
        <v>0</v>
      </c>
      <c r="Q204" s="3131">
        <v>0</v>
      </c>
      <c r="R204" s="3131">
        <v>0</v>
      </c>
      <c r="S204" s="3131">
        <f>915000+624800</f>
        <v>1539800</v>
      </c>
      <c r="T204" s="3131">
        <f>511000+625000</f>
        <v>1136000</v>
      </c>
      <c r="U204" s="3131">
        <v>0</v>
      </c>
      <c r="V204" s="3131">
        <v>0</v>
      </c>
      <c r="W204" s="3131">
        <v>0</v>
      </c>
      <c r="X204" s="2830"/>
      <c r="Y204" s="3167"/>
      <c r="Z204" s="1154"/>
    </row>
    <row r="205" spans="1:26" s="1987" customFormat="1" ht="21.75" hidden="1" customHeight="1" thickBot="1">
      <c r="A205" s="1507"/>
      <c r="B205" s="3168" t="s">
        <v>388</v>
      </c>
      <c r="C205" s="3161" t="s">
        <v>289</v>
      </c>
      <c r="D205" s="3138">
        <f>SUM(M205:W205)</f>
        <v>41864000</v>
      </c>
      <c r="E205" s="3162"/>
      <c r="F205" s="3163"/>
      <c r="G205" s="3163"/>
      <c r="H205" s="3163"/>
      <c r="I205" s="3164"/>
      <c r="J205" s="3164"/>
      <c r="K205" s="3164"/>
      <c r="L205" s="3164"/>
      <c r="M205" s="3169">
        <v>0</v>
      </c>
      <c r="N205" s="3170"/>
      <c r="O205" s="3138">
        <v>0</v>
      </c>
      <c r="P205" s="3138">
        <v>0</v>
      </c>
      <c r="Q205" s="3138">
        <v>0</v>
      </c>
      <c r="R205" s="3138">
        <v>2328000</v>
      </c>
      <c r="S205" s="3138">
        <v>27936000</v>
      </c>
      <c r="T205" s="3138">
        <v>11600000</v>
      </c>
      <c r="U205" s="3138">
        <v>0</v>
      </c>
      <c r="V205" s="3138">
        <v>0</v>
      </c>
      <c r="W205" s="3138">
        <v>0</v>
      </c>
      <c r="X205" s="2831"/>
      <c r="Y205" s="3167"/>
      <c r="Z205" s="1154"/>
    </row>
    <row r="206" spans="1:26" s="1987" customFormat="1" ht="27" customHeight="1">
      <c r="A206" s="2867" t="s">
        <v>105</v>
      </c>
      <c r="B206" s="671" t="s">
        <v>407</v>
      </c>
      <c r="C206" s="672" t="s">
        <v>128</v>
      </c>
      <c r="D206" s="693"/>
      <c r="E206" s="1324"/>
      <c r="F206" s="1325"/>
      <c r="G206" s="1325"/>
      <c r="H206" s="1326"/>
      <c r="I206" s="1327"/>
      <c r="J206" s="1327"/>
      <c r="K206" s="1328"/>
      <c r="L206" s="1328"/>
      <c r="M206" s="691"/>
      <c r="N206" s="691"/>
      <c r="O206" s="691"/>
      <c r="P206" s="691"/>
      <c r="Q206" s="1324">
        <f>Q207-Q211</f>
        <v>3345201</v>
      </c>
      <c r="R206" s="691"/>
      <c r="S206" s="691"/>
      <c r="T206" s="691"/>
      <c r="U206" s="691"/>
      <c r="V206" s="691"/>
      <c r="W206" s="870"/>
      <c r="X206" s="1187"/>
      <c r="Y206" s="2822" t="s">
        <v>482</v>
      </c>
      <c r="Z206" s="1154"/>
    </row>
    <row r="207" spans="1:26" s="1987" customFormat="1" ht="21.75" customHeight="1">
      <c r="A207" s="2868"/>
      <c r="B207" s="358" t="s">
        <v>22</v>
      </c>
      <c r="C207" s="1594"/>
      <c r="D207" s="1242">
        <f>+D208+D212</f>
        <v>5490206</v>
      </c>
      <c r="E207" s="1242">
        <f t="shared" ref="E207:Q207" si="134">+E208+E212</f>
        <v>0</v>
      </c>
      <c r="F207" s="1595">
        <f t="shared" si="134"/>
        <v>0</v>
      </c>
      <c r="G207" s="1595">
        <f t="shared" si="134"/>
        <v>0</v>
      </c>
      <c r="H207" s="1595">
        <f t="shared" si="134"/>
        <v>0</v>
      </c>
      <c r="I207" s="1596">
        <f t="shared" si="134"/>
        <v>0</v>
      </c>
      <c r="J207" s="1596">
        <f t="shared" si="134"/>
        <v>0</v>
      </c>
      <c r="K207" s="1596">
        <f t="shared" si="134"/>
        <v>0</v>
      </c>
      <c r="L207" s="1596">
        <f t="shared" si="134"/>
        <v>0</v>
      </c>
      <c r="M207" s="1242">
        <f t="shared" si="134"/>
        <v>0</v>
      </c>
      <c r="N207" s="1242">
        <f t="shared" si="134"/>
        <v>0</v>
      </c>
      <c r="O207" s="1242">
        <f t="shared" si="134"/>
        <v>0</v>
      </c>
      <c r="P207" s="1242">
        <f t="shared" si="134"/>
        <v>163920</v>
      </c>
      <c r="Q207" s="1242">
        <f t="shared" si="134"/>
        <v>3648823</v>
      </c>
      <c r="R207" s="1242">
        <f>+R208+R212</f>
        <v>1677463</v>
      </c>
      <c r="S207" s="1188"/>
      <c r="T207" s="1188"/>
      <c r="U207" s="1188"/>
      <c r="V207" s="1188"/>
      <c r="W207" s="1188"/>
      <c r="X207" s="1597">
        <f>X208+X212</f>
        <v>5035000</v>
      </c>
      <c r="Y207" s="2823"/>
      <c r="Z207" s="1154"/>
    </row>
    <row r="208" spans="1:26" s="1987" customFormat="1">
      <c r="A208" s="2868"/>
      <c r="B208" s="674" t="s">
        <v>36</v>
      </c>
      <c r="C208" s="2825" t="s">
        <v>269</v>
      </c>
      <c r="D208" s="1192">
        <f>SUM(D209:D211)</f>
        <v>1295456</v>
      </c>
      <c r="E208" s="1192">
        <f t="shared" ref="E208:R208" si="135">SUM(E209:E211)</f>
        <v>0</v>
      </c>
      <c r="F208" s="1192">
        <f t="shared" si="135"/>
        <v>0</v>
      </c>
      <c r="G208" s="1192">
        <f t="shared" si="135"/>
        <v>0</v>
      </c>
      <c r="H208" s="1192">
        <f t="shared" si="135"/>
        <v>0</v>
      </c>
      <c r="I208" s="1192">
        <f t="shared" si="135"/>
        <v>0</v>
      </c>
      <c r="J208" s="1192">
        <f t="shared" si="135"/>
        <v>0</v>
      </c>
      <c r="K208" s="1192">
        <f t="shared" si="135"/>
        <v>0</v>
      </c>
      <c r="L208" s="1192">
        <f t="shared" si="135"/>
        <v>0</v>
      </c>
      <c r="M208" s="1192">
        <f t="shared" si="135"/>
        <v>0</v>
      </c>
      <c r="N208" s="1192">
        <f t="shared" si="135"/>
        <v>0</v>
      </c>
      <c r="O208" s="1192">
        <f t="shared" si="135"/>
        <v>0</v>
      </c>
      <c r="P208" s="1192">
        <f t="shared" si="135"/>
        <v>35224</v>
      </c>
      <c r="Q208" s="1192">
        <f t="shared" si="135"/>
        <v>847902</v>
      </c>
      <c r="R208" s="1192">
        <f t="shared" si="135"/>
        <v>412330</v>
      </c>
      <c r="S208" s="1192"/>
      <c r="T208" s="1192"/>
      <c r="U208" s="1192"/>
      <c r="V208" s="1192"/>
      <c r="W208" s="1192"/>
      <c r="X208" s="1195">
        <f>SUM(X209:X210)</f>
        <v>840250</v>
      </c>
      <c r="Y208" s="2823"/>
      <c r="Z208" s="1154"/>
    </row>
    <row r="209" spans="1:26" s="1987" customFormat="1">
      <c r="A209" s="2868"/>
      <c r="B209" s="675" t="s">
        <v>24</v>
      </c>
      <c r="C209" s="2826"/>
      <c r="D209" s="1198">
        <f>M209+O209+P209+Q209+R209+S209+T209+U209+V209+W209</f>
        <v>100000</v>
      </c>
      <c r="E209" s="1420"/>
      <c r="F209" s="1421"/>
      <c r="G209" s="1421"/>
      <c r="H209" s="1421"/>
      <c r="I209" s="1422"/>
      <c r="J209" s="1422"/>
      <c r="K209" s="1422"/>
      <c r="L209" s="1422"/>
      <c r="M209" s="1420"/>
      <c r="N209" s="1420"/>
      <c r="O209" s="1420"/>
      <c r="P209" s="1598">
        <f>37500-24987</f>
        <v>12513</v>
      </c>
      <c r="Q209" s="1598">
        <v>50000</v>
      </c>
      <c r="R209" s="1598">
        <f>12500+24987</f>
        <v>37487</v>
      </c>
      <c r="S209" s="1599"/>
      <c r="T209" s="1599"/>
      <c r="U209" s="1599"/>
      <c r="V209" s="1599"/>
      <c r="W209" s="1599"/>
      <c r="X209" s="1166">
        <f>SUM(P209:T209)</f>
        <v>100000</v>
      </c>
      <c r="Y209" s="2823"/>
      <c r="Z209" s="1154"/>
    </row>
    <row r="210" spans="1:26" s="1987" customFormat="1">
      <c r="A210" s="2868"/>
      <c r="B210" s="675" t="s">
        <v>25</v>
      </c>
      <c r="C210" s="2827"/>
      <c r="D210" s="1198">
        <f>M210+O210+P210+Q210+R210+S210+T210+U210+V210+W210</f>
        <v>740250</v>
      </c>
      <c r="E210" s="1198">
        <v>0</v>
      </c>
      <c r="F210" s="1199"/>
      <c r="G210" s="1199"/>
      <c r="H210" s="1199">
        <v>0</v>
      </c>
      <c r="I210" s="1200"/>
      <c r="J210" s="1200"/>
      <c r="K210" s="1200"/>
      <c r="L210" s="1200"/>
      <c r="M210" s="1198">
        <f>+E210+I210+J210+K210+L210+N210</f>
        <v>0</v>
      </c>
      <c r="N210" s="1198">
        <v>0</v>
      </c>
      <c r="O210" s="1198">
        <v>0</v>
      </c>
      <c r="P210" s="676">
        <f>165740-143029</f>
        <v>22711</v>
      </c>
      <c r="Q210" s="676">
        <f>412301+81979</f>
        <v>494280</v>
      </c>
      <c r="R210" s="676">
        <f>163259+60000</f>
        <v>223259</v>
      </c>
      <c r="S210" s="676"/>
      <c r="T210" s="676"/>
      <c r="U210" s="676"/>
      <c r="V210" s="676"/>
      <c r="W210" s="676"/>
      <c r="X210" s="1166">
        <f>SUM(P210:T210)</f>
        <v>740250</v>
      </c>
      <c r="Y210" s="2823"/>
      <c r="Z210" s="1154"/>
    </row>
    <row r="211" spans="1:26" s="1987" customFormat="1">
      <c r="A211" s="2868"/>
      <c r="B211" s="1531" t="s">
        <v>45</v>
      </c>
      <c r="C211" s="2827"/>
      <c r="D211" s="1198">
        <f>M211+O211+P211+Q211+R211+S211+T211+U211+V211+W211</f>
        <v>455206</v>
      </c>
      <c r="E211" s="1424"/>
      <c r="F211" s="1425"/>
      <c r="G211" s="1425"/>
      <c r="H211" s="1425"/>
      <c r="I211" s="1426"/>
      <c r="J211" s="1426"/>
      <c r="K211" s="1426"/>
      <c r="L211" s="1426"/>
      <c r="M211" s="1424"/>
      <c r="N211" s="1424"/>
      <c r="O211" s="1424"/>
      <c r="P211" s="676">
        <f>88889-88889</f>
        <v>0</v>
      </c>
      <c r="Q211" s="676">
        <f>255556+48066</f>
        <v>303622</v>
      </c>
      <c r="R211" s="676">
        <f>110761+40823</f>
        <v>151584</v>
      </c>
      <c r="S211" s="676"/>
      <c r="T211" s="676"/>
      <c r="U211" s="676"/>
      <c r="V211" s="676"/>
      <c r="W211" s="676"/>
      <c r="X211" s="1600" t="s">
        <v>77</v>
      </c>
      <c r="Y211" s="2823"/>
      <c r="Z211" s="1154"/>
    </row>
    <row r="212" spans="1:26" s="1987" customFormat="1">
      <c r="A212" s="2868"/>
      <c r="B212" s="502" t="s">
        <v>30</v>
      </c>
      <c r="C212" s="2827"/>
      <c r="D212" s="1201">
        <f>+D213</f>
        <v>4194750</v>
      </c>
      <c r="E212" s="1201">
        <f t="shared" ref="E212:R212" si="136">E213</f>
        <v>0</v>
      </c>
      <c r="F212" s="1193">
        <f t="shared" si="136"/>
        <v>0</v>
      </c>
      <c r="G212" s="1193">
        <f t="shared" si="136"/>
        <v>0</v>
      </c>
      <c r="H212" s="1193">
        <f t="shared" si="136"/>
        <v>0</v>
      </c>
      <c r="I212" s="1194">
        <f t="shared" si="136"/>
        <v>0</v>
      </c>
      <c r="J212" s="1194">
        <f t="shared" si="136"/>
        <v>0</v>
      </c>
      <c r="K212" s="1194">
        <f t="shared" si="136"/>
        <v>0</v>
      </c>
      <c r="L212" s="1194">
        <f t="shared" si="136"/>
        <v>0</v>
      </c>
      <c r="M212" s="1201">
        <f t="shared" si="136"/>
        <v>0</v>
      </c>
      <c r="N212" s="1201">
        <f t="shared" si="136"/>
        <v>0</v>
      </c>
      <c r="O212" s="1201">
        <f t="shared" si="136"/>
        <v>0</v>
      </c>
      <c r="P212" s="1201">
        <f t="shared" si="136"/>
        <v>128696</v>
      </c>
      <c r="Q212" s="1201">
        <f t="shared" si="136"/>
        <v>2800921</v>
      </c>
      <c r="R212" s="1201">
        <f t="shared" si="136"/>
        <v>1265133</v>
      </c>
      <c r="S212" s="1201"/>
      <c r="T212" s="1201"/>
      <c r="U212" s="1201"/>
      <c r="V212" s="1201"/>
      <c r="W212" s="1201"/>
      <c r="X212" s="1195">
        <f>+X213</f>
        <v>4194750</v>
      </c>
      <c r="Y212" s="2823"/>
      <c r="Z212" s="1154"/>
    </row>
    <row r="213" spans="1:26" s="1987" customFormat="1">
      <c r="A213" s="2868"/>
      <c r="B213" s="1202" t="s">
        <v>33</v>
      </c>
      <c r="C213" s="2828"/>
      <c r="D213" s="1198">
        <f>M213+O213+P213+Q213+R213+S213+T213+U213+V213+W213</f>
        <v>4194750</v>
      </c>
      <c r="E213" s="1203">
        <v>0</v>
      </c>
      <c r="F213" s="1204"/>
      <c r="G213" s="1204"/>
      <c r="H213" s="1204">
        <v>0</v>
      </c>
      <c r="I213" s="1205"/>
      <c r="J213" s="1205"/>
      <c r="K213" s="1205"/>
      <c r="L213" s="1205"/>
      <c r="M213" s="1198">
        <f>+E213+I213+J213+K213+L213+N213</f>
        <v>0</v>
      </c>
      <c r="N213" s="1203">
        <v>0</v>
      </c>
      <c r="O213" s="1203">
        <v>0</v>
      </c>
      <c r="P213" s="625">
        <f>939192-810496</f>
        <v>128696</v>
      </c>
      <c r="Q213" s="625">
        <f>2336375+464546</f>
        <v>2800921</v>
      </c>
      <c r="R213" s="625">
        <f>925133+340000</f>
        <v>1265133</v>
      </c>
      <c r="S213" s="625"/>
      <c r="T213" s="625"/>
      <c r="U213" s="625"/>
      <c r="V213" s="625"/>
      <c r="W213" s="625"/>
      <c r="X213" s="1166">
        <f>SUM(P213:T213)</f>
        <v>4194750</v>
      </c>
      <c r="Y213" s="2823"/>
      <c r="Z213" s="1154"/>
    </row>
    <row r="214" spans="1:26" s="1987" customFormat="1">
      <c r="A214" s="2599"/>
      <c r="B214" s="358" t="s">
        <v>34</v>
      </c>
      <c r="C214" s="677"/>
      <c r="D214" s="1188">
        <f>+D215+D217</f>
        <v>4935000</v>
      </c>
      <c r="E214" s="1188">
        <f t="shared" ref="E214:R214" si="137">E215+E217</f>
        <v>0</v>
      </c>
      <c r="F214" s="1189">
        <f t="shared" si="137"/>
        <v>0</v>
      </c>
      <c r="G214" s="1189">
        <f t="shared" si="137"/>
        <v>0</v>
      </c>
      <c r="H214" s="1189">
        <f t="shared" si="137"/>
        <v>0</v>
      </c>
      <c r="I214" s="1190">
        <f t="shared" si="137"/>
        <v>0</v>
      </c>
      <c r="J214" s="1190">
        <f t="shared" si="137"/>
        <v>0</v>
      </c>
      <c r="K214" s="1190">
        <f t="shared" si="137"/>
        <v>0</v>
      </c>
      <c r="L214" s="1190">
        <f t="shared" si="137"/>
        <v>0</v>
      </c>
      <c r="M214" s="1188">
        <f t="shared" si="137"/>
        <v>0</v>
      </c>
      <c r="N214" s="1188">
        <f t="shared" si="137"/>
        <v>0</v>
      </c>
      <c r="O214" s="1188">
        <f t="shared" si="137"/>
        <v>0</v>
      </c>
      <c r="P214" s="1188">
        <f t="shared" si="137"/>
        <v>151407</v>
      </c>
      <c r="Q214" s="1188">
        <f t="shared" si="137"/>
        <v>3295201</v>
      </c>
      <c r="R214" s="1188">
        <f t="shared" si="137"/>
        <v>1488392</v>
      </c>
      <c r="S214" s="1214"/>
      <c r="T214" s="1188"/>
      <c r="U214" s="1188"/>
      <c r="V214" s="1188"/>
      <c r="W214" s="1188"/>
      <c r="X214" s="2829" t="s">
        <v>77</v>
      </c>
      <c r="Y214" s="2823"/>
      <c r="Z214" s="1154"/>
    </row>
    <row r="215" spans="1:26" s="1987" customFormat="1">
      <c r="A215" s="2599"/>
      <c r="B215" s="678" t="s">
        <v>36</v>
      </c>
      <c r="C215" s="2825" t="s">
        <v>269</v>
      </c>
      <c r="D215" s="1192">
        <f>+D216</f>
        <v>740250</v>
      </c>
      <c r="E215" s="1192">
        <f t="shared" ref="E215:R215" si="138">E216</f>
        <v>0</v>
      </c>
      <c r="F215" s="1193">
        <f t="shared" si="138"/>
        <v>0</v>
      </c>
      <c r="G215" s="1193">
        <f t="shared" si="138"/>
        <v>0</v>
      </c>
      <c r="H215" s="1193">
        <f t="shared" si="138"/>
        <v>0</v>
      </c>
      <c r="I215" s="1194">
        <f t="shared" si="138"/>
        <v>0</v>
      </c>
      <c r="J215" s="1194">
        <f t="shared" si="138"/>
        <v>0</v>
      </c>
      <c r="K215" s="1194">
        <f t="shared" si="138"/>
        <v>0</v>
      </c>
      <c r="L215" s="1194">
        <f t="shared" si="138"/>
        <v>0</v>
      </c>
      <c r="M215" s="1192">
        <f t="shared" si="138"/>
        <v>0</v>
      </c>
      <c r="N215" s="1192">
        <f t="shared" si="138"/>
        <v>0</v>
      </c>
      <c r="O215" s="1192">
        <f t="shared" si="138"/>
        <v>0</v>
      </c>
      <c r="P215" s="1192">
        <f t="shared" si="138"/>
        <v>22711</v>
      </c>
      <c r="Q215" s="1192">
        <f t="shared" si="138"/>
        <v>494280</v>
      </c>
      <c r="R215" s="1192">
        <f t="shared" si="138"/>
        <v>223259</v>
      </c>
      <c r="S215" s="1215"/>
      <c r="T215" s="1192"/>
      <c r="U215" s="1192"/>
      <c r="V215" s="1192"/>
      <c r="W215" s="1192"/>
      <c r="X215" s="2830"/>
      <c r="Y215" s="2823"/>
      <c r="Z215" s="1154"/>
    </row>
    <row r="216" spans="1:26" s="1987" customFormat="1">
      <c r="A216" s="2599"/>
      <c r="B216" s="679" t="s">
        <v>25</v>
      </c>
      <c r="C216" s="2827"/>
      <c r="D216" s="1198">
        <f>M216+O216+P216+Q216+R216+S216+T216+U216+V216+W216</f>
        <v>740250</v>
      </c>
      <c r="E216" s="1206">
        <v>0</v>
      </c>
      <c r="F216" s="1207"/>
      <c r="G216" s="1207"/>
      <c r="H216" s="1207"/>
      <c r="I216" s="1208"/>
      <c r="J216" s="1208"/>
      <c r="K216" s="1208"/>
      <c r="L216" s="1208"/>
      <c r="M216" s="1198">
        <f>+E216+I216+J216+K216+L216+N216</f>
        <v>0</v>
      </c>
      <c r="N216" s="1206">
        <v>0</v>
      </c>
      <c r="O216" s="1206">
        <v>0</v>
      </c>
      <c r="P216" s="1206">
        <f>165740-143029</f>
        <v>22711</v>
      </c>
      <c r="Q216" s="1206">
        <f>412301+81979</f>
        <v>494280</v>
      </c>
      <c r="R216" s="1206">
        <f>163259+60000</f>
        <v>223259</v>
      </c>
      <c r="S216" s="1206"/>
      <c r="T216" s="1206"/>
      <c r="U216" s="1206"/>
      <c r="V216" s="1206"/>
      <c r="W216" s="1206"/>
      <c r="X216" s="2830"/>
      <c r="Y216" s="2823"/>
      <c r="Z216" s="1154"/>
    </row>
    <row r="217" spans="1:26" s="1987" customFormat="1">
      <c r="A217" s="2599"/>
      <c r="B217" s="1209" t="s">
        <v>30</v>
      </c>
      <c r="C217" s="2827"/>
      <c r="D217" s="1201">
        <f>+D218</f>
        <v>4194750</v>
      </c>
      <c r="E217" s="1201">
        <f t="shared" ref="E217:R217" si="139">E218</f>
        <v>0</v>
      </c>
      <c r="F217" s="1193">
        <f t="shared" si="139"/>
        <v>0</v>
      </c>
      <c r="G217" s="1193">
        <f t="shared" si="139"/>
        <v>0</v>
      </c>
      <c r="H217" s="1193">
        <f t="shared" si="139"/>
        <v>0</v>
      </c>
      <c r="I217" s="1194">
        <f t="shared" si="139"/>
        <v>0</v>
      </c>
      <c r="J217" s="1194">
        <f t="shared" si="139"/>
        <v>0</v>
      </c>
      <c r="K217" s="1194">
        <f t="shared" si="139"/>
        <v>0</v>
      </c>
      <c r="L217" s="1194">
        <f t="shared" si="139"/>
        <v>0</v>
      </c>
      <c r="M217" s="1201">
        <f t="shared" si="139"/>
        <v>0</v>
      </c>
      <c r="N217" s="1201">
        <f t="shared" si="139"/>
        <v>0</v>
      </c>
      <c r="O217" s="1201">
        <f t="shared" si="139"/>
        <v>0</v>
      </c>
      <c r="P217" s="1201">
        <f t="shared" si="139"/>
        <v>128696</v>
      </c>
      <c r="Q217" s="1201">
        <f t="shared" si="139"/>
        <v>2800921</v>
      </c>
      <c r="R217" s="1201">
        <f t="shared" si="139"/>
        <v>1265133</v>
      </c>
      <c r="S217" s="1216"/>
      <c r="T217" s="1201"/>
      <c r="U217" s="1201"/>
      <c r="V217" s="1201"/>
      <c r="W217" s="1201"/>
      <c r="X217" s="2830"/>
      <c r="Y217" s="2823"/>
      <c r="Z217" s="1154"/>
    </row>
    <row r="218" spans="1:26" s="1987" customFormat="1" ht="13.5" thickBot="1">
      <c r="A218" s="2600"/>
      <c r="B218" s="1210" t="s">
        <v>33</v>
      </c>
      <c r="C218" s="2832"/>
      <c r="D218" s="680">
        <f>M218+O218+P218+Q218+R218+S218+T218+U218+V218+W218</f>
        <v>4194750</v>
      </c>
      <c r="E218" s="681">
        <v>0</v>
      </c>
      <c r="F218" s="1211"/>
      <c r="G218" s="1211"/>
      <c r="H218" s="1211">
        <v>0</v>
      </c>
      <c r="I218" s="1212"/>
      <c r="J218" s="1212"/>
      <c r="K218" s="1212"/>
      <c r="L218" s="1212"/>
      <c r="M218" s="684">
        <f>+E218+I218+J218+K218+L218+N218</f>
        <v>0</v>
      </c>
      <c r="N218" s="681">
        <v>0</v>
      </c>
      <c r="O218" s="681">
        <v>0</v>
      </c>
      <c r="P218" s="681">
        <f>939192-810496</f>
        <v>128696</v>
      </c>
      <c r="Q218" s="681">
        <f>2336375+464546</f>
        <v>2800921</v>
      </c>
      <c r="R218" s="681">
        <f>925133+340000</f>
        <v>1265133</v>
      </c>
      <c r="S218" s="681"/>
      <c r="T218" s="681"/>
      <c r="U218" s="681"/>
      <c r="V218" s="681"/>
      <c r="W218" s="681"/>
      <c r="X218" s="2831"/>
      <c r="Y218" s="2824"/>
      <c r="Z218" s="1154"/>
    </row>
    <row r="219" spans="1:26" s="1987" customFormat="1" ht="39" customHeight="1">
      <c r="A219" s="2867" t="s">
        <v>106</v>
      </c>
      <c r="B219" s="671" t="s">
        <v>549</v>
      </c>
      <c r="C219" s="672" t="s">
        <v>97</v>
      </c>
      <c r="D219" s="693"/>
      <c r="E219" s="1324"/>
      <c r="F219" s="1325"/>
      <c r="G219" s="1325"/>
      <c r="H219" s="1326"/>
      <c r="I219" s="1327"/>
      <c r="J219" s="1327"/>
      <c r="K219" s="1328"/>
      <c r="L219" s="1328"/>
      <c r="M219" s="691"/>
      <c r="N219" s="691"/>
      <c r="O219" s="691"/>
      <c r="P219" s="691"/>
      <c r="Q219" s="691"/>
      <c r="R219" s="691"/>
      <c r="S219" s="691"/>
      <c r="T219" s="691"/>
      <c r="U219" s="691"/>
      <c r="V219" s="691"/>
      <c r="W219" s="870"/>
      <c r="X219" s="1187"/>
      <c r="Y219" s="2822" t="s">
        <v>482</v>
      </c>
      <c r="Z219" s="1154"/>
    </row>
    <row r="220" spans="1:26" s="1987" customFormat="1">
      <c r="A220" s="2868"/>
      <c r="B220" s="358" t="s">
        <v>22</v>
      </c>
      <c r="C220" s="1594"/>
      <c r="D220" s="1242">
        <f t="shared" ref="D220:R220" si="140">+D221+D223</f>
        <v>7000</v>
      </c>
      <c r="E220" s="1242">
        <f t="shared" si="140"/>
        <v>0</v>
      </c>
      <c r="F220" s="1595">
        <f t="shared" si="140"/>
        <v>0</v>
      </c>
      <c r="G220" s="1595">
        <f t="shared" si="140"/>
        <v>0</v>
      </c>
      <c r="H220" s="1595">
        <f t="shared" si="140"/>
        <v>0</v>
      </c>
      <c r="I220" s="1596">
        <f t="shared" si="140"/>
        <v>0</v>
      </c>
      <c r="J220" s="1596">
        <f t="shared" si="140"/>
        <v>0</v>
      </c>
      <c r="K220" s="1596">
        <f t="shared" si="140"/>
        <v>0</v>
      </c>
      <c r="L220" s="1596">
        <f t="shared" si="140"/>
        <v>0</v>
      </c>
      <c r="M220" s="1242">
        <f t="shared" si="140"/>
        <v>0</v>
      </c>
      <c r="N220" s="1242">
        <f t="shared" si="140"/>
        <v>0</v>
      </c>
      <c r="O220" s="1242">
        <f t="shared" si="140"/>
        <v>0</v>
      </c>
      <c r="P220" s="1242">
        <f t="shared" si="140"/>
        <v>7000</v>
      </c>
      <c r="Q220" s="1242">
        <f t="shared" si="140"/>
        <v>0</v>
      </c>
      <c r="R220" s="1242">
        <f t="shared" si="140"/>
        <v>0</v>
      </c>
      <c r="S220" s="1188"/>
      <c r="T220" s="1188"/>
      <c r="U220" s="1188"/>
      <c r="V220" s="1188"/>
      <c r="W220" s="1188"/>
      <c r="X220" s="1597">
        <f>X221+X223</f>
        <v>7000</v>
      </c>
      <c r="Y220" s="2823"/>
      <c r="Z220" s="1154"/>
    </row>
    <row r="221" spans="1:26" s="1987" customFormat="1">
      <c r="A221" s="2868"/>
      <c r="B221" s="674" t="s">
        <v>36</v>
      </c>
      <c r="C221" s="2825" t="s">
        <v>269</v>
      </c>
      <c r="D221" s="1192">
        <f t="shared" ref="D221:R221" si="141">SUM(D222:D222)</f>
        <v>1050</v>
      </c>
      <c r="E221" s="1192">
        <f t="shared" si="141"/>
        <v>0</v>
      </c>
      <c r="F221" s="1192">
        <f t="shared" si="141"/>
        <v>0</v>
      </c>
      <c r="G221" s="1192">
        <f t="shared" si="141"/>
        <v>0</v>
      </c>
      <c r="H221" s="1192">
        <f t="shared" si="141"/>
        <v>0</v>
      </c>
      <c r="I221" s="1192">
        <f t="shared" si="141"/>
        <v>0</v>
      </c>
      <c r="J221" s="1192">
        <f t="shared" si="141"/>
        <v>0</v>
      </c>
      <c r="K221" s="1192">
        <f t="shared" si="141"/>
        <v>0</v>
      </c>
      <c r="L221" s="1192">
        <f t="shared" si="141"/>
        <v>0</v>
      </c>
      <c r="M221" s="1192">
        <f t="shared" si="141"/>
        <v>0</v>
      </c>
      <c r="N221" s="1192">
        <f t="shared" si="141"/>
        <v>0</v>
      </c>
      <c r="O221" s="1192">
        <f t="shared" si="141"/>
        <v>0</v>
      </c>
      <c r="P221" s="1192">
        <f t="shared" si="141"/>
        <v>1050</v>
      </c>
      <c r="Q221" s="1192">
        <f t="shared" si="141"/>
        <v>0</v>
      </c>
      <c r="R221" s="1192">
        <f t="shared" si="141"/>
        <v>0</v>
      </c>
      <c r="S221" s="1192"/>
      <c r="T221" s="1192"/>
      <c r="U221" s="1192"/>
      <c r="V221" s="1192"/>
      <c r="W221" s="1192"/>
      <c r="X221" s="1195">
        <f>SUM(X222:X222)</f>
        <v>1050</v>
      </c>
      <c r="Y221" s="2823"/>
      <c r="Z221" s="1154"/>
    </row>
    <row r="222" spans="1:26" s="1987" customFormat="1">
      <c r="A222" s="2868"/>
      <c r="B222" s="675" t="s">
        <v>25</v>
      </c>
      <c r="C222" s="2827"/>
      <c r="D222" s="1198">
        <f>M222+O222+P222+Q222+R222+S222+T222+U222+V222+W222</f>
        <v>1050</v>
      </c>
      <c r="E222" s="1198">
        <v>0</v>
      </c>
      <c r="F222" s="1199"/>
      <c r="G222" s="1199"/>
      <c r="H222" s="1199">
        <v>0</v>
      </c>
      <c r="I222" s="1200"/>
      <c r="J222" s="1200"/>
      <c r="K222" s="1200"/>
      <c r="L222" s="1200"/>
      <c r="M222" s="1198">
        <f>+E222+I222+J222+K222+L222+N222</f>
        <v>0</v>
      </c>
      <c r="N222" s="1198">
        <v>0</v>
      </c>
      <c r="O222" s="1198">
        <v>0</v>
      </c>
      <c r="P222" s="676">
        <v>1050</v>
      </c>
      <c r="Q222" s="676">
        <v>0</v>
      </c>
      <c r="R222" s="676">
        <v>0</v>
      </c>
      <c r="S222" s="676"/>
      <c r="T222" s="676"/>
      <c r="U222" s="676"/>
      <c r="V222" s="676"/>
      <c r="W222" s="676"/>
      <c r="X222" s="1166">
        <f>SUM(P222:T222)</f>
        <v>1050</v>
      </c>
      <c r="Y222" s="2823"/>
      <c r="Z222" s="1154"/>
    </row>
    <row r="223" spans="1:26" s="1987" customFormat="1">
      <c r="A223" s="2868"/>
      <c r="B223" s="502" t="s">
        <v>30</v>
      </c>
      <c r="C223" s="2827"/>
      <c r="D223" s="1201">
        <f>+D224</f>
        <v>5950</v>
      </c>
      <c r="E223" s="1201">
        <f t="shared" ref="E223:R223" si="142">E224</f>
        <v>0</v>
      </c>
      <c r="F223" s="1193">
        <f t="shared" si="142"/>
        <v>0</v>
      </c>
      <c r="G223" s="1193">
        <f t="shared" si="142"/>
        <v>0</v>
      </c>
      <c r="H223" s="1193">
        <f t="shared" si="142"/>
        <v>0</v>
      </c>
      <c r="I223" s="1194">
        <f t="shared" si="142"/>
        <v>0</v>
      </c>
      <c r="J223" s="1194">
        <f t="shared" si="142"/>
        <v>0</v>
      </c>
      <c r="K223" s="1194">
        <f t="shared" si="142"/>
        <v>0</v>
      </c>
      <c r="L223" s="1194">
        <f t="shared" si="142"/>
        <v>0</v>
      </c>
      <c r="M223" s="1201">
        <f t="shared" si="142"/>
        <v>0</v>
      </c>
      <c r="N223" s="1201">
        <f t="shared" si="142"/>
        <v>0</v>
      </c>
      <c r="O223" s="1201">
        <f t="shared" si="142"/>
        <v>0</v>
      </c>
      <c r="P223" s="1201">
        <f t="shared" si="142"/>
        <v>5950</v>
      </c>
      <c r="Q223" s="1201">
        <f t="shared" si="142"/>
        <v>0</v>
      </c>
      <c r="R223" s="1201">
        <f t="shared" si="142"/>
        <v>0</v>
      </c>
      <c r="S223" s="1201"/>
      <c r="T223" s="1201"/>
      <c r="U223" s="1201"/>
      <c r="V223" s="1201"/>
      <c r="W223" s="1201"/>
      <c r="X223" s="1195">
        <f>+X224</f>
        <v>5950</v>
      </c>
      <c r="Y223" s="2823"/>
      <c r="Z223" s="1154"/>
    </row>
    <row r="224" spans="1:26" s="1987" customFormat="1">
      <c r="A224" s="2868"/>
      <c r="B224" s="1202" t="s">
        <v>33</v>
      </c>
      <c r="C224" s="2828"/>
      <c r="D224" s="1198">
        <f>M224+O224+P224+Q224+R224+S224+T224+U224+V224+W224</f>
        <v>5950</v>
      </c>
      <c r="E224" s="1203">
        <v>0</v>
      </c>
      <c r="F224" s="1204"/>
      <c r="G224" s="1204"/>
      <c r="H224" s="1204">
        <v>0</v>
      </c>
      <c r="I224" s="1205"/>
      <c r="J224" s="1205"/>
      <c r="K224" s="1205"/>
      <c r="L224" s="1205"/>
      <c r="M224" s="1198">
        <f>+E224+I224+J224+K224+L224+N224</f>
        <v>0</v>
      </c>
      <c r="N224" s="1203">
        <v>0</v>
      </c>
      <c r="O224" s="1203">
        <v>0</v>
      </c>
      <c r="P224" s="625">
        <v>5950</v>
      </c>
      <c r="Q224" s="625">
        <v>0</v>
      </c>
      <c r="R224" s="625">
        <v>0</v>
      </c>
      <c r="S224" s="625"/>
      <c r="T224" s="625"/>
      <c r="U224" s="625"/>
      <c r="V224" s="625"/>
      <c r="W224" s="625"/>
      <c r="X224" s="1166">
        <f>SUM(P224:T224)</f>
        <v>5950</v>
      </c>
      <c r="Y224" s="2823"/>
      <c r="Z224" s="1154"/>
    </row>
    <row r="225" spans="1:37" s="1987" customFormat="1">
      <c r="A225" s="2599"/>
      <c r="B225" s="358" t="s">
        <v>34</v>
      </c>
      <c r="C225" s="677"/>
      <c r="D225" s="1188">
        <f>+D226+D228</f>
        <v>7000</v>
      </c>
      <c r="E225" s="1188">
        <f t="shared" ref="E225:R225" si="143">E226+E228</f>
        <v>0</v>
      </c>
      <c r="F225" s="1189">
        <f t="shared" si="143"/>
        <v>0</v>
      </c>
      <c r="G225" s="1189">
        <f t="shared" si="143"/>
        <v>0</v>
      </c>
      <c r="H225" s="1189">
        <f t="shared" si="143"/>
        <v>0</v>
      </c>
      <c r="I225" s="1190">
        <f t="shared" si="143"/>
        <v>0</v>
      </c>
      <c r="J225" s="1190">
        <f t="shared" si="143"/>
        <v>0</v>
      </c>
      <c r="K225" s="1190">
        <f t="shared" si="143"/>
        <v>0</v>
      </c>
      <c r="L225" s="1190">
        <f t="shared" si="143"/>
        <v>0</v>
      </c>
      <c r="M225" s="1188">
        <f t="shared" si="143"/>
        <v>0</v>
      </c>
      <c r="N225" s="1188">
        <f t="shared" si="143"/>
        <v>0</v>
      </c>
      <c r="O225" s="1188">
        <f t="shared" si="143"/>
        <v>0</v>
      </c>
      <c r="P225" s="1188">
        <f t="shared" si="143"/>
        <v>7000</v>
      </c>
      <c r="Q225" s="1188">
        <f t="shared" si="143"/>
        <v>0</v>
      </c>
      <c r="R225" s="1188">
        <f t="shared" si="143"/>
        <v>0</v>
      </c>
      <c r="S225" s="1214"/>
      <c r="T225" s="1188"/>
      <c r="U225" s="1188"/>
      <c r="V225" s="1188"/>
      <c r="W225" s="1188"/>
      <c r="X225" s="2829" t="s">
        <v>77</v>
      </c>
      <c r="Y225" s="2823"/>
      <c r="Z225" s="1154"/>
    </row>
    <row r="226" spans="1:37" s="1987" customFormat="1">
      <c r="A226" s="2599"/>
      <c r="B226" s="678" t="s">
        <v>36</v>
      </c>
      <c r="C226" s="2825" t="s">
        <v>269</v>
      </c>
      <c r="D226" s="1192">
        <f>+D227</f>
        <v>1050</v>
      </c>
      <c r="E226" s="1192">
        <f t="shared" ref="E226:R226" si="144">E227</f>
        <v>0</v>
      </c>
      <c r="F226" s="1193">
        <f t="shared" si="144"/>
        <v>0</v>
      </c>
      <c r="G226" s="1193">
        <f t="shared" si="144"/>
        <v>0</v>
      </c>
      <c r="H226" s="1193">
        <f t="shared" si="144"/>
        <v>0</v>
      </c>
      <c r="I226" s="1194">
        <f t="shared" si="144"/>
        <v>0</v>
      </c>
      <c r="J226" s="1194">
        <f t="shared" si="144"/>
        <v>0</v>
      </c>
      <c r="K226" s="1194">
        <f t="shared" si="144"/>
        <v>0</v>
      </c>
      <c r="L226" s="1194">
        <f t="shared" si="144"/>
        <v>0</v>
      </c>
      <c r="M226" s="1192">
        <f t="shared" si="144"/>
        <v>0</v>
      </c>
      <c r="N226" s="1192">
        <f t="shared" si="144"/>
        <v>0</v>
      </c>
      <c r="O226" s="1192">
        <f t="shared" si="144"/>
        <v>0</v>
      </c>
      <c r="P226" s="1192">
        <f t="shared" si="144"/>
        <v>1050</v>
      </c>
      <c r="Q226" s="1192">
        <f t="shared" si="144"/>
        <v>0</v>
      </c>
      <c r="R226" s="1192">
        <f t="shared" si="144"/>
        <v>0</v>
      </c>
      <c r="S226" s="1215"/>
      <c r="T226" s="1192"/>
      <c r="U226" s="1192"/>
      <c r="V226" s="1192"/>
      <c r="W226" s="1192"/>
      <c r="X226" s="2830"/>
      <c r="Y226" s="2823"/>
      <c r="Z226" s="1154"/>
    </row>
    <row r="227" spans="1:37" s="1987" customFormat="1">
      <c r="A227" s="2599"/>
      <c r="B227" s="679" t="s">
        <v>25</v>
      </c>
      <c r="C227" s="2827"/>
      <c r="D227" s="1198">
        <f>M227+O227+P227+Q227+R227+S227+T227+U227+V227+W227</f>
        <v>1050</v>
      </c>
      <c r="E227" s="1206">
        <v>0</v>
      </c>
      <c r="F227" s="1207"/>
      <c r="G227" s="1207"/>
      <c r="H227" s="1207"/>
      <c r="I227" s="1208"/>
      <c r="J227" s="1208"/>
      <c r="K227" s="1208"/>
      <c r="L227" s="1208"/>
      <c r="M227" s="1198">
        <f>+E227+I227+J227+K227+L227+N227</f>
        <v>0</v>
      </c>
      <c r="N227" s="1206">
        <v>0</v>
      </c>
      <c r="O227" s="1206">
        <v>0</v>
      </c>
      <c r="P227" s="1206">
        <v>1050</v>
      </c>
      <c r="Q227" s="1206">
        <v>0</v>
      </c>
      <c r="R227" s="1206">
        <v>0</v>
      </c>
      <c r="S227" s="1206"/>
      <c r="T227" s="1206"/>
      <c r="U227" s="1206"/>
      <c r="V227" s="1206"/>
      <c r="W227" s="1206"/>
      <c r="X227" s="2830"/>
      <c r="Y227" s="2823"/>
      <c r="Z227" s="1154"/>
    </row>
    <row r="228" spans="1:37" s="1987" customFormat="1">
      <c r="A228" s="2599"/>
      <c r="B228" s="1209" t="s">
        <v>30</v>
      </c>
      <c r="C228" s="2827"/>
      <c r="D228" s="1201">
        <f>+D229</f>
        <v>5950</v>
      </c>
      <c r="E228" s="1201">
        <f t="shared" ref="E228:R228" si="145">E229</f>
        <v>0</v>
      </c>
      <c r="F228" s="1193">
        <f t="shared" si="145"/>
        <v>0</v>
      </c>
      <c r="G228" s="1193">
        <f t="shared" si="145"/>
        <v>0</v>
      </c>
      <c r="H228" s="1193">
        <f t="shared" si="145"/>
        <v>0</v>
      </c>
      <c r="I228" s="1194">
        <f t="shared" si="145"/>
        <v>0</v>
      </c>
      <c r="J228" s="1194">
        <f t="shared" si="145"/>
        <v>0</v>
      </c>
      <c r="K228" s="1194">
        <f t="shared" si="145"/>
        <v>0</v>
      </c>
      <c r="L228" s="1194">
        <f t="shared" si="145"/>
        <v>0</v>
      </c>
      <c r="M228" s="1201">
        <f t="shared" si="145"/>
        <v>0</v>
      </c>
      <c r="N228" s="1201">
        <f t="shared" si="145"/>
        <v>0</v>
      </c>
      <c r="O228" s="1201">
        <f t="shared" si="145"/>
        <v>0</v>
      </c>
      <c r="P228" s="1201">
        <f t="shared" si="145"/>
        <v>5950</v>
      </c>
      <c r="Q228" s="1201">
        <f t="shared" si="145"/>
        <v>0</v>
      </c>
      <c r="R228" s="1201">
        <f t="shared" si="145"/>
        <v>0</v>
      </c>
      <c r="S228" s="1216"/>
      <c r="T228" s="1201"/>
      <c r="U228" s="1201"/>
      <c r="V228" s="1201"/>
      <c r="W228" s="1201"/>
      <c r="X228" s="2830"/>
      <c r="Y228" s="2823"/>
      <c r="Z228" s="1154"/>
    </row>
    <row r="229" spans="1:37" s="1987" customFormat="1" ht="13.5" thickBot="1">
      <c r="A229" s="2600"/>
      <c r="B229" s="1210" t="s">
        <v>33</v>
      </c>
      <c r="C229" s="2832"/>
      <c r="D229" s="680">
        <f>M229+O229+P229+Q229+R229+S229+T229+U229+V229+W229</f>
        <v>5950</v>
      </c>
      <c r="E229" s="681">
        <v>0</v>
      </c>
      <c r="F229" s="1211"/>
      <c r="G229" s="1211"/>
      <c r="H229" s="1211">
        <v>0</v>
      </c>
      <c r="I229" s="1212"/>
      <c r="J229" s="1212"/>
      <c r="K229" s="1212"/>
      <c r="L229" s="1212"/>
      <c r="M229" s="684">
        <f>+E229+I229+J229+K229+L229+N229</f>
        <v>0</v>
      </c>
      <c r="N229" s="681">
        <v>0</v>
      </c>
      <c r="O229" s="681">
        <v>0</v>
      </c>
      <c r="P229" s="681">
        <v>5950</v>
      </c>
      <c r="Q229" s="681">
        <v>0</v>
      </c>
      <c r="R229" s="681">
        <v>0</v>
      </c>
      <c r="S229" s="681"/>
      <c r="T229" s="681"/>
      <c r="U229" s="681"/>
      <c r="V229" s="681"/>
      <c r="W229" s="681"/>
      <c r="X229" s="2831"/>
      <c r="Y229" s="2824"/>
      <c r="Z229" s="1154"/>
    </row>
    <row r="230" spans="1:37" s="1987" customFormat="1" ht="13.5" thickBot="1">
      <c r="A230" s="2104"/>
      <c r="B230" s="2105"/>
      <c r="C230" s="2106"/>
      <c r="D230" s="2107"/>
      <c r="E230" s="2108"/>
      <c r="F230" s="2109"/>
      <c r="G230" s="2109"/>
      <c r="H230" s="2109"/>
      <c r="I230" s="2110"/>
      <c r="J230" s="2110"/>
      <c r="K230" s="2110"/>
      <c r="L230" s="2110"/>
      <c r="M230" s="2107"/>
      <c r="N230" s="2108"/>
      <c r="O230" s="2108"/>
      <c r="P230" s="2108"/>
      <c r="Q230" s="2108"/>
      <c r="R230" s="2108"/>
      <c r="S230" s="2108"/>
      <c r="T230" s="2108"/>
      <c r="U230" s="2108"/>
      <c r="V230" s="2108"/>
      <c r="W230" s="2108"/>
      <c r="X230" s="2111"/>
      <c r="Y230" s="2112"/>
      <c r="Z230" s="1154"/>
    </row>
    <row r="231" spans="1:37" s="1140" customFormat="1" ht="21" customHeight="1" thickBot="1">
      <c r="A231" s="706" t="s">
        <v>193</v>
      </c>
      <c r="B231" s="707"/>
      <c r="C231" s="707"/>
      <c r="D231" s="1329"/>
      <c r="E231" s="1370"/>
      <c r="F231" s="1371"/>
      <c r="G231" s="1371"/>
      <c r="H231" s="1371"/>
      <c r="I231" s="1372"/>
      <c r="J231" s="1372"/>
      <c r="K231" s="1372"/>
      <c r="L231" s="1372"/>
      <c r="M231" s="1329"/>
      <c r="N231" s="1329"/>
      <c r="O231" s="1329"/>
      <c r="P231" s="1329"/>
      <c r="Q231" s="1329"/>
      <c r="R231" s="1329"/>
      <c r="S231" s="1329"/>
      <c r="T231" s="1329"/>
      <c r="U231" s="1329"/>
      <c r="V231" s="1329"/>
      <c r="W231" s="1329"/>
      <c r="X231" s="1330"/>
      <c r="Y231" s="710"/>
    </row>
    <row r="232" spans="1:37" s="1987" customFormat="1" ht="16.5" customHeight="1">
      <c r="A232" s="704"/>
      <c r="B232" s="765" t="s">
        <v>92</v>
      </c>
      <c r="C232" s="766"/>
      <c r="D232" s="767">
        <f>+D233+D234</f>
        <v>54353667</v>
      </c>
      <c r="E232" s="767">
        <f t="shared" ref="E232:Q232" si="146">+E233+E234</f>
        <v>0</v>
      </c>
      <c r="F232" s="1266">
        <f t="shared" si="146"/>
        <v>0</v>
      </c>
      <c r="G232" s="1266">
        <f t="shared" si="146"/>
        <v>0</v>
      </c>
      <c r="H232" s="1266">
        <f t="shared" si="146"/>
        <v>0</v>
      </c>
      <c r="I232" s="1267">
        <f t="shared" si="146"/>
        <v>156327</v>
      </c>
      <c r="J232" s="1267">
        <f t="shared" si="146"/>
        <v>34555</v>
      </c>
      <c r="K232" s="1267">
        <f t="shared" si="146"/>
        <v>6883394</v>
      </c>
      <c r="L232" s="1267">
        <f t="shared" si="146"/>
        <v>4899792</v>
      </c>
      <c r="M232" s="767">
        <f>+M233+M234</f>
        <v>17713866</v>
      </c>
      <c r="N232" s="767">
        <f t="shared" si="146"/>
        <v>6025272</v>
      </c>
      <c r="O232" s="767">
        <f t="shared" si="146"/>
        <v>6136915</v>
      </c>
      <c r="P232" s="767">
        <f t="shared" si="146"/>
        <v>9219481</v>
      </c>
      <c r="Q232" s="767">
        <f t="shared" si="146"/>
        <v>8871679</v>
      </c>
      <c r="R232" s="767">
        <f>+R233+R234</f>
        <v>7382305</v>
      </c>
      <c r="S232" s="767">
        <f>+S233+S234</f>
        <v>5029421</v>
      </c>
      <c r="T232" s="767">
        <f>+T233+T234</f>
        <v>0</v>
      </c>
      <c r="U232" s="767"/>
      <c r="V232" s="767"/>
      <c r="W232" s="767"/>
      <c r="X232" s="652">
        <f>+X233+X234</f>
        <v>30502886</v>
      </c>
      <c r="Y232" s="2849" t="s">
        <v>77</v>
      </c>
      <c r="Z232" s="1154"/>
    </row>
    <row r="233" spans="1:37" s="1987" customFormat="1" ht="13.5" customHeight="1">
      <c r="A233" s="704"/>
      <c r="B233" s="757" t="s">
        <v>93</v>
      </c>
      <c r="C233" s="758"/>
      <c r="D233" s="759">
        <f>+D247+D251</f>
        <v>52236587</v>
      </c>
      <c r="E233" s="759">
        <f t="shared" ref="E233:Q233" si="147">+E247+E251</f>
        <v>0</v>
      </c>
      <c r="F233" s="1268">
        <f t="shared" si="147"/>
        <v>0</v>
      </c>
      <c r="G233" s="1268">
        <f t="shared" si="147"/>
        <v>0</v>
      </c>
      <c r="H233" s="1268">
        <f t="shared" si="147"/>
        <v>0</v>
      </c>
      <c r="I233" s="1269">
        <f t="shared" si="147"/>
        <v>0</v>
      </c>
      <c r="J233" s="1269">
        <f t="shared" si="147"/>
        <v>0</v>
      </c>
      <c r="K233" s="1269">
        <f t="shared" si="147"/>
        <v>4992196</v>
      </c>
      <c r="L233" s="1269">
        <f t="shared" si="147"/>
        <v>4899789</v>
      </c>
      <c r="M233" s="759">
        <f>+M247+M251</f>
        <v>15616935</v>
      </c>
      <c r="N233" s="759">
        <f t="shared" si="147"/>
        <v>6010424</v>
      </c>
      <c r="O233" s="759">
        <f t="shared" si="147"/>
        <v>6136915</v>
      </c>
      <c r="P233" s="759">
        <f t="shared" si="147"/>
        <v>9205156</v>
      </c>
      <c r="Q233" s="759">
        <f t="shared" si="147"/>
        <v>8865855</v>
      </c>
      <c r="R233" s="759">
        <f>+R247</f>
        <v>7382305</v>
      </c>
      <c r="S233" s="759">
        <f>+S247</f>
        <v>5029421</v>
      </c>
      <c r="T233" s="759">
        <f>+T247</f>
        <v>0</v>
      </c>
      <c r="U233" s="759"/>
      <c r="V233" s="759"/>
      <c r="W233" s="759"/>
      <c r="X233" s="332">
        <f>SUM(P233:T233)</f>
        <v>30482737</v>
      </c>
      <c r="Y233" s="2850"/>
    </row>
    <row r="234" spans="1:37" s="1987" customFormat="1" ht="13.5" customHeight="1" thickBot="1">
      <c r="A234" s="704"/>
      <c r="B234" s="768" t="s">
        <v>21</v>
      </c>
      <c r="C234" s="758"/>
      <c r="D234" s="759">
        <f>+D243</f>
        <v>2117080</v>
      </c>
      <c r="E234" s="759">
        <f>+E243</f>
        <v>0</v>
      </c>
      <c r="F234" s="1268">
        <f>F243</f>
        <v>0</v>
      </c>
      <c r="G234" s="1268">
        <f>G243</f>
        <v>0</v>
      </c>
      <c r="H234" s="1268">
        <f>H243</f>
        <v>0</v>
      </c>
      <c r="I234" s="1269">
        <f>+I243</f>
        <v>156327</v>
      </c>
      <c r="J234" s="1269">
        <f>+J243</f>
        <v>34555</v>
      </c>
      <c r="K234" s="1269">
        <f t="shared" ref="K234:Q234" si="148">+K243</f>
        <v>1891198</v>
      </c>
      <c r="L234" s="1269">
        <f t="shared" si="148"/>
        <v>3</v>
      </c>
      <c r="M234" s="759">
        <f>+M243</f>
        <v>2096931</v>
      </c>
      <c r="N234" s="759">
        <f t="shared" si="148"/>
        <v>14848</v>
      </c>
      <c r="O234" s="759">
        <f t="shared" si="148"/>
        <v>0</v>
      </c>
      <c r="P234" s="759">
        <f t="shared" si="148"/>
        <v>14325</v>
      </c>
      <c r="Q234" s="759">
        <f t="shared" si="148"/>
        <v>5824</v>
      </c>
      <c r="R234" s="1270">
        <f>+R243</f>
        <v>0</v>
      </c>
      <c r="S234" s="1270">
        <f>+S243</f>
        <v>0</v>
      </c>
      <c r="T234" s="1270">
        <f>+T243</f>
        <v>0</v>
      </c>
      <c r="U234" s="1270"/>
      <c r="V234" s="1270"/>
      <c r="W234" s="1270"/>
      <c r="X234" s="654">
        <f>SUM(P234:T234)</f>
        <v>20149</v>
      </c>
      <c r="Y234" s="2850"/>
    </row>
    <row r="235" spans="1:37" s="1274" customFormat="1" ht="16.5" customHeight="1">
      <c r="A235" s="1271"/>
      <c r="B235" s="687" t="s">
        <v>22</v>
      </c>
      <c r="C235" s="688"/>
      <c r="D235" s="658">
        <f>+D236</f>
        <v>54353667</v>
      </c>
      <c r="E235" s="658">
        <f t="shared" ref="E235:T236" si="149">+E236</f>
        <v>0</v>
      </c>
      <c r="F235" s="1155">
        <f t="shared" si="149"/>
        <v>0</v>
      </c>
      <c r="G235" s="1155">
        <f t="shared" si="149"/>
        <v>0</v>
      </c>
      <c r="H235" s="1155">
        <f t="shared" si="149"/>
        <v>0</v>
      </c>
      <c r="I235" s="1156">
        <f t="shared" si="149"/>
        <v>156327</v>
      </c>
      <c r="J235" s="1156">
        <f t="shared" si="149"/>
        <v>34555</v>
      </c>
      <c r="K235" s="1156">
        <f t="shared" si="149"/>
        <v>6883394</v>
      </c>
      <c r="L235" s="1156">
        <f t="shared" si="149"/>
        <v>4899792</v>
      </c>
      <c r="M235" s="658">
        <f t="shared" si="149"/>
        <v>17713866</v>
      </c>
      <c r="N235" s="658">
        <f t="shared" si="149"/>
        <v>6025272</v>
      </c>
      <c r="O235" s="658">
        <f t="shared" si="149"/>
        <v>6136915</v>
      </c>
      <c r="P235" s="658">
        <f t="shared" si="149"/>
        <v>9219481</v>
      </c>
      <c r="Q235" s="658">
        <f t="shared" si="149"/>
        <v>8871679</v>
      </c>
      <c r="R235" s="658">
        <f t="shared" si="149"/>
        <v>7382305</v>
      </c>
      <c r="S235" s="658">
        <f t="shared" si="149"/>
        <v>5029421</v>
      </c>
      <c r="T235" s="658">
        <f t="shared" si="149"/>
        <v>0</v>
      </c>
      <c r="U235" s="658"/>
      <c r="V235" s="658"/>
      <c r="W235" s="658"/>
      <c r="X235" s="1272">
        <f>+X236</f>
        <v>30502886</v>
      </c>
      <c r="Y235" s="2850"/>
      <c r="Z235" s="1273"/>
      <c r="AA235" s="1273"/>
    </row>
    <row r="236" spans="1:37" s="1281" customFormat="1" ht="14.25" customHeight="1">
      <c r="A236" s="712"/>
      <c r="B236" s="659" t="s">
        <v>23</v>
      </c>
      <c r="C236" s="2852" t="s">
        <v>77</v>
      </c>
      <c r="D236" s="1275">
        <f>+D237+D238</f>
        <v>54353667</v>
      </c>
      <c r="E236" s="1275">
        <f t="shared" si="149"/>
        <v>0</v>
      </c>
      <c r="F236" s="1276">
        <f t="shared" si="149"/>
        <v>0</v>
      </c>
      <c r="G236" s="1276">
        <f t="shared" si="149"/>
        <v>0</v>
      </c>
      <c r="H236" s="1276">
        <f t="shared" si="149"/>
        <v>0</v>
      </c>
      <c r="I236" s="1277">
        <f t="shared" si="149"/>
        <v>156327</v>
      </c>
      <c r="J236" s="1277">
        <f t="shared" si="149"/>
        <v>34555</v>
      </c>
      <c r="K236" s="1277">
        <f t="shared" si="149"/>
        <v>6883394</v>
      </c>
      <c r="L236" s="1277">
        <f t="shared" si="149"/>
        <v>4899792</v>
      </c>
      <c r="M236" s="1275">
        <f t="shared" si="149"/>
        <v>17713866</v>
      </c>
      <c r="N236" s="1275">
        <f>+N237+N238</f>
        <v>6025272</v>
      </c>
      <c r="O236" s="1275">
        <f>+O237+O238</f>
        <v>6136915</v>
      </c>
      <c r="P236" s="1275">
        <f t="shared" si="149"/>
        <v>9219481</v>
      </c>
      <c r="Q236" s="1275">
        <f t="shared" si="149"/>
        <v>8871679</v>
      </c>
      <c r="R236" s="1275">
        <f t="shared" si="149"/>
        <v>7382305</v>
      </c>
      <c r="S236" s="1275">
        <f t="shared" si="149"/>
        <v>5029421</v>
      </c>
      <c r="T236" s="1275">
        <f t="shared" si="149"/>
        <v>0</v>
      </c>
      <c r="U236" s="1275"/>
      <c r="V236" s="1275"/>
      <c r="W236" s="1275"/>
      <c r="X236" s="1278">
        <f>+X237+X238</f>
        <v>30502886</v>
      </c>
      <c r="Y236" s="2850"/>
      <c r="Z236" s="1279"/>
      <c r="AA236" s="1280"/>
      <c r="AB236" s="1279"/>
      <c r="AC236" s="1279"/>
      <c r="AD236" s="1279"/>
      <c r="AE236" s="1279"/>
      <c r="AF236" s="1279"/>
      <c r="AG236" s="1279"/>
      <c r="AH236" s="1279"/>
      <c r="AI236" s="1279"/>
      <c r="AJ236" s="1279"/>
      <c r="AK236" s="1279"/>
    </row>
    <row r="237" spans="1:37" s="1167" customFormat="1" ht="13.5" customHeight="1">
      <c r="A237" s="661"/>
      <c r="B237" s="662" t="s">
        <v>24</v>
      </c>
      <c r="C237" s="2853"/>
      <c r="D237" s="1282">
        <f>+D245+D249+D253</f>
        <v>54353667</v>
      </c>
      <c r="E237" s="1282">
        <f>+E245+E249</f>
        <v>0</v>
      </c>
      <c r="F237" s="1283">
        <f t="shared" ref="F237:L237" si="150">+F245+F249</f>
        <v>0</v>
      </c>
      <c r="G237" s="1283">
        <f t="shared" si="150"/>
        <v>0</v>
      </c>
      <c r="H237" s="1283">
        <f t="shared" si="150"/>
        <v>0</v>
      </c>
      <c r="I237" s="1284">
        <f t="shared" si="150"/>
        <v>156327</v>
      </c>
      <c r="J237" s="1284">
        <f t="shared" si="150"/>
        <v>34555</v>
      </c>
      <c r="K237" s="1284">
        <f t="shared" si="150"/>
        <v>6883394</v>
      </c>
      <c r="L237" s="1284">
        <f t="shared" si="150"/>
        <v>4899792</v>
      </c>
      <c r="M237" s="1282">
        <f>+M245+M249+M253</f>
        <v>17713866</v>
      </c>
      <c r="N237" s="1282">
        <f>+N245+N249+N253</f>
        <v>5825272</v>
      </c>
      <c r="O237" s="1282">
        <f>+O245+O249+O253</f>
        <v>6136915</v>
      </c>
      <c r="P237" s="1282">
        <f>+P245+P249+P253</f>
        <v>9219481</v>
      </c>
      <c r="Q237" s="1282">
        <f>+Q245+Q249+Q253</f>
        <v>8871679</v>
      </c>
      <c r="R237" s="1282">
        <f t="shared" ref="R237:S237" si="151">+R245+R249+R253</f>
        <v>7382305</v>
      </c>
      <c r="S237" s="1282">
        <f t="shared" si="151"/>
        <v>5029421</v>
      </c>
      <c r="T237" s="1282">
        <f>+T245+T249</f>
        <v>0</v>
      </c>
      <c r="U237" s="1282"/>
      <c r="V237" s="1282"/>
      <c r="W237" s="1282"/>
      <c r="X237" s="1265">
        <f>SUM(P237:W237)</f>
        <v>30502886</v>
      </c>
      <c r="Y237" s="2850"/>
      <c r="Z237" s="1154"/>
    </row>
    <row r="238" spans="1:37" s="1167" customFormat="1" ht="13.5" customHeight="1">
      <c r="A238" s="661"/>
      <c r="B238" s="662" t="s">
        <v>26</v>
      </c>
      <c r="C238" s="2853"/>
      <c r="D238" s="1282">
        <f t="shared" ref="D238:J238" si="152">+D254</f>
        <v>0</v>
      </c>
      <c r="E238" s="1282">
        <f t="shared" si="152"/>
        <v>0</v>
      </c>
      <c r="F238" s="1283">
        <f t="shared" si="152"/>
        <v>0</v>
      </c>
      <c r="G238" s="1283">
        <f t="shared" si="152"/>
        <v>0</v>
      </c>
      <c r="H238" s="1283">
        <f t="shared" si="152"/>
        <v>0</v>
      </c>
      <c r="I238" s="1284">
        <f t="shared" si="152"/>
        <v>0</v>
      </c>
      <c r="J238" s="1284">
        <f t="shared" si="152"/>
        <v>0</v>
      </c>
      <c r="K238" s="1284">
        <f t="shared" ref="K238:P238" si="153">+K254</f>
        <v>0</v>
      </c>
      <c r="L238" s="1284">
        <f t="shared" si="153"/>
        <v>0</v>
      </c>
      <c r="M238" s="1282">
        <f t="shared" si="153"/>
        <v>0</v>
      </c>
      <c r="N238" s="1282">
        <f t="shared" si="153"/>
        <v>200000</v>
      </c>
      <c r="O238" s="1282">
        <f t="shared" si="153"/>
        <v>0</v>
      </c>
      <c r="P238" s="1282">
        <f t="shared" si="153"/>
        <v>0</v>
      </c>
      <c r="Q238" s="1282">
        <f>+Q254</f>
        <v>0</v>
      </c>
      <c r="R238" s="1282">
        <f>+R254</f>
        <v>0</v>
      </c>
      <c r="S238" s="1282">
        <f>+S254</f>
        <v>0</v>
      </c>
      <c r="T238" s="1282">
        <f>+T254</f>
        <v>0</v>
      </c>
      <c r="U238" s="1282"/>
      <c r="V238" s="1282"/>
      <c r="W238" s="1282"/>
      <c r="X238" s="1265">
        <f>SUM(P238:W238)</f>
        <v>0</v>
      </c>
      <c r="Y238" s="2850"/>
      <c r="Z238" s="1154"/>
    </row>
    <row r="239" spans="1:37" s="1159" customFormat="1" ht="15" customHeight="1">
      <c r="A239" s="655"/>
      <c r="B239" s="501" t="s">
        <v>34</v>
      </c>
      <c r="C239" s="522"/>
      <c r="D239" s="711">
        <f>+D240</f>
        <v>0</v>
      </c>
      <c r="E239" s="711">
        <f t="shared" ref="E239:M240" si="154">+E240</f>
        <v>0</v>
      </c>
      <c r="F239" s="1285">
        <f t="shared" si="154"/>
        <v>0</v>
      </c>
      <c r="G239" s="1285">
        <f t="shared" si="154"/>
        <v>0</v>
      </c>
      <c r="H239" s="1285">
        <f t="shared" si="154"/>
        <v>0</v>
      </c>
      <c r="I239" s="1286">
        <f t="shared" si="154"/>
        <v>0</v>
      </c>
      <c r="J239" s="1286">
        <f t="shared" si="154"/>
        <v>0</v>
      </c>
      <c r="K239" s="1286">
        <f t="shared" si="154"/>
        <v>0</v>
      </c>
      <c r="L239" s="1286">
        <f t="shared" si="154"/>
        <v>0</v>
      </c>
      <c r="M239" s="711">
        <f t="shared" si="154"/>
        <v>0</v>
      </c>
      <c r="N239" s="711">
        <f>+N240</f>
        <v>200000</v>
      </c>
      <c r="O239" s="711">
        <f>+O240</f>
        <v>0</v>
      </c>
      <c r="P239" s="711">
        <f t="shared" ref="P239:T240" si="155">+P240</f>
        <v>0</v>
      </c>
      <c r="Q239" s="711">
        <f t="shared" si="155"/>
        <v>0</v>
      </c>
      <c r="R239" s="711">
        <f t="shared" si="155"/>
        <v>0</v>
      </c>
      <c r="S239" s="711">
        <f t="shared" si="155"/>
        <v>0</v>
      </c>
      <c r="T239" s="711">
        <f t="shared" si="155"/>
        <v>0</v>
      </c>
      <c r="U239" s="711"/>
      <c r="V239" s="711"/>
      <c r="W239" s="711"/>
      <c r="X239" s="2829" t="s">
        <v>77</v>
      </c>
      <c r="Y239" s="2850"/>
      <c r="Z239" s="1158"/>
      <c r="AA239" s="1158"/>
    </row>
    <row r="240" spans="1:37" s="1159" customFormat="1" ht="14.25" customHeight="1">
      <c r="A240" s="655"/>
      <c r="B240" s="659" t="s">
        <v>23</v>
      </c>
      <c r="C240" s="2852" t="s">
        <v>77</v>
      </c>
      <c r="D240" s="1275">
        <f>+D241</f>
        <v>0</v>
      </c>
      <c r="E240" s="1275">
        <f t="shared" si="154"/>
        <v>0</v>
      </c>
      <c r="F240" s="1276">
        <f t="shared" si="154"/>
        <v>0</v>
      </c>
      <c r="G240" s="1276">
        <f t="shared" si="154"/>
        <v>0</v>
      </c>
      <c r="H240" s="1276">
        <f t="shared" si="154"/>
        <v>0</v>
      </c>
      <c r="I240" s="1277">
        <f t="shared" si="154"/>
        <v>0</v>
      </c>
      <c r="J240" s="1277">
        <f t="shared" si="154"/>
        <v>0</v>
      </c>
      <c r="K240" s="1277">
        <f>+K241</f>
        <v>0</v>
      </c>
      <c r="L240" s="1277">
        <f>+L241</f>
        <v>0</v>
      </c>
      <c r="M240" s="1275">
        <f>+M241</f>
        <v>0</v>
      </c>
      <c r="N240" s="1275">
        <f>+N241</f>
        <v>200000</v>
      </c>
      <c r="O240" s="1275">
        <f>+O241</f>
        <v>0</v>
      </c>
      <c r="P240" s="1275">
        <f t="shared" si="155"/>
        <v>0</v>
      </c>
      <c r="Q240" s="1275">
        <f t="shared" si="155"/>
        <v>0</v>
      </c>
      <c r="R240" s="1275">
        <f t="shared" si="155"/>
        <v>0</v>
      </c>
      <c r="S240" s="1275">
        <f t="shared" si="155"/>
        <v>0</v>
      </c>
      <c r="T240" s="1275">
        <f t="shared" si="155"/>
        <v>0</v>
      </c>
      <c r="U240" s="1275"/>
      <c r="V240" s="1275"/>
      <c r="W240" s="1275"/>
      <c r="X240" s="2830"/>
      <c r="Y240" s="2850"/>
      <c r="Z240" s="1158"/>
      <c r="AA240" s="1158"/>
    </row>
    <row r="241" spans="1:26" s="1167" customFormat="1" ht="16.5" customHeight="1" thickBot="1">
      <c r="A241" s="661"/>
      <c r="B241" s="662" t="s">
        <v>26</v>
      </c>
      <c r="C241" s="2853"/>
      <c r="D241" s="1282">
        <f>+D257</f>
        <v>0</v>
      </c>
      <c r="E241" s="1282">
        <f>+E257</f>
        <v>0</v>
      </c>
      <c r="F241" s="1283">
        <f t="shared" ref="F241:T241" si="156">+F257</f>
        <v>0</v>
      </c>
      <c r="G241" s="1283">
        <f t="shared" si="156"/>
        <v>0</v>
      </c>
      <c r="H241" s="1283">
        <f t="shared" si="156"/>
        <v>0</v>
      </c>
      <c r="I241" s="1284">
        <f t="shared" si="156"/>
        <v>0</v>
      </c>
      <c r="J241" s="1284">
        <f t="shared" si="156"/>
        <v>0</v>
      </c>
      <c r="K241" s="1284">
        <f t="shared" si="156"/>
        <v>0</v>
      </c>
      <c r="L241" s="1284">
        <f t="shared" si="156"/>
        <v>0</v>
      </c>
      <c r="M241" s="1282">
        <f>+M257</f>
        <v>0</v>
      </c>
      <c r="N241" s="1282">
        <f t="shared" si="156"/>
        <v>200000</v>
      </c>
      <c r="O241" s="1282">
        <f t="shared" si="156"/>
        <v>0</v>
      </c>
      <c r="P241" s="1282">
        <f>+P257</f>
        <v>0</v>
      </c>
      <c r="Q241" s="1282">
        <f t="shared" si="156"/>
        <v>0</v>
      </c>
      <c r="R241" s="1282">
        <f t="shared" si="156"/>
        <v>0</v>
      </c>
      <c r="S241" s="1282">
        <f t="shared" si="156"/>
        <v>0</v>
      </c>
      <c r="T241" s="1282">
        <f t="shared" si="156"/>
        <v>0</v>
      </c>
      <c r="U241" s="1287"/>
      <c r="V241" s="1287"/>
      <c r="W241" s="1287"/>
      <c r="X241" s="2831"/>
      <c r="Y241" s="2851"/>
      <c r="Z241" s="1157"/>
    </row>
    <row r="242" spans="1:26" s="1179" customFormat="1" ht="24" customHeight="1">
      <c r="A242" s="2867" t="s">
        <v>79</v>
      </c>
      <c r="B242" s="1288" t="s">
        <v>558</v>
      </c>
      <c r="C242" s="1289" t="s">
        <v>97</v>
      </c>
      <c r="D242" s="2858"/>
      <c r="E242" s="2859"/>
      <c r="F242" s="2859"/>
      <c r="G242" s="2859"/>
      <c r="H242" s="2859"/>
      <c r="I242" s="2859"/>
      <c r="J242" s="2859"/>
      <c r="K242" s="2859"/>
      <c r="L242" s="2859"/>
      <c r="M242" s="2859"/>
      <c r="N242" s="2859"/>
      <c r="O242" s="2859"/>
      <c r="P242" s="2859"/>
      <c r="Q242" s="2859"/>
      <c r="R242" s="2859"/>
      <c r="S242" s="2859"/>
      <c r="T242" s="2859"/>
      <c r="U242" s="2859"/>
      <c r="V242" s="2859"/>
      <c r="W242" s="2860"/>
      <c r="X242" s="1217"/>
      <c r="Y242" s="2822" t="s">
        <v>487</v>
      </c>
    </row>
    <row r="243" spans="1:26" s="1179" customFormat="1" ht="15" customHeight="1">
      <c r="A243" s="2868"/>
      <c r="B243" s="501" t="s">
        <v>22</v>
      </c>
      <c r="C243" s="682"/>
      <c r="D243" s="1188">
        <f>+D244</f>
        <v>2117080</v>
      </c>
      <c r="E243" s="1188">
        <f t="shared" ref="E243:X244" si="157">+E244</f>
        <v>0</v>
      </c>
      <c r="F243" s="1189">
        <f t="shared" si="157"/>
        <v>0</v>
      </c>
      <c r="G243" s="1189">
        <f t="shared" si="157"/>
        <v>0</v>
      </c>
      <c r="H243" s="1189">
        <f t="shared" si="157"/>
        <v>0</v>
      </c>
      <c r="I243" s="1190">
        <f t="shared" si="157"/>
        <v>156327</v>
      </c>
      <c r="J243" s="1190">
        <f t="shared" si="157"/>
        <v>34555</v>
      </c>
      <c r="K243" s="1190">
        <f t="shared" si="157"/>
        <v>1891198</v>
      </c>
      <c r="L243" s="1190">
        <f t="shared" si="157"/>
        <v>3</v>
      </c>
      <c r="M243" s="1188">
        <f t="shared" si="157"/>
        <v>2096931</v>
      </c>
      <c r="N243" s="1188">
        <f t="shared" si="157"/>
        <v>14848</v>
      </c>
      <c r="O243" s="1188">
        <f t="shared" si="157"/>
        <v>0</v>
      </c>
      <c r="P243" s="1188">
        <f t="shared" si="157"/>
        <v>14325</v>
      </c>
      <c r="Q243" s="1188">
        <f>+Q244</f>
        <v>5824</v>
      </c>
      <c r="R243" s="2487">
        <v>0</v>
      </c>
      <c r="S243" s="2487">
        <v>0</v>
      </c>
      <c r="T243" s="2487">
        <v>0</v>
      </c>
      <c r="U243" s="2487">
        <v>0</v>
      </c>
      <c r="V243" s="2487">
        <v>0</v>
      </c>
      <c r="W243" s="2487">
        <v>0</v>
      </c>
      <c r="X243" s="1191">
        <f t="shared" si="157"/>
        <v>20149</v>
      </c>
      <c r="Y243" s="2854"/>
      <c r="Z243" s="1154"/>
    </row>
    <row r="244" spans="1:26" s="1179" customFormat="1" ht="12" customHeight="1">
      <c r="A244" s="2868"/>
      <c r="B244" s="674" t="s">
        <v>36</v>
      </c>
      <c r="C244" s="3171" t="s">
        <v>194</v>
      </c>
      <c r="D244" s="1201">
        <f>+D245</f>
        <v>2117080</v>
      </c>
      <c r="E244" s="1201">
        <f t="shared" si="157"/>
        <v>0</v>
      </c>
      <c r="F244" s="1193">
        <f t="shared" si="157"/>
        <v>0</v>
      </c>
      <c r="G244" s="1193">
        <f t="shared" si="157"/>
        <v>0</v>
      </c>
      <c r="H244" s="1193">
        <f t="shared" si="157"/>
        <v>0</v>
      </c>
      <c r="I244" s="1194">
        <f t="shared" si="157"/>
        <v>156327</v>
      </c>
      <c r="J244" s="1194">
        <f t="shared" si="157"/>
        <v>34555</v>
      </c>
      <c r="K244" s="1194">
        <f t="shared" si="157"/>
        <v>1891198</v>
      </c>
      <c r="L244" s="1194">
        <f t="shared" si="157"/>
        <v>3</v>
      </c>
      <c r="M244" s="1201">
        <f t="shared" si="157"/>
        <v>2096931</v>
      </c>
      <c r="N244" s="1201">
        <f t="shared" si="157"/>
        <v>14848</v>
      </c>
      <c r="O244" s="1201">
        <f t="shared" si="157"/>
        <v>0</v>
      </c>
      <c r="P244" s="1201">
        <f t="shared" si="157"/>
        <v>14325</v>
      </c>
      <c r="Q244" s="1201">
        <f>+Q245</f>
        <v>5824</v>
      </c>
      <c r="R244" s="2490">
        <v>0</v>
      </c>
      <c r="S244" s="2490">
        <v>0</v>
      </c>
      <c r="T244" s="2490">
        <v>0</v>
      </c>
      <c r="U244" s="2490">
        <v>0</v>
      </c>
      <c r="V244" s="2490">
        <v>0</v>
      </c>
      <c r="W244" s="2490">
        <v>0</v>
      </c>
      <c r="X244" s="3172">
        <f t="shared" si="157"/>
        <v>20149</v>
      </c>
      <c r="Y244" s="2854"/>
    </row>
    <row r="245" spans="1:26" s="1179" customFormat="1" ht="13.5" customHeight="1" thickBot="1">
      <c r="A245" s="2882"/>
      <c r="B245" s="3173" t="s">
        <v>24</v>
      </c>
      <c r="C245" s="2832"/>
      <c r="D245" s="1119">
        <f>M245+O245+P245+Q245+R245+S245+T245+U245+V245+W245</f>
        <v>2117080</v>
      </c>
      <c r="E245" s="680">
        <v>0</v>
      </c>
      <c r="F245" s="1290">
        <v>0</v>
      </c>
      <c r="G245" s="1290">
        <v>0</v>
      </c>
      <c r="H245" s="1290">
        <v>0</v>
      </c>
      <c r="I245" s="1233">
        <f>153720+2607</f>
        <v>156327</v>
      </c>
      <c r="J245" s="1233">
        <f>25000+1450000+500000-1940000-445</f>
        <v>34555</v>
      </c>
      <c r="K245" s="1233">
        <f>1940000-35000-13802</f>
        <v>1891198</v>
      </c>
      <c r="L245" s="1233">
        <f>35000-34997</f>
        <v>3</v>
      </c>
      <c r="M245" s="684">
        <f>+E245+I245+J245+K245+L245+N245</f>
        <v>2096931</v>
      </c>
      <c r="N245" s="680">
        <f>24347+8150-17649</f>
        <v>14848</v>
      </c>
      <c r="O245" s="680">
        <f>2500+17649-20149</f>
        <v>0</v>
      </c>
      <c r="P245" s="680">
        <f>20149-5824</f>
        <v>14325</v>
      </c>
      <c r="Q245" s="680">
        <v>5824</v>
      </c>
      <c r="R245" s="3174">
        <v>0</v>
      </c>
      <c r="S245" s="3174">
        <v>0</v>
      </c>
      <c r="T245" s="3174">
        <v>0</v>
      </c>
      <c r="U245" s="3174">
        <v>0</v>
      </c>
      <c r="V245" s="3174">
        <v>0</v>
      </c>
      <c r="W245" s="3174">
        <v>0</v>
      </c>
      <c r="X245" s="1291">
        <f>SUM(P245:T245)</f>
        <v>20149</v>
      </c>
      <c r="Y245" s="3175"/>
    </row>
    <row r="246" spans="1:26" s="1179" customFormat="1" ht="36" customHeight="1">
      <c r="A246" s="2861" t="s">
        <v>80</v>
      </c>
      <c r="B246" s="671" t="s">
        <v>270</v>
      </c>
      <c r="C246" s="1289" t="s">
        <v>128</v>
      </c>
      <c r="D246" s="2858"/>
      <c r="E246" s="2859"/>
      <c r="F246" s="2859"/>
      <c r="G246" s="2859"/>
      <c r="H246" s="2859"/>
      <c r="I246" s="2859"/>
      <c r="J246" s="2859"/>
      <c r="K246" s="2859"/>
      <c r="L246" s="2859"/>
      <c r="M246" s="2859"/>
      <c r="N246" s="2859"/>
      <c r="O246" s="2859"/>
      <c r="P246" s="2859"/>
      <c r="Q246" s="2859"/>
      <c r="R246" s="2859"/>
      <c r="S246" s="2859"/>
      <c r="T246" s="2859"/>
      <c r="U246" s="2859"/>
      <c r="V246" s="2859"/>
      <c r="W246" s="2860"/>
      <c r="X246" s="1217"/>
      <c r="Y246" s="2822" t="s">
        <v>488</v>
      </c>
      <c r="Z246" s="1154"/>
    </row>
    <row r="247" spans="1:26" s="1179" customFormat="1" ht="13.5" customHeight="1">
      <c r="A247" s="2862"/>
      <c r="B247" s="358" t="s">
        <v>22</v>
      </c>
      <c r="C247" s="1415"/>
      <c r="D247" s="1416">
        <f>+D248</f>
        <v>52205837</v>
      </c>
      <c r="E247" s="1416">
        <f t="shared" ref="E247:X248" si="158">+E248</f>
        <v>0</v>
      </c>
      <c r="F247" s="1417">
        <f t="shared" si="158"/>
        <v>0</v>
      </c>
      <c r="G247" s="1417">
        <f t="shared" si="158"/>
        <v>0</v>
      </c>
      <c r="H247" s="1417">
        <f t="shared" si="158"/>
        <v>0</v>
      </c>
      <c r="I247" s="1418">
        <f t="shared" si="158"/>
        <v>0</v>
      </c>
      <c r="J247" s="1418">
        <f t="shared" si="158"/>
        <v>0</v>
      </c>
      <c r="K247" s="1418">
        <f t="shared" si="158"/>
        <v>4992196</v>
      </c>
      <c r="L247" s="1418">
        <f t="shared" si="158"/>
        <v>4899789</v>
      </c>
      <c r="M247" s="1416">
        <f t="shared" si="158"/>
        <v>15616935</v>
      </c>
      <c r="N247" s="1416">
        <f t="shared" si="158"/>
        <v>5724950</v>
      </c>
      <c r="O247" s="1416">
        <f t="shared" si="158"/>
        <v>6136915</v>
      </c>
      <c r="P247" s="1416">
        <f t="shared" si="158"/>
        <v>9205156</v>
      </c>
      <c r="Q247" s="1416">
        <f t="shared" si="158"/>
        <v>8835105</v>
      </c>
      <c r="R247" s="1416">
        <f t="shared" si="158"/>
        <v>7382305</v>
      </c>
      <c r="S247" s="1416">
        <f t="shared" si="158"/>
        <v>5029421</v>
      </c>
      <c r="T247" s="1769">
        <f t="shared" si="158"/>
        <v>0</v>
      </c>
      <c r="U247" s="1769">
        <f t="shared" si="158"/>
        <v>0</v>
      </c>
      <c r="V247" s="1769">
        <f t="shared" si="158"/>
        <v>0</v>
      </c>
      <c r="W247" s="1769">
        <f t="shared" si="158"/>
        <v>0</v>
      </c>
      <c r="X247" s="1770">
        <f t="shared" si="158"/>
        <v>30451987</v>
      </c>
      <c r="Y247" s="2854"/>
    </row>
    <row r="248" spans="1:26" s="1179" customFormat="1" ht="13.5" customHeight="1">
      <c r="A248" s="2862"/>
      <c r="B248" s="674" t="s">
        <v>36</v>
      </c>
      <c r="C248" s="2856" t="s">
        <v>184</v>
      </c>
      <c r="D248" s="1771">
        <f>+D249</f>
        <v>52205837</v>
      </c>
      <c r="E248" s="1771">
        <f t="shared" si="158"/>
        <v>0</v>
      </c>
      <c r="F248" s="1772">
        <f t="shared" si="158"/>
        <v>0</v>
      </c>
      <c r="G248" s="1772">
        <f t="shared" si="158"/>
        <v>0</v>
      </c>
      <c r="H248" s="1772">
        <f t="shared" si="158"/>
        <v>0</v>
      </c>
      <c r="I248" s="1773">
        <f t="shared" si="158"/>
        <v>0</v>
      </c>
      <c r="J248" s="1773">
        <f t="shared" si="158"/>
        <v>0</v>
      </c>
      <c r="K248" s="1773">
        <f t="shared" si="158"/>
        <v>4992196</v>
      </c>
      <c r="L248" s="1773">
        <f t="shared" si="158"/>
        <v>4899789</v>
      </c>
      <c r="M248" s="1771">
        <f t="shared" si="158"/>
        <v>15616935</v>
      </c>
      <c r="N248" s="1771">
        <f t="shared" si="158"/>
        <v>5724950</v>
      </c>
      <c r="O248" s="1771">
        <f t="shared" si="158"/>
        <v>6136915</v>
      </c>
      <c r="P248" s="1771">
        <f t="shared" si="158"/>
        <v>9205156</v>
      </c>
      <c r="Q248" s="1771">
        <f t="shared" si="158"/>
        <v>8835105</v>
      </c>
      <c r="R248" s="1435">
        <f t="shared" si="158"/>
        <v>7382305</v>
      </c>
      <c r="S248" s="1435">
        <f t="shared" si="158"/>
        <v>5029421</v>
      </c>
      <c r="T248" s="1774">
        <f t="shared" si="158"/>
        <v>0</v>
      </c>
      <c r="U248" s="1774">
        <f t="shared" si="158"/>
        <v>0</v>
      </c>
      <c r="V248" s="1774">
        <f t="shared" si="158"/>
        <v>0</v>
      </c>
      <c r="W248" s="1774">
        <f t="shared" si="158"/>
        <v>0</v>
      </c>
      <c r="X248" s="1775">
        <f t="shared" si="158"/>
        <v>30451987</v>
      </c>
      <c r="Y248" s="2854"/>
    </row>
    <row r="249" spans="1:26" s="1179" customFormat="1" ht="13.5" customHeight="1" thickBot="1">
      <c r="A249" s="2863"/>
      <c r="B249" s="1776" t="s">
        <v>24</v>
      </c>
      <c r="C249" s="2857"/>
      <c r="D249" s="1119">
        <f>M249+O249+P249+Q249+R249+S249+T249+U249+V249+W249</f>
        <v>52205837</v>
      </c>
      <c r="E249" s="1777">
        <v>0</v>
      </c>
      <c r="F249" s="1290"/>
      <c r="G249" s="1290"/>
      <c r="H249" s="1290"/>
      <c r="I249" s="1233">
        <v>0</v>
      </c>
      <c r="J249" s="1233">
        <f>1125478-1125478</f>
        <v>0</v>
      </c>
      <c r="K249" s="1233">
        <f>7028902-2036706</f>
        <v>4992196</v>
      </c>
      <c r="L249" s="1233">
        <f>8468756-1002327-2055288-511352</f>
        <v>4899789</v>
      </c>
      <c r="M249" s="684">
        <f>+E249+I249+J249+K249+L249+N249</f>
        <v>15616935</v>
      </c>
      <c r="N249" s="1777">
        <f>8580352-876446-1300000-678956</f>
        <v>5724950</v>
      </c>
      <c r="O249" s="1777">
        <f>9259840-3875840+85000+497000-1300000+1470915</f>
        <v>6136915</v>
      </c>
      <c r="P249" s="1777">
        <f>9445041-9445041+300000+130000+8775156</f>
        <v>9205156</v>
      </c>
      <c r="Q249" s="1777">
        <f>0+8835105</f>
        <v>8835105</v>
      </c>
      <c r="R249" s="1778">
        <f>0+7382305</f>
        <v>7382305</v>
      </c>
      <c r="S249" s="1778">
        <v>5029421</v>
      </c>
      <c r="T249" s="1779">
        <v>0</v>
      </c>
      <c r="U249" s="1779">
        <v>0</v>
      </c>
      <c r="V249" s="1779">
        <v>0</v>
      </c>
      <c r="W249" s="1779">
        <v>0</v>
      </c>
      <c r="X249" s="1291">
        <f>SUM(P249:W249)</f>
        <v>30451987</v>
      </c>
      <c r="Y249" s="2855"/>
    </row>
    <row r="250" spans="1:26" s="1179" customFormat="1" ht="51.75" customHeight="1">
      <c r="A250" s="2867" t="s">
        <v>81</v>
      </c>
      <c r="B250" s="671" t="s">
        <v>557</v>
      </c>
      <c r="C250" s="1289" t="s">
        <v>128</v>
      </c>
      <c r="D250" s="3176"/>
      <c r="E250" s="3177"/>
      <c r="F250" s="3177"/>
      <c r="G250" s="3177"/>
      <c r="H250" s="3177"/>
      <c r="I250" s="3177"/>
      <c r="J250" s="3177"/>
      <c r="K250" s="3177"/>
      <c r="L250" s="3177"/>
      <c r="M250" s="3177"/>
      <c r="N250" s="3177"/>
      <c r="O250" s="3177"/>
      <c r="P250" s="3177"/>
      <c r="Q250" s="3177"/>
      <c r="R250" s="3177"/>
      <c r="S250" s="3177"/>
      <c r="T250" s="3177"/>
      <c r="U250" s="3177"/>
      <c r="V250" s="3177"/>
      <c r="W250" s="3178"/>
      <c r="X250" s="3179"/>
      <c r="Y250" s="3180" t="s">
        <v>195</v>
      </c>
      <c r="Z250" s="1154"/>
    </row>
    <row r="251" spans="1:26" s="1179" customFormat="1" ht="13.5" customHeight="1">
      <c r="A251" s="2868"/>
      <c r="B251" s="3181" t="s">
        <v>22</v>
      </c>
      <c r="C251" s="3182"/>
      <c r="D251" s="3183">
        <f>+D252</f>
        <v>30750</v>
      </c>
      <c r="E251" s="3183">
        <f t="shared" ref="E251:W251" si="159">+E252</f>
        <v>0</v>
      </c>
      <c r="F251" s="3184">
        <f t="shared" si="159"/>
        <v>0</v>
      </c>
      <c r="G251" s="3184">
        <f t="shared" si="159"/>
        <v>0</v>
      </c>
      <c r="H251" s="3184">
        <f t="shared" si="159"/>
        <v>0</v>
      </c>
      <c r="I251" s="3185">
        <f t="shared" si="159"/>
        <v>0</v>
      </c>
      <c r="J251" s="3185">
        <f t="shared" si="159"/>
        <v>0</v>
      </c>
      <c r="K251" s="3185">
        <f t="shared" si="159"/>
        <v>0</v>
      </c>
      <c r="L251" s="3185">
        <f t="shared" si="159"/>
        <v>0</v>
      </c>
      <c r="M251" s="3183">
        <f t="shared" si="159"/>
        <v>0</v>
      </c>
      <c r="N251" s="3183">
        <f t="shared" si="159"/>
        <v>285474</v>
      </c>
      <c r="O251" s="3183">
        <f t="shared" si="159"/>
        <v>0</v>
      </c>
      <c r="P251" s="3186">
        <f t="shared" si="159"/>
        <v>0</v>
      </c>
      <c r="Q251" s="3183">
        <f t="shared" si="159"/>
        <v>30750</v>
      </c>
      <c r="R251" s="3186">
        <f t="shared" si="159"/>
        <v>0</v>
      </c>
      <c r="S251" s="3186">
        <f t="shared" si="159"/>
        <v>0</v>
      </c>
      <c r="T251" s="3186">
        <f t="shared" si="159"/>
        <v>0</v>
      </c>
      <c r="U251" s="3186">
        <f t="shared" si="159"/>
        <v>0</v>
      </c>
      <c r="V251" s="3186">
        <f t="shared" si="159"/>
        <v>0</v>
      </c>
      <c r="W251" s="3186">
        <f t="shared" si="159"/>
        <v>0</v>
      </c>
      <c r="X251" s="3187">
        <f>+X252</f>
        <v>30750</v>
      </c>
      <c r="Y251" s="3188"/>
    </row>
    <row r="252" spans="1:26" s="1179" customFormat="1" ht="13.5" customHeight="1">
      <c r="A252" s="2868"/>
      <c r="B252" s="2439" t="s">
        <v>36</v>
      </c>
      <c r="C252" s="3189" t="s">
        <v>538</v>
      </c>
      <c r="D252" s="3190">
        <f>+D253+D254</f>
        <v>30750</v>
      </c>
      <c r="E252" s="3190">
        <f t="shared" ref="E252:L252" si="160">+E254</f>
        <v>0</v>
      </c>
      <c r="F252" s="3191">
        <f t="shared" si="160"/>
        <v>0</v>
      </c>
      <c r="G252" s="3191">
        <f t="shared" si="160"/>
        <v>0</v>
      </c>
      <c r="H252" s="3191">
        <f t="shared" si="160"/>
        <v>0</v>
      </c>
      <c r="I252" s="3192">
        <f t="shared" si="160"/>
        <v>0</v>
      </c>
      <c r="J252" s="3192">
        <f t="shared" si="160"/>
        <v>0</v>
      </c>
      <c r="K252" s="3192">
        <f t="shared" si="160"/>
        <v>0</v>
      </c>
      <c r="L252" s="3192">
        <f t="shared" si="160"/>
        <v>0</v>
      </c>
      <c r="M252" s="3190">
        <f t="shared" ref="M252:X252" si="161">+M253+M254</f>
        <v>0</v>
      </c>
      <c r="N252" s="3190">
        <f t="shared" si="161"/>
        <v>285474</v>
      </c>
      <c r="O252" s="3190">
        <f t="shared" si="161"/>
        <v>0</v>
      </c>
      <c r="P252" s="3193">
        <f t="shared" si="161"/>
        <v>0</v>
      </c>
      <c r="Q252" s="3190">
        <f t="shared" si="161"/>
        <v>30750</v>
      </c>
      <c r="R252" s="3193">
        <f t="shared" si="161"/>
        <v>0</v>
      </c>
      <c r="S252" s="3193">
        <f t="shared" si="161"/>
        <v>0</v>
      </c>
      <c r="T252" s="3193">
        <f t="shared" si="161"/>
        <v>0</v>
      </c>
      <c r="U252" s="3193">
        <f t="shared" si="161"/>
        <v>0</v>
      </c>
      <c r="V252" s="3193">
        <f t="shared" si="161"/>
        <v>0</v>
      </c>
      <c r="W252" s="3193">
        <f t="shared" si="161"/>
        <v>0</v>
      </c>
      <c r="X252" s="3194">
        <f t="shared" si="161"/>
        <v>30750</v>
      </c>
      <c r="Y252" s="3188"/>
    </row>
    <row r="253" spans="1:26" s="1179" customFormat="1" ht="13.5" customHeight="1">
      <c r="A253" s="2868"/>
      <c r="B253" s="3195" t="s">
        <v>24</v>
      </c>
      <c r="C253" s="2826"/>
      <c r="D253" s="3196">
        <f>M253+O253+P253+Q253+R253+S253+T253+U253+V253+W253</f>
        <v>30750</v>
      </c>
      <c r="E253" s="3197">
        <v>0</v>
      </c>
      <c r="F253" s="3198"/>
      <c r="G253" s="3198"/>
      <c r="H253" s="3198"/>
      <c r="I253" s="3199"/>
      <c r="J253" s="3199"/>
      <c r="K253" s="3199"/>
      <c r="L253" s="3199"/>
      <c r="M253" s="3200">
        <v>0</v>
      </c>
      <c r="N253" s="3197">
        <f>530000-201474-243052</f>
        <v>85474</v>
      </c>
      <c r="O253" s="3197">
        <v>0</v>
      </c>
      <c r="P253" s="3201">
        <v>0</v>
      </c>
      <c r="Q253" s="3196">
        <v>30750</v>
      </c>
      <c r="R253" s="3201">
        <v>0</v>
      </c>
      <c r="S253" s="3202">
        <v>0</v>
      </c>
      <c r="T253" s="3202">
        <v>0</v>
      </c>
      <c r="U253" s="3201">
        <v>0</v>
      </c>
      <c r="V253" s="3202">
        <v>0</v>
      </c>
      <c r="W253" s="3202">
        <v>0</v>
      </c>
      <c r="X253" s="3203">
        <f>SUM(P253:T253)</f>
        <v>30750</v>
      </c>
      <c r="Y253" s="3188"/>
    </row>
    <row r="254" spans="1:26" s="1179" customFormat="1" ht="13.5" customHeight="1">
      <c r="A254" s="2868"/>
      <c r="B254" s="1987" t="s">
        <v>26</v>
      </c>
      <c r="C254" s="3204"/>
      <c r="D254" s="3196">
        <f>M254+O254+P254+Q254+R254+S254+T254+U254+V254+W254</f>
        <v>0</v>
      </c>
      <c r="E254" s="3205">
        <v>0</v>
      </c>
      <c r="F254" s="3206"/>
      <c r="G254" s="3206"/>
      <c r="H254" s="3206"/>
      <c r="I254" s="3207">
        <v>0</v>
      </c>
      <c r="J254" s="3207">
        <f>1125478-1125478</f>
        <v>0</v>
      </c>
      <c r="K254" s="3207">
        <v>0</v>
      </c>
      <c r="L254" s="3207">
        <v>0</v>
      </c>
      <c r="M254" s="3200">
        <v>0</v>
      </c>
      <c r="N254" s="3205">
        <v>200000</v>
      </c>
      <c r="O254" s="3205">
        <v>0</v>
      </c>
      <c r="P254" s="3208">
        <v>0</v>
      </c>
      <c r="Q254" s="3208">
        <v>0</v>
      </c>
      <c r="R254" s="3208">
        <v>0</v>
      </c>
      <c r="S254" s="3208">
        <v>0</v>
      </c>
      <c r="T254" s="3208">
        <v>0</v>
      </c>
      <c r="U254" s="3208">
        <v>0</v>
      </c>
      <c r="V254" s="3208">
        <v>0</v>
      </c>
      <c r="W254" s="3208">
        <v>0</v>
      </c>
      <c r="X254" s="3203">
        <f>SUM(P254:W254)</f>
        <v>0</v>
      </c>
      <c r="Y254" s="3188"/>
    </row>
    <row r="255" spans="1:26" s="1987" customFormat="1" ht="13.5" hidden="1" customHeight="1">
      <c r="A255" s="2868"/>
      <c r="B255" s="3181" t="s">
        <v>34</v>
      </c>
      <c r="C255" s="3182"/>
      <c r="D255" s="3183">
        <f>+D256</f>
        <v>0</v>
      </c>
      <c r="E255" s="3183">
        <f t="shared" ref="E255:W255" si="162">+E256</f>
        <v>0</v>
      </c>
      <c r="F255" s="3184">
        <f t="shared" si="162"/>
        <v>0</v>
      </c>
      <c r="G255" s="3184">
        <f t="shared" si="162"/>
        <v>0</v>
      </c>
      <c r="H255" s="3184">
        <f t="shared" si="162"/>
        <v>0</v>
      </c>
      <c r="I255" s="3185">
        <f t="shared" si="162"/>
        <v>0</v>
      </c>
      <c r="J255" s="3185">
        <f t="shared" si="162"/>
        <v>0</v>
      </c>
      <c r="K255" s="3185">
        <f t="shared" si="162"/>
        <v>0</v>
      </c>
      <c r="L255" s="3185">
        <f t="shared" si="162"/>
        <v>0</v>
      </c>
      <c r="M255" s="3183">
        <f t="shared" si="162"/>
        <v>0</v>
      </c>
      <c r="N255" s="3183">
        <f t="shared" si="162"/>
        <v>200000</v>
      </c>
      <c r="O255" s="3183">
        <f t="shared" si="162"/>
        <v>0</v>
      </c>
      <c r="P255" s="3186">
        <f t="shared" si="162"/>
        <v>0</v>
      </c>
      <c r="Q255" s="3186">
        <f t="shared" si="162"/>
        <v>0</v>
      </c>
      <c r="R255" s="3186">
        <f t="shared" si="162"/>
        <v>0</v>
      </c>
      <c r="S255" s="3209">
        <f t="shared" si="162"/>
        <v>0</v>
      </c>
      <c r="T255" s="3186">
        <f t="shared" si="162"/>
        <v>0</v>
      </c>
      <c r="U255" s="3186">
        <f t="shared" si="162"/>
        <v>0</v>
      </c>
      <c r="V255" s="3209">
        <f t="shared" si="162"/>
        <v>0</v>
      </c>
      <c r="W255" s="3186">
        <f t="shared" si="162"/>
        <v>0</v>
      </c>
      <c r="X255" s="2915" t="s">
        <v>35</v>
      </c>
      <c r="Y255" s="3188"/>
    </row>
    <row r="256" spans="1:26" s="1987" customFormat="1" ht="13.5" hidden="1" customHeight="1">
      <c r="A256" s="2599"/>
      <c r="B256" s="2439" t="s">
        <v>36</v>
      </c>
      <c r="C256" s="3189" t="s">
        <v>539</v>
      </c>
      <c r="D256" s="3190">
        <f t="shared" ref="D256:W256" si="163">+D257</f>
        <v>0</v>
      </c>
      <c r="E256" s="3190">
        <f t="shared" si="163"/>
        <v>0</v>
      </c>
      <c r="F256" s="3191">
        <f t="shared" si="163"/>
        <v>0</v>
      </c>
      <c r="G256" s="3191">
        <f t="shared" si="163"/>
        <v>0</v>
      </c>
      <c r="H256" s="3191">
        <f t="shared" si="163"/>
        <v>0</v>
      </c>
      <c r="I256" s="3192">
        <f t="shared" si="163"/>
        <v>0</v>
      </c>
      <c r="J256" s="3192">
        <f t="shared" si="163"/>
        <v>0</v>
      </c>
      <c r="K256" s="3192">
        <f t="shared" si="163"/>
        <v>0</v>
      </c>
      <c r="L256" s="3192">
        <f t="shared" si="163"/>
        <v>0</v>
      </c>
      <c r="M256" s="3190">
        <f t="shared" si="163"/>
        <v>0</v>
      </c>
      <c r="N256" s="3190">
        <f t="shared" si="163"/>
        <v>200000</v>
      </c>
      <c r="O256" s="3190">
        <f t="shared" si="163"/>
        <v>0</v>
      </c>
      <c r="P256" s="3193">
        <f t="shared" si="163"/>
        <v>0</v>
      </c>
      <c r="Q256" s="3193">
        <f t="shared" si="163"/>
        <v>0</v>
      </c>
      <c r="R256" s="3193">
        <f t="shared" si="163"/>
        <v>0</v>
      </c>
      <c r="S256" s="3210">
        <f t="shared" si="163"/>
        <v>0</v>
      </c>
      <c r="T256" s="3211">
        <f t="shared" si="163"/>
        <v>0</v>
      </c>
      <c r="U256" s="3193">
        <f t="shared" si="163"/>
        <v>0</v>
      </c>
      <c r="V256" s="3210">
        <f t="shared" si="163"/>
        <v>0</v>
      </c>
      <c r="W256" s="3211">
        <f t="shared" si="163"/>
        <v>0</v>
      </c>
      <c r="X256" s="2830"/>
      <c r="Y256" s="3188"/>
    </row>
    <row r="257" spans="1:25" s="1987" customFormat="1" ht="12.75" hidden="1" customHeight="1" thickBot="1">
      <c r="A257" s="2600"/>
      <c r="B257" s="2475" t="s">
        <v>26</v>
      </c>
      <c r="C257" s="2857"/>
      <c r="D257" s="2446">
        <f>M257+O257+P257+Q257+R257+S257+T257+U257+V257+W257</f>
        <v>0</v>
      </c>
      <c r="E257" s="3212">
        <v>0</v>
      </c>
      <c r="F257" s="3213"/>
      <c r="G257" s="3213"/>
      <c r="H257" s="3213"/>
      <c r="I257" s="3214">
        <v>0</v>
      </c>
      <c r="J257" s="3214">
        <f>6315000-2528100-3749850-37050</f>
        <v>0</v>
      </c>
      <c r="K257" s="3214">
        <v>0</v>
      </c>
      <c r="L257" s="3214">
        <v>0</v>
      </c>
      <c r="M257" s="3215">
        <v>0</v>
      </c>
      <c r="N257" s="3212">
        <v>200000</v>
      </c>
      <c r="O257" s="3212">
        <v>0</v>
      </c>
      <c r="P257" s="3216">
        <v>0</v>
      </c>
      <c r="Q257" s="3216">
        <v>0</v>
      </c>
      <c r="R257" s="3216">
        <v>0</v>
      </c>
      <c r="S257" s="3217">
        <v>0</v>
      </c>
      <c r="T257" s="3217">
        <v>0</v>
      </c>
      <c r="U257" s="3216">
        <v>0</v>
      </c>
      <c r="V257" s="3217">
        <v>0</v>
      </c>
      <c r="W257" s="3217">
        <v>0</v>
      </c>
      <c r="X257" s="2831"/>
      <c r="Y257" s="3218"/>
    </row>
    <row r="258" spans="1:25">
      <c r="A258" s="2848"/>
      <c r="B258" s="2848"/>
      <c r="C258" s="2848"/>
      <c r="D258" s="2848"/>
      <c r="E258" s="2848"/>
      <c r="F258" s="2848"/>
      <c r="G258" s="2848"/>
      <c r="H258" s="2848"/>
      <c r="I258" s="2848"/>
      <c r="J258" s="2848"/>
      <c r="K258" s="2848"/>
      <c r="L258" s="2848"/>
      <c r="M258" s="2848"/>
      <c r="N258" s="2848"/>
      <c r="O258" s="2848"/>
      <c r="P258" s="2848"/>
      <c r="Q258" s="2848"/>
      <c r="R258" s="2848"/>
      <c r="S258" s="2848"/>
      <c r="T258" s="2848"/>
      <c r="U258" s="2848"/>
      <c r="V258" s="2848"/>
      <c r="W258" s="2848"/>
      <c r="X258" s="2848"/>
      <c r="Y258" s="2848"/>
    </row>
    <row r="259" spans="1:25" hidden="1">
      <c r="A259" s="1292"/>
      <c r="E259" s="1293"/>
      <c r="F259" s="1130"/>
    </row>
    <row r="260" spans="1:25" hidden="1">
      <c r="B260" s="2539" t="s">
        <v>56</v>
      </c>
      <c r="E260" s="1293"/>
      <c r="F260" s="1130"/>
    </row>
    <row r="261" spans="1:25" hidden="1">
      <c r="B261" s="2847" t="s">
        <v>333</v>
      </c>
      <c r="C261" s="1129" t="s">
        <v>128</v>
      </c>
      <c r="D261" s="1136">
        <f>D110-O110-P110-Q110-R110-S110-T110-U110-V110-W110</f>
        <v>0</v>
      </c>
      <c r="E261" s="1293"/>
      <c r="F261" s="1130"/>
      <c r="M261" s="1129" t="s">
        <v>128</v>
      </c>
    </row>
    <row r="262" spans="1:25" hidden="1">
      <c r="B262" s="2847"/>
      <c r="C262" s="1129" t="s">
        <v>97</v>
      </c>
      <c r="D262" s="1136">
        <f>D128-O128-P128-Q128-R128-S128-T128-U128-V128-W128</f>
        <v>0</v>
      </c>
      <c r="E262" s="1293"/>
      <c r="F262" s="1130"/>
      <c r="M262" s="1129" t="s">
        <v>97</v>
      </c>
    </row>
    <row r="263" spans="1:25" hidden="1">
      <c r="B263" s="2847"/>
      <c r="D263" s="1295">
        <f>D261+D262</f>
        <v>0</v>
      </c>
      <c r="E263" s="1293"/>
      <c r="F263" s="1130"/>
    </row>
    <row r="264" spans="1:25" hidden="1">
      <c r="E264" s="1293"/>
      <c r="F264" s="1130"/>
    </row>
    <row r="265" spans="1:25" hidden="1">
      <c r="B265" s="1296" t="s">
        <v>564</v>
      </c>
      <c r="C265" s="1129" t="s">
        <v>128</v>
      </c>
      <c r="D265" s="1136">
        <f>+D101-O101-P101-Q101-R101-S101-T101-U101-V101-W101</f>
        <v>0</v>
      </c>
      <c r="E265" s="1293"/>
      <c r="F265" s="1130"/>
    </row>
    <row r="266" spans="1:25" hidden="1">
      <c r="C266" s="1129" t="s">
        <v>97</v>
      </c>
      <c r="D266" s="1136">
        <f>D119-O119-P119-Q119-R119-S119-T119-U119-V119-W119</f>
        <v>0</v>
      </c>
      <c r="E266" s="1293"/>
      <c r="F266" s="1130"/>
    </row>
    <row r="267" spans="1:25" hidden="1">
      <c r="D267" s="1295">
        <f>D265+D266</f>
        <v>0</v>
      </c>
      <c r="E267" s="1293"/>
      <c r="F267" s="1130"/>
    </row>
    <row r="268" spans="1:25" hidden="1">
      <c r="E268" s="1293"/>
      <c r="F268" s="1130"/>
    </row>
    <row r="269" spans="1:25" hidden="1">
      <c r="B269" s="1296" t="s">
        <v>335</v>
      </c>
      <c r="D269" s="1295">
        <f>+D92-O92-P92-Q92-R92-S92-T92-U92-V92-W92</f>
        <v>0</v>
      </c>
      <c r="E269" s="1293"/>
      <c r="F269" s="1130"/>
    </row>
    <row r="270" spans="1:25" hidden="1">
      <c r="E270" s="1293"/>
      <c r="F270" s="1130"/>
    </row>
    <row r="271" spans="1:25" hidden="1">
      <c r="B271" s="1129" t="s">
        <v>334</v>
      </c>
      <c r="D271" s="1295">
        <f>D267+D269</f>
        <v>0</v>
      </c>
      <c r="E271" s="1293"/>
      <c r="F271" s="1130"/>
    </row>
    <row r="272" spans="1:25" hidden="1">
      <c r="E272" s="1293"/>
      <c r="F272" s="1130"/>
    </row>
    <row r="273" spans="2:24" hidden="1">
      <c r="B273" s="1129" t="s">
        <v>512</v>
      </c>
      <c r="D273" s="1136">
        <f>+D92+D102</f>
        <v>213462845</v>
      </c>
      <c r="E273" s="1293"/>
      <c r="F273" s="1130"/>
      <c r="M273" s="1136">
        <f>+M92+M102</f>
        <v>0</v>
      </c>
      <c r="O273" s="1136">
        <f t="shared" ref="O273:W273" si="164">+O92+O102</f>
        <v>95653</v>
      </c>
      <c r="P273" s="1136">
        <f t="shared" si="164"/>
        <v>24387450</v>
      </c>
      <c r="Q273" s="1136">
        <f t="shared" si="164"/>
        <v>28699372</v>
      </c>
      <c r="R273" s="1136">
        <f t="shared" si="164"/>
        <v>27673153</v>
      </c>
      <c r="S273" s="1136">
        <f t="shared" si="164"/>
        <v>27633076</v>
      </c>
      <c r="T273" s="1136">
        <f t="shared" si="164"/>
        <v>27545957</v>
      </c>
      <c r="U273" s="1136">
        <f t="shared" si="164"/>
        <v>26891833</v>
      </c>
      <c r="V273" s="1136">
        <f t="shared" si="164"/>
        <v>25079037</v>
      </c>
      <c r="W273" s="1136">
        <f t="shared" si="164"/>
        <v>25457314</v>
      </c>
      <c r="X273" s="1136">
        <f>SUM(M273:W273)-D273</f>
        <v>0</v>
      </c>
    </row>
    <row r="274" spans="2:24" hidden="1">
      <c r="B274" s="1129" t="s">
        <v>513</v>
      </c>
      <c r="D274" s="1136">
        <f>+D120</f>
        <v>1835624</v>
      </c>
      <c r="E274" s="1293"/>
      <c r="F274" s="1130"/>
      <c r="M274" s="1136">
        <f t="shared" ref="M274:W274" si="165">+M120</f>
        <v>0</v>
      </c>
      <c r="N274" s="1136">
        <f t="shared" si="165"/>
        <v>0</v>
      </c>
      <c r="O274" s="1136">
        <f t="shared" si="165"/>
        <v>0</v>
      </c>
      <c r="P274" s="1136">
        <f t="shared" si="165"/>
        <v>360478</v>
      </c>
      <c r="Q274" s="1136">
        <f t="shared" si="165"/>
        <v>470021</v>
      </c>
      <c r="R274" s="1136">
        <f t="shared" si="165"/>
        <v>170000</v>
      </c>
      <c r="S274" s="1136">
        <f t="shared" si="165"/>
        <v>167025</v>
      </c>
      <c r="T274" s="1136">
        <f t="shared" si="165"/>
        <v>167025</v>
      </c>
      <c r="U274" s="1136">
        <f t="shared" si="165"/>
        <v>167025</v>
      </c>
      <c r="V274" s="1136">
        <f t="shared" si="165"/>
        <v>167025</v>
      </c>
      <c r="W274" s="1136">
        <f t="shared" si="165"/>
        <v>167025</v>
      </c>
      <c r="X274" s="1136">
        <f>SUM(M274:W274)-D274</f>
        <v>0</v>
      </c>
    </row>
    <row r="275" spans="2:24" hidden="1">
      <c r="E275" s="1293"/>
      <c r="F275" s="1130"/>
    </row>
    <row r="276" spans="2:24" hidden="1">
      <c r="B276" s="1129" t="s">
        <v>511</v>
      </c>
      <c r="D276" s="1136">
        <f>+D110+'Tab. 6B Polit społ i rozwój prz'!D218+D128+'Tab. 6B Polit społ i rozwój prz'!D230</f>
        <v>247298062</v>
      </c>
      <c r="E276" s="1293"/>
      <c r="F276" s="1130"/>
      <c r="O276" s="1136">
        <f>+O110+'Tab. 6B Polit społ i rozwój prz'!O218+O128+'Tab. 6B Polit społ i rozwój prz'!O230</f>
        <v>0</v>
      </c>
      <c r="P276" s="1136">
        <f>+P110+'Tab. 6B Polit społ i rozwój prz'!P218+P128+'Tab. 6B Polit społ i rozwój prz'!P230</f>
        <v>25474665</v>
      </c>
      <c r="Q276" s="1136">
        <f>+Q110+'Tab. 6B Polit społ i rozwój prz'!Q218+Q128+'Tab. 6B Polit społ i rozwój prz'!Q230</f>
        <v>36055556</v>
      </c>
      <c r="R276" s="1136">
        <f>+R110+'Tab. 6B Polit społ i rozwój prz'!R218+R128+'Tab. 6B Polit społ i rozwój prz'!R230</f>
        <v>31787205</v>
      </c>
      <c r="S276" s="1136">
        <f>+S110+'Tab. 6B Polit społ i rozwój prz'!S218+S128+'Tab. 6B Polit społ i rozwój prz'!S230</f>
        <v>31567418</v>
      </c>
      <c r="T276" s="1136">
        <f>+T110+'Tab. 6B Polit społ i rozwój prz'!T218+T128+'Tab. 6B Polit społ i rozwój prz'!T230</f>
        <v>31255404</v>
      </c>
      <c r="U276" s="1136">
        <f>+U110+'Tab. 6B Polit społ i rozwój prz'!U218+U128+'Tab. 6B Polit społ i rozwój prz'!U230</f>
        <v>30574519</v>
      </c>
      <c r="V276" s="1136">
        <f>+V110+'Tab. 6B Polit społ i rozwój prz'!V218+V128+'Tab. 6B Polit społ i rozwój prz'!V230</f>
        <v>30240549</v>
      </c>
      <c r="W276" s="1136">
        <f>+W110+'Tab. 6B Polit społ i rozwój prz'!W218+W128+'Tab. 6B Polit społ i rozwój prz'!W230</f>
        <v>30342746</v>
      </c>
      <c r="X276" s="1136">
        <f>SUM(M276:W276)-D276</f>
        <v>0</v>
      </c>
    </row>
    <row r="277" spans="2:24" hidden="1">
      <c r="B277" s="1129" t="s">
        <v>510</v>
      </c>
      <c r="D277" s="1136">
        <f>+D90+D114+'Tab. 6B Polit społ i rozwój prz'!D212+'Tab. 6B Polit społ i rozwój prz'!D224</f>
        <v>294468308</v>
      </c>
      <c r="E277" s="1293"/>
      <c r="F277" s="1130"/>
      <c r="O277" s="1136">
        <f>+O90+O114+'Tab. 6B Polit społ i rozwój prz'!O212+'Tab. 6B Polit społ i rozwój prz'!O224</f>
        <v>400847</v>
      </c>
      <c r="P277" s="1136">
        <f>+P90+P114+'Tab. 6B Polit społ i rozwój prz'!P212+'Tab. 6B Polit społ i rozwój prz'!P224</f>
        <v>33740160</v>
      </c>
      <c r="Q277" s="1136">
        <f>+Q90+Q114+'Tab. 6B Polit społ i rozwój prz'!Q212+'Tab. 6B Polit społ i rozwój prz'!Q224</f>
        <v>39849212</v>
      </c>
      <c r="R277" s="1136">
        <f>+R90+R114+'Tab. 6B Polit społ i rozwój prz'!R212+'Tab. 6B Polit społ i rozwój prz'!R224</f>
        <v>38157403</v>
      </c>
      <c r="S277" s="1136">
        <f>+S90+S114+'Tab. 6B Polit społ i rozwój prz'!S212+'Tab. 6B Polit społ i rozwój prz'!S224</f>
        <v>37952849</v>
      </c>
      <c r="T277" s="1136">
        <f>+T90+T114+'Tab. 6B Polit społ i rozwój prz'!T212+'Tab. 6B Polit społ i rozwój prz'!T224</f>
        <v>37885729</v>
      </c>
      <c r="U277" s="1136">
        <f>+U90+U114+'Tab. 6B Polit społ i rozwój prz'!U212+'Tab. 6B Polit społ i rozwój prz'!U224</f>
        <v>37127605</v>
      </c>
      <c r="V277" s="1136">
        <f>+V90+V114+'Tab. 6B Polit społ i rozwój prz'!V212+'Tab. 6B Polit społ i rozwój prz'!V224</f>
        <v>34594809</v>
      </c>
      <c r="W277" s="1136">
        <f>+W90+W114+'Tab. 6B Polit społ i rozwój prz'!W212+'Tab. 6B Polit społ i rozwój prz'!W224</f>
        <v>34759694</v>
      </c>
      <c r="X277" s="1136">
        <f>SUM(M277:W277)-D277</f>
        <v>0</v>
      </c>
    </row>
    <row r="278" spans="2:24" hidden="1">
      <c r="E278" s="1293"/>
      <c r="F278" s="1130"/>
    </row>
    <row r="279" spans="2:24" hidden="1">
      <c r="E279" s="1293"/>
      <c r="F279" s="1130"/>
    </row>
    <row r="280" spans="2:24" hidden="1">
      <c r="E280" s="1293"/>
      <c r="F280" s="1130"/>
    </row>
    <row r="281" spans="2:24" hidden="1">
      <c r="E281" s="1293"/>
      <c r="F281" s="1130"/>
    </row>
    <row r="282" spans="2:24" hidden="1">
      <c r="B282" s="1129" t="s">
        <v>395</v>
      </c>
      <c r="C282" s="1129" t="s">
        <v>393</v>
      </c>
      <c r="D282" s="1136">
        <f>+D204+D170</f>
        <v>20000000</v>
      </c>
      <c r="E282" s="1293"/>
      <c r="F282" s="1130"/>
      <c r="P282" s="1136">
        <f t="shared" ref="P282:V282" si="166">+P204+P170</f>
        <v>380000</v>
      </c>
      <c r="Q282" s="1136">
        <f t="shared" si="166"/>
        <v>3359463</v>
      </c>
      <c r="R282" s="1136">
        <f t="shared" si="166"/>
        <v>10000000</v>
      </c>
      <c r="S282" s="1136">
        <f t="shared" si="166"/>
        <v>5124537</v>
      </c>
      <c r="T282" s="1136">
        <f t="shared" si="166"/>
        <v>1136000</v>
      </c>
      <c r="U282" s="1136">
        <f t="shared" si="166"/>
        <v>0</v>
      </c>
      <c r="V282" s="1136">
        <f t="shared" si="166"/>
        <v>0</v>
      </c>
      <c r="X282" s="1136">
        <f>SUM(M282:W282)-D282</f>
        <v>0</v>
      </c>
    </row>
    <row r="283" spans="2:24" hidden="1">
      <c r="C283" s="1129" t="s">
        <v>394</v>
      </c>
      <c r="D283" s="1136">
        <f>+D162+D189</f>
        <v>0</v>
      </c>
      <c r="E283" s="1293"/>
      <c r="F283" s="1130"/>
      <c r="P283" s="1136">
        <f t="shared" ref="P283:V283" si="167">+P162+P189</f>
        <v>0</v>
      </c>
      <c r="Q283" s="1136">
        <f t="shared" si="167"/>
        <v>0</v>
      </c>
      <c r="R283" s="1136">
        <f t="shared" si="167"/>
        <v>0</v>
      </c>
      <c r="S283" s="1136">
        <f t="shared" si="167"/>
        <v>0</v>
      </c>
      <c r="T283" s="1136">
        <f t="shared" si="167"/>
        <v>0</v>
      </c>
      <c r="U283" s="1136">
        <f t="shared" si="167"/>
        <v>0</v>
      </c>
      <c r="V283" s="1136">
        <f t="shared" si="167"/>
        <v>0</v>
      </c>
      <c r="X283" s="1136">
        <f>SUM(M283:W283)-D283</f>
        <v>0</v>
      </c>
    </row>
    <row r="284" spans="2:24" hidden="1">
      <c r="D284" s="1136">
        <f>SUM(D282:D283)</f>
        <v>20000000</v>
      </c>
      <c r="E284" s="1136">
        <f t="shared" ref="E284:V284" si="168">SUM(E282:E283)</f>
        <v>0</v>
      </c>
      <c r="F284" s="1136">
        <f t="shared" si="168"/>
        <v>0</v>
      </c>
      <c r="G284" s="1136">
        <f t="shared" si="168"/>
        <v>0</v>
      </c>
      <c r="H284" s="1136">
        <f t="shared" si="168"/>
        <v>0</v>
      </c>
      <c r="I284" s="1136">
        <f t="shared" si="168"/>
        <v>0</v>
      </c>
      <c r="J284" s="1136">
        <f t="shared" si="168"/>
        <v>0</v>
      </c>
      <c r="K284" s="1136">
        <f t="shared" si="168"/>
        <v>0</v>
      </c>
      <c r="L284" s="1136">
        <f t="shared" si="168"/>
        <v>0</v>
      </c>
      <c r="M284" s="1136">
        <f t="shared" si="168"/>
        <v>0</v>
      </c>
      <c r="N284" s="1136">
        <f t="shared" si="168"/>
        <v>0</v>
      </c>
      <c r="O284" s="1136">
        <f t="shared" si="168"/>
        <v>0</v>
      </c>
      <c r="P284" s="1136">
        <f t="shared" si="168"/>
        <v>380000</v>
      </c>
      <c r="Q284" s="1136">
        <f t="shared" si="168"/>
        <v>3359463</v>
      </c>
      <c r="R284" s="1136">
        <f t="shared" si="168"/>
        <v>10000000</v>
      </c>
      <c r="S284" s="1136">
        <f t="shared" si="168"/>
        <v>5124537</v>
      </c>
      <c r="T284" s="1136">
        <f t="shared" si="168"/>
        <v>1136000</v>
      </c>
      <c r="U284" s="1136">
        <f t="shared" si="168"/>
        <v>0</v>
      </c>
      <c r="V284" s="1136">
        <f t="shared" si="168"/>
        <v>0</v>
      </c>
      <c r="X284" s="1136">
        <f>SUM(M284:W284)-D284</f>
        <v>0</v>
      </c>
    </row>
    <row r="285" spans="2:24" hidden="1">
      <c r="B285" s="1129" t="s">
        <v>514</v>
      </c>
      <c r="D285" s="1136">
        <f>D138</f>
        <v>20000000</v>
      </c>
      <c r="E285" s="1293"/>
      <c r="F285" s="1130"/>
      <c r="M285" s="1136">
        <f t="shared" ref="M285:V285" si="169">M138</f>
        <v>0</v>
      </c>
      <c r="N285" s="1136">
        <f t="shared" si="169"/>
        <v>0</v>
      </c>
      <c r="O285" s="1136">
        <f t="shared" si="169"/>
        <v>0</v>
      </c>
      <c r="P285" s="1136">
        <f t="shared" si="169"/>
        <v>380000</v>
      </c>
      <c r="Q285" s="1136">
        <f t="shared" si="169"/>
        <v>3359463</v>
      </c>
      <c r="R285" s="1136">
        <f t="shared" si="169"/>
        <v>10000000</v>
      </c>
      <c r="S285" s="1136">
        <f t="shared" si="169"/>
        <v>5124537</v>
      </c>
      <c r="T285" s="1136">
        <f t="shared" si="169"/>
        <v>1136000</v>
      </c>
      <c r="U285" s="1136">
        <f t="shared" si="169"/>
        <v>0</v>
      </c>
      <c r="V285" s="1136">
        <f t="shared" si="169"/>
        <v>0</v>
      </c>
      <c r="X285" s="1136">
        <f>SUM(M285:W285)-D285</f>
        <v>0</v>
      </c>
    </row>
    <row r="286" spans="2:24" hidden="1">
      <c r="E286" s="1293"/>
      <c r="F286" s="1130"/>
    </row>
    <row r="287" spans="2:24" hidden="1">
      <c r="B287" s="1129" t="s">
        <v>515</v>
      </c>
      <c r="D287" s="1136">
        <f>+D276+D284</f>
        <v>267298062</v>
      </c>
      <c r="E287" s="1293"/>
      <c r="F287" s="1130"/>
      <c r="M287" s="1136">
        <f t="shared" ref="M287:W287" si="170">+M276+M284</f>
        <v>0</v>
      </c>
      <c r="N287" s="1136">
        <f t="shared" si="170"/>
        <v>0</v>
      </c>
      <c r="O287" s="1136">
        <f t="shared" si="170"/>
        <v>0</v>
      </c>
      <c r="P287" s="1136">
        <f t="shared" si="170"/>
        <v>25854665</v>
      </c>
      <c r="Q287" s="1136">
        <f t="shared" si="170"/>
        <v>39415019</v>
      </c>
      <c r="R287" s="1136">
        <f t="shared" si="170"/>
        <v>41787205</v>
      </c>
      <c r="S287" s="1136">
        <f t="shared" si="170"/>
        <v>36691955</v>
      </c>
      <c r="T287" s="1136">
        <f t="shared" si="170"/>
        <v>32391404</v>
      </c>
      <c r="U287" s="1136">
        <f t="shared" si="170"/>
        <v>30574519</v>
      </c>
      <c r="V287" s="1136">
        <f t="shared" si="170"/>
        <v>30240549</v>
      </c>
      <c r="W287" s="1136">
        <f t="shared" si="170"/>
        <v>30342746</v>
      </c>
      <c r="X287" s="1136">
        <f>SUM(M287:W287)-D287</f>
        <v>0</v>
      </c>
    </row>
    <row r="288" spans="2:24" hidden="1">
      <c r="B288" s="1129" t="s">
        <v>516</v>
      </c>
      <c r="D288" s="1136">
        <f>+D277+D285</f>
        <v>314468308</v>
      </c>
      <c r="E288" s="1293"/>
      <c r="F288" s="1130"/>
      <c r="M288" s="1136">
        <f t="shared" ref="M288:W288" si="171">+M277+M285</f>
        <v>0</v>
      </c>
      <c r="N288" s="1136">
        <f t="shared" si="171"/>
        <v>0</v>
      </c>
      <c r="O288" s="1136">
        <f t="shared" si="171"/>
        <v>400847</v>
      </c>
      <c r="P288" s="1136">
        <f t="shared" si="171"/>
        <v>34120160</v>
      </c>
      <c r="Q288" s="1136">
        <f t="shared" si="171"/>
        <v>43208675</v>
      </c>
      <c r="R288" s="1136">
        <f t="shared" si="171"/>
        <v>48157403</v>
      </c>
      <c r="S288" s="1136">
        <f t="shared" si="171"/>
        <v>43077386</v>
      </c>
      <c r="T288" s="1136">
        <f t="shared" si="171"/>
        <v>39021729</v>
      </c>
      <c r="U288" s="1136">
        <f t="shared" si="171"/>
        <v>37127605</v>
      </c>
      <c r="V288" s="1136">
        <f t="shared" si="171"/>
        <v>34594809</v>
      </c>
      <c r="W288" s="1136">
        <f t="shared" si="171"/>
        <v>34759694</v>
      </c>
      <c r="X288" s="1136">
        <f>SUM(M288:W288)-D288</f>
        <v>0</v>
      </c>
    </row>
    <row r="289" spans="5:6" hidden="1">
      <c r="E289" s="1293"/>
      <c r="F289" s="1130"/>
    </row>
    <row r="290" spans="5:6" hidden="1">
      <c r="E290" s="1293"/>
      <c r="F290" s="1130"/>
    </row>
    <row r="291" spans="5:6" hidden="1">
      <c r="E291" s="1293"/>
      <c r="F291" s="1130"/>
    </row>
    <row r="292" spans="5:6" hidden="1">
      <c r="E292" s="1293"/>
      <c r="F292" s="1130"/>
    </row>
    <row r="293" spans="5:6" hidden="1">
      <c r="E293" s="1293"/>
      <c r="F293" s="1130"/>
    </row>
    <row r="294" spans="5:6" hidden="1">
      <c r="E294" s="1293"/>
      <c r="F294" s="1130"/>
    </row>
    <row r="295" spans="5:6" hidden="1">
      <c r="E295" s="1293"/>
      <c r="F295" s="1130"/>
    </row>
    <row r="296" spans="5:6" hidden="1">
      <c r="E296" s="1293"/>
      <c r="F296" s="1130"/>
    </row>
    <row r="297" spans="5:6" hidden="1">
      <c r="E297" s="1293"/>
      <c r="F297" s="1130"/>
    </row>
    <row r="298" spans="5:6" hidden="1">
      <c r="E298" s="1293"/>
      <c r="F298" s="1130"/>
    </row>
    <row r="299" spans="5:6">
      <c r="E299" s="1293"/>
      <c r="F299" s="1130"/>
    </row>
    <row r="300" spans="5:6">
      <c r="E300" s="1293"/>
      <c r="F300" s="1130"/>
    </row>
    <row r="301" spans="5:6">
      <c r="E301" s="1293"/>
      <c r="F301" s="1130"/>
    </row>
    <row r="302" spans="5:6">
      <c r="E302" s="1293"/>
      <c r="F302" s="1130"/>
    </row>
    <row r="303" spans="5:6">
      <c r="E303" s="1293"/>
      <c r="F303" s="1130"/>
    </row>
    <row r="304" spans="5:6">
      <c r="E304" s="1293"/>
      <c r="F304" s="1130"/>
    </row>
    <row r="305" spans="5:6">
      <c r="E305" s="1293"/>
      <c r="F305" s="1130"/>
    </row>
    <row r="306" spans="5:6">
      <c r="E306" s="1293"/>
      <c r="F306" s="1130"/>
    </row>
    <row r="307" spans="5:6">
      <c r="E307" s="1293"/>
      <c r="F307" s="1130"/>
    </row>
    <row r="308" spans="5:6">
      <c r="E308" s="1293"/>
      <c r="F308" s="1130"/>
    </row>
    <row r="309" spans="5:6">
      <c r="E309" s="1293"/>
      <c r="F309" s="1130"/>
    </row>
    <row r="310" spans="5:6">
      <c r="E310" s="1293"/>
      <c r="F310" s="1130"/>
    </row>
    <row r="311" spans="5:6">
      <c r="E311" s="1293"/>
      <c r="F311" s="1130"/>
    </row>
    <row r="312" spans="5:6">
      <c r="E312" s="1293"/>
      <c r="F312" s="1130"/>
    </row>
    <row r="313" spans="5:6">
      <c r="E313" s="1293"/>
      <c r="F313" s="1130"/>
    </row>
    <row r="314" spans="5:6">
      <c r="E314" s="1293"/>
      <c r="F314" s="1130"/>
    </row>
    <row r="315" spans="5:6">
      <c r="E315" s="1293"/>
      <c r="F315" s="1130"/>
    </row>
    <row r="316" spans="5:6">
      <c r="E316" s="1293"/>
      <c r="F316" s="1130"/>
    </row>
    <row r="317" spans="5:6">
      <c r="E317" s="1293"/>
      <c r="F317" s="1130"/>
    </row>
    <row r="318" spans="5:6">
      <c r="E318" s="1293"/>
      <c r="F318" s="1130"/>
    </row>
    <row r="319" spans="5:6">
      <c r="E319" s="1293"/>
      <c r="F319" s="1130"/>
    </row>
    <row r="320" spans="5:6">
      <c r="E320" s="1293"/>
      <c r="F320" s="1130"/>
    </row>
    <row r="321" spans="5:6">
      <c r="E321" s="1293"/>
      <c r="F321" s="1130"/>
    </row>
    <row r="322" spans="5:6">
      <c r="E322" s="1293"/>
      <c r="F322" s="1130"/>
    </row>
    <row r="323" spans="5:6">
      <c r="E323" s="1293"/>
      <c r="F323" s="1130"/>
    </row>
    <row r="324" spans="5:6">
      <c r="E324" s="1293"/>
      <c r="F324" s="1130"/>
    </row>
    <row r="325" spans="5:6">
      <c r="E325" s="1293"/>
      <c r="F325" s="1130"/>
    </row>
    <row r="326" spans="5:6">
      <c r="E326" s="1293"/>
      <c r="F326" s="1130"/>
    </row>
    <row r="327" spans="5:6">
      <c r="E327" s="1293"/>
      <c r="F327" s="1130"/>
    </row>
    <row r="328" spans="5:6">
      <c r="E328" s="1293"/>
      <c r="F328" s="1130"/>
    </row>
    <row r="329" spans="5:6">
      <c r="E329" s="1293"/>
      <c r="F329" s="1130"/>
    </row>
    <row r="330" spans="5:6">
      <c r="E330" s="1293"/>
      <c r="F330" s="1130"/>
    </row>
    <row r="331" spans="5:6">
      <c r="E331" s="1293"/>
      <c r="F331" s="1130"/>
    </row>
    <row r="332" spans="5:6">
      <c r="E332" s="1293"/>
      <c r="F332" s="1130"/>
    </row>
    <row r="333" spans="5:6">
      <c r="E333" s="1293"/>
      <c r="F333" s="1130"/>
    </row>
    <row r="334" spans="5:6">
      <c r="E334" s="1293"/>
      <c r="F334" s="1130"/>
    </row>
    <row r="335" spans="5:6">
      <c r="E335" s="1293"/>
      <c r="F335" s="1130"/>
    </row>
    <row r="336" spans="5:6">
      <c r="E336" s="1293"/>
      <c r="F336" s="1130"/>
    </row>
    <row r="337" spans="5:6">
      <c r="E337" s="1293"/>
      <c r="F337" s="1130"/>
    </row>
    <row r="338" spans="5:6">
      <c r="E338" s="1293"/>
      <c r="F338" s="1130"/>
    </row>
    <row r="339" spans="5:6">
      <c r="E339" s="1293"/>
      <c r="F339" s="1130"/>
    </row>
    <row r="340" spans="5:6">
      <c r="E340" s="1293"/>
      <c r="F340" s="1130"/>
    </row>
    <row r="341" spans="5:6">
      <c r="E341" s="1293"/>
      <c r="F341" s="1130"/>
    </row>
    <row r="342" spans="5:6">
      <c r="E342" s="1293"/>
      <c r="F342" s="1130"/>
    </row>
    <row r="343" spans="5:6">
      <c r="E343" s="1293"/>
      <c r="F343" s="1130"/>
    </row>
    <row r="344" spans="5:6">
      <c r="E344" s="1293"/>
      <c r="F344" s="1130"/>
    </row>
    <row r="345" spans="5:6">
      <c r="E345" s="1293"/>
      <c r="F345" s="1130"/>
    </row>
    <row r="346" spans="5:6">
      <c r="E346" s="1293"/>
      <c r="F346" s="1130"/>
    </row>
    <row r="347" spans="5:6">
      <c r="E347" s="1293"/>
      <c r="F347" s="1130"/>
    </row>
    <row r="348" spans="5:6">
      <c r="E348" s="1293"/>
      <c r="F348" s="1130"/>
    </row>
    <row r="349" spans="5:6">
      <c r="E349" s="1293"/>
      <c r="F349" s="1130"/>
    </row>
    <row r="350" spans="5:6">
      <c r="E350" s="1293"/>
      <c r="F350" s="1130"/>
    </row>
    <row r="351" spans="5:6">
      <c r="E351" s="1293"/>
      <c r="F351" s="1130"/>
    </row>
    <row r="352" spans="5:6">
      <c r="E352" s="1293"/>
      <c r="F352" s="1130"/>
    </row>
    <row r="353" spans="5:6">
      <c r="E353" s="1293"/>
      <c r="F353" s="1130"/>
    </row>
    <row r="354" spans="5:6">
      <c r="E354" s="1293"/>
      <c r="F354" s="1130"/>
    </row>
    <row r="355" spans="5:6">
      <c r="E355" s="1293"/>
      <c r="F355" s="1130"/>
    </row>
    <row r="356" spans="5:6">
      <c r="E356" s="1293"/>
      <c r="F356" s="1130"/>
    </row>
    <row r="357" spans="5:6">
      <c r="E357" s="1293"/>
      <c r="F357" s="1130"/>
    </row>
    <row r="358" spans="5:6">
      <c r="E358" s="1293"/>
      <c r="F358" s="1130"/>
    </row>
    <row r="359" spans="5:6">
      <c r="E359" s="1293"/>
      <c r="F359" s="1130"/>
    </row>
    <row r="360" spans="5:6">
      <c r="E360" s="1293"/>
      <c r="F360" s="1130"/>
    </row>
    <row r="361" spans="5:6">
      <c r="E361" s="1293"/>
      <c r="F361" s="1130"/>
    </row>
    <row r="362" spans="5:6">
      <c r="E362" s="1293"/>
      <c r="F362" s="1130"/>
    </row>
    <row r="363" spans="5:6">
      <c r="E363" s="1293"/>
      <c r="F363" s="1130"/>
    </row>
    <row r="364" spans="5:6">
      <c r="E364" s="1293"/>
      <c r="F364" s="1130"/>
    </row>
    <row r="365" spans="5:6">
      <c r="E365" s="1293"/>
      <c r="F365" s="1130"/>
    </row>
    <row r="366" spans="5:6">
      <c r="E366" s="1293"/>
      <c r="F366" s="1130"/>
    </row>
    <row r="367" spans="5:6">
      <c r="E367" s="1293"/>
      <c r="F367" s="1130"/>
    </row>
    <row r="368" spans="5:6">
      <c r="E368" s="1293"/>
      <c r="F368" s="1130"/>
    </row>
    <row r="369" spans="5:6">
      <c r="E369" s="1293"/>
      <c r="F369" s="1130"/>
    </row>
    <row r="370" spans="5:6">
      <c r="E370" s="1293"/>
      <c r="F370" s="1130"/>
    </row>
    <row r="371" spans="5:6">
      <c r="E371" s="1293"/>
      <c r="F371" s="1130"/>
    </row>
    <row r="372" spans="5:6">
      <c r="E372" s="1293"/>
      <c r="F372" s="1130"/>
    </row>
    <row r="373" spans="5:6">
      <c r="E373" s="1293"/>
      <c r="F373" s="1130"/>
    </row>
    <row r="374" spans="5:6">
      <c r="E374" s="1293"/>
      <c r="F374" s="1130"/>
    </row>
    <row r="375" spans="5:6">
      <c r="E375" s="1293"/>
      <c r="F375" s="1130"/>
    </row>
    <row r="376" spans="5:6">
      <c r="E376" s="1293"/>
      <c r="F376" s="1130"/>
    </row>
    <row r="377" spans="5:6">
      <c r="E377" s="1293"/>
      <c r="F377" s="1130"/>
    </row>
    <row r="378" spans="5:6">
      <c r="E378" s="1293"/>
      <c r="F378" s="1130"/>
    </row>
    <row r="379" spans="5:6">
      <c r="E379" s="1293"/>
      <c r="F379" s="1130"/>
    </row>
    <row r="380" spans="5:6">
      <c r="E380" s="1293"/>
      <c r="F380" s="1130"/>
    </row>
    <row r="381" spans="5:6">
      <c r="E381" s="1293"/>
      <c r="F381" s="1130"/>
    </row>
    <row r="382" spans="5:6">
      <c r="E382" s="1293"/>
      <c r="F382" s="1130"/>
    </row>
    <row r="383" spans="5:6">
      <c r="E383" s="1293"/>
      <c r="F383" s="1130"/>
    </row>
    <row r="384" spans="5:6">
      <c r="E384" s="1293"/>
      <c r="F384" s="1130"/>
    </row>
    <row r="385" spans="5:6">
      <c r="E385" s="1293"/>
      <c r="F385" s="1130"/>
    </row>
    <row r="386" spans="5:6">
      <c r="E386" s="1293"/>
      <c r="F386" s="1130"/>
    </row>
    <row r="387" spans="5:6">
      <c r="E387" s="1293"/>
      <c r="F387" s="1130"/>
    </row>
    <row r="388" spans="5:6">
      <c r="E388" s="1293"/>
      <c r="F388" s="1130"/>
    </row>
    <row r="389" spans="5:6">
      <c r="E389" s="1293"/>
      <c r="F389" s="1130"/>
    </row>
    <row r="390" spans="5:6">
      <c r="E390" s="1293"/>
      <c r="F390" s="1130"/>
    </row>
    <row r="391" spans="5:6">
      <c r="E391" s="1293"/>
      <c r="F391" s="1130"/>
    </row>
    <row r="392" spans="5:6">
      <c r="E392" s="1293"/>
      <c r="F392" s="1130"/>
    </row>
    <row r="393" spans="5:6">
      <c r="E393" s="1293"/>
      <c r="F393" s="1130"/>
    </row>
    <row r="394" spans="5:6">
      <c r="E394" s="1293"/>
      <c r="F394" s="1130"/>
    </row>
    <row r="395" spans="5:6">
      <c r="E395" s="1293"/>
      <c r="F395" s="1130"/>
    </row>
    <row r="396" spans="5:6">
      <c r="E396" s="1293"/>
      <c r="F396" s="1130"/>
    </row>
    <row r="397" spans="5:6">
      <c r="E397" s="1293"/>
      <c r="F397" s="1130"/>
    </row>
    <row r="398" spans="5:6">
      <c r="E398" s="1293"/>
      <c r="F398" s="1130"/>
    </row>
    <row r="399" spans="5:6">
      <c r="E399" s="1293"/>
      <c r="F399" s="1130"/>
    </row>
    <row r="400" spans="5:6">
      <c r="E400" s="1293"/>
      <c r="F400" s="1130"/>
    </row>
    <row r="401" spans="5:6">
      <c r="E401" s="1293"/>
      <c r="F401" s="1130"/>
    </row>
    <row r="402" spans="5:6">
      <c r="E402" s="1293"/>
      <c r="F402" s="1130"/>
    </row>
    <row r="403" spans="5:6">
      <c r="E403" s="1293"/>
      <c r="F403" s="1130"/>
    </row>
    <row r="404" spans="5:6">
      <c r="E404" s="1293"/>
      <c r="F404" s="1130"/>
    </row>
    <row r="405" spans="5:6">
      <c r="E405" s="1293"/>
      <c r="F405" s="1130"/>
    </row>
    <row r="406" spans="5:6">
      <c r="E406" s="1293"/>
      <c r="F406" s="1130"/>
    </row>
    <row r="407" spans="5:6">
      <c r="E407" s="1293"/>
      <c r="F407" s="1130"/>
    </row>
    <row r="408" spans="5:6">
      <c r="E408" s="1293"/>
      <c r="F408" s="1130"/>
    </row>
    <row r="409" spans="5:6">
      <c r="E409" s="1293"/>
      <c r="F409" s="1130"/>
    </row>
    <row r="410" spans="5:6">
      <c r="E410" s="1293"/>
      <c r="F410" s="1130"/>
    </row>
    <row r="411" spans="5:6">
      <c r="E411" s="1293"/>
      <c r="F411" s="1130"/>
    </row>
    <row r="412" spans="5:6">
      <c r="E412" s="1293"/>
      <c r="F412" s="1130"/>
    </row>
    <row r="413" spans="5:6">
      <c r="E413" s="1293"/>
      <c r="F413" s="1130"/>
    </row>
    <row r="414" spans="5:6">
      <c r="E414" s="1293"/>
      <c r="F414" s="1130"/>
    </row>
    <row r="415" spans="5:6">
      <c r="E415" s="1293"/>
      <c r="F415" s="1130"/>
    </row>
    <row r="416" spans="5:6">
      <c r="E416" s="1293"/>
      <c r="F416" s="1130"/>
    </row>
    <row r="417" spans="5:6">
      <c r="E417" s="1293"/>
      <c r="F417" s="1130"/>
    </row>
    <row r="418" spans="5:6">
      <c r="E418" s="1293"/>
      <c r="F418" s="1130"/>
    </row>
    <row r="419" spans="5:6">
      <c r="E419" s="1293"/>
      <c r="F419" s="1130"/>
    </row>
    <row r="420" spans="5:6">
      <c r="E420" s="1293"/>
      <c r="F420" s="1130"/>
    </row>
    <row r="421" spans="5:6">
      <c r="E421" s="1293"/>
      <c r="F421" s="1130"/>
    </row>
    <row r="422" spans="5:6">
      <c r="E422" s="1293"/>
      <c r="F422" s="1130"/>
    </row>
    <row r="423" spans="5:6">
      <c r="E423" s="1293"/>
      <c r="F423" s="1130"/>
    </row>
    <row r="424" spans="5:6">
      <c r="E424" s="1293"/>
      <c r="F424" s="1130"/>
    </row>
    <row r="425" spans="5:6">
      <c r="E425" s="1293"/>
      <c r="F425" s="1130"/>
    </row>
    <row r="426" spans="5:6">
      <c r="E426" s="1293"/>
      <c r="F426" s="1130"/>
    </row>
    <row r="427" spans="5:6">
      <c r="E427" s="1293"/>
      <c r="F427" s="1130"/>
    </row>
    <row r="428" spans="5:6">
      <c r="E428" s="1293"/>
      <c r="F428" s="1130"/>
    </row>
    <row r="429" spans="5:6">
      <c r="E429" s="1293"/>
      <c r="F429" s="1130"/>
    </row>
    <row r="430" spans="5:6">
      <c r="E430" s="1293"/>
      <c r="F430" s="1130"/>
    </row>
    <row r="431" spans="5:6">
      <c r="E431" s="1293"/>
      <c r="F431" s="1130"/>
    </row>
    <row r="432" spans="5:6">
      <c r="E432" s="1293"/>
      <c r="F432" s="1130"/>
    </row>
    <row r="433" spans="5:6">
      <c r="E433" s="1293"/>
      <c r="F433" s="1130"/>
    </row>
    <row r="434" spans="5:6">
      <c r="E434" s="1293"/>
      <c r="F434" s="1130"/>
    </row>
    <row r="435" spans="5:6">
      <c r="E435" s="1293"/>
      <c r="F435" s="1130"/>
    </row>
    <row r="436" spans="5:6">
      <c r="E436" s="1293"/>
      <c r="F436" s="1130"/>
    </row>
    <row r="437" spans="5:6">
      <c r="E437" s="1293"/>
      <c r="F437" s="1130"/>
    </row>
    <row r="438" spans="5:6">
      <c r="E438" s="1293"/>
      <c r="F438" s="1130"/>
    </row>
    <row r="439" spans="5:6">
      <c r="E439" s="1293"/>
      <c r="F439" s="1130"/>
    </row>
    <row r="440" spans="5:6">
      <c r="E440" s="1293"/>
      <c r="F440" s="1130"/>
    </row>
    <row r="441" spans="5:6">
      <c r="E441" s="1293"/>
      <c r="F441" s="1130"/>
    </row>
    <row r="442" spans="5:6">
      <c r="E442" s="1293"/>
      <c r="F442" s="1130"/>
    </row>
    <row r="443" spans="5:6">
      <c r="E443" s="1293"/>
      <c r="F443" s="1130"/>
    </row>
    <row r="444" spans="5:6">
      <c r="E444" s="1293"/>
      <c r="F444" s="1130"/>
    </row>
    <row r="445" spans="5:6">
      <c r="E445" s="1293"/>
      <c r="F445" s="1130"/>
    </row>
    <row r="446" spans="5:6">
      <c r="E446" s="1293"/>
      <c r="F446" s="1130"/>
    </row>
    <row r="447" spans="5:6">
      <c r="E447" s="1293"/>
      <c r="F447" s="1130"/>
    </row>
    <row r="448" spans="5:6">
      <c r="E448" s="1293"/>
      <c r="F448" s="1130"/>
    </row>
    <row r="449" spans="5:6">
      <c r="E449" s="1293"/>
      <c r="F449" s="1130"/>
    </row>
    <row r="450" spans="5:6">
      <c r="E450" s="1293"/>
      <c r="F450" s="1130"/>
    </row>
    <row r="451" spans="5:6">
      <c r="E451" s="1293"/>
      <c r="F451" s="1130"/>
    </row>
    <row r="452" spans="5:6">
      <c r="E452" s="1293"/>
      <c r="F452" s="1130"/>
    </row>
    <row r="453" spans="5:6">
      <c r="E453" s="1293"/>
      <c r="F453" s="1130"/>
    </row>
    <row r="454" spans="5:6">
      <c r="E454" s="1293"/>
      <c r="F454" s="1130"/>
    </row>
    <row r="455" spans="5:6">
      <c r="E455" s="1293"/>
      <c r="F455" s="1130"/>
    </row>
    <row r="456" spans="5:6">
      <c r="E456" s="1293"/>
      <c r="F456" s="1130"/>
    </row>
    <row r="457" spans="5:6">
      <c r="E457" s="1293"/>
      <c r="F457" s="1130"/>
    </row>
    <row r="458" spans="5:6">
      <c r="E458" s="1293"/>
      <c r="F458" s="1130"/>
    </row>
    <row r="459" spans="5:6">
      <c r="E459" s="1293"/>
      <c r="F459" s="1130"/>
    </row>
    <row r="460" spans="5:6">
      <c r="E460" s="1293"/>
      <c r="F460" s="1130"/>
    </row>
    <row r="461" spans="5:6">
      <c r="E461" s="1293"/>
      <c r="F461" s="1130"/>
    </row>
    <row r="462" spans="5:6">
      <c r="E462" s="1293"/>
      <c r="F462" s="1130"/>
    </row>
    <row r="463" spans="5:6">
      <c r="E463" s="1293"/>
      <c r="F463" s="1130"/>
    </row>
    <row r="464" spans="5:6">
      <c r="E464" s="1293"/>
      <c r="F464" s="1130"/>
    </row>
    <row r="465" spans="5:6">
      <c r="E465" s="1293"/>
      <c r="F465" s="1130"/>
    </row>
    <row r="466" spans="5:6">
      <c r="E466" s="1293"/>
      <c r="F466" s="1130"/>
    </row>
    <row r="467" spans="5:6">
      <c r="E467" s="1293"/>
      <c r="F467" s="1130"/>
    </row>
    <row r="468" spans="5:6">
      <c r="E468" s="1293"/>
      <c r="F468" s="1130"/>
    </row>
    <row r="469" spans="5:6">
      <c r="E469" s="1293"/>
      <c r="F469" s="1130"/>
    </row>
    <row r="470" spans="5:6">
      <c r="E470" s="1293"/>
      <c r="F470" s="1130"/>
    </row>
    <row r="471" spans="5:6">
      <c r="E471" s="1293"/>
      <c r="F471" s="1130"/>
    </row>
    <row r="472" spans="5:6">
      <c r="E472" s="1293"/>
      <c r="F472" s="1130"/>
    </row>
    <row r="473" spans="5:6">
      <c r="E473" s="1293"/>
      <c r="F473" s="1130"/>
    </row>
    <row r="474" spans="5:6">
      <c r="E474" s="1293"/>
      <c r="F474" s="1130"/>
    </row>
    <row r="475" spans="5:6">
      <c r="E475" s="1293"/>
      <c r="F475" s="1130"/>
    </row>
    <row r="476" spans="5:6">
      <c r="E476" s="1293"/>
      <c r="F476" s="1130"/>
    </row>
    <row r="477" spans="5:6">
      <c r="E477" s="1293"/>
      <c r="F477" s="1130"/>
    </row>
    <row r="478" spans="5:6">
      <c r="E478" s="1293"/>
      <c r="F478" s="1130"/>
    </row>
    <row r="479" spans="5:6">
      <c r="E479" s="1293"/>
      <c r="F479" s="1130"/>
    </row>
    <row r="480" spans="5:6">
      <c r="E480" s="1293"/>
      <c r="F480" s="1130"/>
    </row>
    <row r="481" spans="5:6">
      <c r="E481" s="1293"/>
      <c r="F481" s="1130"/>
    </row>
    <row r="482" spans="5:6">
      <c r="E482" s="1293"/>
      <c r="F482" s="1130"/>
    </row>
    <row r="483" spans="5:6">
      <c r="E483" s="1293"/>
      <c r="F483" s="1130"/>
    </row>
    <row r="484" spans="5:6">
      <c r="E484" s="1293"/>
      <c r="F484" s="1130"/>
    </row>
    <row r="485" spans="5:6">
      <c r="E485" s="1293"/>
      <c r="F485" s="1130"/>
    </row>
    <row r="486" spans="5:6">
      <c r="E486" s="1293"/>
      <c r="F486" s="1130"/>
    </row>
    <row r="487" spans="5:6">
      <c r="E487" s="1293"/>
      <c r="F487" s="1130"/>
    </row>
    <row r="488" spans="5:6">
      <c r="E488" s="1293"/>
      <c r="F488" s="1130"/>
    </row>
    <row r="489" spans="5:6">
      <c r="E489" s="1293"/>
      <c r="F489" s="1130"/>
    </row>
    <row r="490" spans="5:6">
      <c r="E490" s="1293"/>
      <c r="F490" s="1130"/>
    </row>
    <row r="491" spans="5:6">
      <c r="E491" s="1293"/>
      <c r="F491" s="1130"/>
    </row>
    <row r="492" spans="5:6">
      <c r="E492" s="1293"/>
      <c r="F492" s="1130"/>
    </row>
    <row r="493" spans="5:6">
      <c r="E493" s="1293"/>
      <c r="F493" s="1130"/>
    </row>
    <row r="494" spans="5:6">
      <c r="E494" s="1293"/>
      <c r="F494" s="1130"/>
    </row>
    <row r="495" spans="5:6">
      <c r="E495" s="1293"/>
      <c r="F495" s="1130"/>
    </row>
    <row r="496" spans="5:6">
      <c r="E496" s="1293"/>
      <c r="F496" s="1130"/>
    </row>
    <row r="497" spans="5:6">
      <c r="E497" s="1293"/>
      <c r="F497" s="1130"/>
    </row>
    <row r="498" spans="5:6">
      <c r="E498" s="1293"/>
      <c r="F498" s="1130"/>
    </row>
    <row r="499" spans="5:6">
      <c r="E499" s="1293"/>
      <c r="F499" s="1130"/>
    </row>
    <row r="500" spans="5:6">
      <c r="E500" s="1293"/>
      <c r="F500" s="1130"/>
    </row>
    <row r="501" spans="5:6">
      <c r="E501" s="1293"/>
      <c r="F501" s="1130"/>
    </row>
    <row r="502" spans="5:6">
      <c r="E502" s="1293"/>
      <c r="F502" s="1130"/>
    </row>
    <row r="503" spans="5:6">
      <c r="E503" s="1293"/>
      <c r="F503" s="1130"/>
    </row>
    <row r="504" spans="5:6">
      <c r="E504" s="1293"/>
      <c r="F504" s="1130"/>
    </row>
    <row r="505" spans="5:6">
      <c r="E505" s="1293"/>
      <c r="F505" s="1130"/>
    </row>
    <row r="506" spans="5:6">
      <c r="E506" s="1293"/>
      <c r="F506" s="1130"/>
    </row>
    <row r="507" spans="5:6">
      <c r="E507" s="1293"/>
      <c r="F507" s="1130"/>
    </row>
    <row r="508" spans="5:6">
      <c r="E508" s="1293"/>
      <c r="F508" s="1130"/>
    </row>
    <row r="509" spans="5:6">
      <c r="E509" s="1293"/>
      <c r="F509" s="1130"/>
    </row>
    <row r="510" spans="5:6">
      <c r="E510" s="1293"/>
      <c r="F510" s="1130"/>
    </row>
    <row r="511" spans="5:6">
      <c r="E511" s="1293"/>
      <c r="F511" s="1130"/>
    </row>
    <row r="512" spans="5:6">
      <c r="E512" s="1293"/>
      <c r="F512" s="1130"/>
    </row>
    <row r="513" spans="1:25">
      <c r="E513" s="1293"/>
      <c r="F513" s="1130"/>
    </row>
    <row r="514" spans="1:25">
      <c r="E514" s="1293"/>
      <c r="F514" s="1130"/>
    </row>
    <row r="515" spans="1:25">
      <c r="E515" s="1293"/>
      <c r="F515" s="1130"/>
    </row>
    <row r="516" spans="1:25">
      <c r="E516" s="1293"/>
      <c r="F516" s="1130"/>
    </row>
    <row r="517" spans="1:25">
      <c r="E517" s="1293"/>
      <c r="F517" s="1130"/>
    </row>
    <row r="518" spans="1:25">
      <c r="E518" s="1293"/>
      <c r="F518" s="1130"/>
    </row>
    <row r="519" spans="1:25">
      <c r="E519" s="1293"/>
      <c r="F519" s="1130"/>
    </row>
    <row r="520" spans="1:25">
      <c r="E520" s="1293"/>
      <c r="F520" s="1130"/>
    </row>
    <row r="521" spans="1:25">
      <c r="E521" s="1293"/>
      <c r="F521" s="1130"/>
    </row>
    <row r="522" spans="1:25">
      <c r="E522" s="1293"/>
      <c r="F522" s="1130"/>
    </row>
    <row r="523" spans="1:25">
      <c r="E523" s="1293"/>
      <c r="F523" s="1130"/>
    </row>
    <row r="524" spans="1:25">
      <c r="E524" s="1293"/>
      <c r="F524" s="1130"/>
    </row>
    <row r="525" spans="1:25">
      <c r="E525" s="1293"/>
      <c r="F525" s="1130"/>
    </row>
    <row r="526" spans="1:25" ht="13.5" thickBot="1">
      <c r="E526" s="1293"/>
      <c r="F526" s="1130"/>
    </row>
    <row r="527" spans="1:25" ht="45">
      <c r="A527" s="1297"/>
      <c r="B527" s="1298" t="s">
        <v>85</v>
      </c>
      <c r="C527" s="1298"/>
      <c r="D527" s="1299"/>
      <c r="E527" s="1300"/>
      <c r="F527" s="1301"/>
      <c r="G527" s="1301"/>
      <c r="H527" s="1301"/>
      <c r="I527" s="1302"/>
      <c r="J527" s="1302"/>
      <c r="K527" s="1302"/>
      <c r="L527" s="1302"/>
      <c r="M527" s="1299"/>
      <c r="N527" s="1299"/>
      <c r="O527" s="1299"/>
      <c r="P527" s="1299"/>
      <c r="Q527" s="1299"/>
      <c r="R527" s="1299"/>
      <c r="S527" s="1299"/>
      <c r="T527" s="1299"/>
      <c r="U527" s="1299"/>
      <c r="V527" s="1299"/>
      <c r="W527" s="1299"/>
      <c r="X527" s="1299"/>
      <c r="Y527" s="1303"/>
    </row>
    <row r="528" spans="1:25">
      <c r="A528" s="1304"/>
      <c r="E528" s="1293"/>
      <c r="F528" s="1130"/>
      <c r="Y528" s="1305"/>
    </row>
    <row r="529" spans="1:25">
      <c r="A529" s="1304"/>
      <c r="E529" s="1293"/>
      <c r="F529" s="1130"/>
      <c r="Y529" s="1305"/>
    </row>
    <row r="530" spans="1:25">
      <c r="A530" s="1304"/>
      <c r="E530" s="1293"/>
      <c r="F530" s="1130"/>
      <c r="Y530" s="1305"/>
    </row>
    <row r="531" spans="1:25">
      <c r="A531" s="1304"/>
      <c r="E531" s="1293"/>
      <c r="F531" s="1130"/>
      <c r="Y531" s="1305"/>
    </row>
    <row r="532" spans="1:25">
      <c r="A532" s="1304"/>
      <c r="E532" s="1293"/>
      <c r="F532" s="1130"/>
      <c r="Y532" s="1305"/>
    </row>
    <row r="533" spans="1:25">
      <c r="A533" s="1304"/>
      <c r="E533" s="1293"/>
      <c r="F533" s="1130"/>
      <c r="Y533" s="1305"/>
    </row>
    <row r="534" spans="1:25">
      <c r="A534" s="1304"/>
      <c r="E534" s="1293"/>
      <c r="F534" s="1130"/>
      <c r="Y534" s="1305"/>
    </row>
    <row r="535" spans="1:25">
      <c r="A535" s="1304"/>
      <c r="E535" s="1293"/>
      <c r="F535" s="1130"/>
      <c r="Y535" s="1305"/>
    </row>
    <row r="536" spans="1:25">
      <c r="A536" s="1304"/>
      <c r="E536" s="1293"/>
      <c r="F536" s="1130"/>
      <c r="Y536" s="1305"/>
    </row>
    <row r="537" spans="1:25">
      <c r="A537" s="1304"/>
      <c r="E537" s="1293"/>
      <c r="F537" s="1130"/>
      <c r="Y537" s="1305"/>
    </row>
    <row r="538" spans="1:25" ht="13.5" thickBot="1">
      <c r="A538" s="1306"/>
      <c r="B538" s="1307"/>
      <c r="C538" s="1307"/>
      <c r="D538" s="1307"/>
      <c r="E538" s="1308"/>
      <c r="F538" s="1309"/>
      <c r="G538" s="1309"/>
      <c r="H538" s="1309"/>
      <c r="I538" s="1310"/>
      <c r="J538" s="1310"/>
      <c r="K538" s="1310"/>
      <c r="L538" s="1310"/>
      <c r="M538" s="1307"/>
      <c r="N538" s="1307"/>
      <c r="O538" s="1307"/>
      <c r="P538" s="1307"/>
      <c r="Q538" s="1307"/>
      <c r="R538" s="1307"/>
      <c r="S538" s="1307"/>
      <c r="T538" s="1307"/>
      <c r="U538" s="1307"/>
      <c r="V538" s="1307"/>
      <c r="W538" s="1307"/>
      <c r="X538" s="1307"/>
      <c r="Y538" s="1311"/>
    </row>
    <row r="539" spans="1:25">
      <c r="E539" s="1293"/>
      <c r="F539" s="1130"/>
    </row>
    <row r="540" spans="1:25">
      <c r="E540" s="1293"/>
      <c r="F540" s="1130"/>
    </row>
    <row r="541" spans="1:25">
      <c r="E541" s="1293"/>
      <c r="F541" s="1130"/>
    </row>
    <row r="542" spans="1:25">
      <c r="E542" s="1293"/>
      <c r="F542" s="1130"/>
    </row>
    <row r="543" spans="1:25">
      <c r="E543" s="1293"/>
      <c r="F543" s="1130"/>
    </row>
    <row r="544" spans="1:25">
      <c r="E544" s="1293"/>
      <c r="F544" s="1130"/>
    </row>
    <row r="545" spans="5:6">
      <c r="E545" s="1293"/>
      <c r="F545" s="1130"/>
    </row>
    <row r="546" spans="5:6">
      <c r="E546" s="1293"/>
      <c r="F546" s="1130"/>
    </row>
    <row r="547" spans="5:6">
      <c r="E547" s="1293"/>
      <c r="F547" s="1130"/>
    </row>
    <row r="548" spans="5:6">
      <c r="E548" s="1293"/>
      <c r="F548" s="1130"/>
    </row>
    <row r="549" spans="5:6">
      <c r="E549" s="1293"/>
      <c r="F549" s="1130"/>
    </row>
    <row r="550" spans="5:6">
      <c r="E550" s="1293"/>
      <c r="F550" s="1130"/>
    </row>
    <row r="551" spans="5:6">
      <c r="E551" s="1293"/>
      <c r="F551" s="1130"/>
    </row>
    <row r="552" spans="5:6">
      <c r="E552" s="1293"/>
      <c r="F552" s="1130"/>
    </row>
    <row r="553" spans="5:6">
      <c r="E553" s="1293"/>
      <c r="F553" s="1130"/>
    </row>
    <row r="554" spans="5:6">
      <c r="E554" s="1293"/>
      <c r="F554" s="1130"/>
    </row>
    <row r="555" spans="5:6">
      <c r="E555" s="1293"/>
      <c r="F555" s="1130"/>
    </row>
    <row r="556" spans="5:6">
      <c r="E556" s="1293"/>
      <c r="F556" s="1130"/>
    </row>
    <row r="557" spans="5:6">
      <c r="E557" s="1293"/>
      <c r="F557" s="1130"/>
    </row>
    <row r="558" spans="5:6">
      <c r="E558" s="1293"/>
      <c r="F558" s="1130"/>
    </row>
    <row r="559" spans="5:6">
      <c r="E559" s="1293"/>
      <c r="F559" s="1130"/>
    </row>
    <row r="560" spans="5:6">
      <c r="E560" s="1293"/>
      <c r="F560" s="1130"/>
    </row>
    <row r="561" spans="5:6">
      <c r="E561" s="1293"/>
      <c r="F561" s="1130"/>
    </row>
    <row r="562" spans="5:6">
      <c r="E562" s="1293"/>
      <c r="F562" s="1130"/>
    </row>
    <row r="563" spans="5:6">
      <c r="E563" s="1293"/>
      <c r="F563" s="1130"/>
    </row>
    <row r="564" spans="5:6">
      <c r="E564" s="1293"/>
      <c r="F564" s="1130"/>
    </row>
    <row r="565" spans="5:6">
      <c r="E565" s="1293"/>
      <c r="F565" s="1130"/>
    </row>
    <row r="566" spans="5:6">
      <c r="E566" s="1293"/>
      <c r="F566" s="1130"/>
    </row>
    <row r="567" spans="5:6">
      <c r="E567" s="1293"/>
      <c r="F567" s="1130"/>
    </row>
    <row r="568" spans="5:6">
      <c r="E568" s="1293"/>
      <c r="F568" s="1130"/>
    </row>
    <row r="569" spans="5:6">
      <c r="E569" s="1293"/>
      <c r="F569" s="1130"/>
    </row>
    <row r="570" spans="5:6">
      <c r="E570" s="1293"/>
      <c r="F570" s="1130"/>
    </row>
    <row r="571" spans="5:6">
      <c r="E571" s="1293"/>
      <c r="F571" s="1130"/>
    </row>
    <row r="572" spans="5:6">
      <c r="E572" s="1293"/>
      <c r="F572" s="1130"/>
    </row>
    <row r="573" spans="5:6">
      <c r="E573" s="1293"/>
      <c r="F573" s="1130"/>
    </row>
    <row r="574" spans="5:6">
      <c r="E574" s="1293"/>
      <c r="F574" s="1130"/>
    </row>
    <row r="575" spans="5:6">
      <c r="E575" s="1293"/>
      <c r="F575" s="1130"/>
    </row>
    <row r="576" spans="5:6">
      <c r="E576" s="1293"/>
      <c r="F576" s="1130"/>
    </row>
    <row r="577" spans="5:6">
      <c r="E577" s="1293"/>
      <c r="F577" s="1130"/>
    </row>
    <row r="578" spans="5:6">
      <c r="E578" s="1293"/>
      <c r="F578" s="1130"/>
    </row>
    <row r="579" spans="5:6">
      <c r="E579" s="1293"/>
      <c r="F579" s="1130"/>
    </row>
    <row r="580" spans="5:6">
      <c r="E580" s="1293"/>
      <c r="F580" s="1130"/>
    </row>
    <row r="581" spans="5:6">
      <c r="E581" s="1293"/>
      <c r="F581" s="1130"/>
    </row>
    <row r="582" spans="5:6">
      <c r="E582" s="1293"/>
      <c r="F582" s="1130"/>
    </row>
    <row r="583" spans="5:6">
      <c r="E583" s="1293"/>
      <c r="F583" s="1130"/>
    </row>
    <row r="584" spans="5:6">
      <c r="E584" s="1293"/>
      <c r="F584" s="1130"/>
    </row>
    <row r="585" spans="5:6">
      <c r="E585" s="1293"/>
      <c r="F585" s="1130"/>
    </row>
    <row r="586" spans="5:6">
      <c r="E586" s="1293"/>
      <c r="F586" s="1130"/>
    </row>
    <row r="587" spans="5:6">
      <c r="E587" s="1293"/>
      <c r="F587" s="1130"/>
    </row>
    <row r="588" spans="5:6">
      <c r="E588" s="1293"/>
      <c r="F588" s="1130"/>
    </row>
    <row r="589" spans="5:6">
      <c r="E589" s="1293"/>
      <c r="F589" s="1130"/>
    </row>
    <row r="590" spans="5:6">
      <c r="E590" s="1293"/>
      <c r="F590" s="1130"/>
    </row>
    <row r="591" spans="5:6">
      <c r="E591" s="1293"/>
      <c r="F591" s="1130"/>
    </row>
    <row r="592" spans="5:6">
      <c r="E592" s="1293"/>
      <c r="F592" s="1130"/>
    </row>
    <row r="593" spans="5:6">
      <c r="E593" s="1293"/>
      <c r="F593" s="1130"/>
    </row>
    <row r="594" spans="5:6">
      <c r="E594" s="1293"/>
      <c r="F594" s="1130"/>
    </row>
    <row r="595" spans="5:6">
      <c r="E595" s="1293"/>
      <c r="F595" s="1130"/>
    </row>
    <row r="596" spans="5:6">
      <c r="E596" s="1293"/>
      <c r="F596" s="1130"/>
    </row>
    <row r="597" spans="5:6">
      <c r="E597" s="1293"/>
      <c r="F597" s="1130"/>
    </row>
    <row r="598" spans="5:6">
      <c r="E598" s="1293"/>
      <c r="F598" s="1130"/>
    </row>
    <row r="599" spans="5:6">
      <c r="E599" s="1293"/>
      <c r="F599" s="1130"/>
    </row>
    <row r="600" spans="5:6">
      <c r="E600" s="1293"/>
      <c r="F600" s="1130"/>
    </row>
    <row r="601" spans="5:6">
      <c r="E601" s="1293"/>
      <c r="F601" s="1130"/>
    </row>
    <row r="602" spans="5:6">
      <c r="E602" s="1293"/>
      <c r="F602" s="1130"/>
    </row>
    <row r="603" spans="5:6">
      <c r="E603" s="1293"/>
      <c r="F603" s="1130"/>
    </row>
    <row r="604" spans="5:6">
      <c r="E604" s="1293"/>
      <c r="F604" s="1130"/>
    </row>
    <row r="605" spans="5:6">
      <c r="E605" s="1293"/>
      <c r="F605" s="1130"/>
    </row>
    <row r="606" spans="5:6">
      <c r="E606" s="1293"/>
      <c r="F606" s="1130"/>
    </row>
    <row r="607" spans="5:6">
      <c r="E607" s="1293"/>
      <c r="F607" s="1130"/>
    </row>
    <row r="608" spans="5:6">
      <c r="E608" s="1293"/>
      <c r="F608" s="1130"/>
    </row>
    <row r="609" spans="5:6">
      <c r="E609" s="1293"/>
      <c r="F609" s="1130"/>
    </row>
    <row r="610" spans="5:6">
      <c r="E610" s="1293"/>
      <c r="F610" s="1130"/>
    </row>
    <row r="611" spans="5:6">
      <c r="E611" s="1293"/>
      <c r="F611" s="1130"/>
    </row>
    <row r="612" spans="5:6">
      <c r="E612" s="1293"/>
      <c r="F612" s="1130"/>
    </row>
    <row r="613" spans="5:6">
      <c r="E613" s="1293"/>
      <c r="F613" s="1130"/>
    </row>
    <row r="614" spans="5:6">
      <c r="E614" s="1293"/>
      <c r="F614" s="1130"/>
    </row>
    <row r="615" spans="5:6">
      <c r="E615" s="1293"/>
      <c r="F615" s="1130"/>
    </row>
    <row r="616" spans="5:6">
      <c r="E616" s="1293"/>
      <c r="F616" s="1130"/>
    </row>
    <row r="617" spans="5:6">
      <c r="E617" s="1293"/>
      <c r="F617" s="1130"/>
    </row>
    <row r="618" spans="5:6">
      <c r="E618" s="1293"/>
      <c r="F618" s="1130"/>
    </row>
    <row r="619" spans="5:6">
      <c r="E619" s="1293"/>
      <c r="F619" s="1130"/>
    </row>
    <row r="620" spans="5:6">
      <c r="E620" s="1293"/>
      <c r="F620" s="1130"/>
    </row>
    <row r="621" spans="5:6">
      <c r="E621" s="1293"/>
      <c r="F621" s="1130"/>
    </row>
    <row r="622" spans="5:6">
      <c r="E622" s="1293"/>
      <c r="F622" s="1130"/>
    </row>
    <row r="623" spans="5:6">
      <c r="E623" s="1293"/>
      <c r="F623" s="1130"/>
    </row>
    <row r="624" spans="5:6">
      <c r="E624" s="1293"/>
      <c r="F624" s="1130"/>
    </row>
    <row r="625" spans="5:6">
      <c r="E625" s="1293"/>
      <c r="F625" s="1130"/>
    </row>
    <row r="626" spans="5:6">
      <c r="E626" s="1293"/>
      <c r="F626" s="1130"/>
    </row>
    <row r="627" spans="5:6">
      <c r="E627" s="1293"/>
      <c r="F627" s="1130"/>
    </row>
    <row r="628" spans="5:6">
      <c r="E628" s="1293"/>
      <c r="F628" s="1130"/>
    </row>
    <row r="629" spans="5:6">
      <c r="E629" s="1293"/>
      <c r="F629" s="1130"/>
    </row>
    <row r="630" spans="5:6">
      <c r="E630" s="1293"/>
      <c r="F630" s="1130"/>
    </row>
    <row r="631" spans="5:6">
      <c r="E631" s="1293"/>
      <c r="F631" s="1130"/>
    </row>
    <row r="632" spans="5:6">
      <c r="E632" s="1293"/>
      <c r="F632" s="1130"/>
    </row>
    <row r="633" spans="5:6">
      <c r="E633" s="1293"/>
      <c r="F633" s="1130"/>
    </row>
    <row r="634" spans="5:6">
      <c r="E634" s="1293"/>
      <c r="F634" s="1130"/>
    </row>
    <row r="635" spans="5:6">
      <c r="E635" s="1293"/>
      <c r="F635" s="1130"/>
    </row>
    <row r="636" spans="5:6">
      <c r="E636" s="1293"/>
      <c r="F636" s="1130"/>
    </row>
    <row r="637" spans="5:6">
      <c r="E637" s="1293"/>
      <c r="F637" s="1130"/>
    </row>
    <row r="638" spans="5:6">
      <c r="E638" s="1293"/>
      <c r="F638" s="1130"/>
    </row>
    <row r="639" spans="5:6">
      <c r="E639" s="1293"/>
      <c r="F639" s="1130"/>
    </row>
    <row r="640" spans="5:6">
      <c r="E640" s="1293"/>
      <c r="F640" s="1130"/>
    </row>
    <row r="641" spans="5:6">
      <c r="E641" s="1293"/>
      <c r="F641" s="1130"/>
    </row>
    <row r="642" spans="5:6">
      <c r="E642" s="1293"/>
      <c r="F642" s="1130"/>
    </row>
    <row r="643" spans="5:6">
      <c r="E643" s="1293"/>
      <c r="F643" s="1130"/>
    </row>
    <row r="644" spans="5:6">
      <c r="E644" s="1293"/>
      <c r="F644" s="1130"/>
    </row>
    <row r="645" spans="5:6">
      <c r="E645" s="1293"/>
      <c r="F645" s="1130"/>
    </row>
    <row r="646" spans="5:6">
      <c r="E646" s="1293"/>
      <c r="F646" s="1130"/>
    </row>
    <row r="647" spans="5:6">
      <c r="E647" s="1293"/>
      <c r="F647" s="1130"/>
    </row>
    <row r="648" spans="5:6">
      <c r="E648" s="1293"/>
      <c r="F648" s="1130"/>
    </row>
    <row r="649" spans="5:6">
      <c r="E649" s="1293"/>
      <c r="F649" s="1130"/>
    </row>
    <row r="650" spans="5:6">
      <c r="E650" s="1293"/>
      <c r="F650" s="1130"/>
    </row>
    <row r="651" spans="5:6">
      <c r="E651" s="1293"/>
      <c r="F651" s="1130"/>
    </row>
    <row r="652" spans="5:6">
      <c r="E652" s="1293"/>
      <c r="F652" s="1130"/>
    </row>
    <row r="653" spans="5:6">
      <c r="E653" s="1293"/>
      <c r="F653" s="1130"/>
    </row>
    <row r="654" spans="5:6">
      <c r="E654" s="1293"/>
      <c r="F654" s="1130"/>
    </row>
    <row r="655" spans="5:6">
      <c r="E655" s="1293"/>
      <c r="F655" s="1130"/>
    </row>
    <row r="656" spans="5:6">
      <c r="E656" s="1293"/>
      <c r="F656" s="1130"/>
    </row>
    <row r="657" spans="5:6">
      <c r="E657" s="1293"/>
      <c r="F657" s="1130"/>
    </row>
    <row r="658" spans="5:6">
      <c r="E658" s="1293"/>
      <c r="F658" s="1130"/>
    </row>
    <row r="659" spans="5:6">
      <c r="E659" s="1293"/>
      <c r="F659" s="1130"/>
    </row>
    <row r="660" spans="5:6">
      <c r="E660" s="1293"/>
      <c r="F660" s="1130"/>
    </row>
    <row r="661" spans="5:6">
      <c r="E661" s="1293"/>
      <c r="F661" s="1130"/>
    </row>
    <row r="662" spans="5:6">
      <c r="E662" s="1293"/>
      <c r="F662" s="1130"/>
    </row>
    <row r="663" spans="5:6">
      <c r="E663" s="1293"/>
      <c r="F663" s="1130"/>
    </row>
    <row r="664" spans="5:6">
      <c r="E664" s="1293"/>
      <c r="F664" s="1130"/>
    </row>
    <row r="665" spans="5:6">
      <c r="E665" s="1293"/>
      <c r="F665" s="1130"/>
    </row>
    <row r="666" spans="5:6">
      <c r="E666" s="1293"/>
      <c r="F666" s="1130"/>
    </row>
    <row r="667" spans="5:6">
      <c r="E667" s="1293"/>
      <c r="F667" s="1130"/>
    </row>
    <row r="668" spans="5:6">
      <c r="E668" s="1293"/>
      <c r="F668" s="1130"/>
    </row>
    <row r="669" spans="5:6">
      <c r="E669" s="1293"/>
      <c r="F669" s="1130"/>
    </row>
    <row r="670" spans="5:6">
      <c r="E670" s="1293"/>
      <c r="F670" s="1130"/>
    </row>
    <row r="671" spans="5:6">
      <c r="E671" s="1293"/>
      <c r="F671" s="1130"/>
    </row>
    <row r="672" spans="5:6">
      <c r="E672" s="1293"/>
      <c r="F672" s="1130"/>
    </row>
    <row r="673" spans="5:6">
      <c r="E673" s="1293"/>
      <c r="F673" s="1130"/>
    </row>
    <row r="674" spans="5:6">
      <c r="E674" s="1293"/>
      <c r="F674" s="1130"/>
    </row>
    <row r="675" spans="5:6">
      <c r="E675" s="1293"/>
      <c r="F675" s="1130"/>
    </row>
    <row r="676" spans="5:6">
      <c r="E676" s="1293"/>
      <c r="F676" s="1130"/>
    </row>
    <row r="677" spans="5:6">
      <c r="E677" s="1293"/>
      <c r="F677" s="1130"/>
    </row>
    <row r="678" spans="5:6">
      <c r="E678" s="1293"/>
      <c r="F678" s="1130"/>
    </row>
    <row r="679" spans="5:6">
      <c r="E679" s="1293"/>
      <c r="F679" s="1130"/>
    </row>
    <row r="680" spans="5:6">
      <c r="E680" s="1293"/>
      <c r="F680" s="1130"/>
    </row>
    <row r="681" spans="5:6">
      <c r="E681" s="1293"/>
      <c r="F681" s="1130"/>
    </row>
    <row r="682" spans="5:6">
      <c r="E682" s="1293"/>
      <c r="F682" s="1130"/>
    </row>
    <row r="683" spans="5:6">
      <c r="E683" s="1293"/>
      <c r="F683" s="1130"/>
    </row>
    <row r="684" spans="5:6">
      <c r="E684" s="1293"/>
      <c r="F684" s="1130"/>
    </row>
    <row r="685" spans="5:6">
      <c r="E685" s="1293"/>
      <c r="F685" s="1130"/>
    </row>
    <row r="686" spans="5:6">
      <c r="E686" s="1293"/>
      <c r="F686" s="1130"/>
    </row>
    <row r="687" spans="5:6">
      <c r="E687" s="1293"/>
      <c r="F687" s="1130"/>
    </row>
    <row r="688" spans="5:6">
      <c r="E688" s="1293"/>
      <c r="F688" s="1130"/>
    </row>
    <row r="689" spans="5:6">
      <c r="E689" s="1293"/>
      <c r="F689" s="1130"/>
    </row>
    <row r="690" spans="5:6">
      <c r="E690" s="1293"/>
      <c r="F690" s="1130"/>
    </row>
    <row r="691" spans="5:6">
      <c r="E691" s="1293"/>
      <c r="F691" s="1130"/>
    </row>
    <row r="692" spans="5:6">
      <c r="E692" s="1293"/>
      <c r="F692" s="1130"/>
    </row>
    <row r="693" spans="5:6">
      <c r="E693" s="1293"/>
      <c r="F693" s="1130"/>
    </row>
    <row r="694" spans="5:6">
      <c r="E694" s="1293"/>
      <c r="F694" s="1130"/>
    </row>
    <row r="695" spans="5:6">
      <c r="E695" s="1293"/>
      <c r="F695" s="1130"/>
    </row>
    <row r="696" spans="5:6">
      <c r="E696" s="1293"/>
      <c r="F696" s="1130"/>
    </row>
    <row r="697" spans="5:6">
      <c r="E697" s="1293"/>
      <c r="F697" s="1130"/>
    </row>
    <row r="698" spans="5:6">
      <c r="E698" s="1293"/>
      <c r="F698" s="1130"/>
    </row>
    <row r="699" spans="5:6">
      <c r="E699" s="1293"/>
      <c r="F699" s="1130"/>
    </row>
    <row r="700" spans="5:6">
      <c r="E700" s="1293"/>
      <c r="F700" s="1130"/>
    </row>
    <row r="701" spans="5:6">
      <c r="E701" s="1293"/>
      <c r="F701" s="1130"/>
    </row>
    <row r="702" spans="5:6">
      <c r="E702" s="1293"/>
      <c r="F702" s="1130"/>
    </row>
    <row r="703" spans="5:6">
      <c r="E703" s="1293"/>
      <c r="F703" s="1130"/>
    </row>
    <row r="704" spans="5:6">
      <c r="E704" s="1293"/>
      <c r="F704" s="1130"/>
    </row>
    <row r="705" spans="5:6">
      <c r="E705" s="1293"/>
      <c r="F705" s="1130"/>
    </row>
    <row r="706" spans="5:6">
      <c r="E706" s="1293"/>
      <c r="F706" s="1130"/>
    </row>
    <row r="707" spans="5:6">
      <c r="E707" s="1293"/>
      <c r="F707" s="1130"/>
    </row>
    <row r="708" spans="5:6">
      <c r="E708" s="1293"/>
      <c r="F708" s="1130"/>
    </row>
    <row r="709" spans="5:6">
      <c r="E709" s="1293"/>
      <c r="F709" s="1130"/>
    </row>
    <row r="710" spans="5:6">
      <c r="E710" s="1293"/>
      <c r="F710" s="1130"/>
    </row>
    <row r="711" spans="5:6">
      <c r="E711" s="1293"/>
      <c r="F711" s="1130"/>
    </row>
    <row r="712" spans="5:6">
      <c r="E712" s="1293"/>
      <c r="F712" s="1130"/>
    </row>
    <row r="713" spans="5:6">
      <c r="E713" s="1293"/>
      <c r="F713" s="1130"/>
    </row>
    <row r="714" spans="5:6">
      <c r="E714" s="1293"/>
      <c r="F714" s="1130"/>
    </row>
    <row r="715" spans="5:6">
      <c r="E715" s="1293"/>
      <c r="F715" s="1130"/>
    </row>
    <row r="716" spans="5:6">
      <c r="E716" s="1293"/>
      <c r="F716" s="1130"/>
    </row>
    <row r="717" spans="5:6">
      <c r="E717" s="1293"/>
      <c r="F717" s="1130"/>
    </row>
    <row r="718" spans="5:6">
      <c r="E718" s="1293"/>
      <c r="F718" s="1130"/>
    </row>
    <row r="719" spans="5:6">
      <c r="E719" s="1293"/>
      <c r="F719" s="1130"/>
    </row>
    <row r="720" spans="5:6">
      <c r="E720" s="1293"/>
      <c r="F720" s="1130"/>
    </row>
    <row r="721" spans="5:6">
      <c r="E721" s="1293"/>
      <c r="F721" s="1130"/>
    </row>
    <row r="722" spans="5:6">
      <c r="E722" s="1293"/>
      <c r="F722" s="1130"/>
    </row>
    <row r="723" spans="5:6">
      <c r="E723" s="1293"/>
      <c r="F723" s="1130"/>
    </row>
    <row r="724" spans="5:6">
      <c r="E724" s="1293"/>
      <c r="F724" s="1130"/>
    </row>
    <row r="725" spans="5:6">
      <c r="E725" s="1293"/>
      <c r="F725" s="1130"/>
    </row>
    <row r="726" spans="5:6">
      <c r="E726" s="1293"/>
      <c r="F726" s="1130"/>
    </row>
    <row r="727" spans="5:6">
      <c r="E727" s="1293"/>
      <c r="F727" s="1130"/>
    </row>
    <row r="728" spans="5:6">
      <c r="E728" s="1293"/>
      <c r="F728" s="1130"/>
    </row>
    <row r="729" spans="5:6">
      <c r="E729" s="1293"/>
      <c r="F729" s="1130"/>
    </row>
    <row r="730" spans="5:6">
      <c r="E730" s="1293"/>
      <c r="F730" s="1130"/>
    </row>
    <row r="731" spans="5:6">
      <c r="E731" s="1293"/>
      <c r="F731" s="1130"/>
    </row>
    <row r="732" spans="5:6">
      <c r="E732" s="1293"/>
      <c r="F732" s="1130"/>
    </row>
    <row r="733" spans="5:6">
      <c r="E733" s="1293"/>
      <c r="F733" s="1130"/>
    </row>
    <row r="734" spans="5:6">
      <c r="E734" s="1293"/>
      <c r="F734" s="1130"/>
    </row>
    <row r="735" spans="5:6">
      <c r="E735" s="1293"/>
      <c r="F735" s="1130"/>
    </row>
    <row r="736" spans="5:6">
      <c r="E736" s="1293"/>
      <c r="F736" s="1130"/>
    </row>
    <row r="737" spans="5:6">
      <c r="E737" s="1293"/>
      <c r="F737" s="1130"/>
    </row>
    <row r="738" spans="5:6">
      <c r="E738" s="1293"/>
      <c r="F738" s="1130"/>
    </row>
    <row r="739" spans="5:6">
      <c r="E739" s="1293"/>
      <c r="F739" s="1130"/>
    </row>
    <row r="740" spans="5:6">
      <c r="E740" s="1293"/>
      <c r="F740" s="1130"/>
    </row>
    <row r="741" spans="5:6">
      <c r="E741" s="1293"/>
      <c r="F741" s="1130"/>
    </row>
    <row r="742" spans="5:6">
      <c r="E742" s="1293"/>
      <c r="F742" s="1130"/>
    </row>
    <row r="743" spans="5:6">
      <c r="E743" s="1293"/>
      <c r="F743" s="1130"/>
    </row>
    <row r="744" spans="5:6">
      <c r="E744" s="1293"/>
      <c r="F744" s="1130"/>
    </row>
    <row r="745" spans="5:6">
      <c r="E745" s="1293"/>
      <c r="F745" s="1130"/>
    </row>
    <row r="746" spans="5:6">
      <c r="E746" s="1293"/>
      <c r="F746" s="1130"/>
    </row>
    <row r="747" spans="5:6">
      <c r="E747" s="1293"/>
      <c r="F747" s="1130"/>
    </row>
    <row r="748" spans="5:6">
      <c r="E748" s="1293"/>
      <c r="F748" s="1130"/>
    </row>
    <row r="749" spans="5:6">
      <c r="E749" s="1293"/>
      <c r="F749" s="1130"/>
    </row>
    <row r="750" spans="5:6">
      <c r="E750" s="1293"/>
      <c r="F750" s="1130"/>
    </row>
    <row r="751" spans="5:6">
      <c r="E751" s="1293"/>
      <c r="F751" s="1130"/>
    </row>
    <row r="752" spans="5:6">
      <c r="E752" s="1293"/>
      <c r="F752" s="1130"/>
    </row>
    <row r="753" spans="5:6">
      <c r="E753" s="1293"/>
      <c r="F753" s="1130"/>
    </row>
    <row r="754" spans="5:6">
      <c r="E754" s="1293"/>
      <c r="F754" s="1130"/>
    </row>
    <row r="755" spans="5:6">
      <c r="E755" s="1293"/>
      <c r="F755" s="1130"/>
    </row>
    <row r="756" spans="5:6">
      <c r="E756" s="1293"/>
      <c r="F756" s="1130"/>
    </row>
    <row r="757" spans="5:6">
      <c r="E757" s="1293"/>
      <c r="F757" s="1130"/>
    </row>
    <row r="758" spans="5:6">
      <c r="E758" s="1293"/>
      <c r="F758" s="1130"/>
    </row>
    <row r="759" spans="5:6">
      <c r="E759" s="1293"/>
      <c r="F759" s="1130"/>
    </row>
    <row r="760" spans="5:6">
      <c r="E760" s="1293"/>
      <c r="F760" s="1130"/>
    </row>
    <row r="761" spans="5:6">
      <c r="E761" s="1293"/>
      <c r="F761" s="1130"/>
    </row>
    <row r="762" spans="5:6">
      <c r="E762" s="1293"/>
      <c r="F762" s="1130"/>
    </row>
    <row r="763" spans="5:6">
      <c r="E763" s="1293"/>
      <c r="F763" s="1130"/>
    </row>
    <row r="764" spans="5:6">
      <c r="E764" s="1293"/>
      <c r="F764" s="1130"/>
    </row>
    <row r="765" spans="5:6">
      <c r="E765" s="1293"/>
      <c r="F765" s="1130"/>
    </row>
    <row r="766" spans="5:6">
      <c r="E766" s="1293"/>
      <c r="F766" s="1130"/>
    </row>
    <row r="767" spans="5:6">
      <c r="E767" s="1293"/>
      <c r="F767" s="1130"/>
    </row>
    <row r="768" spans="5:6">
      <c r="E768" s="1293"/>
      <c r="F768" s="1130"/>
    </row>
    <row r="769" spans="5:6">
      <c r="E769" s="1293"/>
      <c r="F769" s="1130"/>
    </row>
    <row r="770" spans="5:6">
      <c r="E770" s="1293"/>
      <c r="F770" s="1130"/>
    </row>
    <row r="771" spans="5:6">
      <c r="E771" s="1293"/>
      <c r="F771" s="1130"/>
    </row>
    <row r="772" spans="5:6">
      <c r="E772" s="1293"/>
      <c r="F772" s="1130"/>
    </row>
    <row r="773" spans="5:6">
      <c r="E773" s="1293"/>
      <c r="F773" s="1130"/>
    </row>
    <row r="774" spans="5:6">
      <c r="E774" s="1293"/>
      <c r="F774" s="1130"/>
    </row>
    <row r="775" spans="5:6">
      <c r="E775" s="1293"/>
      <c r="F775" s="1130"/>
    </row>
    <row r="776" spans="5:6">
      <c r="E776" s="1293"/>
      <c r="F776" s="1130"/>
    </row>
    <row r="777" spans="5:6">
      <c r="E777" s="1293"/>
      <c r="F777" s="1130"/>
    </row>
    <row r="778" spans="5:6">
      <c r="E778" s="1293"/>
      <c r="F778" s="1130"/>
    </row>
    <row r="779" spans="5:6">
      <c r="E779" s="1293"/>
      <c r="F779" s="1130"/>
    </row>
    <row r="780" spans="5:6">
      <c r="E780" s="1293"/>
      <c r="F780" s="1130"/>
    </row>
    <row r="781" spans="5:6">
      <c r="E781" s="1293"/>
      <c r="F781" s="1130"/>
    </row>
    <row r="782" spans="5:6">
      <c r="E782" s="1293"/>
      <c r="F782" s="1130"/>
    </row>
    <row r="783" spans="5:6">
      <c r="E783" s="1293"/>
      <c r="F783" s="1130"/>
    </row>
    <row r="784" spans="5:6">
      <c r="E784" s="1293"/>
      <c r="F784" s="1130"/>
    </row>
    <row r="785" spans="5:6">
      <c r="E785" s="1293"/>
      <c r="F785" s="1130"/>
    </row>
    <row r="786" spans="5:6">
      <c r="E786" s="1293"/>
      <c r="F786" s="1130"/>
    </row>
    <row r="787" spans="5:6">
      <c r="E787" s="1293"/>
      <c r="F787" s="1130"/>
    </row>
    <row r="788" spans="5:6">
      <c r="E788" s="1293"/>
      <c r="F788" s="1130"/>
    </row>
    <row r="789" spans="5:6">
      <c r="E789" s="1293"/>
      <c r="F789" s="1130"/>
    </row>
    <row r="790" spans="5:6">
      <c r="E790" s="1293"/>
      <c r="F790" s="1130"/>
    </row>
    <row r="791" spans="5:6">
      <c r="E791" s="1293"/>
      <c r="F791" s="1130"/>
    </row>
    <row r="792" spans="5:6">
      <c r="E792" s="1293"/>
      <c r="F792" s="1130"/>
    </row>
    <row r="793" spans="5:6">
      <c r="E793" s="1293"/>
      <c r="F793" s="1130"/>
    </row>
    <row r="794" spans="5:6">
      <c r="E794" s="1293"/>
      <c r="F794" s="1130"/>
    </row>
    <row r="795" spans="5:6">
      <c r="E795" s="1293"/>
      <c r="F795" s="1130"/>
    </row>
    <row r="796" spans="5:6">
      <c r="E796" s="1293"/>
      <c r="F796" s="1130"/>
    </row>
    <row r="797" spans="5:6">
      <c r="E797" s="1293"/>
      <c r="F797" s="1130"/>
    </row>
    <row r="798" spans="5:6">
      <c r="E798" s="1293"/>
      <c r="F798" s="1130"/>
    </row>
    <row r="799" spans="5:6">
      <c r="E799" s="1293"/>
      <c r="F799" s="1130"/>
    </row>
    <row r="800" spans="5:6">
      <c r="E800" s="1293"/>
      <c r="F800" s="1130"/>
    </row>
    <row r="801" spans="5:6">
      <c r="E801" s="1293"/>
      <c r="F801" s="1130"/>
    </row>
    <row r="802" spans="5:6">
      <c r="E802" s="1293"/>
      <c r="F802" s="1130"/>
    </row>
    <row r="803" spans="5:6">
      <c r="E803" s="1293"/>
      <c r="F803" s="1130"/>
    </row>
    <row r="804" spans="5:6">
      <c r="E804" s="1293"/>
      <c r="F804" s="1130"/>
    </row>
    <row r="805" spans="5:6">
      <c r="E805" s="1293"/>
      <c r="F805" s="1130"/>
    </row>
    <row r="806" spans="5:6">
      <c r="E806" s="1293"/>
      <c r="F806" s="1130"/>
    </row>
    <row r="807" spans="5:6">
      <c r="E807" s="1293"/>
      <c r="F807" s="1130"/>
    </row>
    <row r="808" spans="5:6">
      <c r="E808" s="1293"/>
      <c r="F808" s="1130"/>
    </row>
    <row r="809" spans="5:6">
      <c r="E809" s="1293"/>
      <c r="F809" s="1130"/>
    </row>
    <row r="810" spans="5:6">
      <c r="E810" s="1293"/>
      <c r="F810" s="1130"/>
    </row>
    <row r="811" spans="5:6">
      <c r="E811" s="1293"/>
      <c r="F811" s="1130"/>
    </row>
    <row r="812" spans="5:6">
      <c r="E812" s="1293"/>
      <c r="F812" s="1130"/>
    </row>
    <row r="813" spans="5:6">
      <c r="E813" s="1293"/>
      <c r="F813" s="1130"/>
    </row>
    <row r="814" spans="5:6">
      <c r="E814" s="1293"/>
      <c r="F814" s="1130"/>
    </row>
    <row r="815" spans="5:6">
      <c r="E815" s="1293"/>
      <c r="F815" s="1130"/>
    </row>
    <row r="816" spans="5:6">
      <c r="E816" s="1293"/>
      <c r="F816" s="1130"/>
    </row>
    <row r="817" spans="5:6">
      <c r="E817" s="1293"/>
      <c r="F817" s="1130"/>
    </row>
    <row r="818" spans="5:6">
      <c r="E818" s="1293"/>
      <c r="F818" s="1130"/>
    </row>
    <row r="819" spans="5:6">
      <c r="E819" s="1293"/>
      <c r="F819" s="1130"/>
    </row>
    <row r="820" spans="5:6">
      <c r="E820" s="1293"/>
      <c r="F820" s="1130"/>
    </row>
    <row r="821" spans="5:6">
      <c r="E821" s="1293"/>
      <c r="F821" s="1130"/>
    </row>
    <row r="822" spans="5:6">
      <c r="E822" s="1293"/>
      <c r="F822" s="1130"/>
    </row>
    <row r="823" spans="5:6">
      <c r="E823" s="1293"/>
      <c r="F823" s="1130"/>
    </row>
    <row r="824" spans="5:6">
      <c r="E824" s="1293"/>
      <c r="F824" s="1130"/>
    </row>
    <row r="825" spans="5:6">
      <c r="E825" s="1293"/>
      <c r="F825" s="1130"/>
    </row>
    <row r="826" spans="5:6">
      <c r="E826" s="1293"/>
      <c r="F826" s="1130"/>
    </row>
    <row r="827" spans="5:6">
      <c r="E827" s="1293"/>
      <c r="F827" s="1130"/>
    </row>
    <row r="828" spans="5:6">
      <c r="E828" s="1293"/>
      <c r="F828" s="1130"/>
    </row>
    <row r="829" spans="5:6">
      <c r="E829" s="1293"/>
      <c r="F829" s="1130"/>
    </row>
    <row r="830" spans="5:6">
      <c r="E830" s="1293"/>
      <c r="F830" s="1130"/>
    </row>
    <row r="831" spans="5:6">
      <c r="E831" s="1293"/>
      <c r="F831" s="1130"/>
    </row>
    <row r="832" spans="5:6">
      <c r="E832" s="1293"/>
      <c r="F832" s="1130"/>
    </row>
  </sheetData>
  <mergeCells count="104">
    <mergeCell ref="Y131:Y145"/>
    <mergeCell ref="Y89:Y112"/>
    <mergeCell ref="X110:X112"/>
    <mergeCell ref="A69:A79"/>
    <mergeCell ref="X75:X79"/>
    <mergeCell ref="X86:X88"/>
    <mergeCell ref="Y69:Y79"/>
    <mergeCell ref="C71:C74"/>
    <mergeCell ref="C76:C79"/>
    <mergeCell ref="A80:A88"/>
    <mergeCell ref="A89:A112"/>
    <mergeCell ref="A113:A130"/>
    <mergeCell ref="C129:C130"/>
    <mergeCell ref="C115:C120"/>
    <mergeCell ref="C111:C112"/>
    <mergeCell ref="C91:C102"/>
    <mergeCell ref="Y80:Y88"/>
    <mergeCell ref="C82:C85"/>
    <mergeCell ref="C87:C88"/>
    <mergeCell ref="Y113:Y130"/>
    <mergeCell ref="X128:X130"/>
    <mergeCell ref="A190:A202"/>
    <mergeCell ref="A206:A218"/>
    <mergeCell ref="A219:A229"/>
    <mergeCell ref="C252:C254"/>
    <mergeCell ref="X239:X241"/>
    <mergeCell ref="C133:C140"/>
    <mergeCell ref="C142:C148"/>
    <mergeCell ref="X141:X148"/>
    <mergeCell ref="C158:C159"/>
    <mergeCell ref="X172:X178"/>
    <mergeCell ref="X157:X162"/>
    <mergeCell ref="A131:A145"/>
    <mergeCell ref="A149:A161"/>
    <mergeCell ref="C226:C229"/>
    <mergeCell ref="A163:A176"/>
    <mergeCell ref="A179:A188"/>
    <mergeCell ref="A5:Y5"/>
    <mergeCell ref="B6:B8"/>
    <mergeCell ref="C6:C8"/>
    <mergeCell ref="D6:D8"/>
    <mergeCell ref="Y6:Y8"/>
    <mergeCell ref="X6:X8"/>
    <mergeCell ref="M6:M7"/>
    <mergeCell ref="O6:O7"/>
    <mergeCell ref="P6:W7"/>
    <mergeCell ref="X21:X26"/>
    <mergeCell ref="X33:X35"/>
    <mergeCell ref="A58:A68"/>
    <mergeCell ref="Y58:Y68"/>
    <mergeCell ref="C60:C63"/>
    <mergeCell ref="C65:C68"/>
    <mergeCell ref="X64:X68"/>
    <mergeCell ref="Y47:Y57"/>
    <mergeCell ref="C49:C52"/>
    <mergeCell ref="C54:C57"/>
    <mergeCell ref="A47:A57"/>
    <mergeCell ref="X42:X46"/>
    <mergeCell ref="X53:X57"/>
    <mergeCell ref="A27:A35"/>
    <mergeCell ref="Y27:Y35"/>
    <mergeCell ref="C29:C32"/>
    <mergeCell ref="C34:C35"/>
    <mergeCell ref="A36:A46"/>
    <mergeCell ref="Y36:Y46"/>
    <mergeCell ref="C38:C41"/>
    <mergeCell ref="C43:C46"/>
    <mergeCell ref="B261:B263"/>
    <mergeCell ref="A258:Y258"/>
    <mergeCell ref="A242:A245"/>
    <mergeCell ref="Y242:Y245"/>
    <mergeCell ref="Y232:Y241"/>
    <mergeCell ref="C236:C238"/>
    <mergeCell ref="C240:C241"/>
    <mergeCell ref="A250:A257"/>
    <mergeCell ref="Y250:Y257"/>
    <mergeCell ref="C256:C257"/>
    <mergeCell ref="X255:X257"/>
    <mergeCell ref="D250:W250"/>
    <mergeCell ref="Y246:Y249"/>
    <mergeCell ref="C248:C249"/>
    <mergeCell ref="D246:W246"/>
    <mergeCell ref="D242:W242"/>
    <mergeCell ref="A246:A249"/>
    <mergeCell ref="C244:C245"/>
    <mergeCell ref="Y219:Y229"/>
    <mergeCell ref="C221:C224"/>
    <mergeCell ref="X225:X229"/>
    <mergeCell ref="Y206:Y218"/>
    <mergeCell ref="C208:C213"/>
    <mergeCell ref="X214:X218"/>
    <mergeCell ref="C215:C218"/>
    <mergeCell ref="C151:C156"/>
    <mergeCell ref="C160:C162"/>
    <mergeCell ref="C165:C171"/>
    <mergeCell ref="C183:C185"/>
    <mergeCell ref="C192:C198"/>
    <mergeCell ref="C175:C176"/>
    <mergeCell ref="X199:X205"/>
    <mergeCell ref="C173:C174"/>
    <mergeCell ref="C181:C182"/>
    <mergeCell ref="C200:C203"/>
    <mergeCell ref="C187:C188"/>
    <mergeCell ref="X186:X188"/>
  </mergeCells>
  <printOptions horizontalCentered="1"/>
  <pageMargins left="0.15748031496062992" right="0.15748031496062992" top="0.47244094488188981" bottom="0.31496062992125984" header="0.15748031496062992" footer="0.15748031496062992"/>
  <pageSetup paperSize="9" scale="70" firstPageNumber="38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</oddHeader>
    <oddFooter>&amp;C&amp;8&amp;P</oddFooter>
  </headerFooter>
  <rowBreaks count="3" manualBreakCount="3">
    <brk id="57" max="24" man="1"/>
    <brk id="130" max="24" man="1"/>
    <brk id="230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I436"/>
  <sheetViews>
    <sheetView showGridLines="0" zoomScaleNormal="100" zoomScaleSheetLayoutView="100" workbookViewId="0">
      <pane xSplit="3" ySplit="7" topLeftCell="D8" activePane="bottomRight" state="frozen"/>
      <selection activeCell="U30" sqref="U30"/>
      <selection pane="topRight" activeCell="U30" sqref="U30"/>
      <selection pane="bottomLeft" activeCell="U30" sqref="U30"/>
      <selection pane="bottomRight" activeCell="B3" sqref="B3"/>
    </sheetView>
  </sheetViews>
  <sheetFormatPr defaultColWidth="9.140625" defaultRowHeight="11.25"/>
  <cols>
    <col min="1" max="1" width="4.140625" style="1361" customWidth="1"/>
    <col min="2" max="2" width="56.140625" style="1144" customWidth="1"/>
    <col min="3" max="3" width="10.5703125" style="1144" customWidth="1"/>
    <col min="4" max="4" width="13.140625" style="1144" customWidth="1"/>
    <col min="5" max="5" width="11.28515625" style="1144" hidden="1" customWidth="1"/>
    <col min="6" max="6" width="11.42578125" style="1144" hidden="1" customWidth="1"/>
    <col min="7" max="7" width="9.85546875" style="1144" hidden="1" customWidth="1"/>
    <col min="8" max="8" width="9.7109375" style="1144" hidden="1" customWidth="1"/>
    <col min="9" max="9" width="11.5703125" style="1144" hidden="1" customWidth="1"/>
    <col min="10" max="10" width="9.28515625" style="1144" hidden="1" customWidth="1"/>
    <col min="11" max="11" width="10.42578125" style="1144" hidden="1" customWidth="1"/>
    <col min="12" max="12" width="10.140625" style="2103" hidden="1" customWidth="1"/>
    <col min="13" max="13" width="11.5703125" style="1144" customWidth="1"/>
    <col min="14" max="14" width="11.140625" style="1144" hidden="1" customWidth="1"/>
    <col min="15" max="15" width="11.28515625" style="1144" customWidth="1"/>
    <col min="16" max="16" width="10.28515625" style="1144" customWidth="1"/>
    <col min="17" max="17" width="8.85546875" style="1144" customWidth="1"/>
    <col min="18" max="18" width="9.7109375" style="1144" customWidth="1"/>
    <col min="19" max="19" width="10.28515625" style="1144" customWidth="1"/>
    <col min="20" max="20" width="9.85546875" style="1144" customWidth="1"/>
    <col min="21" max="21" width="9.5703125" style="1144" customWidth="1"/>
    <col min="22" max="22" width="10" style="1144" customWidth="1"/>
    <col min="23" max="23" width="8.28515625" style="1144" customWidth="1"/>
    <col min="24" max="24" width="12.42578125" style="1144" customWidth="1"/>
    <col min="25" max="25" width="15.28515625" style="2097" customWidth="1"/>
    <col min="26" max="26" width="3.28515625" style="1144" hidden="1" customWidth="1"/>
    <col min="27" max="27" width="13.42578125" style="1144" hidden="1" customWidth="1"/>
    <col min="28" max="29" width="18.28515625" style="1144" hidden="1" customWidth="1"/>
    <col min="30" max="44" width="18.28515625" style="1144" customWidth="1"/>
    <col min="45" max="86" width="3.28515625" style="1144" customWidth="1"/>
    <col min="87" max="16384" width="9.140625" style="1144"/>
  </cols>
  <sheetData>
    <row r="1" spans="1:87" s="2096" customFormat="1" ht="18" customHeight="1">
      <c r="A1" s="2114"/>
      <c r="B1" s="2115"/>
      <c r="C1" s="2114"/>
      <c r="D1" s="2114"/>
      <c r="E1" s="2116"/>
      <c r="F1" s="2114"/>
      <c r="G1" s="2114"/>
      <c r="H1" s="2114"/>
      <c r="I1" s="2114"/>
      <c r="J1" s="2114"/>
      <c r="K1" s="2114"/>
      <c r="L1" s="2114"/>
      <c r="M1" s="2114"/>
      <c r="N1" s="1987"/>
      <c r="O1" s="1132"/>
      <c r="P1" s="2114"/>
      <c r="Q1" s="2114"/>
      <c r="R1" s="1138" t="s">
        <v>267</v>
      </c>
      <c r="S1" s="1138"/>
      <c r="T1" s="1138"/>
      <c r="U1" s="1138"/>
      <c r="V1" s="1138"/>
      <c r="W1" s="1138"/>
      <c r="X1" s="310"/>
      <c r="Y1" s="311"/>
      <c r="Z1" s="2095"/>
      <c r="AA1" s="2095"/>
      <c r="AB1" s="2095"/>
      <c r="AC1" s="2095"/>
      <c r="AD1" s="2095"/>
      <c r="AE1" s="2095"/>
      <c r="AF1" s="2095"/>
      <c r="AG1" s="2095"/>
      <c r="AH1" s="2095"/>
      <c r="AI1" s="2095"/>
      <c r="AJ1" s="2095"/>
      <c r="AK1" s="2095"/>
      <c r="AL1" s="2095"/>
      <c r="AM1" s="2095"/>
      <c r="AN1" s="2095"/>
      <c r="AO1" s="2095"/>
      <c r="AP1" s="2095"/>
      <c r="AQ1" s="2095"/>
      <c r="AR1" s="2095"/>
      <c r="AS1" s="2095"/>
      <c r="AT1" s="2095"/>
      <c r="AU1" s="2095"/>
      <c r="AV1" s="2095"/>
      <c r="AW1" s="2095"/>
      <c r="AX1" s="2095"/>
      <c r="AY1" s="2095"/>
      <c r="AZ1" s="2095"/>
      <c r="BA1" s="2095"/>
      <c r="BB1" s="2095"/>
      <c r="BC1" s="2095"/>
      <c r="BD1" s="2095"/>
      <c r="BE1" s="2095"/>
      <c r="BF1" s="2095"/>
      <c r="BG1" s="2095"/>
      <c r="BH1" s="2095"/>
      <c r="BI1" s="2095"/>
      <c r="BJ1" s="2095"/>
      <c r="BK1" s="2095"/>
      <c r="BL1" s="2095"/>
      <c r="BM1" s="2095"/>
      <c r="BN1" s="2095"/>
      <c r="BO1" s="2095"/>
      <c r="BP1" s="2095"/>
      <c r="BQ1" s="2095"/>
      <c r="BR1" s="2095"/>
      <c r="BS1" s="2095"/>
      <c r="BT1" s="2095"/>
      <c r="BU1" s="2095"/>
      <c r="BV1" s="2095"/>
      <c r="BW1" s="2095"/>
      <c r="BX1" s="2095"/>
      <c r="BY1" s="2095"/>
      <c r="BZ1" s="2095"/>
      <c r="CA1" s="2095"/>
      <c r="CB1" s="2095"/>
      <c r="CC1" s="2095"/>
      <c r="CD1" s="2095"/>
      <c r="CE1" s="2095"/>
      <c r="CF1" s="2095"/>
      <c r="CG1" s="2095"/>
      <c r="CH1" s="2095"/>
      <c r="CI1" s="1143"/>
    </row>
    <row r="2" spans="1:87" s="2096" customFormat="1" ht="4.5" customHeight="1">
      <c r="A2" s="2117"/>
      <c r="B2" s="2115"/>
      <c r="C2" s="2114"/>
      <c r="D2" s="2118"/>
      <c r="E2" s="2116"/>
      <c r="F2" s="2114"/>
      <c r="G2" s="2114"/>
      <c r="H2" s="2114"/>
      <c r="I2" s="2114"/>
      <c r="J2" s="2114"/>
      <c r="K2" s="2114"/>
      <c r="L2" s="2114"/>
      <c r="M2" s="2114"/>
      <c r="N2" s="1139"/>
      <c r="O2" s="1139"/>
      <c r="P2" s="1139"/>
      <c r="Q2" s="1139"/>
      <c r="R2" s="1139"/>
      <c r="S2" s="1139"/>
      <c r="T2" s="1139"/>
      <c r="U2" s="1139"/>
      <c r="V2" s="1139"/>
      <c r="W2" s="1139"/>
      <c r="X2" s="310"/>
      <c r="Y2" s="311"/>
      <c r="Z2" s="2095"/>
      <c r="AA2" s="2095"/>
      <c r="AB2" s="2095"/>
      <c r="AC2" s="2095"/>
      <c r="AD2" s="2095"/>
      <c r="AE2" s="2095"/>
      <c r="AF2" s="2095"/>
      <c r="AG2" s="2095"/>
      <c r="AH2" s="2095"/>
      <c r="AI2" s="2095"/>
      <c r="AJ2" s="2095"/>
      <c r="AK2" s="2095"/>
      <c r="AL2" s="2095"/>
      <c r="AM2" s="2095"/>
      <c r="AN2" s="2095"/>
      <c r="AO2" s="2095"/>
      <c r="AP2" s="2095"/>
      <c r="AQ2" s="2095"/>
      <c r="AR2" s="2095"/>
      <c r="AS2" s="2095"/>
      <c r="AT2" s="2095"/>
      <c r="AU2" s="2095"/>
      <c r="AV2" s="2095"/>
      <c r="AW2" s="2095"/>
      <c r="AX2" s="2095"/>
      <c r="AY2" s="2095"/>
      <c r="AZ2" s="2095"/>
      <c r="BA2" s="2095"/>
      <c r="BB2" s="2095"/>
      <c r="BC2" s="2095"/>
      <c r="BD2" s="2095"/>
      <c r="BE2" s="2095"/>
      <c r="BF2" s="2095"/>
      <c r="BG2" s="2095"/>
      <c r="BH2" s="2095"/>
      <c r="BI2" s="2095"/>
      <c r="BJ2" s="2095"/>
      <c r="BK2" s="2095"/>
      <c r="BL2" s="2095"/>
      <c r="BM2" s="2095"/>
      <c r="BN2" s="2095"/>
      <c r="BO2" s="2095"/>
      <c r="BP2" s="2095"/>
      <c r="BQ2" s="2095"/>
      <c r="BR2" s="2095"/>
      <c r="BS2" s="2095"/>
      <c r="BT2" s="2095"/>
      <c r="BU2" s="2095"/>
      <c r="BV2" s="2095"/>
      <c r="BW2" s="2095"/>
      <c r="BX2" s="2095"/>
      <c r="BY2" s="2095"/>
      <c r="BZ2" s="2095"/>
      <c r="CA2" s="2095"/>
      <c r="CB2" s="2095"/>
      <c r="CC2" s="2095"/>
      <c r="CD2" s="2095"/>
      <c r="CE2" s="2095"/>
      <c r="CF2" s="2095"/>
      <c r="CG2" s="2095"/>
      <c r="CH2" s="2095"/>
      <c r="CI2" s="1143"/>
    </row>
    <row r="3" spans="1:87" s="2096" customFormat="1" ht="25.5" customHeight="1" thickBot="1">
      <c r="A3" s="2119" t="s">
        <v>196</v>
      </c>
      <c r="B3" s="2120"/>
      <c r="C3" s="2114"/>
      <c r="D3" s="2114"/>
      <c r="E3" s="2116"/>
      <c r="F3" s="2114"/>
      <c r="G3" s="2114"/>
      <c r="H3" s="2114"/>
      <c r="I3" s="2114"/>
      <c r="J3" s="2114"/>
      <c r="K3" s="2118"/>
      <c r="L3" s="2114"/>
      <c r="M3" s="2114"/>
      <c r="N3" s="2114"/>
      <c r="O3" s="2118"/>
      <c r="P3" s="2114"/>
      <c r="Q3" s="2114"/>
      <c r="R3" s="2114"/>
      <c r="S3" s="2114"/>
      <c r="T3" s="2114"/>
      <c r="U3" s="2114"/>
      <c r="V3" s="2114"/>
      <c r="W3" s="2114"/>
      <c r="X3" s="310"/>
      <c r="Y3" s="311"/>
      <c r="Z3" s="2095"/>
      <c r="AA3" s="2095"/>
      <c r="AB3" s="2095"/>
      <c r="AC3" s="2095"/>
      <c r="AD3" s="2095"/>
      <c r="AE3" s="2095"/>
      <c r="AF3" s="2095"/>
      <c r="AG3" s="2095"/>
      <c r="AH3" s="2095"/>
      <c r="AI3" s="2095"/>
      <c r="AJ3" s="2095"/>
      <c r="AK3" s="2095"/>
      <c r="AL3" s="2095"/>
      <c r="AM3" s="2095"/>
      <c r="AN3" s="2095"/>
      <c r="AO3" s="2095"/>
      <c r="AP3" s="2095"/>
      <c r="AQ3" s="2095"/>
      <c r="AR3" s="2095"/>
      <c r="AS3" s="2095"/>
      <c r="AT3" s="2095"/>
      <c r="AU3" s="2095"/>
      <c r="AV3" s="2095"/>
      <c r="AW3" s="2095"/>
      <c r="AX3" s="2095"/>
      <c r="AY3" s="2095"/>
      <c r="AZ3" s="2095"/>
      <c r="BA3" s="2095"/>
      <c r="BB3" s="2095"/>
      <c r="BC3" s="2095"/>
      <c r="BD3" s="2095"/>
      <c r="BE3" s="2095"/>
      <c r="BF3" s="2095"/>
      <c r="BG3" s="2095"/>
      <c r="BH3" s="2095"/>
      <c r="BI3" s="2095"/>
      <c r="BJ3" s="2095"/>
      <c r="BK3" s="2095"/>
      <c r="BL3" s="2095"/>
      <c r="BM3" s="2095"/>
      <c r="BN3" s="2095"/>
      <c r="BO3" s="2095"/>
      <c r="BP3" s="2095"/>
      <c r="BQ3" s="2095"/>
      <c r="BR3" s="2095"/>
      <c r="BS3" s="2095"/>
      <c r="BT3" s="2095"/>
      <c r="BU3" s="2095"/>
      <c r="BV3" s="2095"/>
      <c r="BW3" s="2095"/>
      <c r="BX3" s="2095"/>
      <c r="BY3" s="2095"/>
      <c r="BZ3" s="2095"/>
      <c r="CA3" s="2095"/>
      <c r="CB3" s="2095"/>
      <c r="CC3" s="2095"/>
      <c r="CD3" s="2095"/>
      <c r="CE3" s="2095"/>
      <c r="CF3" s="2095"/>
      <c r="CG3" s="2095"/>
      <c r="CH3" s="2095"/>
      <c r="CI3" s="1143"/>
    </row>
    <row r="4" spans="1:87" ht="40.5" customHeight="1" thickBot="1">
      <c r="A4" s="2121"/>
      <c r="B4" s="2892" t="s">
        <v>91</v>
      </c>
      <c r="C4" s="2893" t="s">
        <v>87</v>
      </c>
      <c r="D4" s="2673" t="s">
        <v>88</v>
      </c>
      <c r="E4" s="1087" t="s">
        <v>3</v>
      </c>
      <c r="F4" s="1088"/>
      <c r="G4" s="1088"/>
      <c r="H4" s="1088"/>
      <c r="I4" s="1088"/>
      <c r="J4" s="1088"/>
      <c r="K4" s="1088"/>
      <c r="L4" s="1088"/>
      <c r="M4" s="2688" t="s">
        <v>364</v>
      </c>
      <c r="N4" s="1088"/>
      <c r="O4" s="2690" t="s">
        <v>375</v>
      </c>
      <c r="P4" s="2692" t="s">
        <v>370</v>
      </c>
      <c r="Q4" s="2693"/>
      <c r="R4" s="2693"/>
      <c r="S4" s="2693"/>
      <c r="T4" s="2693"/>
      <c r="U4" s="2693"/>
      <c r="V4" s="2693"/>
      <c r="W4" s="2694"/>
      <c r="X4" s="2898" t="s">
        <v>327</v>
      </c>
      <c r="Y4" s="2874" t="s">
        <v>89</v>
      </c>
      <c r="Z4" s="1143"/>
      <c r="AA4" s="1143"/>
      <c r="AB4" s="1143"/>
      <c r="AC4" s="1143"/>
      <c r="AD4" s="1143"/>
      <c r="AE4" s="1143"/>
      <c r="AF4" s="1143"/>
      <c r="AG4" s="1143"/>
      <c r="AH4" s="1143"/>
      <c r="AI4" s="1143"/>
      <c r="AJ4" s="1143"/>
      <c r="AK4" s="1143"/>
      <c r="AL4" s="1143"/>
      <c r="AM4" s="1143"/>
      <c r="AN4" s="1143"/>
      <c r="AO4" s="1143"/>
      <c r="AP4" s="1143"/>
      <c r="AQ4" s="1143"/>
      <c r="AR4" s="1143"/>
      <c r="AS4" s="1143"/>
      <c r="AT4" s="1143"/>
      <c r="AU4" s="1143"/>
      <c r="AV4" s="1143"/>
      <c r="AW4" s="1143"/>
      <c r="AX4" s="1143"/>
      <c r="AY4" s="1143"/>
      <c r="AZ4" s="1143"/>
      <c r="BA4" s="1143"/>
      <c r="BB4" s="1143"/>
      <c r="BC4" s="1143"/>
      <c r="BD4" s="1143"/>
      <c r="BE4" s="1143"/>
      <c r="BF4" s="1143"/>
      <c r="BG4" s="1143"/>
      <c r="BH4" s="1143"/>
      <c r="BI4" s="1143"/>
      <c r="BJ4" s="1143"/>
      <c r="BK4" s="1143"/>
      <c r="BL4" s="1143"/>
      <c r="BM4" s="1143"/>
      <c r="BN4" s="1143"/>
      <c r="BO4" s="1143"/>
      <c r="BP4" s="1143"/>
      <c r="BQ4" s="1143"/>
      <c r="BR4" s="1143"/>
      <c r="BS4" s="1143"/>
      <c r="BT4" s="1143"/>
      <c r="BU4" s="1143"/>
      <c r="BV4" s="1143"/>
      <c r="BW4" s="1143"/>
      <c r="BX4" s="1143"/>
      <c r="BY4" s="1143"/>
      <c r="BZ4" s="1143"/>
      <c r="CA4" s="1143"/>
      <c r="CB4" s="1143"/>
      <c r="CC4" s="1143"/>
      <c r="CD4" s="1143"/>
      <c r="CE4" s="1143"/>
      <c r="CF4" s="1143"/>
      <c r="CG4" s="1143"/>
      <c r="CH4" s="1143"/>
      <c r="CI4" s="1143"/>
    </row>
    <row r="5" spans="1:87" ht="21.75" customHeight="1" thickBot="1">
      <c r="A5" s="2122" t="s">
        <v>90</v>
      </c>
      <c r="B5" s="2892"/>
      <c r="C5" s="2894"/>
      <c r="D5" s="2674"/>
      <c r="E5" s="824"/>
      <c r="F5" s="825"/>
      <c r="G5" s="825"/>
      <c r="H5" s="825"/>
      <c r="I5" s="825"/>
      <c r="J5" s="825"/>
      <c r="K5" s="825"/>
      <c r="L5" s="825"/>
      <c r="M5" s="2689"/>
      <c r="N5" s="825"/>
      <c r="O5" s="2691"/>
      <c r="P5" s="2695"/>
      <c r="Q5" s="2696"/>
      <c r="R5" s="2696"/>
      <c r="S5" s="2696"/>
      <c r="T5" s="2696"/>
      <c r="U5" s="2696"/>
      <c r="V5" s="2696"/>
      <c r="W5" s="2697"/>
      <c r="X5" s="2899"/>
      <c r="Y5" s="2875"/>
      <c r="Z5" s="1143"/>
      <c r="AA5" s="1143"/>
      <c r="AB5" s="1143"/>
      <c r="AC5" s="1143"/>
      <c r="AD5" s="1143"/>
      <c r="AE5" s="1143"/>
      <c r="AF5" s="1143"/>
      <c r="AG5" s="1143"/>
      <c r="AH5" s="1143"/>
      <c r="AI5" s="1143"/>
      <c r="AJ5" s="1143"/>
      <c r="AK5" s="1143"/>
      <c r="AL5" s="1143"/>
      <c r="AM5" s="1143"/>
      <c r="AN5" s="1143"/>
      <c r="AO5" s="1143"/>
      <c r="AP5" s="1143"/>
      <c r="AQ5" s="1143"/>
      <c r="AR5" s="1143"/>
      <c r="AS5" s="1143"/>
      <c r="AT5" s="1143"/>
      <c r="AU5" s="1143"/>
      <c r="AV5" s="1143"/>
      <c r="AW5" s="1143"/>
      <c r="AX5" s="1143"/>
      <c r="AY5" s="1143"/>
      <c r="AZ5" s="1143"/>
      <c r="BA5" s="1143"/>
      <c r="BB5" s="1143"/>
      <c r="BC5" s="1143"/>
      <c r="BD5" s="1143"/>
      <c r="BE5" s="1143"/>
      <c r="BF5" s="1143"/>
      <c r="BG5" s="1143"/>
      <c r="BH5" s="1143"/>
      <c r="BI5" s="1143"/>
      <c r="BJ5" s="1143"/>
      <c r="BK5" s="1143"/>
      <c r="BL5" s="1143"/>
      <c r="BM5" s="1143"/>
      <c r="BN5" s="1143"/>
      <c r="BO5" s="1143"/>
      <c r="BP5" s="1143"/>
      <c r="BQ5" s="1143"/>
      <c r="BR5" s="1143"/>
      <c r="BS5" s="1143"/>
      <c r="BT5" s="1143"/>
      <c r="BU5" s="1143"/>
      <c r="BV5" s="1143"/>
      <c r="BW5" s="1143"/>
      <c r="BX5" s="1143"/>
      <c r="BY5" s="1143"/>
      <c r="BZ5" s="1143"/>
      <c r="CA5" s="1143"/>
      <c r="CB5" s="1143"/>
      <c r="CC5" s="1143"/>
      <c r="CD5" s="1143"/>
      <c r="CE5" s="1143"/>
      <c r="CF5" s="1143"/>
      <c r="CG5" s="1143"/>
      <c r="CH5" s="1143"/>
      <c r="CI5" s="1143"/>
    </row>
    <row r="6" spans="1:87" ht="30" customHeight="1" thickBot="1">
      <c r="A6" s="2122"/>
      <c r="B6" s="2892"/>
      <c r="C6" s="2895"/>
      <c r="D6" s="2675"/>
      <c r="E6" s="1832" t="s">
        <v>6</v>
      </c>
      <c r="F6" s="318" t="s">
        <v>7</v>
      </c>
      <c r="G6" s="318" t="s">
        <v>8</v>
      </c>
      <c r="H6" s="318" t="s">
        <v>9</v>
      </c>
      <c r="I6" s="1830" t="s">
        <v>10</v>
      </c>
      <c r="J6" s="1830" t="s">
        <v>11</v>
      </c>
      <c r="K6" s="1830" t="s">
        <v>12</v>
      </c>
      <c r="L6" s="1830" t="s">
        <v>13</v>
      </c>
      <c r="M6" s="1054" t="s">
        <v>338</v>
      </c>
      <c r="N6" s="1830" t="s">
        <v>14</v>
      </c>
      <c r="O6" s="1830" t="s">
        <v>15</v>
      </c>
      <c r="P6" s="1830" t="s">
        <v>16</v>
      </c>
      <c r="Q6" s="1830" t="s">
        <v>17</v>
      </c>
      <c r="R6" s="1830" t="s">
        <v>18</v>
      </c>
      <c r="S6" s="1150" t="s">
        <v>271</v>
      </c>
      <c r="T6" s="1150" t="s">
        <v>276</v>
      </c>
      <c r="U6" s="1150" t="s">
        <v>340</v>
      </c>
      <c r="V6" s="1150" t="s">
        <v>341</v>
      </c>
      <c r="W6" s="1150" t="s">
        <v>339</v>
      </c>
      <c r="X6" s="2900"/>
      <c r="Y6" s="2876"/>
      <c r="Z6" s="1143"/>
      <c r="AA6" s="1143"/>
      <c r="AB6" s="1143"/>
      <c r="AC6" s="1143"/>
      <c r="AD6" s="1143"/>
      <c r="AE6" s="1143"/>
      <c r="AF6" s="1143"/>
      <c r="AG6" s="1143"/>
      <c r="AH6" s="1143"/>
      <c r="AI6" s="1143"/>
      <c r="AJ6" s="1143"/>
      <c r="AK6" s="1143"/>
      <c r="AL6" s="1143"/>
      <c r="AM6" s="1143"/>
      <c r="AN6" s="1143"/>
      <c r="AO6" s="1143"/>
      <c r="AP6" s="1143"/>
      <c r="AQ6" s="1143"/>
      <c r="AR6" s="1143"/>
      <c r="AS6" s="1143"/>
      <c r="AT6" s="1143"/>
      <c r="AU6" s="1143"/>
      <c r="AV6" s="1143"/>
      <c r="AW6" s="1143"/>
      <c r="AX6" s="1143"/>
      <c r="AY6" s="1143"/>
      <c r="AZ6" s="1143"/>
      <c r="BA6" s="1143"/>
      <c r="BB6" s="1143"/>
      <c r="BC6" s="1143"/>
      <c r="BD6" s="1143"/>
      <c r="BE6" s="1143"/>
      <c r="BF6" s="1143"/>
      <c r="BG6" s="1143"/>
      <c r="BH6" s="1143"/>
      <c r="BI6" s="1143"/>
      <c r="BJ6" s="1143"/>
      <c r="BK6" s="1143"/>
      <c r="BL6" s="1143"/>
      <c r="BM6" s="1143"/>
      <c r="BN6" s="1143"/>
      <c r="BO6" s="1143"/>
      <c r="BP6" s="1143"/>
      <c r="BQ6" s="1143"/>
      <c r="BR6" s="1143"/>
      <c r="BS6" s="1143"/>
      <c r="BT6" s="1143"/>
      <c r="BU6" s="1143"/>
      <c r="BV6" s="1143"/>
      <c r="BW6" s="1143"/>
      <c r="BX6" s="1143"/>
      <c r="BY6" s="1143"/>
      <c r="BZ6" s="1143"/>
      <c r="CA6" s="1143"/>
      <c r="CB6" s="1143"/>
      <c r="CC6" s="1143"/>
      <c r="CD6" s="1143"/>
      <c r="CE6" s="1143"/>
      <c r="CF6" s="1143"/>
      <c r="CG6" s="1143"/>
      <c r="CH6" s="1143"/>
      <c r="CI6" s="1143"/>
    </row>
    <row r="7" spans="1:87" ht="14.25" customHeight="1">
      <c r="A7" s="2123">
        <v>1</v>
      </c>
      <c r="B7" s="2124">
        <v>2</v>
      </c>
      <c r="C7" s="2125" t="s">
        <v>140</v>
      </c>
      <c r="D7" s="2126" t="s">
        <v>141</v>
      </c>
      <c r="E7" s="2126"/>
      <c r="F7" s="2127"/>
      <c r="G7" s="2127"/>
      <c r="H7" s="2127"/>
      <c r="I7" s="2128"/>
      <c r="J7" s="2128"/>
      <c r="K7" s="2128"/>
      <c r="L7" s="2128"/>
      <c r="M7" s="2129">
        <v>5</v>
      </c>
      <c r="N7" s="2129" t="s">
        <v>342</v>
      </c>
      <c r="O7" s="2129">
        <v>6</v>
      </c>
      <c r="P7" s="2129">
        <v>7</v>
      </c>
      <c r="Q7" s="2129">
        <v>8</v>
      </c>
      <c r="R7" s="2129">
        <v>9</v>
      </c>
      <c r="S7" s="2129">
        <v>10</v>
      </c>
      <c r="T7" s="2129">
        <v>11</v>
      </c>
      <c r="U7" s="2129">
        <v>12</v>
      </c>
      <c r="V7" s="2129">
        <v>13</v>
      </c>
      <c r="W7" s="2129">
        <v>14</v>
      </c>
      <c r="X7" s="2130">
        <v>15</v>
      </c>
      <c r="Y7" s="2131">
        <v>16</v>
      </c>
      <c r="Z7" s="1143"/>
      <c r="AA7" s="1143"/>
      <c r="AB7" s="1143"/>
      <c r="AC7" s="1143"/>
      <c r="AD7" s="1143"/>
      <c r="AE7" s="1143"/>
      <c r="AF7" s="1143"/>
      <c r="AG7" s="1143"/>
      <c r="AH7" s="1143"/>
      <c r="AI7" s="1143"/>
      <c r="AJ7" s="1143"/>
      <c r="AK7" s="1143"/>
      <c r="AL7" s="1143"/>
      <c r="AM7" s="1143"/>
      <c r="AN7" s="1143"/>
      <c r="AO7" s="1143"/>
      <c r="AP7" s="1143"/>
      <c r="AQ7" s="1143"/>
      <c r="AR7" s="1143"/>
      <c r="AS7" s="1143"/>
      <c r="AT7" s="1143"/>
      <c r="AU7" s="1143"/>
      <c r="AV7" s="1143"/>
      <c r="AW7" s="1143"/>
      <c r="AX7" s="1143"/>
      <c r="AY7" s="1143"/>
      <c r="AZ7" s="1143"/>
      <c r="BA7" s="1143"/>
      <c r="BB7" s="1143"/>
      <c r="BC7" s="1143"/>
      <c r="BD7" s="1143"/>
      <c r="BE7" s="1143"/>
      <c r="BF7" s="1143"/>
      <c r="BG7" s="1143"/>
      <c r="BH7" s="1143"/>
      <c r="BI7" s="1143"/>
      <c r="BJ7" s="1143"/>
      <c r="BK7" s="1143"/>
      <c r="BL7" s="1143"/>
      <c r="BM7" s="1143"/>
      <c r="BN7" s="1143"/>
      <c r="BO7" s="1143"/>
      <c r="BP7" s="1143"/>
      <c r="BQ7" s="1143"/>
      <c r="BR7" s="1143"/>
      <c r="BS7" s="1143"/>
      <c r="BT7" s="1143"/>
      <c r="BU7" s="1143"/>
      <c r="BV7" s="1143"/>
      <c r="BW7" s="1143"/>
      <c r="BX7" s="1143"/>
      <c r="BY7" s="1143"/>
      <c r="BZ7" s="1143"/>
      <c r="CA7" s="1143"/>
      <c r="CB7" s="1143"/>
      <c r="CC7" s="1143"/>
      <c r="CD7" s="1143"/>
      <c r="CE7" s="1143"/>
      <c r="CF7" s="1143"/>
      <c r="CG7" s="1143"/>
      <c r="CH7" s="1143"/>
      <c r="CI7" s="1143"/>
    </row>
    <row r="8" spans="1:87" ht="14.25" customHeight="1">
      <c r="A8" s="3219"/>
      <c r="B8" s="3220" t="s">
        <v>92</v>
      </c>
      <c r="C8" s="2020"/>
      <c r="D8" s="3221">
        <f>+D10</f>
        <v>28485466</v>
      </c>
      <c r="E8" s="3221">
        <f t="shared" ref="E8:O8" si="0">+E10</f>
        <v>625947</v>
      </c>
      <c r="F8" s="3221">
        <f t="shared" si="0"/>
        <v>0</v>
      </c>
      <c r="G8" s="3221">
        <f t="shared" si="0"/>
        <v>0</v>
      </c>
      <c r="H8" s="3221">
        <f t="shared" si="0"/>
        <v>0</v>
      </c>
      <c r="I8" s="3221">
        <f t="shared" si="0"/>
        <v>1250000</v>
      </c>
      <c r="J8" s="3221">
        <f t="shared" si="0"/>
        <v>2062947</v>
      </c>
      <c r="K8" s="3221">
        <f t="shared" si="0"/>
        <v>2562376</v>
      </c>
      <c r="L8" s="3221">
        <f t="shared" si="0"/>
        <v>1181219</v>
      </c>
      <c r="M8" s="3221">
        <f>+M10</f>
        <v>256207</v>
      </c>
      <c r="N8" s="3221">
        <f>+N10</f>
        <v>0</v>
      </c>
      <c r="O8" s="3221">
        <f t="shared" si="0"/>
        <v>0</v>
      </c>
      <c r="P8" s="3221">
        <f t="shared" ref="P8:X8" si="1">+P10</f>
        <v>102300</v>
      </c>
      <c r="Q8" s="3221">
        <f t="shared" si="1"/>
        <v>3355000</v>
      </c>
      <c r="R8" s="3221">
        <f t="shared" si="1"/>
        <v>4480000</v>
      </c>
      <c r="S8" s="3221">
        <f t="shared" si="1"/>
        <v>9600000</v>
      </c>
      <c r="T8" s="3221">
        <f t="shared" si="1"/>
        <v>5657500</v>
      </c>
      <c r="U8" s="3221">
        <f t="shared" si="1"/>
        <v>3566880</v>
      </c>
      <c r="V8" s="3221">
        <f t="shared" si="1"/>
        <v>1467579</v>
      </c>
      <c r="W8" s="3221">
        <f t="shared" si="1"/>
        <v>0</v>
      </c>
      <c r="X8" s="652">
        <f t="shared" si="1"/>
        <v>28229259</v>
      </c>
      <c r="Y8" s="2132"/>
      <c r="Z8" s="1143"/>
      <c r="AA8" s="685">
        <f>+O8+P8+Q8+R8</f>
        <v>7937300</v>
      </c>
      <c r="AB8" s="1143"/>
      <c r="AC8" s="1143"/>
      <c r="AD8" s="1143"/>
      <c r="AE8" s="1143"/>
      <c r="AF8" s="1143"/>
      <c r="AG8" s="1143"/>
      <c r="AH8" s="1143"/>
      <c r="AI8" s="1143"/>
      <c r="AJ8" s="1143"/>
      <c r="AK8" s="1143"/>
      <c r="AL8" s="1143"/>
      <c r="AM8" s="1143"/>
      <c r="AN8" s="1143"/>
      <c r="AO8" s="1143"/>
      <c r="AP8" s="1143"/>
      <c r="AQ8" s="1143"/>
      <c r="AR8" s="1143"/>
      <c r="AS8" s="1143"/>
      <c r="AT8" s="1143"/>
      <c r="AU8" s="1143"/>
      <c r="AV8" s="1143"/>
      <c r="AW8" s="1143"/>
      <c r="AX8" s="1143"/>
      <c r="AY8" s="1143"/>
      <c r="AZ8" s="1143"/>
      <c r="BA8" s="1143"/>
      <c r="BB8" s="1143"/>
      <c r="BC8" s="1143"/>
      <c r="BD8" s="1143"/>
      <c r="BE8" s="1143"/>
      <c r="BF8" s="1143"/>
      <c r="BG8" s="1143"/>
      <c r="BH8" s="1143"/>
      <c r="BI8" s="1143"/>
      <c r="BJ8" s="1143"/>
      <c r="BK8" s="1143"/>
      <c r="BL8" s="1143"/>
      <c r="BM8" s="1143"/>
      <c r="BN8" s="1143"/>
      <c r="BO8" s="1143"/>
      <c r="BP8" s="1143"/>
      <c r="BQ8" s="1143"/>
      <c r="BR8" s="1143"/>
      <c r="BS8" s="1143"/>
      <c r="BT8" s="1143"/>
      <c r="BU8" s="1143"/>
      <c r="BV8" s="1143"/>
      <c r="BW8" s="1143"/>
      <c r="BX8" s="1143"/>
      <c r="BY8" s="1143"/>
      <c r="BZ8" s="1143"/>
      <c r="CA8" s="1143"/>
      <c r="CB8" s="1143"/>
      <c r="CC8" s="1143"/>
      <c r="CD8" s="1143"/>
      <c r="CE8" s="1143"/>
      <c r="CF8" s="1143"/>
      <c r="CG8" s="1143"/>
      <c r="CH8" s="1143"/>
      <c r="CI8" s="1143"/>
    </row>
    <row r="9" spans="1:87" ht="14.25" customHeight="1">
      <c r="A9" s="3219"/>
      <c r="B9" s="3222" t="s">
        <v>93</v>
      </c>
      <c r="C9" s="3223"/>
      <c r="D9" s="759">
        <v>0</v>
      </c>
      <c r="E9" s="759">
        <v>0</v>
      </c>
      <c r="F9" s="759">
        <v>0</v>
      </c>
      <c r="G9" s="759">
        <v>0</v>
      </c>
      <c r="H9" s="759">
        <v>0</v>
      </c>
      <c r="I9" s="759">
        <v>0</v>
      </c>
      <c r="J9" s="759">
        <v>0</v>
      </c>
      <c r="K9" s="759">
        <v>0</v>
      </c>
      <c r="L9" s="759">
        <v>0</v>
      </c>
      <c r="M9" s="759">
        <v>0</v>
      </c>
      <c r="N9" s="759">
        <v>0</v>
      </c>
      <c r="O9" s="759">
        <v>0</v>
      </c>
      <c r="P9" s="759">
        <v>0</v>
      </c>
      <c r="Q9" s="759">
        <v>0</v>
      </c>
      <c r="R9" s="759">
        <v>0</v>
      </c>
      <c r="S9" s="759">
        <v>0</v>
      </c>
      <c r="T9" s="759">
        <v>0</v>
      </c>
      <c r="U9" s="759">
        <v>0</v>
      </c>
      <c r="V9" s="759">
        <v>0</v>
      </c>
      <c r="W9" s="759">
        <v>0</v>
      </c>
      <c r="X9" s="332">
        <v>0</v>
      </c>
      <c r="Y9" s="2132"/>
      <c r="Z9" s="1143"/>
      <c r="AA9" s="1143"/>
      <c r="AB9" s="1143"/>
      <c r="AC9" s="1143"/>
      <c r="AD9" s="1143"/>
      <c r="AE9" s="1143"/>
      <c r="AF9" s="1143"/>
      <c r="AG9" s="1143"/>
      <c r="AH9" s="1143"/>
      <c r="AI9" s="1143"/>
      <c r="AJ9" s="1143"/>
      <c r="AK9" s="1143"/>
      <c r="AL9" s="1143"/>
      <c r="AM9" s="1143"/>
      <c r="AN9" s="1143"/>
      <c r="AO9" s="1143"/>
      <c r="AP9" s="1143"/>
      <c r="AQ9" s="1143"/>
      <c r="AR9" s="1143"/>
      <c r="AS9" s="1143"/>
      <c r="AT9" s="1143"/>
      <c r="AU9" s="1143"/>
      <c r="AV9" s="1143"/>
      <c r="AW9" s="1143"/>
      <c r="AX9" s="1143"/>
      <c r="AY9" s="1143"/>
      <c r="AZ9" s="1143"/>
      <c r="BA9" s="1143"/>
      <c r="BB9" s="1143"/>
      <c r="BC9" s="1143"/>
      <c r="BD9" s="1143"/>
      <c r="BE9" s="1143"/>
      <c r="BF9" s="1143"/>
      <c r="BG9" s="1143"/>
      <c r="BH9" s="1143"/>
      <c r="BI9" s="1143"/>
      <c r="BJ9" s="1143"/>
      <c r="BK9" s="1143"/>
      <c r="BL9" s="1143"/>
      <c r="BM9" s="1143"/>
      <c r="BN9" s="1143"/>
      <c r="BO9" s="1143"/>
      <c r="BP9" s="1143"/>
      <c r="BQ9" s="1143"/>
      <c r="BR9" s="1143"/>
      <c r="BS9" s="1143"/>
      <c r="BT9" s="1143"/>
      <c r="BU9" s="1143"/>
      <c r="BV9" s="1143"/>
      <c r="BW9" s="1143"/>
      <c r="BX9" s="1143"/>
      <c r="BY9" s="1143"/>
      <c r="BZ9" s="1143"/>
      <c r="CA9" s="1143"/>
      <c r="CB9" s="1143"/>
      <c r="CC9" s="1143"/>
      <c r="CD9" s="1143"/>
      <c r="CE9" s="1143"/>
      <c r="CF9" s="1143"/>
      <c r="CG9" s="1143"/>
      <c r="CH9" s="1143"/>
      <c r="CI9" s="1143"/>
    </row>
    <row r="10" spans="1:87" ht="14.25" customHeight="1" thickBot="1">
      <c r="A10" s="3219"/>
      <c r="B10" s="3224" t="s">
        <v>21</v>
      </c>
      <c r="C10" s="3225"/>
      <c r="D10" s="769">
        <f>+D25+D35+D46+D58+D71+D83</f>
        <v>28485466</v>
      </c>
      <c r="E10" s="769">
        <f>+E25+E35+E46+E58+E71+E83</f>
        <v>625947</v>
      </c>
      <c r="F10" s="769">
        <f>+F25+F35+F46+F58+F71+F83</f>
        <v>0</v>
      </c>
      <c r="G10" s="769">
        <f>+G25+G35+G46+G58+G71+G83</f>
        <v>0</v>
      </c>
      <c r="H10" s="769">
        <f>+H25+H35+H46+H58+H71+H83</f>
        <v>0</v>
      </c>
      <c r="I10" s="769">
        <f t="shared" ref="I10:O10" si="2">+I25+I35+I46+I58+I71+I83</f>
        <v>1250000</v>
      </c>
      <c r="J10" s="769">
        <f t="shared" si="2"/>
        <v>2062947</v>
      </c>
      <c r="K10" s="769">
        <f t="shared" si="2"/>
        <v>2562376</v>
      </c>
      <c r="L10" s="769">
        <f t="shared" si="2"/>
        <v>1181219</v>
      </c>
      <c r="M10" s="769">
        <f>+M25+M35+M46+M58+M71+M83</f>
        <v>256207</v>
      </c>
      <c r="N10" s="769">
        <f>+N25+N35+N46+N58+N71+N83</f>
        <v>0</v>
      </c>
      <c r="O10" s="769">
        <f t="shared" si="2"/>
        <v>0</v>
      </c>
      <c r="P10" s="769">
        <f t="shared" ref="P10:X10" si="3">+P25+P35+P46+P58+P71+P83</f>
        <v>102300</v>
      </c>
      <c r="Q10" s="769">
        <f t="shared" si="3"/>
        <v>3355000</v>
      </c>
      <c r="R10" s="769">
        <f t="shared" si="3"/>
        <v>4480000</v>
      </c>
      <c r="S10" s="769">
        <f t="shared" si="3"/>
        <v>9600000</v>
      </c>
      <c r="T10" s="769">
        <f t="shared" si="3"/>
        <v>5657500</v>
      </c>
      <c r="U10" s="769">
        <f t="shared" si="3"/>
        <v>3566880</v>
      </c>
      <c r="V10" s="769">
        <f t="shared" si="3"/>
        <v>1467579</v>
      </c>
      <c r="W10" s="769">
        <f t="shared" si="3"/>
        <v>0</v>
      </c>
      <c r="X10" s="654">
        <f t="shared" si="3"/>
        <v>28229259</v>
      </c>
      <c r="Y10" s="2132"/>
      <c r="Z10" s="1143"/>
      <c r="AA10" s="1143"/>
      <c r="AB10" s="1143"/>
      <c r="AC10" s="1143"/>
      <c r="AD10" s="1143"/>
      <c r="AE10" s="1143"/>
      <c r="AF10" s="1143"/>
      <c r="AG10" s="1143"/>
      <c r="AH10" s="1143"/>
      <c r="AI10" s="1143"/>
      <c r="AJ10" s="1143"/>
      <c r="AK10" s="1143"/>
      <c r="AL10" s="1143"/>
      <c r="AM10" s="1143"/>
      <c r="AN10" s="1143"/>
      <c r="AO10" s="1143"/>
      <c r="AP10" s="1143"/>
      <c r="AQ10" s="1143"/>
      <c r="AR10" s="1143"/>
      <c r="AS10" s="1143"/>
      <c r="AT10" s="1143"/>
      <c r="AU10" s="1143"/>
      <c r="AV10" s="1143"/>
      <c r="AW10" s="1143"/>
      <c r="AX10" s="1143"/>
      <c r="AY10" s="1143"/>
      <c r="AZ10" s="1143"/>
      <c r="BA10" s="1143"/>
      <c r="BB10" s="1143"/>
      <c r="BC10" s="1143"/>
      <c r="BD10" s="1143"/>
      <c r="BE10" s="1143"/>
      <c r="BF10" s="1143"/>
      <c r="BG10" s="1143"/>
      <c r="BH10" s="1143"/>
      <c r="BI10" s="1143"/>
      <c r="BJ10" s="1143"/>
      <c r="BK10" s="1143"/>
      <c r="BL10" s="1143"/>
      <c r="BM10" s="1143"/>
      <c r="BN10" s="1143"/>
      <c r="BO10" s="1143"/>
      <c r="BP10" s="1143"/>
      <c r="BQ10" s="1143"/>
      <c r="BR10" s="1143"/>
      <c r="BS10" s="1143"/>
      <c r="BT10" s="1143"/>
      <c r="BU10" s="1143"/>
      <c r="BV10" s="1143"/>
      <c r="BW10" s="1143"/>
      <c r="BX10" s="1143"/>
      <c r="BY10" s="1143"/>
      <c r="BZ10" s="1143"/>
      <c r="CA10" s="1143"/>
      <c r="CB10" s="1143"/>
      <c r="CC10" s="1143"/>
      <c r="CD10" s="1143"/>
      <c r="CE10" s="1143"/>
      <c r="CF10" s="1143"/>
      <c r="CG10" s="1143"/>
      <c r="CH10" s="1143"/>
      <c r="CI10" s="1143"/>
    </row>
    <row r="11" spans="1:87" s="2182" customFormat="1" ht="14.25" customHeight="1">
      <c r="A11" s="3219"/>
      <c r="B11" s="3226" t="s">
        <v>22</v>
      </c>
      <c r="C11" s="3226"/>
      <c r="D11" s="1315">
        <f>+D12+D15</f>
        <v>88685466</v>
      </c>
      <c r="E11" s="1315">
        <f>+E12+E15</f>
        <v>625947</v>
      </c>
      <c r="F11" s="1315">
        <f t="shared" ref="F11:O11" si="4">+F12+F15</f>
        <v>0</v>
      </c>
      <c r="G11" s="1315">
        <f t="shared" si="4"/>
        <v>0</v>
      </c>
      <c r="H11" s="1315">
        <f t="shared" si="4"/>
        <v>0</v>
      </c>
      <c r="I11" s="1315">
        <f t="shared" si="4"/>
        <v>1250000</v>
      </c>
      <c r="J11" s="1315">
        <f t="shared" si="4"/>
        <v>2100149</v>
      </c>
      <c r="K11" s="1315">
        <f t="shared" si="4"/>
        <v>4368760</v>
      </c>
      <c r="L11" s="1315">
        <f t="shared" si="4"/>
        <v>3482637</v>
      </c>
      <c r="M11" s="1315">
        <f>+M12+M15</f>
        <v>256207</v>
      </c>
      <c r="N11" s="1315">
        <f>+N12+N15</f>
        <v>0</v>
      </c>
      <c r="O11" s="1315">
        <f t="shared" si="4"/>
        <v>0</v>
      </c>
      <c r="P11" s="1315">
        <f t="shared" ref="P11:W11" si="5">+P12+P15</f>
        <v>102300</v>
      </c>
      <c r="Q11" s="1315">
        <f t="shared" si="5"/>
        <v>3355000</v>
      </c>
      <c r="R11" s="1315">
        <f t="shared" si="5"/>
        <v>13745000</v>
      </c>
      <c r="S11" s="1315">
        <f t="shared" si="5"/>
        <v>30000000</v>
      </c>
      <c r="T11" s="1315">
        <f t="shared" si="5"/>
        <v>17600000</v>
      </c>
      <c r="U11" s="1315">
        <f t="shared" si="5"/>
        <v>12066880</v>
      </c>
      <c r="V11" s="1315">
        <f t="shared" si="5"/>
        <v>11560079</v>
      </c>
      <c r="W11" s="1315">
        <f t="shared" si="5"/>
        <v>0</v>
      </c>
      <c r="X11" s="1272">
        <f>+X12</f>
        <v>23194800</v>
      </c>
      <c r="Y11" s="2896"/>
      <c r="Z11" s="1143"/>
      <c r="AA11" s="685"/>
      <c r="AB11" s="685">
        <f>+D23+D32+D44+D56+D68+D80</f>
        <v>88685466</v>
      </c>
      <c r="AC11" s="1143"/>
      <c r="AD11" s="1143"/>
      <c r="AE11" s="1143"/>
      <c r="AF11" s="1143"/>
      <c r="AG11" s="1143"/>
      <c r="AH11" s="1143"/>
      <c r="AI11" s="1143"/>
      <c r="AJ11" s="1143"/>
      <c r="AK11" s="1143"/>
      <c r="AL11" s="1143"/>
      <c r="AM11" s="1143"/>
      <c r="AN11" s="1143"/>
      <c r="AO11" s="1143"/>
      <c r="AP11" s="1143"/>
      <c r="AQ11" s="1143"/>
      <c r="AR11" s="1143"/>
      <c r="AS11" s="1143"/>
      <c r="AT11" s="1143"/>
      <c r="AU11" s="1143"/>
      <c r="AV11" s="1143"/>
      <c r="AW11" s="1143"/>
      <c r="AX11" s="1143"/>
      <c r="AY11" s="1143"/>
      <c r="AZ11" s="1143"/>
      <c r="BA11" s="1143"/>
      <c r="BB11" s="1143"/>
      <c r="BC11" s="1143"/>
      <c r="BD11" s="1143"/>
      <c r="BE11" s="1143"/>
      <c r="BF11" s="1143"/>
      <c r="BG11" s="1143"/>
      <c r="BH11" s="1143"/>
      <c r="BI11" s="1143"/>
      <c r="BJ11" s="1143"/>
      <c r="BK11" s="1143"/>
      <c r="BL11" s="1143"/>
      <c r="BM11" s="1143"/>
      <c r="BN11" s="1143"/>
      <c r="BO11" s="1143"/>
      <c r="BP11" s="1143"/>
      <c r="BQ11" s="1143"/>
      <c r="BR11" s="1143"/>
      <c r="BS11" s="1143"/>
      <c r="BT11" s="1143"/>
      <c r="BU11" s="1143"/>
      <c r="BV11" s="1143"/>
      <c r="BW11" s="1143"/>
      <c r="BX11" s="1143"/>
      <c r="BY11" s="1143"/>
      <c r="BZ11" s="1143"/>
      <c r="CA11" s="1143"/>
      <c r="CB11" s="1143"/>
      <c r="CC11" s="1143"/>
      <c r="CD11" s="1143"/>
      <c r="CE11" s="1143"/>
      <c r="CF11" s="1143"/>
      <c r="CG11" s="1143"/>
      <c r="CH11" s="1143"/>
      <c r="CI11" s="1143"/>
    </row>
    <row r="12" spans="1:87" s="2182" customFormat="1" ht="14.1" customHeight="1">
      <c r="A12" s="3219"/>
      <c r="B12" s="2052" t="s">
        <v>23</v>
      </c>
      <c r="C12" s="3227" t="s">
        <v>77</v>
      </c>
      <c r="D12" s="3228">
        <f>+D13+D14</f>
        <v>28485466</v>
      </c>
      <c r="E12" s="3228">
        <f t="shared" ref="E12:O12" si="6">+E13+E14</f>
        <v>625947</v>
      </c>
      <c r="F12" s="3228">
        <f t="shared" si="6"/>
        <v>0</v>
      </c>
      <c r="G12" s="3228">
        <f t="shared" si="6"/>
        <v>0</v>
      </c>
      <c r="H12" s="3228">
        <f t="shared" si="6"/>
        <v>0</v>
      </c>
      <c r="I12" s="3228">
        <f t="shared" si="6"/>
        <v>1250000</v>
      </c>
      <c r="J12" s="3228">
        <f t="shared" si="6"/>
        <v>2068527</v>
      </c>
      <c r="K12" s="3228">
        <f t="shared" si="6"/>
        <v>2562376</v>
      </c>
      <c r="L12" s="3228">
        <f t="shared" si="6"/>
        <v>1252763</v>
      </c>
      <c r="M12" s="3228">
        <f>+M13+M14</f>
        <v>256207</v>
      </c>
      <c r="N12" s="3228">
        <f>+N13+N14</f>
        <v>0</v>
      </c>
      <c r="O12" s="3228">
        <f t="shared" si="6"/>
        <v>0</v>
      </c>
      <c r="P12" s="3228">
        <f t="shared" ref="P12:W12" si="7">+P13+P14</f>
        <v>102300</v>
      </c>
      <c r="Q12" s="3228">
        <f t="shared" si="7"/>
        <v>3355000</v>
      </c>
      <c r="R12" s="3228">
        <f t="shared" si="7"/>
        <v>4480000</v>
      </c>
      <c r="S12" s="3228">
        <f t="shared" si="7"/>
        <v>9600000</v>
      </c>
      <c r="T12" s="3228">
        <f t="shared" si="7"/>
        <v>5657500</v>
      </c>
      <c r="U12" s="3228">
        <f t="shared" si="7"/>
        <v>3566880</v>
      </c>
      <c r="V12" s="3228">
        <f t="shared" si="7"/>
        <v>1467579</v>
      </c>
      <c r="W12" s="3228">
        <f t="shared" si="7"/>
        <v>0</v>
      </c>
      <c r="X12" s="3229">
        <f>+X14</f>
        <v>23194800</v>
      </c>
      <c r="Y12" s="2896"/>
      <c r="Z12" s="1143"/>
      <c r="AA12" s="685">
        <f t="shared" ref="AA12:AA17" si="8">+P12+O12+N12+L12+K12+J12+I12+E12</f>
        <v>7861913</v>
      </c>
      <c r="AB12" s="685">
        <f>+AB11-D11</f>
        <v>0</v>
      </c>
      <c r="AC12" s="1143"/>
      <c r="AD12" s="1143"/>
      <c r="AE12" s="1143"/>
      <c r="AF12" s="1143"/>
      <c r="AG12" s="1143"/>
      <c r="AH12" s="1143"/>
      <c r="AI12" s="1143"/>
      <c r="AJ12" s="1143"/>
      <c r="AK12" s="1143"/>
      <c r="AL12" s="1143"/>
      <c r="AM12" s="1143"/>
      <c r="AN12" s="1143"/>
      <c r="AO12" s="1143"/>
      <c r="AP12" s="1143"/>
      <c r="AQ12" s="1143"/>
      <c r="AR12" s="1143"/>
      <c r="AS12" s="1143"/>
      <c r="AT12" s="1143"/>
      <c r="AU12" s="1143"/>
      <c r="AV12" s="1143"/>
      <c r="AW12" s="1143"/>
      <c r="AX12" s="1143"/>
      <c r="AY12" s="1143"/>
      <c r="AZ12" s="1143"/>
      <c r="BA12" s="1143"/>
      <c r="BB12" s="1143"/>
      <c r="BC12" s="1143"/>
      <c r="BD12" s="1143"/>
      <c r="BE12" s="1143"/>
      <c r="BF12" s="1143"/>
      <c r="BG12" s="1143"/>
      <c r="BH12" s="1143"/>
      <c r="BI12" s="1143"/>
      <c r="BJ12" s="1143"/>
      <c r="BK12" s="1143"/>
      <c r="BL12" s="1143"/>
      <c r="BM12" s="1143"/>
      <c r="BN12" s="1143"/>
      <c r="BO12" s="1143"/>
      <c r="BP12" s="1143"/>
      <c r="BQ12" s="1143"/>
      <c r="BR12" s="1143"/>
      <c r="BS12" s="1143"/>
      <c r="BT12" s="1143"/>
      <c r="BU12" s="1143"/>
      <c r="BV12" s="1143"/>
      <c r="BW12" s="1143"/>
      <c r="BX12" s="1143"/>
      <c r="BY12" s="1143"/>
      <c r="BZ12" s="1143"/>
      <c r="CA12" s="1143"/>
      <c r="CB12" s="1143"/>
      <c r="CC12" s="1143"/>
      <c r="CD12" s="1143"/>
      <c r="CE12" s="1143"/>
      <c r="CF12" s="1143"/>
      <c r="CG12" s="1143"/>
      <c r="CH12" s="1143"/>
      <c r="CI12" s="1143"/>
    </row>
    <row r="13" spans="1:87" s="2182" customFormat="1" ht="12" hidden="1">
      <c r="A13" s="3219"/>
      <c r="B13" s="3230" t="s">
        <v>45</v>
      </c>
      <c r="C13" s="3227"/>
      <c r="D13" s="3231">
        <f>+D70+D34+D47+D59+D82</f>
        <v>0</v>
      </c>
      <c r="E13" s="3231">
        <f t="shared" ref="E13:O13" si="9">+E70+E34+E47+E59+E82</f>
        <v>0</v>
      </c>
      <c r="F13" s="3231">
        <f t="shared" si="9"/>
        <v>0</v>
      </c>
      <c r="G13" s="3231">
        <f t="shared" si="9"/>
        <v>0</v>
      </c>
      <c r="H13" s="3231">
        <f t="shared" si="9"/>
        <v>0</v>
      </c>
      <c r="I13" s="3231">
        <f t="shared" si="9"/>
        <v>0</v>
      </c>
      <c r="J13" s="3231">
        <f t="shared" si="9"/>
        <v>5580</v>
      </c>
      <c r="K13" s="3231">
        <f t="shared" si="9"/>
        <v>0</v>
      </c>
      <c r="L13" s="3231">
        <f t="shared" si="9"/>
        <v>71544</v>
      </c>
      <c r="M13" s="3231">
        <f t="shared" si="9"/>
        <v>0</v>
      </c>
      <c r="N13" s="3231">
        <f t="shared" si="9"/>
        <v>0</v>
      </c>
      <c r="O13" s="3231">
        <f t="shared" si="9"/>
        <v>0</v>
      </c>
      <c r="P13" s="3231">
        <f t="shared" ref="P13:W13" si="10">+P70+P34+P47+P59</f>
        <v>0</v>
      </c>
      <c r="Q13" s="3231">
        <f t="shared" si="10"/>
        <v>0</v>
      </c>
      <c r="R13" s="3231">
        <f t="shared" si="10"/>
        <v>0</v>
      </c>
      <c r="S13" s="3231">
        <f t="shared" si="10"/>
        <v>0</v>
      </c>
      <c r="T13" s="3231">
        <f t="shared" si="10"/>
        <v>0</v>
      </c>
      <c r="U13" s="3231">
        <f t="shared" si="10"/>
        <v>0</v>
      </c>
      <c r="V13" s="3231">
        <f t="shared" si="10"/>
        <v>0</v>
      </c>
      <c r="W13" s="3231">
        <f t="shared" si="10"/>
        <v>0</v>
      </c>
      <c r="X13" s="3232" t="s">
        <v>77</v>
      </c>
      <c r="Y13" s="2896"/>
      <c r="Z13" s="1143"/>
      <c r="AA13" s="685">
        <f t="shared" si="8"/>
        <v>77124</v>
      </c>
      <c r="AB13" s="1143"/>
      <c r="AC13" s="1143"/>
      <c r="AD13" s="1143"/>
      <c r="AE13" s="1143"/>
      <c r="AF13" s="1143"/>
      <c r="AG13" s="1143"/>
      <c r="AH13" s="1143"/>
      <c r="AI13" s="1143"/>
      <c r="AJ13" s="1143"/>
      <c r="AK13" s="1143"/>
      <c r="AL13" s="1143"/>
      <c r="AM13" s="1143"/>
      <c r="AN13" s="1143"/>
      <c r="AO13" s="1143"/>
      <c r="AP13" s="1143"/>
      <c r="AQ13" s="1143"/>
      <c r="AR13" s="1143"/>
      <c r="AS13" s="1143"/>
      <c r="AT13" s="1143"/>
      <c r="AU13" s="1143"/>
      <c r="AV13" s="1143"/>
      <c r="AW13" s="1143"/>
      <c r="AX13" s="1143"/>
      <c r="AY13" s="1143"/>
      <c r="AZ13" s="1143"/>
      <c r="BA13" s="1143"/>
      <c r="BB13" s="1143"/>
      <c r="BC13" s="1143"/>
      <c r="BD13" s="1143"/>
      <c r="BE13" s="1143"/>
      <c r="BF13" s="1143"/>
      <c r="BG13" s="1143"/>
      <c r="BH13" s="1143"/>
      <c r="BI13" s="1143"/>
      <c r="BJ13" s="1143"/>
      <c r="BK13" s="1143"/>
      <c r="BL13" s="1143"/>
      <c r="BM13" s="1143"/>
      <c r="BN13" s="1143"/>
      <c r="BO13" s="1143"/>
      <c r="BP13" s="1143"/>
      <c r="BQ13" s="1143"/>
      <c r="BR13" s="1143"/>
      <c r="BS13" s="1143"/>
      <c r="BT13" s="1143"/>
      <c r="BU13" s="1143"/>
      <c r="BV13" s="1143"/>
      <c r="BW13" s="1143"/>
      <c r="BX13" s="1143"/>
      <c r="BY13" s="1143"/>
      <c r="BZ13" s="1143"/>
      <c r="CA13" s="1143"/>
      <c r="CB13" s="1143"/>
      <c r="CC13" s="1143"/>
      <c r="CD13" s="1143"/>
      <c r="CE13" s="1143"/>
      <c r="CF13" s="1143"/>
      <c r="CG13" s="1143"/>
      <c r="CH13" s="1143"/>
      <c r="CI13" s="1143"/>
    </row>
    <row r="14" spans="1:87" s="2182" customFormat="1" ht="12">
      <c r="A14" s="3219"/>
      <c r="B14" s="3230" t="s">
        <v>197</v>
      </c>
      <c r="C14" s="3227"/>
      <c r="D14" s="3233">
        <f>+D25+D35+D46+D58+D83+D71</f>
        <v>28485466</v>
      </c>
      <c r="E14" s="3233">
        <f>+E25+E35+E46+E58+E83+E71</f>
        <v>625947</v>
      </c>
      <c r="F14" s="3233">
        <f>+F25+F35+F46+F58+F83+F71</f>
        <v>0</v>
      </c>
      <c r="G14" s="3233">
        <f>+G25+G35+G46+G58+G83+G71</f>
        <v>0</v>
      </c>
      <c r="H14" s="3233">
        <f>+H25+H35+H46+H58+H83+H71</f>
        <v>0</v>
      </c>
      <c r="I14" s="3233">
        <f t="shared" ref="I14:O14" si="11">+I25+I35+I46+I58+I83+I71</f>
        <v>1250000</v>
      </c>
      <c r="J14" s="3233">
        <f t="shared" si="11"/>
        <v>2062947</v>
      </c>
      <c r="K14" s="3233">
        <f t="shared" si="11"/>
        <v>2562376</v>
      </c>
      <c r="L14" s="3233">
        <f t="shared" si="11"/>
        <v>1181219</v>
      </c>
      <c r="M14" s="3233">
        <f>+M25+M35+M46+M58+M83+M71</f>
        <v>256207</v>
      </c>
      <c r="N14" s="3233">
        <f>+N25+N35+N46+N58+N83+N71</f>
        <v>0</v>
      </c>
      <c r="O14" s="3233">
        <f t="shared" si="11"/>
        <v>0</v>
      </c>
      <c r="P14" s="3233">
        <f t="shared" ref="P14:W14" si="12">+P25+P35+P46+P58+P83+P71</f>
        <v>102300</v>
      </c>
      <c r="Q14" s="3233">
        <f t="shared" si="12"/>
        <v>3355000</v>
      </c>
      <c r="R14" s="3233">
        <f t="shared" si="12"/>
        <v>4480000</v>
      </c>
      <c r="S14" s="3233">
        <f t="shared" si="12"/>
        <v>9600000</v>
      </c>
      <c r="T14" s="3233">
        <f t="shared" si="12"/>
        <v>5657500</v>
      </c>
      <c r="U14" s="3233">
        <f t="shared" si="12"/>
        <v>3566880</v>
      </c>
      <c r="V14" s="3233">
        <f t="shared" si="12"/>
        <v>1467579</v>
      </c>
      <c r="W14" s="3233">
        <f t="shared" si="12"/>
        <v>0</v>
      </c>
      <c r="X14" s="2133">
        <f>SUM(P14:T14)</f>
        <v>23194800</v>
      </c>
      <c r="Y14" s="2896"/>
      <c r="Z14" s="1143"/>
      <c r="AA14" s="685">
        <f t="shared" si="8"/>
        <v>7784789</v>
      </c>
      <c r="AB14" s="685"/>
      <c r="AC14" s="1143"/>
      <c r="AD14" s="1143"/>
      <c r="AE14" s="1143"/>
      <c r="AF14" s="1143"/>
      <c r="AG14" s="1143"/>
      <c r="AH14" s="1143"/>
      <c r="AI14" s="1143"/>
      <c r="AJ14" s="1143"/>
      <c r="AK14" s="1143"/>
      <c r="AL14" s="1143"/>
      <c r="AM14" s="1143"/>
      <c r="AN14" s="1143"/>
      <c r="AO14" s="1143"/>
      <c r="AP14" s="1143"/>
      <c r="AQ14" s="1143"/>
      <c r="AR14" s="1143"/>
      <c r="AS14" s="1143"/>
      <c r="AT14" s="1143"/>
      <c r="AU14" s="1143"/>
      <c r="AV14" s="1143"/>
      <c r="AW14" s="1143"/>
      <c r="AX14" s="1143"/>
      <c r="AY14" s="1143"/>
      <c r="AZ14" s="1143"/>
      <c r="BA14" s="1143"/>
      <c r="BB14" s="1143"/>
      <c r="BC14" s="1143"/>
      <c r="BD14" s="1143"/>
      <c r="BE14" s="1143"/>
      <c r="BF14" s="1143"/>
      <c r="BG14" s="1143"/>
      <c r="BH14" s="1143"/>
      <c r="BI14" s="1143"/>
      <c r="BJ14" s="1143"/>
      <c r="BK14" s="1143"/>
      <c r="BL14" s="1143"/>
      <c r="BM14" s="1143"/>
      <c r="BN14" s="1143"/>
      <c r="BO14" s="1143"/>
      <c r="BP14" s="1143"/>
      <c r="BQ14" s="1143"/>
      <c r="BR14" s="1143"/>
      <c r="BS14" s="1143"/>
      <c r="BT14" s="1143"/>
      <c r="BU14" s="1143"/>
      <c r="BV14" s="1143"/>
      <c r="BW14" s="1143"/>
      <c r="BX14" s="1143"/>
      <c r="BY14" s="1143"/>
      <c r="BZ14" s="1143"/>
      <c r="CA14" s="1143"/>
      <c r="CB14" s="1143"/>
      <c r="CC14" s="1143"/>
      <c r="CD14" s="1143"/>
      <c r="CE14" s="1143"/>
      <c r="CF14" s="1143"/>
      <c r="CG14" s="1143"/>
      <c r="CH14" s="1143"/>
      <c r="CI14" s="1143"/>
    </row>
    <row r="15" spans="1:87" s="2182" customFormat="1" ht="12">
      <c r="A15" s="3219"/>
      <c r="B15" s="2052" t="s">
        <v>30</v>
      </c>
      <c r="C15" s="3227"/>
      <c r="D15" s="3228">
        <f>+D16</f>
        <v>60200000</v>
      </c>
      <c r="E15" s="3228">
        <f>+E16</f>
        <v>0</v>
      </c>
      <c r="F15" s="3228">
        <f>F26+F36+F48+F84+F72</f>
        <v>0</v>
      </c>
      <c r="G15" s="3228">
        <f>G26+G36+G48+G84+G72</f>
        <v>0</v>
      </c>
      <c r="H15" s="3228">
        <f>H26+H36+H48+H84+H72</f>
        <v>0</v>
      </c>
      <c r="I15" s="3228">
        <f t="shared" ref="I15:W15" si="13">+I16</f>
        <v>0</v>
      </c>
      <c r="J15" s="3228">
        <f t="shared" si="13"/>
        <v>31622</v>
      </c>
      <c r="K15" s="3228">
        <f t="shared" si="13"/>
        <v>1806384</v>
      </c>
      <c r="L15" s="3228">
        <f t="shared" si="13"/>
        <v>2229874</v>
      </c>
      <c r="M15" s="3228">
        <f t="shared" si="13"/>
        <v>0</v>
      </c>
      <c r="N15" s="3228">
        <f t="shared" si="13"/>
        <v>0</v>
      </c>
      <c r="O15" s="3228">
        <f t="shared" si="13"/>
        <v>0</v>
      </c>
      <c r="P15" s="3228">
        <f t="shared" si="13"/>
        <v>0</v>
      </c>
      <c r="Q15" s="3228">
        <f t="shared" si="13"/>
        <v>0</v>
      </c>
      <c r="R15" s="3228">
        <f t="shared" si="13"/>
        <v>9265000</v>
      </c>
      <c r="S15" s="3228">
        <f t="shared" si="13"/>
        <v>20400000</v>
      </c>
      <c r="T15" s="3228">
        <f t="shared" si="13"/>
        <v>11942500</v>
      </c>
      <c r="U15" s="3228">
        <f t="shared" si="13"/>
        <v>8500000</v>
      </c>
      <c r="V15" s="3228">
        <f t="shared" si="13"/>
        <v>10092500</v>
      </c>
      <c r="W15" s="3228">
        <f t="shared" si="13"/>
        <v>0</v>
      </c>
      <c r="X15" s="3234" t="str">
        <f>+X16</f>
        <v>x</v>
      </c>
      <c r="Y15" s="2896"/>
      <c r="Z15" s="1143"/>
      <c r="AA15" s="685">
        <f t="shared" si="8"/>
        <v>4067880</v>
      </c>
      <c r="AB15" s="1143"/>
      <c r="AC15" s="1143"/>
      <c r="AD15" s="1143"/>
      <c r="AE15" s="1143"/>
      <c r="AF15" s="1143"/>
      <c r="AG15" s="1143"/>
      <c r="AH15" s="1143"/>
      <c r="AI15" s="1143"/>
      <c r="AJ15" s="1143"/>
      <c r="AK15" s="1143"/>
      <c r="AL15" s="1143"/>
      <c r="AM15" s="1143"/>
      <c r="AN15" s="1143"/>
      <c r="AO15" s="1143"/>
      <c r="AP15" s="1143"/>
      <c r="AQ15" s="1143"/>
      <c r="AR15" s="1143"/>
      <c r="AS15" s="1143"/>
      <c r="AT15" s="1143"/>
      <c r="AU15" s="1143"/>
      <c r="AV15" s="1143"/>
      <c r="AW15" s="1143"/>
      <c r="AX15" s="1143"/>
      <c r="AY15" s="1143"/>
      <c r="AZ15" s="1143"/>
      <c r="BA15" s="1143"/>
      <c r="BB15" s="1143"/>
      <c r="BC15" s="1143"/>
      <c r="BD15" s="1143"/>
      <c r="BE15" s="1143"/>
      <c r="BF15" s="1143"/>
      <c r="BG15" s="1143"/>
      <c r="BH15" s="1143"/>
      <c r="BI15" s="1143"/>
      <c r="BJ15" s="1143"/>
      <c r="BK15" s="1143"/>
      <c r="BL15" s="1143"/>
      <c r="BM15" s="1143"/>
      <c r="BN15" s="1143"/>
      <c r="BO15" s="1143"/>
      <c r="BP15" s="1143"/>
      <c r="BQ15" s="1143"/>
      <c r="BR15" s="1143"/>
      <c r="BS15" s="1143"/>
      <c r="BT15" s="1143"/>
      <c r="BU15" s="1143"/>
      <c r="BV15" s="1143"/>
      <c r="BW15" s="1143"/>
      <c r="BX15" s="1143"/>
      <c r="BY15" s="1143"/>
      <c r="BZ15" s="1143"/>
      <c r="CA15" s="1143"/>
      <c r="CB15" s="1143"/>
      <c r="CC15" s="1143"/>
      <c r="CD15" s="1143"/>
      <c r="CE15" s="1143"/>
      <c r="CF15" s="1143"/>
      <c r="CG15" s="1143"/>
      <c r="CH15" s="1143"/>
      <c r="CI15" s="1143"/>
    </row>
    <row r="16" spans="1:87" s="2182" customFormat="1" ht="12">
      <c r="A16" s="3219"/>
      <c r="B16" s="3235" t="s">
        <v>48</v>
      </c>
      <c r="C16" s="3227"/>
      <c r="D16" s="3233">
        <f t="shared" ref="D16:O16" si="14">D27+D37+D49+D73+D85+D61</f>
        <v>60200000</v>
      </c>
      <c r="E16" s="3233">
        <f t="shared" si="14"/>
        <v>0</v>
      </c>
      <c r="F16" s="3233">
        <f t="shared" si="14"/>
        <v>0</v>
      </c>
      <c r="G16" s="3233">
        <f t="shared" si="14"/>
        <v>0</v>
      </c>
      <c r="H16" s="3233">
        <f t="shared" si="14"/>
        <v>0</v>
      </c>
      <c r="I16" s="3233">
        <f t="shared" si="14"/>
        <v>0</v>
      </c>
      <c r="J16" s="3233">
        <f t="shared" si="14"/>
        <v>31622</v>
      </c>
      <c r="K16" s="3233">
        <f t="shared" si="14"/>
        <v>1806384</v>
      </c>
      <c r="L16" s="3233">
        <f t="shared" si="14"/>
        <v>2229874</v>
      </c>
      <c r="M16" s="3233">
        <f>M27+M37+M49+M73+M85+M61</f>
        <v>0</v>
      </c>
      <c r="N16" s="3233">
        <f>N27+N37+N49+N73+N85+N61</f>
        <v>0</v>
      </c>
      <c r="O16" s="3233">
        <f t="shared" si="14"/>
        <v>0</v>
      </c>
      <c r="P16" s="3233">
        <f t="shared" ref="P16:W16" si="15">P27+P37+P49+P73+P85+P61</f>
        <v>0</v>
      </c>
      <c r="Q16" s="3233">
        <f t="shared" si="15"/>
        <v>0</v>
      </c>
      <c r="R16" s="3233">
        <f t="shared" si="15"/>
        <v>9265000</v>
      </c>
      <c r="S16" s="3233">
        <f t="shared" si="15"/>
        <v>20400000</v>
      </c>
      <c r="T16" s="3233">
        <f t="shared" si="15"/>
        <v>11942500</v>
      </c>
      <c r="U16" s="3233">
        <f t="shared" si="15"/>
        <v>8500000</v>
      </c>
      <c r="V16" s="3233">
        <f t="shared" si="15"/>
        <v>10092500</v>
      </c>
      <c r="W16" s="3233">
        <f t="shared" si="15"/>
        <v>0</v>
      </c>
      <c r="X16" s="2134" t="s">
        <v>77</v>
      </c>
      <c r="Y16" s="2896"/>
      <c r="Z16" s="1143"/>
      <c r="AA16" s="685">
        <f t="shared" si="8"/>
        <v>4067880</v>
      </c>
      <c r="AB16" s="1143"/>
      <c r="AC16" s="1143"/>
      <c r="AD16" s="1143"/>
      <c r="AE16" s="1143"/>
      <c r="AF16" s="1143"/>
      <c r="AG16" s="1143"/>
      <c r="AH16" s="1143"/>
      <c r="AI16" s="1143"/>
      <c r="AJ16" s="1143"/>
      <c r="AK16" s="1143"/>
      <c r="AL16" s="1143"/>
      <c r="AM16" s="1143"/>
      <c r="AN16" s="1143"/>
      <c r="AO16" s="1143"/>
      <c r="AP16" s="1143"/>
      <c r="AQ16" s="1143"/>
      <c r="AR16" s="1143"/>
      <c r="AS16" s="1143"/>
      <c r="AT16" s="1143"/>
      <c r="AU16" s="1143"/>
      <c r="AV16" s="1143"/>
      <c r="AW16" s="1143"/>
      <c r="AX16" s="1143"/>
      <c r="AY16" s="1143"/>
      <c r="AZ16" s="1143"/>
      <c r="BA16" s="1143"/>
      <c r="BB16" s="1143"/>
      <c r="BC16" s="1143"/>
      <c r="BD16" s="1143"/>
      <c r="BE16" s="1143"/>
      <c r="BF16" s="1143"/>
      <c r="BG16" s="1143"/>
      <c r="BH16" s="1143"/>
      <c r="BI16" s="1143"/>
      <c r="BJ16" s="1143"/>
      <c r="BK16" s="1143"/>
      <c r="BL16" s="1143"/>
      <c r="BM16" s="1143"/>
      <c r="BN16" s="1143"/>
      <c r="BO16" s="1143"/>
      <c r="BP16" s="1143"/>
      <c r="BQ16" s="1143"/>
      <c r="BR16" s="1143"/>
      <c r="BS16" s="1143"/>
      <c r="BT16" s="1143"/>
      <c r="BU16" s="1143"/>
      <c r="BV16" s="1143"/>
      <c r="BW16" s="1143"/>
      <c r="BX16" s="1143"/>
      <c r="BY16" s="1143"/>
      <c r="BZ16" s="1143"/>
      <c r="CA16" s="1143"/>
      <c r="CB16" s="1143"/>
      <c r="CC16" s="1143"/>
      <c r="CD16" s="1143"/>
      <c r="CE16" s="1143"/>
      <c r="CF16" s="1143"/>
      <c r="CG16" s="1143"/>
      <c r="CH16" s="1143"/>
      <c r="CI16" s="1143"/>
    </row>
    <row r="17" spans="1:87" s="2182" customFormat="1" ht="12.75" customHeight="1">
      <c r="A17" s="3219"/>
      <c r="B17" s="2027" t="s">
        <v>34</v>
      </c>
      <c r="C17" s="2027"/>
      <c r="D17" s="2135">
        <f>+D18+D20</f>
        <v>76056386</v>
      </c>
      <c r="E17" s="2135">
        <f t="shared" ref="E17:O17" si="16">+E18+E20</f>
        <v>0</v>
      </c>
      <c r="F17" s="2135">
        <f t="shared" si="16"/>
        <v>0</v>
      </c>
      <c r="G17" s="2135">
        <f t="shared" si="16"/>
        <v>0</v>
      </c>
      <c r="H17" s="2135">
        <f t="shared" si="16"/>
        <v>0</v>
      </c>
      <c r="I17" s="2135">
        <f t="shared" si="16"/>
        <v>101937</v>
      </c>
      <c r="J17" s="2135">
        <f t="shared" si="16"/>
        <v>224050</v>
      </c>
      <c r="K17" s="2135">
        <f t="shared" si="16"/>
        <v>2719336</v>
      </c>
      <c r="L17" s="2135">
        <f t="shared" si="16"/>
        <v>2269358</v>
      </c>
      <c r="M17" s="2135">
        <f>+M18+M20</f>
        <v>0</v>
      </c>
      <c r="N17" s="2135">
        <f>+N18+N20</f>
        <v>0</v>
      </c>
      <c r="O17" s="2135">
        <f t="shared" si="16"/>
        <v>0</v>
      </c>
      <c r="P17" s="2135">
        <f t="shared" ref="P17:W17" si="17">+P18+P20</f>
        <v>0</v>
      </c>
      <c r="Q17" s="2135">
        <f t="shared" si="17"/>
        <v>350000</v>
      </c>
      <c r="R17" s="2135">
        <f t="shared" si="17"/>
        <v>11120657</v>
      </c>
      <c r="S17" s="2135">
        <f t="shared" si="17"/>
        <v>26400000</v>
      </c>
      <c r="T17" s="2135">
        <f t="shared" si="17"/>
        <v>15942500</v>
      </c>
      <c r="U17" s="2135">
        <f t="shared" si="17"/>
        <v>10500000</v>
      </c>
      <c r="V17" s="2135">
        <f t="shared" si="17"/>
        <v>11743229</v>
      </c>
      <c r="W17" s="2135">
        <f t="shared" si="17"/>
        <v>0</v>
      </c>
      <c r="X17" s="3236" t="s">
        <v>77</v>
      </c>
      <c r="Y17" s="2896"/>
      <c r="Z17" s="1143"/>
      <c r="AA17" s="685">
        <f t="shared" si="8"/>
        <v>5314681</v>
      </c>
      <c r="AB17" s="1143"/>
      <c r="AC17" s="1143"/>
      <c r="AD17" s="1143"/>
      <c r="AE17" s="1143"/>
      <c r="AF17" s="1143"/>
      <c r="AG17" s="1143"/>
      <c r="AH17" s="1143"/>
      <c r="AI17" s="1143"/>
      <c r="AJ17" s="1143"/>
      <c r="AK17" s="1143"/>
      <c r="AL17" s="1143"/>
      <c r="AM17" s="1143"/>
      <c r="AN17" s="1143"/>
      <c r="AO17" s="1143"/>
      <c r="AP17" s="1143"/>
      <c r="AQ17" s="1143"/>
      <c r="AR17" s="1143"/>
      <c r="AS17" s="1143"/>
      <c r="AT17" s="1143"/>
      <c r="AU17" s="1143"/>
      <c r="AV17" s="1143"/>
      <c r="AW17" s="1143"/>
      <c r="AX17" s="1143"/>
      <c r="AY17" s="1143"/>
      <c r="AZ17" s="1143"/>
      <c r="BA17" s="1143"/>
      <c r="BB17" s="1143"/>
      <c r="BC17" s="1143"/>
      <c r="BD17" s="1143"/>
      <c r="BE17" s="1143"/>
      <c r="BF17" s="1143"/>
      <c r="BG17" s="1143"/>
      <c r="BH17" s="1143"/>
      <c r="BI17" s="1143"/>
      <c r="BJ17" s="1143"/>
      <c r="BK17" s="1143"/>
      <c r="BL17" s="1143"/>
      <c r="BM17" s="1143"/>
      <c r="BN17" s="1143"/>
      <c r="BO17" s="1143"/>
      <c r="BP17" s="1143"/>
      <c r="BQ17" s="1143"/>
      <c r="BR17" s="1143"/>
      <c r="BS17" s="1143"/>
      <c r="BT17" s="1143"/>
      <c r="BU17" s="1143"/>
      <c r="BV17" s="1143"/>
      <c r="BW17" s="1143"/>
      <c r="BX17" s="1143"/>
      <c r="BY17" s="1143"/>
      <c r="BZ17" s="1143"/>
      <c r="CA17" s="1143"/>
      <c r="CB17" s="1143"/>
      <c r="CC17" s="1143"/>
      <c r="CD17" s="1143"/>
      <c r="CE17" s="1143"/>
      <c r="CF17" s="1143"/>
      <c r="CG17" s="1143"/>
      <c r="CH17" s="1143"/>
      <c r="CI17" s="1143"/>
    </row>
    <row r="18" spans="1:87" s="2182" customFormat="1" ht="12">
      <c r="A18" s="3219"/>
      <c r="B18" s="2052" t="s">
        <v>36</v>
      </c>
      <c r="C18" s="3237" t="s">
        <v>77</v>
      </c>
      <c r="D18" s="3228">
        <f>+D19</f>
        <v>15856386</v>
      </c>
      <c r="E18" s="3228">
        <f>+E19</f>
        <v>0</v>
      </c>
      <c r="F18" s="3228">
        <f t="shared" ref="F18:H18" si="18">+F51+F87+F39+F63</f>
        <v>0</v>
      </c>
      <c r="G18" s="3228">
        <f t="shared" si="18"/>
        <v>0</v>
      </c>
      <c r="H18" s="3228">
        <f t="shared" si="18"/>
        <v>0</v>
      </c>
      <c r="I18" s="3228">
        <f t="shared" ref="I18:W18" si="19">+I19</f>
        <v>101937</v>
      </c>
      <c r="J18" s="3228">
        <f t="shared" si="19"/>
        <v>220330</v>
      </c>
      <c r="K18" s="3228">
        <f t="shared" si="19"/>
        <v>912952</v>
      </c>
      <c r="L18" s="3228">
        <f t="shared" si="19"/>
        <v>359900</v>
      </c>
      <c r="M18" s="3228">
        <f t="shared" si="19"/>
        <v>0</v>
      </c>
      <c r="N18" s="3228">
        <f t="shared" si="19"/>
        <v>0</v>
      </c>
      <c r="O18" s="3228">
        <f t="shared" si="19"/>
        <v>0</v>
      </c>
      <c r="P18" s="3228">
        <f t="shared" si="19"/>
        <v>0</v>
      </c>
      <c r="Q18" s="3228">
        <f t="shared" si="19"/>
        <v>350000</v>
      </c>
      <c r="R18" s="3228">
        <f t="shared" si="19"/>
        <v>1855657</v>
      </c>
      <c r="S18" s="3228">
        <f t="shared" si="19"/>
        <v>6000000</v>
      </c>
      <c r="T18" s="3228">
        <f t="shared" si="19"/>
        <v>4000000</v>
      </c>
      <c r="U18" s="3228">
        <f t="shared" si="19"/>
        <v>2000000</v>
      </c>
      <c r="V18" s="3228">
        <f t="shared" si="19"/>
        <v>1650729</v>
      </c>
      <c r="W18" s="3228">
        <f t="shared" si="19"/>
        <v>0</v>
      </c>
      <c r="X18" s="3238"/>
      <c r="Y18" s="2896"/>
      <c r="Z18" s="1143"/>
      <c r="AA18" s="685"/>
      <c r="AB18" s="1143"/>
      <c r="AC18" s="1143"/>
      <c r="AD18" s="1143"/>
      <c r="AE18" s="1143"/>
      <c r="AF18" s="1143"/>
      <c r="AG18" s="1143"/>
      <c r="AH18" s="1143"/>
      <c r="AI18" s="1143"/>
      <c r="AJ18" s="1143"/>
      <c r="AK18" s="1143"/>
      <c r="AL18" s="1143"/>
      <c r="AM18" s="1143"/>
      <c r="AN18" s="1143"/>
      <c r="AO18" s="1143"/>
      <c r="AP18" s="1143"/>
      <c r="AQ18" s="1143"/>
      <c r="AR18" s="1143"/>
      <c r="AS18" s="1143"/>
      <c r="AT18" s="1143"/>
      <c r="AU18" s="1143"/>
      <c r="AV18" s="1143"/>
      <c r="AW18" s="1143"/>
      <c r="AX18" s="1143"/>
      <c r="AY18" s="1143"/>
      <c r="AZ18" s="1143"/>
      <c r="BA18" s="1143"/>
      <c r="BB18" s="1143"/>
      <c r="BC18" s="1143"/>
      <c r="BD18" s="1143"/>
      <c r="BE18" s="1143"/>
      <c r="BF18" s="1143"/>
      <c r="BG18" s="1143"/>
      <c r="BH18" s="1143"/>
      <c r="BI18" s="1143"/>
      <c r="BJ18" s="1143"/>
      <c r="BK18" s="1143"/>
      <c r="BL18" s="1143"/>
      <c r="BM18" s="1143"/>
      <c r="BN18" s="1143"/>
      <c r="BO18" s="1143"/>
      <c r="BP18" s="1143"/>
      <c r="BQ18" s="1143"/>
      <c r="BR18" s="1143"/>
      <c r="BS18" s="1143"/>
      <c r="BT18" s="1143"/>
      <c r="BU18" s="1143"/>
      <c r="BV18" s="1143"/>
      <c r="BW18" s="1143"/>
      <c r="BX18" s="1143"/>
      <c r="BY18" s="1143"/>
      <c r="BZ18" s="1143"/>
      <c r="CA18" s="1143"/>
      <c r="CB18" s="1143"/>
      <c r="CC18" s="1143"/>
      <c r="CD18" s="1143"/>
      <c r="CE18" s="1143"/>
      <c r="CF18" s="1143"/>
      <c r="CG18" s="1143"/>
      <c r="CH18" s="1143"/>
      <c r="CI18" s="1143"/>
    </row>
    <row r="19" spans="1:87" s="2182" customFormat="1" ht="12">
      <c r="A19" s="3219"/>
      <c r="B19" s="3235" t="s">
        <v>172</v>
      </c>
      <c r="C19" s="3239"/>
      <c r="D19" s="3233">
        <f>+D52+D88+D40+D64+D76+D30</f>
        <v>15856386</v>
      </c>
      <c r="E19" s="3233">
        <f t="shared" ref="E19:W19" si="20">+E52+E88+E40+E64+E76+E30</f>
        <v>0</v>
      </c>
      <c r="F19" s="3233">
        <f t="shared" si="20"/>
        <v>0</v>
      </c>
      <c r="G19" s="3233">
        <f t="shared" si="20"/>
        <v>0</v>
      </c>
      <c r="H19" s="3233">
        <f t="shared" si="20"/>
        <v>0</v>
      </c>
      <c r="I19" s="3233">
        <f t="shared" si="20"/>
        <v>101937</v>
      </c>
      <c r="J19" s="3233">
        <f t="shared" si="20"/>
        <v>220330</v>
      </c>
      <c r="K19" s="3233">
        <f t="shared" si="20"/>
        <v>912952</v>
      </c>
      <c r="L19" s="3233">
        <f t="shared" si="20"/>
        <v>359900</v>
      </c>
      <c r="M19" s="3233">
        <f t="shared" si="20"/>
        <v>0</v>
      </c>
      <c r="N19" s="3233">
        <f t="shared" si="20"/>
        <v>0</v>
      </c>
      <c r="O19" s="3233">
        <f t="shared" si="20"/>
        <v>0</v>
      </c>
      <c r="P19" s="3233">
        <f t="shared" si="20"/>
        <v>0</v>
      </c>
      <c r="Q19" s="3233">
        <f t="shared" si="20"/>
        <v>350000</v>
      </c>
      <c r="R19" s="3233">
        <f t="shared" si="20"/>
        <v>1855657</v>
      </c>
      <c r="S19" s="3233">
        <f t="shared" si="20"/>
        <v>6000000</v>
      </c>
      <c r="T19" s="3233">
        <f t="shared" si="20"/>
        <v>4000000</v>
      </c>
      <c r="U19" s="3233">
        <f t="shared" si="20"/>
        <v>2000000</v>
      </c>
      <c r="V19" s="3233">
        <f t="shared" si="20"/>
        <v>1650729</v>
      </c>
      <c r="W19" s="3233">
        <f t="shared" si="20"/>
        <v>0</v>
      </c>
      <c r="X19" s="3238"/>
      <c r="Y19" s="2896"/>
      <c r="Z19" s="1143"/>
      <c r="AA19" s="685"/>
      <c r="AB19" s="1143"/>
      <c r="AC19" s="1143"/>
      <c r="AD19" s="1143"/>
      <c r="AE19" s="1143"/>
      <c r="AF19" s="1143"/>
      <c r="AG19" s="1143"/>
      <c r="AH19" s="1143"/>
      <c r="AI19" s="1143"/>
      <c r="AJ19" s="1143"/>
      <c r="AK19" s="1143"/>
      <c r="AL19" s="1143"/>
      <c r="AM19" s="1143"/>
      <c r="AN19" s="1143"/>
      <c r="AO19" s="1143"/>
      <c r="AP19" s="1143"/>
      <c r="AQ19" s="1143"/>
      <c r="AR19" s="1143"/>
      <c r="AS19" s="1143"/>
      <c r="AT19" s="1143"/>
      <c r="AU19" s="1143"/>
      <c r="AV19" s="1143"/>
      <c r="AW19" s="1143"/>
      <c r="AX19" s="1143"/>
      <c r="AY19" s="1143"/>
      <c r="AZ19" s="1143"/>
      <c r="BA19" s="1143"/>
      <c r="BB19" s="1143"/>
      <c r="BC19" s="1143"/>
      <c r="BD19" s="1143"/>
      <c r="BE19" s="1143"/>
      <c r="BF19" s="1143"/>
      <c r="BG19" s="1143"/>
      <c r="BH19" s="1143"/>
      <c r="BI19" s="1143"/>
      <c r="BJ19" s="1143"/>
      <c r="BK19" s="1143"/>
      <c r="BL19" s="1143"/>
      <c r="BM19" s="1143"/>
      <c r="BN19" s="1143"/>
      <c r="BO19" s="1143"/>
      <c r="BP19" s="1143"/>
      <c r="BQ19" s="1143"/>
      <c r="BR19" s="1143"/>
      <c r="BS19" s="1143"/>
      <c r="BT19" s="1143"/>
      <c r="BU19" s="1143"/>
      <c r="BV19" s="1143"/>
      <c r="BW19" s="1143"/>
      <c r="BX19" s="1143"/>
      <c r="BY19" s="1143"/>
      <c r="BZ19" s="1143"/>
      <c r="CA19" s="1143"/>
      <c r="CB19" s="1143"/>
      <c r="CC19" s="1143"/>
      <c r="CD19" s="1143"/>
      <c r="CE19" s="1143"/>
      <c r="CF19" s="1143"/>
      <c r="CG19" s="1143"/>
      <c r="CH19" s="1143"/>
      <c r="CI19" s="1143"/>
    </row>
    <row r="20" spans="1:87" s="2182" customFormat="1" ht="12">
      <c r="A20" s="3219"/>
      <c r="B20" s="3240" t="s">
        <v>30</v>
      </c>
      <c r="C20" s="3239"/>
      <c r="D20" s="3241">
        <f>+D21</f>
        <v>60200000</v>
      </c>
      <c r="E20" s="3241">
        <f>+E21</f>
        <v>0</v>
      </c>
      <c r="F20" s="3241">
        <f>F29+F41+F53+F89+F77</f>
        <v>0</v>
      </c>
      <c r="G20" s="3241">
        <f>G29+G41+G53+G89+G77</f>
        <v>0</v>
      </c>
      <c r="H20" s="3241">
        <f>H29+H41+H53+H89+H77</f>
        <v>0</v>
      </c>
      <c r="I20" s="3241">
        <f t="shared" ref="I20:W20" si="21">+I21</f>
        <v>0</v>
      </c>
      <c r="J20" s="3241">
        <f t="shared" si="21"/>
        <v>3720</v>
      </c>
      <c r="K20" s="3241">
        <f t="shared" si="21"/>
        <v>1806384</v>
      </c>
      <c r="L20" s="3241">
        <f t="shared" si="21"/>
        <v>1909458</v>
      </c>
      <c r="M20" s="3241">
        <f t="shared" si="21"/>
        <v>0</v>
      </c>
      <c r="N20" s="3241">
        <f t="shared" si="21"/>
        <v>0</v>
      </c>
      <c r="O20" s="3241">
        <f t="shared" si="21"/>
        <v>0</v>
      </c>
      <c r="P20" s="3241">
        <f t="shared" si="21"/>
        <v>0</v>
      </c>
      <c r="Q20" s="3241">
        <f t="shared" si="21"/>
        <v>0</v>
      </c>
      <c r="R20" s="3241">
        <f t="shared" si="21"/>
        <v>9265000</v>
      </c>
      <c r="S20" s="3241">
        <f t="shared" si="21"/>
        <v>20400000</v>
      </c>
      <c r="T20" s="3241">
        <f t="shared" si="21"/>
        <v>11942500</v>
      </c>
      <c r="U20" s="3241">
        <f t="shared" si="21"/>
        <v>8500000</v>
      </c>
      <c r="V20" s="3241">
        <f t="shared" si="21"/>
        <v>10092500</v>
      </c>
      <c r="W20" s="3241">
        <f t="shared" si="21"/>
        <v>0</v>
      </c>
      <c r="X20" s="3238"/>
      <c r="Y20" s="2896"/>
      <c r="Z20" s="1143"/>
      <c r="AA20" s="685">
        <f>+P20+O20+N20+L20+K20+J20+I20+E20</f>
        <v>3719562</v>
      </c>
      <c r="AB20" s="1143"/>
      <c r="AC20" s="1143"/>
      <c r="AD20" s="1143"/>
      <c r="AE20" s="1143"/>
      <c r="AF20" s="1143"/>
      <c r="AG20" s="1143"/>
      <c r="AH20" s="1143"/>
      <c r="AI20" s="1143"/>
      <c r="AJ20" s="1143"/>
      <c r="AK20" s="1143"/>
      <c r="AL20" s="1143"/>
      <c r="AM20" s="1143"/>
      <c r="AN20" s="1143"/>
      <c r="AO20" s="1143"/>
      <c r="AP20" s="1143"/>
      <c r="AQ20" s="1143"/>
      <c r="AR20" s="1143"/>
      <c r="AS20" s="1143"/>
      <c r="AT20" s="1143"/>
      <c r="AU20" s="1143"/>
      <c r="AV20" s="1143"/>
      <c r="AW20" s="1143"/>
      <c r="AX20" s="1143"/>
      <c r="AY20" s="1143"/>
      <c r="AZ20" s="1143"/>
      <c r="BA20" s="1143"/>
      <c r="BB20" s="1143"/>
      <c r="BC20" s="1143"/>
      <c r="BD20" s="1143"/>
      <c r="BE20" s="1143"/>
      <c r="BF20" s="1143"/>
      <c r="BG20" s="1143"/>
      <c r="BH20" s="1143"/>
      <c r="BI20" s="1143"/>
      <c r="BJ20" s="1143"/>
      <c r="BK20" s="1143"/>
      <c r="BL20" s="1143"/>
      <c r="BM20" s="1143"/>
      <c r="BN20" s="1143"/>
      <c r="BO20" s="1143"/>
      <c r="BP20" s="1143"/>
      <c r="BQ20" s="1143"/>
      <c r="BR20" s="1143"/>
      <c r="BS20" s="1143"/>
      <c r="BT20" s="1143"/>
      <c r="BU20" s="1143"/>
      <c r="BV20" s="1143"/>
      <c r="BW20" s="1143"/>
      <c r="BX20" s="1143"/>
      <c r="BY20" s="1143"/>
      <c r="BZ20" s="1143"/>
      <c r="CA20" s="1143"/>
      <c r="CB20" s="1143"/>
      <c r="CC20" s="1143"/>
      <c r="CD20" s="1143"/>
      <c r="CE20" s="1143"/>
      <c r="CF20" s="1143"/>
      <c r="CG20" s="1143"/>
      <c r="CH20" s="1143"/>
      <c r="CI20" s="1143"/>
    </row>
    <row r="21" spans="1:87" s="2182" customFormat="1" ht="14.1" customHeight="1" thickBot="1">
      <c r="A21" s="3242"/>
      <c r="B21" s="3243" t="s">
        <v>48</v>
      </c>
      <c r="C21" s="3244"/>
      <c r="D21" s="3245">
        <f>+D42+D54+D90+D78+D66</f>
        <v>60200000</v>
      </c>
      <c r="E21" s="3245">
        <f t="shared" ref="E21:W21" si="22">+E42+E54+E90+E78+E66</f>
        <v>0</v>
      </c>
      <c r="F21" s="3245">
        <f t="shared" si="22"/>
        <v>0</v>
      </c>
      <c r="G21" s="3245">
        <f t="shared" si="22"/>
        <v>0</v>
      </c>
      <c r="H21" s="3245">
        <f t="shared" si="22"/>
        <v>0</v>
      </c>
      <c r="I21" s="3245">
        <f t="shared" si="22"/>
        <v>0</v>
      </c>
      <c r="J21" s="3245">
        <f t="shared" si="22"/>
        <v>3720</v>
      </c>
      <c r="K21" s="3245">
        <f t="shared" si="22"/>
        <v>1806384</v>
      </c>
      <c r="L21" s="3245">
        <f t="shared" si="22"/>
        <v>1909458</v>
      </c>
      <c r="M21" s="3245">
        <f t="shared" si="22"/>
        <v>0</v>
      </c>
      <c r="N21" s="3245">
        <f t="shared" si="22"/>
        <v>0</v>
      </c>
      <c r="O21" s="3245">
        <f t="shared" si="22"/>
        <v>0</v>
      </c>
      <c r="P21" s="3245">
        <f t="shared" si="22"/>
        <v>0</v>
      </c>
      <c r="Q21" s="3245">
        <f t="shared" si="22"/>
        <v>0</v>
      </c>
      <c r="R21" s="3245">
        <f t="shared" si="22"/>
        <v>9265000</v>
      </c>
      <c r="S21" s="3245">
        <f t="shared" si="22"/>
        <v>20400000</v>
      </c>
      <c r="T21" s="3245">
        <f t="shared" si="22"/>
        <v>11942500</v>
      </c>
      <c r="U21" s="3245">
        <f t="shared" si="22"/>
        <v>8500000</v>
      </c>
      <c r="V21" s="3245">
        <f t="shared" si="22"/>
        <v>10092500</v>
      </c>
      <c r="W21" s="3245">
        <f t="shared" si="22"/>
        <v>0</v>
      </c>
      <c r="X21" s="3246"/>
      <c r="Y21" s="2897"/>
      <c r="Z21" s="1143"/>
      <c r="AA21" s="685">
        <f>+P21+O21+N21+L21+K21+J21+I21+E21</f>
        <v>3719562</v>
      </c>
      <c r="AB21" s="1143"/>
      <c r="AC21" s="1143"/>
      <c r="AD21" s="1143"/>
      <c r="AE21" s="1143"/>
      <c r="AF21" s="1143"/>
      <c r="AG21" s="1143"/>
      <c r="AH21" s="1143"/>
      <c r="AI21" s="1143"/>
      <c r="AJ21" s="1143"/>
      <c r="AK21" s="1143"/>
      <c r="AL21" s="1143"/>
      <c r="AM21" s="1143"/>
      <c r="AN21" s="1143"/>
      <c r="AO21" s="1143"/>
      <c r="AP21" s="1143"/>
      <c r="AQ21" s="1143"/>
      <c r="AR21" s="1143"/>
      <c r="AS21" s="1143"/>
      <c r="AT21" s="1143"/>
      <c r="AU21" s="1143"/>
      <c r="AV21" s="1143"/>
      <c r="AW21" s="1143"/>
      <c r="AX21" s="1143"/>
      <c r="AY21" s="1143"/>
      <c r="AZ21" s="1143"/>
      <c r="BA21" s="1143"/>
      <c r="BB21" s="1143"/>
      <c r="BC21" s="1143"/>
      <c r="BD21" s="1143"/>
      <c r="BE21" s="1143"/>
      <c r="BF21" s="1143"/>
      <c r="BG21" s="1143"/>
      <c r="BH21" s="1143"/>
      <c r="BI21" s="1143"/>
      <c r="BJ21" s="1143"/>
      <c r="BK21" s="1143"/>
      <c r="BL21" s="1143"/>
      <c r="BM21" s="1143"/>
      <c r="BN21" s="1143"/>
      <c r="BO21" s="1143"/>
      <c r="BP21" s="1143"/>
      <c r="BQ21" s="1143"/>
      <c r="BR21" s="1143"/>
      <c r="BS21" s="1143"/>
      <c r="BT21" s="1143"/>
      <c r="BU21" s="1143"/>
      <c r="BV21" s="1143"/>
      <c r="BW21" s="1143"/>
      <c r="BX21" s="1143"/>
      <c r="BY21" s="1143"/>
      <c r="BZ21" s="1143"/>
      <c r="CA21" s="1143"/>
      <c r="CB21" s="1143"/>
      <c r="CC21" s="1143"/>
      <c r="CD21" s="1143"/>
      <c r="CE21" s="1143"/>
      <c r="CF21" s="1143"/>
      <c r="CG21" s="1143"/>
      <c r="CH21" s="1143"/>
      <c r="CI21" s="1143"/>
    </row>
    <row r="22" spans="1:87" s="1143" customFormat="1" ht="25.5" customHeight="1">
      <c r="A22" s="2901" t="s">
        <v>79</v>
      </c>
      <c r="B22" s="3247" t="s">
        <v>554</v>
      </c>
      <c r="C22" s="3248" t="s">
        <v>97</v>
      </c>
      <c r="D22" s="3249"/>
      <c r="E22" s="2136"/>
      <c r="F22" s="2136"/>
      <c r="G22" s="2136"/>
      <c r="H22" s="2136"/>
      <c r="I22" s="2136"/>
      <c r="J22" s="2136"/>
      <c r="K22" s="2136"/>
      <c r="L22" s="2136"/>
      <c r="M22" s="2136"/>
      <c r="N22" s="2136"/>
      <c r="O22" s="2136"/>
      <c r="P22" s="2136"/>
      <c r="Q22" s="2136"/>
      <c r="R22" s="2136"/>
      <c r="S22" s="3250"/>
      <c r="T22" s="3250"/>
      <c r="U22" s="3250"/>
      <c r="V22" s="3250"/>
      <c r="W22" s="3250"/>
      <c r="X22" s="2137"/>
      <c r="Y22" s="2904" t="s">
        <v>524</v>
      </c>
    </row>
    <row r="23" spans="1:87" s="1143" customFormat="1" ht="14.1" customHeight="1">
      <c r="A23" s="2902"/>
      <c r="B23" s="2027" t="s">
        <v>22</v>
      </c>
      <c r="C23" s="2027"/>
      <c r="D23" s="2135">
        <f t="shared" ref="D23:L23" si="23">+D24+D26</f>
        <v>1805000</v>
      </c>
      <c r="E23" s="2135">
        <f t="shared" si="23"/>
        <v>0</v>
      </c>
      <c r="F23" s="2135"/>
      <c r="G23" s="2135"/>
      <c r="H23" s="2135"/>
      <c r="I23" s="2135">
        <f t="shared" si="23"/>
        <v>0</v>
      </c>
      <c r="J23" s="2135">
        <f>+J24+J26</f>
        <v>0</v>
      </c>
      <c r="K23" s="2135">
        <f t="shared" si="23"/>
        <v>0</v>
      </c>
      <c r="L23" s="2135">
        <f t="shared" si="23"/>
        <v>0</v>
      </c>
      <c r="M23" s="2135">
        <f>+M24+M26</f>
        <v>0</v>
      </c>
      <c r="N23" s="2135">
        <f t="shared" ref="N23:X23" si="24">+N24</f>
        <v>0</v>
      </c>
      <c r="O23" s="2135">
        <f t="shared" si="24"/>
        <v>0</v>
      </c>
      <c r="P23" s="2135">
        <f t="shared" si="24"/>
        <v>0</v>
      </c>
      <c r="Q23" s="2135">
        <f t="shared" si="24"/>
        <v>355000</v>
      </c>
      <c r="R23" s="2135">
        <f t="shared" si="24"/>
        <v>1450000</v>
      </c>
      <c r="S23" s="2135">
        <f t="shared" si="24"/>
        <v>0</v>
      </c>
      <c r="T23" s="2135">
        <f t="shared" si="24"/>
        <v>0</v>
      </c>
      <c r="U23" s="2135"/>
      <c r="V23" s="2135"/>
      <c r="W23" s="2135"/>
      <c r="X23" s="2138">
        <f t="shared" si="24"/>
        <v>1805000</v>
      </c>
      <c r="Y23" s="2905"/>
    </row>
    <row r="24" spans="1:87" s="1143" customFormat="1" ht="14.1" customHeight="1">
      <c r="A24" s="2902"/>
      <c r="B24" s="2139" t="s">
        <v>36</v>
      </c>
      <c r="C24" s="2922" t="s">
        <v>523</v>
      </c>
      <c r="D24" s="1996">
        <f>D25</f>
        <v>1805000</v>
      </c>
      <c r="E24" s="1996">
        <f t="shared" ref="E24:T24" si="25">E25</f>
        <v>0</v>
      </c>
      <c r="F24" s="1996"/>
      <c r="G24" s="1996"/>
      <c r="H24" s="1996"/>
      <c r="I24" s="1996">
        <f t="shared" si="25"/>
        <v>0</v>
      </c>
      <c r="J24" s="1996">
        <f t="shared" si="25"/>
        <v>0</v>
      </c>
      <c r="K24" s="1996">
        <f t="shared" si="25"/>
        <v>0</v>
      </c>
      <c r="L24" s="1996">
        <f t="shared" si="25"/>
        <v>0</v>
      </c>
      <c r="M24" s="1996">
        <f t="shared" si="25"/>
        <v>0</v>
      </c>
      <c r="N24" s="1996">
        <f t="shared" si="25"/>
        <v>0</v>
      </c>
      <c r="O24" s="1996">
        <f t="shared" si="25"/>
        <v>0</v>
      </c>
      <c r="P24" s="1996">
        <f t="shared" si="25"/>
        <v>0</v>
      </c>
      <c r="Q24" s="1996">
        <f t="shared" si="25"/>
        <v>355000</v>
      </c>
      <c r="R24" s="1996">
        <f t="shared" si="25"/>
        <v>1450000</v>
      </c>
      <c r="S24" s="1996">
        <f t="shared" si="25"/>
        <v>0</v>
      </c>
      <c r="T24" s="1996">
        <f t="shared" si="25"/>
        <v>0</v>
      </c>
      <c r="U24" s="1996"/>
      <c r="V24" s="1996"/>
      <c r="W24" s="1996"/>
      <c r="X24" s="2140">
        <f>+X25</f>
        <v>1805000</v>
      </c>
      <c r="Y24" s="2905"/>
    </row>
    <row r="25" spans="1:87" s="1143" customFormat="1" ht="12.75" customHeight="1">
      <c r="A25" s="2902"/>
      <c r="B25" s="2175" t="s">
        <v>150</v>
      </c>
      <c r="C25" s="2923"/>
      <c r="D25" s="1990">
        <f>M25+O25+P25+Q25+R25+S25+T25+U25+V25+W25</f>
        <v>1805000</v>
      </c>
      <c r="E25" s="1990">
        <f>+F25+G25+H25</f>
        <v>0</v>
      </c>
      <c r="F25" s="1990"/>
      <c r="G25" s="1990"/>
      <c r="H25" s="1990"/>
      <c r="I25" s="1990">
        <v>0</v>
      </c>
      <c r="J25" s="1990"/>
      <c r="K25" s="1990">
        <f>4500000-3800000-700000</f>
        <v>0</v>
      </c>
      <c r="L25" s="1990">
        <f>3323200-1743200+700000-2280000</f>
        <v>0</v>
      </c>
      <c r="M25" s="1990">
        <f>+E25+I25+J25+K25+L25+N25</f>
        <v>0</v>
      </c>
      <c r="N25" s="1990">
        <f>0+2280000-2280000</f>
        <v>0</v>
      </c>
      <c r="O25" s="1990">
        <f>0+2280000-2280000</f>
        <v>0</v>
      </c>
      <c r="P25" s="1990">
        <v>0</v>
      </c>
      <c r="Q25" s="1990">
        <v>355000</v>
      </c>
      <c r="R25" s="1990">
        <v>1450000</v>
      </c>
      <c r="S25" s="1990">
        <v>0</v>
      </c>
      <c r="T25" s="1990">
        <v>0</v>
      </c>
      <c r="U25" s="1990"/>
      <c r="V25" s="1990"/>
      <c r="W25" s="1990"/>
      <c r="X25" s="2133">
        <f>SUM(P25:T25)</f>
        <v>1805000</v>
      </c>
      <c r="Y25" s="2905"/>
    </row>
    <row r="26" spans="1:87" s="1143" customFormat="1" ht="12.75" hidden="1" customHeight="1">
      <c r="A26" s="2902"/>
      <c r="B26" s="2142" t="s">
        <v>30</v>
      </c>
      <c r="C26" s="2923"/>
      <c r="D26" s="2143">
        <f>+D27</f>
        <v>0</v>
      </c>
      <c r="E26" s="2143">
        <f>+E27</f>
        <v>0</v>
      </c>
      <c r="F26" s="2143"/>
      <c r="G26" s="2143"/>
      <c r="H26" s="2143"/>
      <c r="I26" s="2143">
        <f>+I27</f>
        <v>0</v>
      </c>
      <c r="J26" s="2143">
        <f>+J27</f>
        <v>0</v>
      </c>
      <c r="K26" s="2143">
        <f>+K27</f>
        <v>0</v>
      </c>
      <c r="L26" s="2143">
        <f>+L27</f>
        <v>0</v>
      </c>
      <c r="M26" s="2143"/>
      <c r="N26" s="2143">
        <v>0</v>
      </c>
      <c r="O26" s="2143">
        <v>0</v>
      </c>
      <c r="P26" s="2143">
        <v>0</v>
      </c>
      <c r="Q26" s="2143"/>
      <c r="R26" s="2143"/>
      <c r="S26" s="2143"/>
      <c r="T26" s="2143"/>
      <c r="U26" s="2143"/>
      <c r="V26" s="2143"/>
      <c r="W26" s="2143"/>
      <c r="X26" s="3251" t="s">
        <v>77</v>
      </c>
      <c r="Y26" s="2905"/>
    </row>
    <row r="27" spans="1:87" s="1143" customFormat="1" ht="13.5" hidden="1" customHeight="1">
      <c r="A27" s="2902"/>
      <c r="B27" s="3252" t="s">
        <v>48</v>
      </c>
      <c r="C27" s="2923"/>
      <c r="D27" s="1990">
        <f>+E27+I27+J27+K27+L27</f>
        <v>0</v>
      </c>
      <c r="E27" s="1990">
        <v>0</v>
      </c>
      <c r="F27" s="1990"/>
      <c r="G27" s="1990"/>
      <c r="H27" s="1990"/>
      <c r="I27" s="1990">
        <v>0</v>
      </c>
      <c r="J27" s="1990">
        <f>7500000-7500000</f>
        <v>0</v>
      </c>
      <c r="K27" s="1990">
        <f>13500000-13500000</f>
        <v>0</v>
      </c>
      <c r="L27" s="1990">
        <f>9969600-9969600</f>
        <v>0</v>
      </c>
      <c r="M27" s="1990"/>
      <c r="N27" s="1990">
        <v>0</v>
      </c>
      <c r="O27" s="1990">
        <v>0</v>
      </c>
      <c r="P27" s="1990">
        <v>0</v>
      </c>
      <c r="Q27" s="1990"/>
      <c r="R27" s="1990"/>
      <c r="S27" s="1990"/>
      <c r="T27" s="1990"/>
      <c r="U27" s="1990"/>
      <c r="V27" s="1990"/>
      <c r="W27" s="1990"/>
      <c r="X27" s="2163" t="s">
        <v>77</v>
      </c>
      <c r="Y27" s="2905"/>
    </row>
    <row r="28" spans="1:87" s="2145" customFormat="1" ht="12.75" customHeight="1">
      <c r="A28" s="2902"/>
      <c r="B28" s="3226" t="s">
        <v>34</v>
      </c>
      <c r="C28" s="2923"/>
      <c r="D28" s="3253">
        <f>D29</f>
        <v>55657</v>
      </c>
      <c r="E28" s="3253">
        <f t="shared" ref="E28:J28" si="26">E29</f>
        <v>0</v>
      </c>
      <c r="F28" s="3253"/>
      <c r="G28" s="3253"/>
      <c r="H28" s="3253"/>
      <c r="I28" s="3253">
        <f t="shared" si="26"/>
        <v>0</v>
      </c>
      <c r="J28" s="3253">
        <f t="shared" si="26"/>
        <v>0</v>
      </c>
      <c r="K28" s="3253">
        <f>K29</f>
        <v>0</v>
      </c>
      <c r="L28" s="3253">
        <f>L29</f>
        <v>0</v>
      </c>
      <c r="M28" s="3253"/>
      <c r="N28" s="3253">
        <f>N29</f>
        <v>0</v>
      </c>
      <c r="O28" s="3253">
        <f>O29</f>
        <v>0</v>
      </c>
      <c r="P28" s="3253">
        <f>P29</f>
        <v>0</v>
      </c>
      <c r="Q28" s="3254"/>
      <c r="R28" s="3254">
        <f>R29</f>
        <v>55657</v>
      </c>
      <c r="S28" s="3254"/>
      <c r="T28" s="3254"/>
      <c r="U28" s="3254"/>
      <c r="V28" s="3254"/>
      <c r="W28" s="3254"/>
      <c r="X28" s="3255"/>
      <c r="Y28" s="2905"/>
    </row>
    <row r="29" spans="1:87" s="1143" customFormat="1" ht="12.75">
      <c r="A29" s="2902"/>
      <c r="B29" s="2153" t="s">
        <v>36</v>
      </c>
      <c r="C29" s="2923"/>
      <c r="D29" s="1996">
        <f>+D30</f>
        <v>55657</v>
      </c>
      <c r="E29" s="1996">
        <f t="shared" ref="E29:L29" si="27">+E30</f>
        <v>0</v>
      </c>
      <c r="F29" s="1996"/>
      <c r="G29" s="1996"/>
      <c r="H29" s="1996"/>
      <c r="I29" s="1996">
        <f t="shared" si="27"/>
        <v>0</v>
      </c>
      <c r="J29" s="1996">
        <f t="shared" si="27"/>
        <v>0</v>
      </c>
      <c r="K29" s="1996">
        <f t="shared" si="27"/>
        <v>0</v>
      </c>
      <c r="L29" s="1996">
        <f t="shared" si="27"/>
        <v>0</v>
      </c>
      <c r="M29" s="1996"/>
      <c r="N29" s="1996">
        <v>0</v>
      </c>
      <c r="O29" s="1996">
        <v>0</v>
      </c>
      <c r="P29" s="1996">
        <v>0</v>
      </c>
      <c r="Q29" s="2087"/>
      <c r="R29" s="1996">
        <f>R30</f>
        <v>55657</v>
      </c>
      <c r="S29" s="2087"/>
      <c r="T29" s="2087"/>
      <c r="U29" s="2087"/>
      <c r="V29" s="2087"/>
      <c r="W29" s="2087"/>
      <c r="X29" s="3256"/>
      <c r="Y29" s="2905"/>
    </row>
    <row r="30" spans="1:87" s="1143" customFormat="1" ht="13.5" thickBot="1">
      <c r="A30" s="2903"/>
      <c r="B30" s="2151" t="s">
        <v>172</v>
      </c>
      <c r="C30" s="3257"/>
      <c r="D30" s="2141">
        <f>+P30+Q30+R30+S30+T30+U30+V30+W30</f>
        <v>55657</v>
      </c>
      <c r="E30" s="2141">
        <v>0</v>
      </c>
      <c r="F30" s="2141"/>
      <c r="G30" s="2141"/>
      <c r="H30" s="2141"/>
      <c r="I30" s="2141">
        <v>0</v>
      </c>
      <c r="J30" s="2141">
        <f>7500000-7500000</f>
        <v>0</v>
      </c>
      <c r="K30" s="2141">
        <f>13500000-13500000</f>
        <v>0</v>
      </c>
      <c r="L30" s="2141">
        <f>9969600-9969600</f>
        <v>0</v>
      </c>
      <c r="M30" s="2141"/>
      <c r="N30" s="2141">
        <v>0</v>
      </c>
      <c r="O30" s="2141">
        <v>0</v>
      </c>
      <c r="P30" s="2141">
        <v>0</v>
      </c>
      <c r="Q30" s="3258"/>
      <c r="R30" s="2141">
        <v>55657</v>
      </c>
      <c r="S30" s="3258"/>
      <c r="T30" s="3258"/>
      <c r="U30" s="3258"/>
      <c r="V30" s="3258"/>
      <c r="W30" s="3258"/>
      <c r="X30" s="3259"/>
      <c r="Y30" s="2931"/>
    </row>
    <row r="31" spans="1:87" s="1143" customFormat="1" ht="27.75" customHeight="1">
      <c r="A31" s="2901" t="s">
        <v>80</v>
      </c>
      <c r="B31" s="2146" t="s">
        <v>522</v>
      </c>
      <c r="C31" s="2147" t="s">
        <v>97</v>
      </c>
      <c r="D31" s="1989"/>
      <c r="E31" s="1353"/>
      <c r="F31" s="2136"/>
      <c r="G31" s="2136"/>
      <c r="H31" s="2136"/>
      <c r="I31" s="2136"/>
      <c r="J31" s="2136"/>
      <c r="K31" s="2136"/>
      <c r="L31" s="2136"/>
      <c r="M31" s="2136"/>
      <c r="N31" s="2136"/>
      <c r="O31" s="2136"/>
      <c r="P31" s="2136"/>
      <c r="Q31" s="2136"/>
      <c r="R31" s="2136"/>
      <c r="S31" s="2136"/>
      <c r="T31" s="2136"/>
      <c r="U31" s="2136"/>
      <c r="V31" s="2136"/>
      <c r="W31" s="2136"/>
      <c r="X31" s="2137"/>
      <c r="Y31" s="2904" t="s">
        <v>198</v>
      </c>
    </row>
    <row r="32" spans="1:87" s="1143" customFormat="1" ht="11.25" customHeight="1">
      <c r="A32" s="2902"/>
      <c r="B32" s="2027" t="s">
        <v>22</v>
      </c>
      <c r="C32" s="2148"/>
      <c r="D32" s="2135">
        <f>+D33+D36</f>
        <v>86880466</v>
      </c>
      <c r="E32" s="2135">
        <f t="shared" ref="E32:R32" si="28">+E33+E36</f>
        <v>0</v>
      </c>
      <c r="F32" s="2135">
        <f t="shared" si="28"/>
        <v>0</v>
      </c>
      <c r="G32" s="2135">
        <f t="shared" si="28"/>
        <v>0</v>
      </c>
      <c r="H32" s="2135">
        <f t="shared" si="28"/>
        <v>0</v>
      </c>
      <c r="I32" s="2135">
        <f>+I33+I36</f>
        <v>0</v>
      </c>
      <c r="J32" s="2135">
        <f t="shared" si="28"/>
        <v>256207</v>
      </c>
      <c r="K32" s="2135">
        <f t="shared" si="28"/>
        <v>0</v>
      </c>
      <c r="L32" s="2135">
        <f t="shared" si="28"/>
        <v>0</v>
      </c>
      <c r="M32" s="2135">
        <f>+M33+M36</f>
        <v>256207</v>
      </c>
      <c r="N32" s="2135">
        <f t="shared" si="28"/>
        <v>0</v>
      </c>
      <c r="O32" s="2135">
        <f t="shared" si="28"/>
        <v>0</v>
      </c>
      <c r="P32" s="2135">
        <f>+P33+P36</f>
        <v>102300</v>
      </c>
      <c r="Q32" s="2135">
        <f t="shared" si="28"/>
        <v>3000000</v>
      </c>
      <c r="R32" s="2135">
        <f t="shared" si="28"/>
        <v>12295000</v>
      </c>
      <c r="S32" s="2135">
        <f>+S33+S36</f>
        <v>30000000</v>
      </c>
      <c r="T32" s="2135">
        <f>+T33+T36</f>
        <v>17600000</v>
      </c>
      <c r="U32" s="2135">
        <f t="shared" ref="U32:V32" si="29">+U33+U36</f>
        <v>12066880</v>
      </c>
      <c r="V32" s="2135">
        <f t="shared" si="29"/>
        <v>11560079</v>
      </c>
      <c r="W32" s="2135"/>
      <c r="X32" s="2138">
        <f>+X33</f>
        <v>26424259</v>
      </c>
      <c r="Y32" s="2905"/>
    </row>
    <row r="33" spans="1:87" s="1143" customFormat="1" ht="13.5" customHeight="1">
      <c r="A33" s="2902"/>
      <c r="B33" s="3260" t="s">
        <v>36</v>
      </c>
      <c r="C33" s="2922" t="s">
        <v>199</v>
      </c>
      <c r="D33" s="1996">
        <f>D35+D34</f>
        <v>26680466</v>
      </c>
      <c r="E33" s="1996">
        <f>E35+E34</f>
        <v>0</v>
      </c>
      <c r="F33" s="1996">
        <f t="shared" ref="F33:L33" si="30">F35+F34</f>
        <v>0</v>
      </c>
      <c r="G33" s="1996">
        <f t="shared" si="30"/>
        <v>0</v>
      </c>
      <c r="H33" s="1996">
        <f t="shared" si="30"/>
        <v>0</v>
      </c>
      <c r="I33" s="1996">
        <f t="shared" si="30"/>
        <v>0</v>
      </c>
      <c r="J33" s="1996">
        <f t="shared" si="30"/>
        <v>256207</v>
      </c>
      <c r="K33" s="1996">
        <f t="shared" si="30"/>
        <v>0</v>
      </c>
      <c r="L33" s="1996">
        <f t="shared" si="30"/>
        <v>0</v>
      </c>
      <c r="M33" s="1996">
        <f>M35+M34</f>
        <v>256207</v>
      </c>
      <c r="N33" s="1996">
        <f t="shared" ref="N33:V33" si="31">N35+N34</f>
        <v>0</v>
      </c>
      <c r="O33" s="1996">
        <f t="shared" si="31"/>
        <v>0</v>
      </c>
      <c r="P33" s="1996">
        <f t="shared" si="31"/>
        <v>102300</v>
      </c>
      <c r="Q33" s="1996">
        <f t="shared" si="31"/>
        <v>3000000</v>
      </c>
      <c r="R33" s="1996">
        <f t="shared" si="31"/>
        <v>3030000</v>
      </c>
      <c r="S33" s="1996">
        <f t="shared" si="31"/>
        <v>9600000</v>
      </c>
      <c r="T33" s="1996">
        <f t="shared" si="31"/>
        <v>5657500</v>
      </c>
      <c r="U33" s="1996">
        <f t="shared" si="31"/>
        <v>3566880</v>
      </c>
      <c r="V33" s="1996">
        <f t="shared" si="31"/>
        <v>1467579</v>
      </c>
      <c r="W33" s="1996"/>
      <c r="X33" s="2140">
        <f>+X35</f>
        <v>26424259</v>
      </c>
      <c r="Y33" s="2905"/>
    </row>
    <row r="34" spans="1:87" s="1143" customFormat="1" ht="12" hidden="1" customHeight="1">
      <c r="A34" s="2902"/>
      <c r="B34" s="2088" t="s">
        <v>45</v>
      </c>
      <c r="C34" s="2923"/>
      <c r="D34" s="1990">
        <f>M34+O34+P34+Q34+R34+S34+T34+U34+V34+W34</f>
        <v>0</v>
      </c>
      <c r="E34" s="1990"/>
      <c r="F34" s="1990"/>
      <c r="G34" s="1990"/>
      <c r="H34" s="1990"/>
      <c r="I34" s="2149"/>
      <c r="J34" s="2149"/>
      <c r="K34" s="2149"/>
      <c r="L34" s="2149"/>
      <c r="M34" s="1990"/>
      <c r="N34" s="2149"/>
      <c r="O34" s="2149"/>
      <c r="P34" s="2149">
        <v>0</v>
      </c>
      <c r="Q34" s="2149">
        <v>0</v>
      </c>
      <c r="R34" s="2149">
        <v>0</v>
      </c>
      <c r="S34" s="2149">
        <v>0</v>
      </c>
      <c r="T34" s="2149">
        <v>0</v>
      </c>
      <c r="U34" s="3261"/>
      <c r="V34" s="3261"/>
      <c r="W34" s="3261"/>
      <c r="X34" s="2150" t="s">
        <v>77</v>
      </c>
      <c r="Y34" s="2905"/>
    </row>
    <row r="35" spans="1:87" s="1143" customFormat="1" ht="14.25" customHeight="1">
      <c r="A35" s="2902"/>
      <c r="B35" s="2151" t="s">
        <v>150</v>
      </c>
      <c r="C35" s="2924"/>
      <c r="D35" s="1994">
        <f>M35+O35+P35+Q35+R35+S35+T35+U35+V35+W35</f>
        <v>26680466</v>
      </c>
      <c r="E35" s="1994"/>
      <c r="F35" s="1994"/>
      <c r="G35" s="1994"/>
      <c r="H35" s="1994"/>
      <c r="I35" s="1995"/>
      <c r="J35" s="1995">
        <v>256207</v>
      </c>
      <c r="K35" s="1995"/>
      <c r="L35" s="1995"/>
      <c r="M35" s="1994">
        <f>+E35+I35+J35+K35+L35+N35</f>
        <v>256207</v>
      </c>
      <c r="N35" s="1995"/>
      <c r="O35" s="1995"/>
      <c r="P35" s="1995">
        <f>2280000-2177700</f>
        <v>102300</v>
      </c>
      <c r="Q35" s="1995">
        <v>3000000</v>
      </c>
      <c r="R35" s="1995">
        <v>3030000</v>
      </c>
      <c r="S35" s="1995">
        <v>9600000</v>
      </c>
      <c r="T35" s="1995">
        <v>5657500</v>
      </c>
      <c r="U35" s="1995">
        <v>3566880</v>
      </c>
      <c r="V35" s="1995">
        <v>1467579</v>
      </c>
      <c r="W35" s="1995"/>
      <c r="X35" s="2089">
        <f>SUM(P35:V35)</f>
        <v>26424259</v>
      </c>
      <c r="Y35" s="2905"/>
    </row>
    <row r="36" spans="1:87" s="1279" customFormat="1" ht="14.25" customHeight="1">
      <c r="A36" s="2902"/>
      <c r="B36" s="3262" t="s">
        <v>30</v>
      </c>
      <c r="C36" s="2908" t="s">
        <v>35</v>
      </c>
      <c r="D36" s="3263">
        <f>+D37</f>
        <v>60200000</v>
      </c>
      <c r="E36" s="3263">
        <f>+E37</f>
        <v>0</v>
      </c>
      <c r="F36" s="3263"/>
      <c r="G36" s="3263"/>
      <c r="H36" s="3263"/>
      <c r="I36" s="3263">
        <f t="shared" ref="I36:X36" si="32">+I37</f>
        <v>0</v>
      </c>
      <c r="J36" s="3263">
        <f t="shared" si="32"/>
        <v>0</v>
      </c>
      <c r="K36" s="3263">
        <f t="shared" si="32"/>
        <v>0</v>
      </c>
      <c r="L36" s="3263">
        <f t="shared" si="32"/>
        <v>0</v>
      </c>
      <c r="M36" s="3264">
        <f t="shared" si="32"/>
        <v>0</v>
      </c>
      <c r="N36" s="3263">
        <f t="shared" si="32"/>
        <v>0</v>
      </c>
      <c r="O36" s="3263">
        <f t="shared" si="32"/>
        <v>0</v>
      </c>
      <c r="P36" s="3263">
        <f t="shared" si="32"/>
        <v>0</v>
      </c>
      <c r="Q36" s="3263">
        <f t="shared" si="32"/>
        <v>0</v>
      </c>
      <c r="R36" s="3263">
        <f t="shared" si="32"/>
        <v>9265000</v>
      </c>
      <c r="S36" s="3263">
        <f t="shared" si="32"/>
        <v>20400000</v>
      </c>
      <c r="T36" s="3263">
        <f t="shared" si="32"/>
        <v>11942500</v>
      </c>
      <c r="U36" s="3263">
        <f t="shared" si="32"/>
        <v>8500000</v>
      </c>
      <c r="V36" s="3263">
        <f t="shared" si="32"/>
        <v>10092500</v>
      </c>
      <c r="W36" s="3264"/>
      <c r="X36" s="3265" t="str">
        <f t="shared" si="32"/>
        <v>x</v>
      </c>
      <c r="Y36" s="2905"/>
    </row>
    <row r="37" spans="1:87" s="1279" customFormat="1" ht="13.5" customHeight="1">
      <c r="A37" s="2902"/>
      <c r="B37" s="2151" t="s">
        <v>48</v>
      </c>
      <c r="C37" s="2910"/>
      <c r="D37" s="1994">
        <f>M37+O37+P37+Q37+R37+S37+T37+U37+V37+W37</f>
        <v>60200000</v>
      </c>
      <c r="E37" s="1994">
        <f>+F37+G37+H37</f>
        <v>0</v>
      </c>
      <c r="F37" s="1994"/>
      <c r="G37" s="1994"/>
      <c r="H37" s="1994"/>
      <c r="I37" s="1995">
        <f>0+227853-227853</f>
        <v>0</v>
      </c>
      <c r="J37" s="1994"/>
      <c r="K37" s="1994"/>
      <c r="L37" s="1994"/>
      <c r="M37" s="1990"/>
      <c r="N37" s="1994"/>
      <c r="O37" s="1994"/>
      <c r="P37" s="1994">
        <v>0</v>
      </c>
      <c r="Q37" s="1994">
        <v>0</v>
      </c>
      <c r="R37" s="1994">
        <v>9265000</v>
      </c>
      <c r="S37" s="1994">
        <v>20400000</v>
      </c>
      <c r="T37" s="1994">
        <v>11942500</v>
      </c>
      <c r="U37" s="3266">
        <v>8500000</v>
      </c>
      <c r="V37" s="3266">
        <v>10092500</v>
      </c>
      <c r="W37" s="3266"/>
      <c r="X37" s="3267" t="s">
        <v>77</v>
      </c>
      <c r="Y37" s="2905"/>
    </row>
    <row r="38" spans="1:87" s="2152" customFormat="1" ht="13.5" customHeight="1">
      <c r="A38" s="2902"/>
      <c r="B38" s="2027" t="s">
        <v>34</v>
      </c>
      <c r="C38" s="3268"/>
      <c r="D38" s="1997">
        <f>D41+D39</f>
        <v>76000729</v>
      </c>
      <c r="E38" s="1997">
        <f t="shared" ref="E38:R38" si="33">E41+E39</f>
        <v>0</v>
      </c>
      <c r="F38" s="1997">
        <f t="shared" si="33"/>
        <v>0</v>
      </c>
      <c r="G38" s="1997">
        <f t="shared" si="33"/>
        <v>0</v>
      </c>
      <c r="H38" s="1997">
        <f t="shared" si="33"/>
        <v>0</v>
      </c>
      <c r="I38" s="1997">
        <f t="shared" si="33"/>
        <v>0</v>
      </c>
      <c r="J38" s="1997">
        <f t="shared" si="33"/>
        <v>0</v>
      </c>
      <c r="K38" s="1997">
        <f t="shared" si="33"/>
        <v>0</v>
      </c>
      <c r="L38" s="1997">
        <f t="shared" si="33"/>
        <v>0</v>
      </c>
      <c r="M38" s="1315">
        <f>M41+M39</f>
        <v>0</v>
      </c>
      <c r="N38" s="1997">
        <f t="shared" si="33"/>
        <v>0</v>
      </c>
      <c r="O38" s="1997">
        <f t="shared" si="33"/>
        <v>0</v>
      </c>
      <c r="P38" s="1997">
        <f t="shared" si="33"/>
        <v>0</v>
      </c>
      <c r="Q38" s="1997">
        <f t="shared" si="33"/>
        <v>350000</v>
      </c>
      <c r="R38" s="1997">
        <f t="shared" si="33"/>
        <v>11065000</v>
      </c>
      <c r="S38" s="1997">
        <f>S41+S39</f>
        <v>26400000</v>
      </c>
      <c r="T38" s="1997">
        <f>T41+T39</f>
        <v>15942500</v>
      </c>
      <c r="U38" s="1997">
        <f t="shared" ref="U38:V38" si="34">U41+U39</f>
        <v>10500000</v>
      </c>
      <c r="V38" s="1997">
        <f t="shared" si="34"/>
        <v>11743229</v>
      </c>
      <c r="W38" s="1997"/>
      <c r="X38" s="3269" t="s">
        <v>77</v>
      </c>
      <c r="Y38" s="2905"/>
    </row>
    <row r="39" spans="1:87" s="2152" customFormat="1" ht="13.5" customHeight="1">
      <c r="A39" s="2902"/>
      <c r="B39" s="2153" t="s">
        <v>36</v>
      </c>
      <c r="C39" s="2922" t="s">
        <v>199</v>
      </c>
      <c r="D39" s="3270">
        <f>+D40</f>
        <v>15800729</v>
      </c>
      <c r="E39" s="3270">
        <f t="shared" ref="E39:V39" si="35">+E40</f>
        <v>0</v>
      </c>
      <c r="F39" s="3270">
        <f t="shared" si="35"/>
        <v>0</v>
      </c>
      <c r="G39" s="3270">
        <f t="shared" si="35"/>
        <v>0</v>
      </c>
      <c r="H39" s="3270">
        <f t="shared" si="35"/>
        <v>0</v>
      </c>
      <c r="I39" s="3270">
        <f t="shared" si="35"/>
        <v>0</v>
      </c>
      <c r="J39" s="3270">
        <f t="shared" si="35"/>
        <v>0</v>
      </c>
      <c r="K39" s="3270">
        <f t="shared" si="35"/>
        <v>0</v>
      </c>
      <c r="L39" s="3270">
        <f t="shared" si="35"/>
        <v>0</v>
      </c>
      <c r="M39" s="3270">
        <f t="shared" si="35"/>
        <v>0</v>
      </c>
      <c r="N39" s="3270">
        <f t="shared" si="35"/>
        <v>0</v>
      </c>
      <c r="O39" s="3270">
        <f t="shared" si="35"/>
        <v>0</v>
      </c>
      <c r="P39" s="3270">
        <f t="shared" si="35"/>
        <v>0</v>
      </c>
      <c r="Q39" s="3270">
        <f t="shared" si="35"/>
        <v>350000</v>
      </c>
      <c r="R39" s="3270">
        <f t="shared" si="35"/>
        <v>1800000</v>
      </c>
      <c r="S39" s="3270">
        <f t="shared" si="35"/>
        <v>6000000</v>
      </c>
      <c r="T39" s="3270">
        <f t="shared" si="35"/>
        <v>4000000</v>
      </c>
      <c r="U39" s="3270">
        <f t="shared" si="35"/>
        <v>2000000</v>
      </c>
      <c r="V39" s="3270">
        <f t="shared" si="35"/>
        <v>1650729</v>
      </c>
      <c r="W39" s="3270"/>
      <c r="X39" s="3271"/>
      <c r="Y39" s="2905"/>
    </row>
    <row r="40" spans="1:87" s="2152" customFormat="1" ht="13.5" customHeight="1">
      <c r="A40" s="2902"/>
      <c r="B40" s="2151" t="s">
        <v>172</v>
      </c>
      <c r="C40" s="2923"/>
      <c r="D40" s="1994">
        <f>M40+O40+P40+Q40+R40+S40+T40+U40+V40+W40</f>
        <v>15800729</v>
      </c>
      <c r="E40" s="1995">
        <v>0</v>
      </c>
      <c r="F40" s="1995"/>
      <c r="G40" s="1995"/>
      <c r="H40" s="1995"/>
      <c r="I40" s="1995">
        <v>0</v>
      </c>
      <c r="J40" s="1995">
        <v>0</v>
      </c>
      <c r="K40" s="1995"/>
      <c r="L40" s="1995"/>
      <c r="M40" s="1990"/>
      <c r="N40" s="1995"/>
      <c r="O40" s="1995"/>
      <c r="P40" s="1995"/>
      <c r="Q40" s="1995">
        <v>350000</v>
      </c>
      <c r="R40" s="1995">
        <v>1800000</v>
      </c>
      <c r="S40" s="1995">
        <v>6000000</v>
      </c>
      <c r="T40" s="1995">
        <v>4000000</v>
      </c>
      <c r="U40" s="1995">
        <v>2000000</v>
      </c>
      <c r="V40" s="1995">
        <v>1650729</v>
      </c>
      <c r="W40" s="1995"/>
      <c r="X40" s="3271"/>
      <c r="Y40" s="2905"/>
      <c r="AA40" s="2154">
        <f>D40-'[4]Tab. 6F - Kultura'!$D$40</f>
        <v>10989251</v>
      </c>
    </row>
    <row r="41" spans="1:87" s="1279" customFormat="1" ht="13.5" customHeight="1">
      <c r="A41" s="2902"/>
      <c r="B41" s="3262" t="s">
        <v>30</v>
      </c>
      <c r="C41" s="2908" t="s">
        <v>35</v>
      </c>
      <c r="D41" s="3263">
        <f>+D42</f>
        <v>60200000</v>
      </c>
      <c r="E41" s="3263">
        <f>+E42</f>
        <v>0</v>
      </c>
      <c r="F41" s="3263"/>
      <c r="G41" s="3263"/>
      <c r="H41" s="3263"/>
      <c r="I41" s="3263">
        <f t="shared" ref="I41:V41" si="36">+I42</f>
        <v>0</v>
      </c>
      <c r="J41" s="3263">
        <f t="shared" si="36"/>
        <v>0</v>
      </c>
      <c r="K41" s="3263">
        <f t="shared" si="36"/>
        <v>0</v>
      </c>
      <c r="L41" s="3263">
        <f t="shared" si="36"/>
        <v>0</v>
      </c>
      <c r="M41" s="3264">
        <f t="shared" si="36"/>
        <v>0</v>
      </c>
      <c r="N41" s="3263">
        <f t="shared" si="36"/>
        <v>0</v>
      </c>
      <c r="O41" s="3263">
        <f t="shared" si="36"/>
        <v>0</v>
      </c>
      <c r="P41" s="3263">
        <f t="shared" si="36"/>
        <v>0</v>
      </c>
      <c r="Q41" s="3263">
        <f t="shared" si="36"/>
        <v>0</v>
      </c>
      <c r="R41" s="3263">
        <f t="shared" si="36"/>
        <v>9265000</v>
      </c>
      <c r="S41" s="3263">
        <f t="shared" si="36"/>
        <v>20400000</v>
      </c>
      <c r="T41" s="3263">
        <f t="shared" si="36"/>
        <v>11942500</v>
      </c>
      <c r="U41" s="3263">
        <f t="shared" si="36"/>
        <v>8500000</v>
      </c>
      <c r="V41" s="3263">
        <f t="shared" si="36"/>
        <v>10092500</v>
      </c>
      <c r="W41" s="3263"/>
      <c r="X41" s="3271"/>
      <c r="Y41" s="2905"/>
    </row>
    <row r="42" spans="1:87" s="1279" customFormat="1" ht="13.5" customHeight="1" thickBot="1">
      <c r="A42" s="2903"/>
      <c r="B42" s="2166" t="s">
        <v>48</v>
      </c>
      <c r="C42" s="2911"/>
      <c r="D42" s="2155">
        <f>M42+O42+P42+Q42+R42+S42+T42+U42+V42+W42</f>
        <v>60200000</v>
      </c>
      <c r="E42" s="2155">
        <f>+F42+G42+H42</f>
        <v>0</v>
      </c>
      <c r="F42" s="2155"/>
      <c r="G42" s="2155"/>
      <c r="H42" s="2155"/>
      <c r="I42" s="2155">
        <v>0</v>
      </c>
      <c r="J42" s="2155">
        <f>7290734-7290734</f>
        <v>0</v>
      </c>
      <c r="K42" s="2155"/>
      <c r="L42" s="2155"/>
      <c r="M42" s="2141"/>
      <c r="N42" s="2155"/>
      <c r="O42" s="2155"/>
      <c r="P42" s="2155"/>
      <c r="Q42" s="2155">
        <v>0</v>
      </c>
      <c r="R42" s="2155">
        <v>9265000</v>
      </c>
      <c r="S42" s="2155">
        <v>20400000</v>
      </c>
      <c r="T42" s="2155">
        <v>11942500</v>
      </c>
      <c r="U42" s="2155">
        <v>8500000</v>
      </c>
      <c r="V42" s="2155">
        <v>10092500</v>
      </c>
      <c r="W42" s="2155"/>
      <c r="X42" s="3272"/>
      <c r="Y42" s="2906"/>
    </row>
    <row r="43" spans="1:87" s="1143" customFormat="1" ht="27" hidden="1" customHeight="1">
      <c r="A43" s="2901" t="s">
        <v>81</v>
      </c>
      <c r="B43" s="2146"/>
      <c r="C43" s="2147" t="s">
        <v>97</v>
      </c>
      <c r="D43" s="2156"/>
      <c r="E43" s="2157"/>
      <c r="F43" s="2156"/>
      <c r="G43" s="2156"/>
      <c r="H43" s="2156"/>
      <c r="I43" s="2157"/>
      <c r="J43" s="2156"/>
      <c r="K43" s="2156"/>
      <c r="L43" s="2157"/>
      <c r="M43" s="2157"/>
      <c r="N43" s="2157"/>
      <c r="O43" s="2157"/>
      <c r="P43" s="2157"/>
      <c r="Q43" s="2157"/>
      <c r="R43" s="2157"/>
      <c r="S43" s="2158"/>
      <c r="T43" s="2158"/>
      <c r="U43" s="2158"/>
      <c r="V43" s="2158"/>
      <c r="W43" s="2158"/>
      <c r="X43" s="2159"/>
      <c r="Y43" s="2904" t="s">
        <v>200</v>
      </c>
      <c r="CI43" s="2145"/>
    </row>
    <row r="44" spans="1:87" s="1143" customFormat="1" ht="14.25" hidden="1" customHeight="1">
      <c r="A44" s="2902"/>
      <c r="B44" s="2027" t="s">
        <v>22</v>
      </c>
      <c r="C44" s="2148"/>
      <c r="D44" s="2135">
        <f>+D45+D48</f>
        <v>0</v>
      </c>
      <c r="E44" s="2135">
        <f t="shared" ref="E44:L44" si="37">+E45+E48</f>
        <v>625947</v>
      </c>
      <c r="F44" s="2135"/>
      <c r="G44" s="2135"/>
      <c r="H44" s="2135"/>
      <c r="I44" s="2135">
        <f t="shared" si="37"/>
        <v>1250000</v>
      </c>
      <c r="J44" s="2135">
        <f t="shared" si="37"/>
        <v>1806740</v>
      </c>
      <c r="K44" s="2135">
        <f t="shared" si="37"/>
        <v>4223669</v>
      </c>
      <c r="L44" s="2135">
        <f t="shared" si="37"/>
        <v>3088525</v>
      </c>
      <c r="M44" s="2135">
        <f>+M45+M48</f>
        <v>0</v>
      </c>
      <c r="N44" s="2135">
        <f t="shared" ref="N44:T44" si="38">+N45+N48</f>
        <v>0</v>
      </c>
      <c r="O44" s="2135">
        <f t="shared" si="38"/>
        <v>0</v>
      </c>
      <c r="P44" s="2135">
        <f t="shared" si="38"/>
        <v>0</v>
      </c>
      <c r="Q44" s="2135">
        <f t="shared" si="38"/>
        <v>0</v>
      </c>
      <c r="R44" s="2135">
        <f t="shared" si="38"/>
        <v>0</v>
      </c>
      <c r="S44" s="2135">
        <f t="shared" si="38"/>
        <v>0</v>
      </c>
      <c r="T44" s="2135">
        <f t="shared" si="38"/>
        <v>0</v>
      </c>
      <c r="U44" s="2135"/>
      <c r="V44" s="2135"/>
      <c r="W44" s="2135"/>
      <c r="X44" s="2138">
        <f>+X45</f>
        <v>0</v>
      </c>
      <c r="Y44" s="2905"/>
    </row>
    <row r="45" spans="1:87" s="1143" customFormat="1" ht="14.25" hidden="1" customHeight="1">
      <c r="A45" s="2902"/>
      <c r="B45" s="2153" t="s">
        <v>36</v>
      </c>
      <c r="C45" s="2802" t="s">
        <v>201</v>
      </c>
      <c r="D45" s="1996">
        <f>D46+D47</f>
        <v>0</v>
      </c>
      <c r="E45" s="1996">
        <f>E46</f>
        <v>625947</v>
      </c>
      <c r="F45" s="1996"/>
      <c r="G45" s="1996"/>
      <c r="H45" s="1996"/>
      <c r="I45" s="1996">
        <f>I46</f>
        <v>1250000</v>
      </c>
      <c r="J45" s="1996">
        <f>J46</f>
        <v>1806740</v>
      </c>
      <c r="K45" s="1996">
        <f>K46</f>
        <v>2417285</v>
      </c>
      <c r="L45" s="1996">
        <f t="shared" ref="L45:R45" si="39">L46+L47</f>
        <v>1179067</v>
      </c>
      <c r="M45" s="1996">
        <f>M46+M47</f>
        <v>0</v>
      </c>
      <c r="N45" s="1996">
        <f t="shared" si="39"/>
        <v>0</v>
      </c>
      <c r="O45" s="1996">
        <f t="shared" si="39"/>
        <v>0</v>
      </c>
      <c r="P45" s="1996">
        <f t="shared" si="39"/>
        <v>0</v>
      </c>
      <c r="Q45" s="1996">
        <f t="shared" si="39"/>
        <v>0</v>
      </c>
      <c r="R45" s="1996">
        <f t="shared" si="39"/>
        <v>0</v>
      </c>
      <c r="S45" s="1996">
        <f>S46+S47</f>
        <v>0</v>
      </c>
      <c r="T45" s="1996">
        <f>T46+T47</f>
        <v>0</v>
      </c>
      <c r="U45" s="1996"/>
      <c r="V45" s="1996"/>
      <c r="W45" s="1996"/>
      <c r="X45" s="2140">
        <f>+X46</f>
        <v>0</v>
      </c>
      <c r="Y45" s="2905"/>
    </row>
    <row r="46" spans="1:87" s="1143" customFormat="1" ht="14.25" hidden="1" customHeight="1">
      <c r="A46" s="2902"/>
      <c r="B46" s="2151" t="s">
        <v>150</v>
      </c>
      <c r="C46" s="2907"/>
      <c r="D46" s="1994">
        <f>M46+O46+P46+Q46+R46+S46+T46+U46+V46+W46</f>
        <v>0</v>
      </c>
      <c r="E46" s="1990">
        <f>524010+101937</f>
        <v>625947</v>
      </c>
      <c r="F46" s="1990"/>
      <c r="G46" s="1990"/>
      <c r="H46" s="1990"/>
      <c r="I46" s="1990">
        <f>1250000</f>
        <v>1250000</v>
      </c>
      <c r="J46" s="1990">
        <v>1806740</v>
      </c>
      <c r="K46" s="1990">
        <f>6626221+3165475-6867368-507043</f>
        <v>2417285</v>
      </c>
      <c r="L46" s="1990">
        <f>10000000+3190347-33690+1111636-9977427-3183343</f>
        <v>1107523</v>
      </c>
      <c r="M46" s="1990"/>
      <c r="N46" s="1990"/>
      <c r="O46" s="1990"/>
      <c r="P46" s="1990"/>
      <c r="Q46" s="1990">
        <v>0</v>
      </c>
      <c r="R46" s="1990">
        <v>0</v>
      </c>
      <c r="S46" s="1990">
        <v>0</v>
      </c>
      <c r="T46" s="1990">
        <v>0</v>
      </c>
      <c r="U46" s="1990"/>
      <c r="V46" s="1990"/>
      <c r="W46" s="1990"/>
      <c r="X46" s="2133">
        <f>SUM(P46:T46)</f>
        <v>0</v>
      </c>
      <c r="Y46" s="2905"/>
    </row>
    <row r="47" spans="1:87" s="1143" customFormat="1" ht="14.25" hidden="1" customHeight="1">
      <c r="A47" s="2902"/>
      <c r="B47" s="2160" t="s">
        <v>45</v>
      </c>
      <c r="C47" s="2908" t="s">
        <v>35</v>
      </c>
      <c r="D47" s="1994">
        <f>M47+O47+P47+Q47+R47+S47+T47+U47+V47+W47</f>
        <v>0</v>
      </c>
      <c r="E47" s="1601">
        <v>0</v>
      </c>
      <c r="F47" s="1601"/>
      <c r="G47" s="1601"/>
      <c r="H47" s="1601"/>
      <c r="I47" s="1601">
        <v>0</v>
      </c>
      <c r="J47" s="1601">
        <v>0</v>
      </c>
      <c r="K47" s="1601">
        <v>0</v>
      </c>
      <c r="L47" s="1601">
        <v>71544</v>
      </c>
      <c r="M47" s="1990"/>
      <c r="N47" s="1601"/>
      <c r="O47" s="1601"/>
      <c r="P47" s="1601"/>
      <c r="Q47" s="1601"/>
      <c r="R47" s="1601">
        <v>0</v>
      </c>
      <c r="S47" s="1601">
        <v>0</v>
      </c>
      <c r="T47" s="1601">
        <v>0</v>
      </c>
      <c r="U47" s="1601"/>
      <c r="V47" s="1601"/>
      <c r="W47" s="1601"/>
      <c r="X47" s="2161" t="s">
        <v>77</v>
      </c>
      <c r="Y47" s="2905"/>
    </row>
    <row r="48" spans="1:87" s="1143" customFormat="1" ht="14.25" hidden="1" customHeight="1">
      <c r="A48" s="2902"/>
      <c r="B48" s="2162" t="s">
        <v>30</v>
      </c>
      <c r="C48" s="2909"/>
      <c r="D48" s="2143">
        <f>+D49</f>
        <v>0</v>
      </c>
      <c r="E48" s="2143">
        <f>+E49</f>
        <v>0</v>
      </c>
      <c r="F48" s="2143"/>
      <c r="G48" s="2143"/>
      <c r="H48" s="2143"/>
      <c r="I48" s="2143">
        <f t="shared" ref="I48:X48" si="40">+I49</f>
        <v>0</v>
      </c>
      <c r="J48" s="2143">
        <f t="shared" si="40"/>
        <v>0</v>
      </c>
      <c r="K48" s="2143">
        <f t="shared" si="40"/>
        <v>1806384</v>
      </c>
      <c r="L48" s="2143">
        <f t="shared" si="40"/>
        <v>1909458</v>
      </c>
      <c r="M48" s="2143">
        <f t="shared" si="40"/>
        <v>0</v>
      </c>
      <c r="N48" s="2143">
        <f t="shared" si="40"/>
        <v>0</v>
      </c>
      <c r="O48" s="2143">
        <f t="shared" si="40"/>
        <v>0</v>
      </c>
      <c r="P48" s="2143">
        <f t="shared" si="40"/>
        <v>0</v>
      </c>
      <c r="Q48" s="2143">
        <f t="shared" si="40"/>
        <v>0</v>
      </c>
      <c r="R48" s="2143">
        <f t="shared" si="40"/>
        <v>0</v>
      </c>
      <c r="S48" s="2143">
        <f t="shared" si="40"/>
        <v>0</v>
      </c>
      <c r="T48" s="2143">
        <f t="shared" si="40"/>
        <v>0</v>
      </c>
      <c r="U48" s="2143"/>
      <c r="V48" s="2143"/>
      <c r="W48" s="2143"/>
      <c r="X48" s="2150" t="str">
        <f t="shared" si="40"/>
        <v>x</v>
      </c>
      <c r="Y48" s="2905"/>
    </row>
    <row r="49" spans="1:87" s="1143" customFormat="1" ht="14.25" hidden="1" customHeight="1">
      <c r="A49" s="2902"/>
      <c r="B49" s="2160" t="s">
        <v>48</v>
      </c>
      <c r="C49" s="2910"/>
      <c r="D49" s="1994">
        <f>M49+O49+P49+Q49+R49+S49+T49+U49+V49+W49</f>
        <v>0</v>
      </c>
      <c r="E49" s="1990">
        <f>+F49+G49+H49</f>
        <v>0</v>
      </c>
      <c r="F49" s="1990"/>
      <c r="G49" s="1990"/>
      <c r="H49" s="1990"/>
      <c r="I49" s="1990">
        <v>0</v>
      </c>
      <c r="J49" s="1990">
        <v>0</v>
      </c>
      <c r="K49" s="1990">
        <f>20555625-18749241</f>
        <v>1806384</v>
      </c>
      <c r="L49" s="1990">
        <f>21180830-449123-18531707-290542</f>
        <v>1909458</v>
      </c>
      <c r="M49" s="1990"/>
      <c r="N49" s="1990"/>
      <c r="O49" s="1990"/>
      <c r="P49" s="1990"/>
      <c r="Q49" s="1990">
        <v>0</v>
      </c>
      <c r="R49" s="1990">
        <v>0</v>
      </c>
      <c r="S49" s="1990">
        <v>0</v>
      </c>
      <c r="T49" s="1990">
        <v>0</v>
      </c>
      <c r="U49" s="1990"/>
      <c r="V49" s="1990"/>
      <c r="W49" s="1990"/>
      <c r="X49" s="2163" t="s">
        <v>77</v>
      </c>
      <c r="Y49" s="2905"/>
    </row>
    <row r="50" spans="1:87" s="2145" customFormat="1" ht="14.25" hidden="1" customHeight="1">
      <c r="A50" s="2902"/>
      <c r="B50" s="2027" t="s">
        <v>34</v>
      </c>
      <c r="C50" s="2148"/>
      <c r="D50" s="2135">
        <f>D53+D51</f>
        <v>0</v>
      </c>
      <c r="E50" s="2135">
        <f t="shared" ref="E50:P50" si="41">E53+E51</f>
        <v>0</v>
      </c>
      <c r="F50" s="2135">
        <f t="shared" si="41"/>
        <v>0</v>
      </c>
      <c r="G50" s="2135">
        <f t="shared" si="41"/>
        <v>0</v>
      </c>
      <c r="H50" s="2135">
        <f t="shared" si="41"/>
        <v>0</v>
      </c>
      <c r="I50" s="2135">
        <f t="shared" si="41"/>
        <v>101937</v>
      </c>
      <c r="J50" s="2135">
        <f t="shared" si="41"/>
        <v>220330</v>
      </c>
      <c r="K50" s="2135">
        <f t="shared" si="41"/>
        <v>2712892</v>
      </c>
      <c r="L50" s="2135">
        <f t="shared" si="41"/>
        <v>2180016</v>
      </c>
      <c r="M50" s="2135">
        <f>M53+M51</f>
        <v>0</v>
      </c>
      <c r="N50" s="2135">
        <f t="shared" si="41"/>
        <v>0</v>
      </c>
      <c r="O50" s="2135">
        <f t="shared" si="41"/>
        <v>0</v>
      </c>
      <c r="P50" s="2135">
        <f t="shared" si="41"/>
        <v>0</v>
      </c>
      <c r="Q50" s="2135">
        <f>Q53+Q51</f>
        <v>0</v>
      </c>
      <c r="R50" s="2135">
        <f>R53+R51</f>
        <v>0</v>
      </c>
      <c r="S50" s="2135">
        <f>S53+S51</f>
        <v>0</v>
      </c>
      <c r="T50" s="2135">
        <f>T53+T51</f>
        <v>0</v>
      </c>
      <c r="U50" s="2135"/>
      <c r="V50" s="2135"/>
      <c r="W50" s="2135"/>
      <c r="X50" s="2912" t="s">
        <v>77</v>
      </c>
      <c r="Y50" s="2905"/>
    </row>
    <row r="51" spans="1:87" s="2145" customFormat="1" ht="14.25" hidden="1" customHeight="1">
      <c r="A51" s="2902"/>
      <c r="B51" s="2153" t="s">
        <v>36</v>
      </c>
      <c r="C51" s="2802" t="s">
        <v>201</v>
      </c>
      <c r="D51" s="2164">
        <f t="shared" ref="D51:T51" si="42">+D52</f>
        <v>0</v>
      </c>
      <c r="E51" s="2164">
        <f t="shared" si="42"/>
        <v>0</v>
      </c>
      <c r="F51" s="2164">
        <f t="shared" si="42"/>
        <v>0</v>
      </c>
      <c r="G51" s="2164">
        <f t="shared" si="42"/>
        <v>0</v>
      </c>
      <c r="H51" s="2164">
        <f t="shared" si="42"/>
        <v>0</v>
      </c>
      <c r="I51" s="2164">
        <f t="shared" si="42"/>
        <v>101937</v>
      </c>
      <c r="J51" s="2164">
        <f t="shared" si="42"/>
        <v>220330</v>
      </c>
      <c r="K51" s="2164">
        <f t="shared" si="42"/>
        <v>906508</v>
      </c>
      <c r="L51" s="2164">
        <f t="shared" si="42"/>
        <v>270558</v>
      </c>
      <c r="M51" s="2164">
        <f t="shared" si="42"/>
        <v>0</v>
      </c>
      <c r="N51" s="2164">
        <f t="shared" si="42"/>
        <v>0</v>
      </c>
      <c r="O51" s="2164">
        <f t="shared" si="42"/>
        <v>0</v>
      </c>
      <c r="P51" s="2164">
        <f t="shared" si="42"/>
        <v>0</v>
      </c>
      <c r="Q51" s="2164">
        <f t="shared" si="42"/>
        <v>0</v>
      </c>
      <c r="R51" s="2164">
        <f t="shared" si="42"/>
        <v>0</v>
      </c>
      <c r="S51" s="2164">
        <f t="shared" si="42"/>
        <v>0</v>
      </c>
      <c r="T51" s="2164">
        <f t="shared" si="42"/>
        <v>0</v>
      </c>
      <c r="U51" s="2164"/>
      <c r="V51" s="2164"/>
      <c r="W51" s="2164"/>
      <c r="X51" s="2913"/>
      <c r="Y51" s="2905"/>
    </row>
    <row r="52" spans="1:87" s="2145" customFormat="1" ht="14.25" hidden="1" customHeight="1">
      <c r="A52" s="2902"/>
      <c r="B52" s="2160" t="s">
        <v>172</v>
      </c>
      <c r="C52" s="2907"/>
      <c r="D52" s="1994">
        <f>M52+O52+P52+Q52+R52+S52+T52+U52+V52+W52</f>
        <v>0</v>
      </c>
      <c r="E52" s="1990">
        <v>0</v>
      </c>
      <c r="F52" s="1990"/>
      <c r="G52" s="1990"/>
      <c r="H52" s="1990"/>
      <c r="I52" s="1990">
        <v>101937</v>
      </c>
      <c r="J52" s="1990">
        <v>220330</v>
      </c>
      <c r="K52" s="1990">
        <f>337846+568662</f>
        <v>906508</v>
      </c>
      <c r="L52" s="1990">
        <f>5898044-2464898-3112529-50059</f>
        <v>270558</v>
      </c>
      <c r="M52" s="1990"/>
      <c r="N52" s="1990"/>
      <c r="O52" s="1990"/>
      <c r="P52" s="1990"/>
      <c r="Q52" s="1990">
        <v>0</v>
      </c>
      <c r="R52" s="1990">
        <v>0</v>
      </c>
      <c r="S52" s="1990">
        <v>0</v>
      </c>
      <c r="T52" s="1990">
        <v>0</v>
      </c>
      <c r="U52" s="1990"/>
      <c r="V52" s="1990"/>
      <c r="W52" s="1990"/>
      <c r="X52" s="2913"/>
      <c r="Y52" s="2905"/>
      <c r="AA52" s="2165">
        <f>D52-'[4]Tab. 6F - Kultura'!$D$52</f>
        <v>-13525758</v>
      </c>
    </row>
    <row r="53" spans="1:87" s="1143" customFormat="1" ht="14.25" hidden="1" customHeight="1">
      <c r="A53" s="2902"/>
      <c r="B53" s="2162" t="s">
        <v>30</v>
      </c>
      <c r="C53" s="2908" t="s">
        <v>35</v>
      </c>
      <c r="D53" s="1996">
        <f>+D54</f>
        <v>0</v>
      </c>
      <c r="E53" s="1996">
        <f t="shared" ref="E53:M53" si="43">+E54</f>
        <v>0</v>
      </c>
      <c r="F53" s="1996"/>
      <c r="G53" s="1996"/>
      <c r="H53" s="1996"/>
      <c r="I53" s="1996">
        <f t="shared" si="43"/>
        <v>0</v>
      </c>
      <c r="J53" s="1996">
        <f t="shared" si="43"/>
        <v>0</v>
      </c>
      <c r="K53" s="1996">
        <f t="shared" si="43"/>
        <v>1806384</v>
      </c>
      <c r="L53" s="1996">
        <f t="shared" si="43"/>
        <v>1909458</v>
      </c>
      <c r="M53" s="1996">
        <f t="shared" si="43"/>
        <v>0</v>
      </c>
      <c r="N53" s="1996">
        <f t="shared" ref="N53:T53" si="44">+N54</f>
        <v>0</v>
      </c>
      <c r="O53" s="1996">
        <f t="shared" si="44"/>
        <v>0</v>
      </c>
      <c r="P53" s="1996">
        <f t="shared" si="44"/>
        <v>0</v>
      </c>
      <c r="Q53" s="1996">
        <f t="shared" si="44"/>
        <v>0</v>
      </c>
      <c r="R53" s="1996">
        <f t="shared" si="44"/>
        <v>0</v>
      </c>
      <c r="S53" s="1996">
        <f t="shared" si="44"/>
        <v>0</v>
      </c>
      <c r="T53" s="1996">
        <f t="shared" si="44"/>
        <v>0</v>
      </c>
      <c r="U53" s="1996"/>
      <c r="V53" s="1996"/>
      <c r="W53" s="1996"/>
      <c r="X53" s="2913"/>
      <c r="Y53" s="2905"/>
    </row>
    <row r="54" spans="1:87" s="1143" customFormat="1" ht="14.25" hidden="1" customHeight="1" thickBot="1">
      <c r="A54" s="2903"/>
      <c r="B54" s="2166" t="s">
        <v>48</v>
      </c>
      <c r="C54" s="2911"/>
      <c r="D54" s="2155">
        <f>M54+O54+P54+Q54+R54+S54+T54+U54+V54+W54</f>
        <v>0</v>
      </c>
      <c r="E54" s="2141">
        <f>+F54+G54+H54</f>
        <v>0</v>
      </c>
      <c r="F54" s="2141"/>
      <c r="G54" s="2141"/>
      <c r="H54" s="2141"/>
      <c r="I54" s="2141">
        <v>0</v>
      </c>
      <c r="J54" s="2141">
        <v>0</v>
      </c>
      <c r="K54" s="2141">
        <f>20555625-18749241</f>
        <v>1806384</v>
      </c>
      <c r="L54" s="2141">
        <f>21180830-449123-18531707-290542</f>
        <v>1909458</v>
      </c>
      <c r="M54" s="2141"/>
      <c r="N54" s="2141"/>
      <c r="O54" s="2141"/>
      <c r="P54" s="2141"/>
      <c r="Q54" s="2141">
        <v>0</v>
      </c>
      <c r="R54" s="2141">
        <v>0</v>
      </c>
      <c r="S54" s="2141">
        <v>0</v>
      </c>
      <c r="T54" s="2141">
        <v>0</v>
      </c>
      <c r="U54" s="2141"/>
      <c r="V54" s="2141"/>
      <c r="W54" s="2141"/>
      <c r="X54" s="2914"/>
      <c r="Y54" s="2906"/>
    </row>
    <row r="55" spans="1:87" s="1143" customFormat="1" ht="39" hidden="1" customHeight="1">
      <c r="A55" s="2901" t="s">
        <v>82</v>
      </c>
      <c r="B55" s="2146"/>
      <c r="C55" s="2147" t="s">
        <v>97</v>
      </c>
      <c r="D55" s="2156"/>
      <c r="E55" s="2156"/>
      <c r="F55" s="2156"/>
      <c r="G55" s="2156"/>
      <c r="H55" s="2156"/>
      <c r="I55" s="2156"/>
      <c r="J55" s="2156"/>
      <c r="K55" s="2156"/>
      <c r="L55" s="2157"/>
      <c r="M55" s="2157"/>
      <c r="N55" s="2157"/>
      <c r="O55" s="2157"/>
      <c r="P55" s="2157"/>
      <c r="Q55" s="2157"/>
      <c r="R55" s="2157"/>
      <c r="S55" s="2158"/>
      <c r="T55" s="2158"/>
      <c r="U55" s="2158"/>
      <c r="V55" s="2158"/>
      <c r="W55" s="2158"/>
      <c r="X55" s="2167"/>
      <c r="Y55" s="2904" t="s">
        <v>202</v>
      </c>
      <c r="CI55" s="2145"/>
    </row>
    <row r="56" spans="1:87" s="1143" customFormat="1" ht="13.5" hidden="1" customHeight="1">
      <c r="A56" s="2902"/>
      <c r="B56" s="2027" t="s">
        <v>22</v>
      </c>
      <c r="C56" s="2148"/>
      <c r="D56" s="2135">
        <f>+D57+D60</f>
        <v>0</v>
      </c>
      <c r="E56" s="2135">
        <f t="shared" ref="E56:L56" si="45">+E57+E60</f>
        <v>0</v>
      </c>
      <c r="F56" s="2135">
        <f t="shared" si="45"/>
        <v>0</v>
      </c>
      <c r="G56" s="2135">
        <f t="shared" si="45"/>
        <v>0</v>
      </c>
      <c r="H56" s="2135">
        <f t="shared" si="45"/>
        <v>0</v>
      </c>
      <c r="I56" s="2135">
        <f t="shared" si="45"/>
        <v>0</v>
      </c>
      <c r="J56" s="2135">
        <f t="shared" si="45"/>
        <v>0</v>
      </c>
      <c r="K56" s="2135">
        <f t="shared" si="45"/>
        <v>0</v>
      </c>
      <c r="L56" s="2135">
        <f t="shared" si="45"/>
        <v>0</v>
      </c>
      <c r="M56" s="2135">
        <f>+M57+M60</f>
        <v>0</v>
      </c>
      <c r="N56" s="2135">
        <f t="shared" ref="N56:T56" si="46">+N57+N60</f>
        <v>0</v>
      </c>
      <c r="O56" s="2135">
        <f t="shared" si="46"/>
        <v>0</v>
      </c>
      <c r="P56" s="2135">
        <f t="shared" si="46"/>
        <v>0</v>
      </c>
      <c r="Q56" s="2135">
        <f t="shared" si="46"/>
        <v>0</v>
      </c>
      <c r="R56" s="2135">
        <f t="shared" si="46"/>
        <v>0</v>
      </c>
      <c r="S56" s="2135">
        <f t="shared" si="46"/>
        <v>0</v>
      </c>
      <c r="T56" s="2135">
        <f t="shared" si="46"/>
        <v>0</v>
      </c>
      <c r="U56" s="2135"/>
      <c r="V56" s="2135"/>
      <c r="W56" s="2135"/>
      <c r="X56" s="2138">
        <f>+X57</f>
        <v>0</v>
      </c>
      <c r="Y56" s="2905"/>
    </row>
    <row r="57" spans="1:87" s="1143" customFormat="1" ht="13.5" hidden="1" customHeight="1">
      <c r="A57" s="2902"/>
      <c r="B57" s="2139" t="s">
        <v>36</v>
      </c>
      <c r="C57" s="2802" t="s">
        <v>427</v>
      </c>
      <c r="D57" s="1996">
        <f>+D58+D59</f>
        <v>0</v>
      </c>
      <c r="E57" s="1996">
        <f t="shared" ref="E57:R57" si="47">+E58+E59</f>
        <v>0</v>
      </c>
      <c r="F57" s="1996">
        <f t="shared" si="47"/>
        <v>0</v>
      </c>
      <c r="G57" s="1996">
        <f t="shared" si="47"/>
        <v>0</v>
      </c>
      <c r="H57" s="1996">
        <f t="shared" si="47"/>
        <v>0</v>
      </c>
      <c r="I57" s="1996">
        <f t="shared" si="47"/>
        <v>0</v>
      </c>
      <c r="J57" s="1996">
        <f t="shared" si="47"/>
        <v>0</v>
      </c>
      <c r="K57" s="1996">
        <f t="shared" si="47"/>
        <v>0</v>
      </c>
      <c r="L57" s="1996">
        <f t="shared" si="47"/>
        <v>0</v>
      </c>
      <c r="M57" s="1996">
        <f>+M58+M59</f>
        <v>0</v>
      </c>
      <c r="N57" s="1996">
        <f t="shared" si="47"/>
        <v>0</v>
      </c>
      <c r="O57" s="1996">
        <f t="shared" si="47"/>
        <v>0</v>
      </c>
      <c r="P57" s="1996">
        <f t="shared" si="47"/>
        <v>0</v>
      </c>
      <c r="Q57" s="1996">
        <f t="shared" si="47"/>
        <v>0</v>
      </c>
      <c r="R57" s="1996">
        <f t="shared" si="47"/>
        <v>0</v>
      </c>
      <c r="S57" s="1996">
        <f>+S58+S59</f>
        <v>0</v>
      </c>
      <c r="T57" s="1996">
        <f>+T58+T59</f>
        <v>0</v>
      </c>
      <c r="U57" s="1996"/>
      <c r="V57" s="1996"/>
      <c r="W57" s="1996"/>
      <c r="X57" s="2168">
        <f>+X58</f>
        <v>0</v>
      </c>
      <c r="Y57" s="2905"/>
    </row>
    <row r="58" spans="1:87" s="1143" customFormat="1" ht="13.5" hidden="1" customHeight="1">
      <c r="A58" s="2902"/>
      <c r="B58" s="2169" t="s">
        <v>150</v>
      </c>
      <c r="C58" s="2907"/>
      <c r="D58" s="1994">
        <f>M58+O58+P58+Q58+R58+S58+T58+U58+V58+W58</f>
        <v>0</v>
      </c>
      <c r="E58" s="1990">
        <v>0</v>
      </c>
      <c r="F58" s="1990"/>
      <c r="G58" s="1990"/>
      <c r="H58" s="1990"/>
      <c r="I58" s="1990">
        <v>0</v>
      </c>
      <c r="J58" s="1990"/>
      <c r="K58" s="1990"/>
      <c r="L58" s="1990"/>
      <c r="M58" s="1990"/>
      <c r="N58" s="1990"/>
      <c r="O58" s="1990"/>
      <c r="P58" s="1990"/>
      <c r="Q58" s="1990">
        <v>0</v>
      </c>
      <c r="R58" s="1990">
        <v>0</v>
      </c>
      <c r="S58" s="1990">
        <v>0</v>
      </c>
      <c r="T58" s="1990">
        <v>0</v>
      </c>
      <c r="U58" s="1990"/>
      <c r="V58" s="1990"/>
      <c r="W58" s="1990"/>
      <c r="X58" s="2133">
        <f>SUM(P58:T58)</f>
        <v>0</v>
      </c>
      <c r="Y58" s="2905"/>
    </row>
    <row r="59" spans="1:87" s="1143" customFormat="1" ht="13.5" hidden="1" customHeight="1">
      <c r="A59" s="2902"/>
      <c r="B59" s="2088" t="s">
        <v>45</v>
      </c>
      <c r="C59" s="2543"/>
      <c r="D59" s="1994">
        <f>M59+O59+P59+Q59+R59+S59+T59+U59+V59+W59</f>
        <v>0</v>
      </c>
      <c r="E59" s="1990">
        <v>0</v>
      </c>
      <c r="F59" s="1990"/>
      <c r="G59" s="1990"/>
      <c r="H59" s="1990"/>
      <c r="I59" s="1990">
        <v>0</v>
      </c>
      <c r="J59" s="1990"/>
      <c r="K59" s="1990"/>
      <c r="L59" s="1990"/>
      <c r="M59" s="1990"/>
      <c r="N59" s="1990"/>
      <c r="O59" s="1990"/>
      <c r="P59" s="1990"/>
      <c r="Q59" s="1990"/>
      <c r="R59" s="1990"/>
      <c r="S59" s="1990"/>
      <c r="T59" s="1990"/>
      <c r="U59" s="1990"/>
      <c r="V59" s="1990"/>
      <c r="W59" s="1990"/>
      <c r="X59" s="2134" t="s">
        <v>77</v>
      </c>
      <c r="Y59" s="2905"/>
    </row>
    <row r="60" spans="1:87" s="1143" customFormat="1" ht="13.5" hidden="1" customHeight="1">
      <c r="A60" s="2902"/>
      <c r="B60" s="2142" t="s">
        <v>30</v>
      </c>
      <c r="C60" s="2908" t="s">
        <v>35</v>
      </c>
      <c r="D60" s="2164">
        <f>+D61</f>
        <v>0</v>
      </c>
      <c r="E60" s="2164">
        <f t="shared" ref="E60:X60" si="48">+E61</f>
        <v>0</v>
      </c>
      <c r="F60" s="2164">
        <f t="shared" si="48"/>
        <v>0</v>
      </c>
      <c r="G60" s="2164">
        <f t="shared" si="48"/>
        <v>0</v>
      </c>
      <c r="H60" s="2164">
        <f t="shared" si="48"/>
        <v>0</v>
      </c>
      <c r="I60" s="2164">
        <f t="shared" si="48"/>
        <v>0</v>
      </c>
      <c r="J60" s="2164">
        <f t="shared" si="48"/>
        <v>0</v>
      </c>
      <c r="K60" s="2164">
        <f t="shared" si="48"/>
        <v>0</v>
      </c>
      <c r="L60" s="2164">
        <f t="shared" si="48"/>
        <v>0</v>
      </c>
      <c r="M60" s="2164">
        <f t="shared" si="48"/>
        <v>0</v>
      </c>
      <c r="N60" s="2164">
        <f t="shared" si="48"/>
        <v>0</v>
      </c>
      <c r="O60" s="2164">
        <f t="shared" si="48"/>
        <v>0</v>
      </c>
      <c r="P60" s="2164">
        <f t="shared" si="48"/>
        <v>0</v>
      </c>
      <c r="Q60" s="2164">
        <f t="shared" si="48"/>
        <v>0</v>
      </c>
      <c r="R60" s="2164">
        <f t="shared" si="48"/>
        <v>0</v>
      </c>
      <c r="S60" s="2164">
        <f t="shared" si="48"/>
        <v>0</v>
      </c>
      <c r="T60" s="2164">
        <f t="shared" si="48"/>
        <v>0</v>
      </c>
      <c r="U60" s="2170"/>
      <c r="V60" s="2170"/>
      <c r="W60" s="2170"/>
      <c r="X60" s="2150" t="str">
        <f t="shared" si="48"/>
        <v>x</v>
      </c>
      <c r="Y60" s="2905"/>
    </row>
    <row r="61" spans="1:87" s="1143" customFormat="1" ht="13.5" hidden="1" customHeight="1">
      <c r="A61" s="2902"/>
      <c r="B61" s="2171" t="s">
        <v>48</v>
      </c>
      <c r="C61" s="2910"/>
      <c r="D61" s="1994">
        <f>M61+O61+P61+Q61+R61+S61+T61+U61+V61+W61</f>
        <v>0</v>
      </c>
      <c r="E61" s="1990">
        <v>0</v>
      </c>
      <c r="F61" s="1990"/>
      <c r="G61" s="1990"/>
      <c r="H61" s="1990"/>
      <c r="I61" s="1990">
        <v>0</v>
      </c>
      <c r="J61" s="1990">
        <v>0</v>
      </c>
      <c r="K61" s="1990">
        <v>0</v>
      </c>
      <c r="L61" s="1990">
        <v>0</v>
      </c>
      <c r="M61" s="1990"/>
      <c r="N61" s="1990"/>
      <c r="O61" s="1990"/>
      <c r="P61" s="1990">
        <v>0</v>
      </c>
      <c r="Q61" s="1990">
        <v>0</v>
      </c>
      <c r="R61" s="1990">
        <v>0</v>
      </c>
      <c r="S61" s="1990">
        <v>0</v>
      </c>
      <c r="T61" s="1990">
        <v>0</v>
      </c>
      <c r="U61" s="1990"/>
      <c r="V61" s="1990"/>
      <c r="W61" s="1990"/>
      <c r="X61" s="2163" t="s">
        <v>77</v>
      </c>
      <c r="Y61" s="2905"/>
    </row>
    <row r="62" spans="1:87" s="1143" customFormat="1" ht="13.5" hidden="1" customHeight="1">
      <c r="A62" s="2902"/>
      <c r="B62" s="2027" t="s">
        <v>34</v>
      </c>
      <c r="C62" s="2172"/>
      <c r="D62" s="2135">
        <f>+D63+D65</f>
        <v>0</v>
      </c>
      <c r="E62" s="2135">
        <f t="shared" ref="E62:R62" si="49">+E63+E65</f>
        <v>0</v>
      </c>
      <c r="F62" s="2135">
        <f t="shared" si="49"/>
        <v>0</v>
      </c>
      <c r="G62" s="2135">
        <f t="shared" si="49"/>
        <v>0</v>
      </c>
      <c r="H62" s="2135">
        <f t="shared" si="49"/>
        <v>0</v>
      </c>
      <c r="I62" s="2135">
        <f t="shared" si="49"/>
        <v>0</v>
      </c>
      <c r="J62" s="2135">
        <f t="shared" si="49"/>
        <v>0</v>
      </c>
      <c r="K62" s="2135">
        <f t="shared" si="49"/>
        <v>0</v>
      </c>
      <c r="L62" s="2135">
        <f t="shared" si="49"/>
        <v>0</v>
      </c>
      <c r="M62" s="2135">
        <f>+M63+M65</f>
        <v>0</v>
      </c>
      <c r="N62" s="2135">
        <f>+N63+N65</f>
        <v>0</v>
      </c>
      <c r="O62" s="2135">
        <f t="shared" si="49"/>
        <v>0</v>
      </c>
      <c r="P62" s="2135">
        <f t="shared" si="49"/>
        <v>0</v>
      </c>
      <c r="Q62" s="2135">
        <f t="shared" si="49"/>
        <v>0</v>
      </c>
      <c r="R62" s="2135">
        <f t="shared" si="49"/>
        <v>0</v>
      </c>
      <c r="S62" s="2135">
        <f>+S63+S65</f>
        <v>0</v>
      </c>
      <c r="T62" s="2135">
        <f>+T63+T65</f>
        <v>0</v>
      </c>
      <c r="U62" s="2135"/>
      <c r="V62" s="2135"/>
      <c r="W62" s="2135"/>
      <c r="X62" s="2915" t="s">
        <v>77</v>
      </c>
      <c r="Y62" s="2905"/>
    </row>
    <row r="63" spans="1:87" s="1143" customFormat="1" ht="13.5" hidden="1" customHeight="1">
      <c r="A63" s="2902"/>
      <c r="B63" s="2139" t="s">
        <v>36</v>
      </c>
      <c r="C63" s="2802" t="s">
        <v>427</v>
      </c>
      <c r="D63" s="2164">
        <f>+D64</f>
        <v>0</v>
      </c>
      <c r="E63" s="1996">
        <v>0</v>
      </c>
      <c r="F63" s="1996"/>
      <c r="G63" s="1996"/>
      <c r="H63" s="1996"/>
      <c r="I63" s="1996">
        <v>0</v>
      </c>
      <c r="J63" s="1996">
        <f>J64</f>
        <v>0</v>
      </c>
      <c r="K63" s="1996">
        <f>K64</f>
        <v>0</v>
      </c>
      <c r="L63" s="1996">
        <f>L64</f>
        <v>0</v>
      </c>
      <c r="M63" s="1996">
        <f>M64</f>
        <v>0</v>
      </c>
      <c r="N63" s="1996">
        <f t="shared" ref="N63:T63" si="50">+N64</f>
        <v>0</v>
      </c>
      <c r="O63" s="1996">
        <f t="shared" si="50"/>
        <v>0</v>
      </c>
      <c r="P63" s="1996">
        <f t="shared" si="50"/>
        <v>0</v>
      </c>
      <c r="Q63" s="1996">
        <f t="shared" si="50"/>
        <v>0</v>
      </c>
      <c r="R63" s="1996">
        <f t="shared" si="50"/>
        <v>0</v>
      </c>
      <c r="S63" s="1996">
        <f t="shared" si="50"/>
        <v>0</v>
      </c>
      <c r="T63" s="1996">
        <f t="shared" si="50"/>
        <v>0</v>
      </c>
      <c r="U63" s="1996"/>
      <c r="V63" s="1996"/>
      <c r="W63" s="1996"/>
      <c r="X63" s="2830"/>
      <c r="Y63" s="2905"/>
    </row>
    <row r="64" spans="1:87" s="1143" customFormat="1" ht="13.5" hidden="1" customHeight="1">
      <c r="A64" s="2902"/>
      <c r="B64" s="2171" t="s">
        <v>172</v>
      </c>
      <c r="C64" s="2907"/>
      <c r="D64" s="1994">
        <f>M64+O64+P64+Q64+R64+S64+T64+U64+V64+W64</f>
        <v>0</v>
      </c>
      <c r="E64" s="1990">
        <v>0</v>
      </c>
      <c r="F64" s="1990"/>
      <c r="G64" s="1990"/>
      <c r="H64" s="1990"/>
      <c r="I64" s="1990">
        <v>0</v>
      </c>
      <c r="J64" s="1990">
        <v>0</v>
      </c>
      <c r="K64" s="1990"/>
      <c r="L64" s="1990"/>
      <c r="M64" s="1990"/>
      <c r="N64" s="1990"/>
      <c r="O64" s="1990"/>
      <c r="P64" s="1990"/>
      <c r="Q64" s="1990">
        <v>0</v>
      </c>
      <c r="R64" s="1990">
        <v>0</v>
      </c>
      <c r="S64" s="1990">
        <v>0</v>
      </c>
      <c r="T64" s="1990">
        <v>0</v>
      </c>
      <c r="U64" s="1990"/>
      <c r="V64" s="1990"/>
      <c r="W64" s="1990"/>
      <c r="X64" s="2830"/>
      <c r="Y64" s="2905"/>
    </row>
    <row r="65" spans="1:27" s="1143" customFormat="1" ht="13.5" hidden="1" customHeight="1">
      <c r="A65" s="2902"/>
      <c r="B65" s="2173" t="s">
        <v>30</v>
      </c>
      <c r="C65" s="2908" t="s">
        <v>35</v>
      </c>
      <c r="D65" s="2164">
        <f>+D66</f>
        <v>0</v>
      </c>
      <c r="E65" s="2164">
        <f>+E66</f>
        <v>0</v>
      </c>
      <c r="F65" s="2164">
        <f t="shared" ref="F65:T65" si="51">+F66</f>
        <v>0</v>
      </c>
      <c r="G65" s="2164">
        <f t="shared" si="51"/>
        <v>0</v>
      </c>
      <c r="H65" s="2164">
        <f t="shared" si="51"/>
        <v>0</v>
      </c>
      <c r="I65" s="2164">
        <f t="shared" si="51"/>
        <v>0</v>
      </c>
      <c r="J65" s="2164">
        <f t="shared" si="51"/>
        <v>0</v>
      </c>
      <c r="K65" s="2164">
        <f t="shared" si="51"/>
        <v>0</v>
      </c>
      <c r="L65" s="2164">
        <f t="shared" si="51"/>
        <v>0</v>
      </c>
      <c r="M65" s="2164">
        <f t="shared" si="51"/>
        <v>0</v>
      </c>
      <c r="N65" s="2164">
        <f t="shared" si="51"/>
        <v>0</v>
      </c>
      <c r="O65" s="2164">
        <f t="shared" si="51"/>
        <v>0</v>
      </c>
      <c r="P65" s="2164">
        <f t="shared" si="51"/>
        <v>0</v>
      </c>
      <c r="Q65" s="2164">
        <f t="shared" si="51"/>
        <v>0</v>
      </c>
      <c r="R65" s="2164">
        <f t="shared" si="51"/>
        <v>0</v>
      </c>
      <c r="S65" s="2164">
        <f t="shared" si="51"/>
        <v>0</v>
      </c>
      <c r="T65" s="2164">
        <f t="shared" si="51"/>
        <v>0</v>
      </c>
      <c r="U65" s="2164"/>
      <c r="V65" s="2164"/>
      <c r="W65" s="2164"/>
      <c r="X65" s="2830"/>
      <c r="Y65" s="2905"/>
    </row>
    <row r="66" spans="1:27" s="1143" customFormat="1" ht="13.5" hidden="1" customHeight="1" thickBot="1">
      <c r="A66" s="2903"/>
      <c r="B66" s="2174" t="s">
        <v>48</v>
      </c>
      <c r="C66" s="2910"/>
      <c r="D66" s="1994">
        <f>M66+O66+P66+Q66+R66+S66+T66+U66+V66+W66</f>
        <v>0</v>
      </c>
      <c r="E66" s="1355">
        <v>0</v>
      </c>
      <c r="F66" s="1355"/>
      <c r="G66" s="1355"/>
      <c r="H66" s="1355"/>
      <c r="I66" s="1355">
        <v>0</v>
      </c>
      <c r="J66" s="1355">
        <v>0</v>
      </c>
      <c r="K66" s="1355">
        <v>0</v>
      </c>
      <c r="L66" s="1355">
        <v>0</v>
      </c>
      <c r="M66" s="1990"/>
      <c r="N66" s="1355"/>
      <c r="O66" s="1355"/>
      <c r="P66" s="1355"/>
      <c r="Q66" s="1355">
        <v>0</v>
      </c>
      <c r="R66" s="1355">
        <v>0</v>
      </c>
      <c r="S66" s="1355">
        <v>0</v>
      </c>
      <c r="T66" s="1355">
        <v>0</v>
      </c>
      <c r="U66" s="1355"/>
      <c r="V66" s="1355"/>
      <c r="W66" s="1355"/>
      <c r="X66" s="2831"/>
      <c r="Y66" s="2906"/>
    </row>
    <row r="67" spans="1:27" s="1143" customFormat="1" ht="27.75" hidden="1" customHeight="1">
      <c r="A67" s="2901" t="s">
        <v>82</v>
      </c>
      <c r="B67" s="2146"/>
      <c r="C67" s="2147" t="s">
        <v>97</v>
      </c>
      <c r="D67" s="2156"/>
      <c r="E67" s="2156"/>
      <c r="F67" s="2156"/>
      <c r="G67" s="2156"/>
      <c r="H67" s="2156"/>
      <c r="I67" s="2156"/>
      <c r="J67" s="2156"/>
      <c r="K67" s="2156"/>
      <c r="L67" s="2157"/>
      <c r="M67" s="2157"/>
      <c r="N67" s="2157"/>
      <c r="O67" s="2157"/>
      <c r="P67" s="2157"/>
      <c r="Q67" s="2157"/>
      <c r="R67" s="2157"/>
      <c r="S67" s="2158"/>
      <c r="T67" s="2158"/>
      <c r="U67" s="2158"/>
      <c r="V67" s="2158"/>
      <c r="W67" s="2158"/>
      <c r="X67" s="2167"/>
      <c r="Y67" s="2904" t="s">
        <v>198</v>
      </c>
    </row>
    <row r="68" spans="1:27" s="1143" customFormat="1" ht="13.5" hidden="1" customHeight="1">
      <c r="A68" s="2902"/>
      <c r="B68" s="2027" t="s">
        <v>22</v>
      </c>
      <c r="C68" s="2172"/>
      <c r="D68" s="2135">
        <f>+D69+D72</f>
        <v>0</v>
      </c>
      <c r="E68" s="2135">
        <f>+E69+E72</f>
        <v>0</v>
      </c>
      <c r="F68" s="2135"/>
      <c r="G68" s="2135"/>
      <c r="H68" s="2135"/>
      <c r="I68" s="2135">
        <f t="shared" ref="I68:O68" si="52">+I69+I72</f>
        <v>0</v>
      </c>
      <c r="J68" s="2135">
        <f t="shared" si="52"/>
        <v>0</v>
      </c>
      <c r="K68" s="2135">
        <f t="shared" si="52"/>
        <v>0</v>
      </c>
      <c r="L68" s="2135">
        <f t="shared" si="52"/>
        <v>0</v>
      </c>
      <c r="M68" s="2135">
        <f>+M69+M72</f>
        <v>0</v>
      </c>
      <c r="N68" s="2135">
        <f t="shared" si="52"/>
        <v>0</v>
      </c>
      <c r="O68" s="2135">
        <f t="shared" si="52"/>
        <v>0</v>
      </c>
      <c r="P68" s="2135">
        <f>+P69+P72</f>
        <v>0</v>
      </c>
      <c r="Q68" s="2135">
        <f>+Q69+Q72</f>
        <v>0</v>
      </c>
      <c r="R68" s="2135">
        <f>+R69+R72</f>
        <v>0</v>
      </c>
      <c r="S68" s="2135">
        <f>+S69+S72</f>
        <v>0</v>
      </c>
      <c r="T68" s="2135">
        <f>+T69+T72</f>
        <v>0</v>
      </c>
      <c r="U68" s="2135"/>
      <c r="V68" s="2135"/>
      <c r="W68" s="2135"/>
      <c r="X68" s="2138">
        <f>+X69</f>
        <v>0</v>
      </c>
      <c r="Y68" s="2905"/>
      <c r="AA68" s="685"/>
    </row>
    <row r="69" spans="1:27" s="1143" customFormat="1" ht="13.5" hidden="1" customHeight="1">
      <c r="A69" s="2902"/>
      <c r="B69" s="2139" t="s">
        <v>36</v>
      </c>
      <c r="C69" s="2908" t="s">
        <v>35</v>
      </c>
      <c r="D69" s="1996">
        <f>D71+D70</f>
        <v>0</v>
      </c>
      <c r="E69" s="1996">
        <f>E71+E70</f>
        <v>0</v>
      </c>
      <c r="F69" s="1996">
        <f t="shared" ref="F69:O69" si="53">F71+F70</f>
        <v>0</v>
      </c>
      <c r="G69" s="1996">
        <f t="shared" si="53"/>
        <v>0</v>
      </c>
      <c r="H69" s="1996">
        <f t="shared" si="53"/>
        <v>0</v>
      </c>
      <c r="I69" s="1996">
        <f>I71+I70</f>
        <v>0</v>
      </c>
      <c r="J69" s="1996">
        <f t="shared" si="53"/>
        <v>0</v>
      </c>
      <c r="K69" s="1996">
        <f t="shared" si="53"/>
        <v>0</v>
      </c>
      <c r="L69" s="1996">
        <f t="shared" si="53"/>
        <v>0</v>
      </c>
      <c r="M69" s="1996">
        <f>M71+M70</f>
        <v>0</v>
      </c>
      <c r="N69" s="1996">
        <f t="shared" si="53"/>
        <v>0</v>
      </c>
      <c r="O69" s="1996">
        <f t="shared" si="53"/>
        <v>0</v>
      </c>
      <c r="P69" s="1996">
        <f>P71+P70</f>
        <v>0</v>
      </c>
      <c r="Q69" s="1996">
        <f>Q71+Q70</f>
        <v>0</v>
      </c>
      <c r="R69" s="1996">
        <f>R71+R70</f>
        <v>0</v>
      </c>
      <c r="S69" s="1996">
        <f>S71+S70</f>
        <v>0</v>
      </c>
      <c r="T69" s="1996">
        <f>T71+T70</f>
        <v>0</v>
      </c>
      <c r="U69" s="1996"/>
      <c r="V69" s="1996"/>
      <c r="W69" s="1996"/>
      <c r="X69" s="2140">
        <f>+X71</f>
        <v>0</v>
      </c>
      <c r="Y69" s="2905"/>
    </row>
    <row r="70" spans="1:27" s="1143" customFormat="1" ht="13.5" hidden="1" customHeight="1">
      <c r="A70" s="2902"/>
      <c r="B70" s="2169" t="s">
        <v>45</v>
      </c>
      <c r="C70" s="2910"/>
      <c r="D70" s="1994">
        <f>M70+O70+P70+Q70+R70+S70+T70+U70+V70+W70</f>
        <v>0</v>
      </c>
      <c r="E70" s="2149">
        <v>0</v>
      </c>
      <c r="F70" s="2149"/>
      <c r="G70" s="2149"/>
      <c r="H70" s="2149"/>
      <c r="I70" s="2149">
        <v>0</v>
      </c>
      <c r="J70" s="2149">
        <v>0</v>
      </c>
      <c r="K70" s="2149">
        <v>0</v>
      </c>
      <c r="L70" s="2149">
        <f>49200-49200</f>
        <v>0</v>
      </c>
      <c r="M70" s="1990"/>
      <c r="N70" s="2149"/>
      <c r="O70" s="2149"/>
      <c r="P70" s="2149">
        <v>0</v>
      </c>
      <c r="Q70" s="2149">
        <v>0</v>
      </c>
      <c r="R70" s="2149">
        <v>0</v>
      </c>
      <c r="S70" s="2149">
        <v>0</v>
      </c>
      <c r="T70" s="2149">
        <v>0</v>
      </c>
      <c r="U70" s="2149"/>
      <c r="V70" s="2149"/>
      <c r="W70" s="2149"/>
      <c r="X70" s="2163" t="s">
        <v>77</v>
      </c>
      <c r="Y70" s="2905"/>
    </row>
    <row r="71" spans="1:27" s="1143" customFormat="1" ht="22.5" hidden="1" customHeight="1">
      <c r="A71" s="2902"/>
      <c r="B71" s="2175" t="s">
        <v>150</v>
      </c>
      <c r="C71" s="2176" t="s">
        <v>199</v>
      </c>
      <c r="D71" s="1994">
        <f>M71+O71+P71+Q71+R71+S71+T71+U71+V71+W71</f>
        <v>0</v>
      </c>
      <c r="E71" s="2149">
        <v>0</v>
      </c>
      <c r="F71" s="2149"/>
      <c r="G71" s="2149"/>
      <c r="H71" s="2149"/>
      <c r="I71" s="2149">
        <v>0</v>
      </c>
      <c r="J71" s="2149">
        <v>0</v>
      </c>
      <c r="K71" s="2149">
        <v>0</v>
      </c>
      <c r="L71" s="2149">
        <v>0</v>
      </c>
      <c r="M71" s="1994">
        <f>+E71+I71+J71+K71+L71+N71</f>
        <v>0</v>
      </c>
      <c r="N71" s="2177">
        <f>1600026-1600026</f>
        <v>0</v>
      </c>
      <c r="O71" s="1995"/>
      <c r="P71" s="1995">
        <v>0</v>
      </c>
      <c r="Q71" s="1995">
        <v>0</v>
      </c>
      <c r="R71" s="1995">
        <v>0</v>
      </c>
      <c r="S71" s="1995">
        <v>0</v>
      </c>
      <c r="T71" s="1995">
        <v>0</v>
      </c>
      <c r="U71" s="1995"/>
      <c r="V71" s="1995"/>
      <c r="W71" s="1995"/>
      <c r="X71" s="2089">
        <f>SUM(P71:T71)</f>
        <v>0</v>
      </c>
      <c r="Y71" s="2905"/>
    </row>
    <row r="72" spans="1:27" s="1143" customFormat="1" ht="13.5" hidden="1" customHeight="1">
      <c r="A72" s="2902"/>
      <c r="B72" s="2178" t="s">
        <v>30</v>
      </c>
      <c r="C72" s="2908" t="s">
        <v>35</v>
      </c>
      <c r="D72" s="1996">
        <f>+D73</f>
        <v>0</v>
      </c>
      <c r="E72" s="1996">
        <f>+E73</f>
        <v>0</v>
      </c>
      <c r="F72" s="1996"/>
      <c r="G72" s="1996"/>
      <c r="H72" s="1996"/>
      <c r="I72" s="1996">
        <f t="shared" ref="I72:X72" si="54">+I73</f>
        <v>0</v>
      </c>
      <c r="J72" s="1996">
        <f t="shared" si="54"/>
        <v>0</v>
      </c>
      <c r="K72" s="1996">
        <f t="shared" si="54"/>
        <v>0</v>
      </c>
      <c r="L72" s="1996">
        <f t="shared" si="54"/>
        <v>0</v>
      </c>
      <c r="M72" s="1996">
        <f t="shared" si="54"/>
        <v>0</v>
      </c>
      <c r="N72" s="1996">
        <f t="shared" si="54"/>
        <v>0</v>
      </c>
      <c r="O72" s="1996">
        <f t="shared" si="54"/>
        <v>0</v>
      </c>
      <c r="P72" s="1996">
        <f t="shared" si="54"/>
        <v>0</v>
      </c>
      <c r="Q72" s="1996">
        <f t="shared" si="54"/>
        <v>0</v>
      </c>
      <c r="R72" s="1996">
        <f t="shared" si="54"/>
        <v>0</v>
      </c>
      <c r="S72" s="1996">
        <f t="shared" si="54"/>
        <v>0</v>
      </c>
      <c r="T72" s="1996">
        <f t="shared" si="54"/>
        <v>0</v>
      </c>
      <c r="U72" s="2143"/>
      <c r="V72" s="2143"/>
      <c r="W72" s="2143"/>
      <c r="X72" s="2150" t="str">
        <f t="shared" si="54"/>
        <v>x</v>
      </c>
      <c r="Y72" s="2905"/>
    </row>
    <row r="73" spans="1:27" s="1143" customFormat="1" ht="12" hidden="1">
      <c r="A73" s="2902"/>
      <c r="B73" s="2169" t="s">
        <v>48</v>
      </c>
      <c r="C73" s="2910"/>
      <c r="D73" s="1994">
        <f>M73+O73+P73+Q73+R73+S73+T73+U73+V73+W73</f>
        <v>0</v>
      </c>
      <c r="E73" s="2149">
        <v>0</v>
      </c>
      <c r="F73" s="2149"/>
      <c r="G73" s="2149"/>
      <c r="H73" s="2149"/>
      <c r="I73" s="2149">
        <v>0</v>
      </c>
      <c r="J73" s="2149">
        <v>0</v>
      </c>
      <c r="K73" s="2149">
        <v>0</v>
      </c>
      <c r="L73" s="2149">
        <v>0</v>
      </c>
      <c r="M73" s="1990"/>
      <c r="N73" s="2149"/>
      <c r="O73" s="2149"/>
      <c r="P73" s="2149">
        <v>0</v>
      </c>
      <c r="Q73" s="2149">
        <v>0</v>
      </c>
      <c r="R73" s="2149">
        <v>0</v>
      </c>
      <c r="S73" s="2149">
        <v>0</v>
      </c>
      <c r="T73" s="2149">
        <v>0</v>
      </c>
      <c r="U73" s="2149"/>
      <c r="V73" s="2149"/>
      <c r="W73" s="2149"/>
      <c r="X73" s="2163" t="s">
        <v>77</v>
      </c>
      <c r="Y73" s="2905"/>
    </row>
    <row r="74" spans="1:27" s="1143" customFormat="1" ht="13.5" hidden="1" customHeight="1">
      <c r="A74" s="2902"/>
      <c r="B74" s="2027" t="s">
        <v>34</v>
      </c>
      <c r="C74" s="2172"/>
      <c r="D74" s="2135">
        <f>D77+D75</f>
        <v>0</v>
      </c>
      <c r="E74" s="2135">
        <f t="shared" ref="E74:P74" si="55">E77+E75</f>
        <v>0</v>
      </c>
      <c r="F74" s="2135">
        <f t="shared" si="55"/>
        <v>0</v>
      </c>
      <c r="G74" s="2135">
        <f t="shared" si="55"/>
        <v>0</v>
      </c>
      <c r="H74" s="2135">
        <f t="shared" si="55"/>
        <v>0</v>
      </c>
      <c r="I74" s="2135">
        <f t="shared" si="55"/>
        <v>0</v>
      </c>
      <c r="J74" s="2135">
        <f t="shared" si="55"/>
        <v>0</v>
      </c>
      <c r="K74" s="2135">
        <f t="shared" si="55"/>
        <v>0</v>
      </c>
      <c r="L74" s="2135">
        <f t="shared" si="55"/>
        <v>0</v>
      </c>
      <c r="M74" s="2135">
        <f>M77+M75</f>
        <v>0</v>
      </c>
      <c r="N74" s="2135">
        <f t="shared" si="55"/>
        <v>0</v>
      </c>
      <c r="O74" s="2135">
        <f t="shared" si="55"/>
        <v>0</v>
      </c>
      <c r="P74" s="2135">
        <f t="shared" si="55"/>
        <v>0</v>
      </c>
      <c r="Q74" s="2135">
        <f>+Q75+Q77</f>
        <v>0</v>
      </c>
      <c r="R74" s="2135">
        <f>+R75+R77</f>
        <v>0</v>
      </c>
      <c r="S74" s="2135">
        <f>+S75+S77</f>
        <v>0</v>
      </c>
      <c r="T74" s="2135">
        <f>+T75+T77</f>
        <v>0</v>
      </c>
      <c r="U74" s="2135"/>
      <c r="V74" s="2135"/>
      <c r="W74" s="2135"/>
      <c r="X74" s="2915" t="s">
        <v>77</v>
      </c>
      <c r="Y74" s="2905"/>
    </row>
    <row r="75" spans="1:27" s="1143" customFormat="1" ht="13.5" hidden="1" customHeight="1">
      <c r="A75" s="2902"/>
      <c r="B75" s="2139" t="s">
        <v>36</v>
      </c>
      <c r="C75" s="2802" t="s">
        <v>199</v>
      </c>
      <c r="D75" s="2179">
        <f>+D76</f>
        <v>0</v>
      </c>
      <c r="E75" s="2179">
        <f>+E76</f>
        <v>0</v>
      </c>
      <c r="F75" s="2179"/>
      <c r="G75" s="2179"/>
      <c r="H75" s="2179"/>
      <c r="I75" s="2179">
        <f t="shared" ref="I75:T75" si="56">+I76</f>
        <v>0</v>
      </c>
      <c r="J75" s="2179">
        <f t="shared" si="56"/>
        <v>0</v>
      </c>
      <c r="K75" s="2179">
        <f t="shared" si="56"/>
        <v>0</v>
      </c>
      <c r="L75" s="2179">
        <f t="shared" si="56"/>
        <v>0</v>
      </c>
      <c r="M75" s="2179">
        <f t="shared" si="56"/>
        <v>0</v>
      </c>
      <c r="N75" s="2179">
        <f t="shared" si="56"/>
        <v>0</v>
      </c>
      <c r="O75" s="2179">
        <f t="shared" si="56"/>
        <v>0</v>
      </c>
      <c r="P75" s="2179">
        <f t="shared" si="56"/>
        <v>0</v>
      </c>
      <c r="Q75" s="2179">
        <f t="shared" si="56"/>
        <v>0</v>
      </c>
      <c r="R75" s="2179">
        <f t="shared" si="56"/>
        <v>0</v>
      </c>
      <c r="S75" s="2179">
        <f t="shared" si="56"/>
        <v>0</v>
      </c>
      <c r="T75" s="2179">
        <f t="shared" si="56"/>
        <v>0</v>
      </c>
      <c r="U75" s="2179"/>
      <c r="V75" s="2179"/>
      <c r="W75" s="2179"/>
      <c r="X75" s="2830"/>
      <c r="Y75" s="2917"/>
    </row>
    <row r="76" spans="1:27" s="1143" customFormat="1" ht="13.5" hidden="1" customHeight="1">
      <c r="A76" s="2902"/>
      <c r="B76" s="2169" t="s">
        <v>172</v>
      </c>
      <c r="C76" s="2907"/>
      <c r="D76" s="1994">
        <f>M76+O76+P76+Q76+R76+S76+T76+U76+V76+W76</f>
        <v>0</v>
      </c>
      <c r="E76" s="2149">
        <v>0</v>
      </c>
      <c r="F76" s="2149"/>
      <c r="G76" s="2149"/>
      <c r="H76" s="2149"/>
      <c r="I76" s="2149">
        <v>0</v>
      </c>
      <c r="J76" s="2149">
        <v>0</v>
      </c>
      <c r="K76" s="2149">
        <v>0</v>
      </c>
      <c r="L76" s="2149">
        <v>0</v>
      </c>
      <c r="M76" s="1990"/>
      <c r="N76" s="2149"/>
      <c r="O76" s="2149"/>
      <c r="P76" s="2149"/>
      <c r="Q76" s="2149">
        <v>0</v>
      </c>
      <c r="R76" s="2149">
        <v>0</v>
      </c>
      <c r="S76" s="2149">
        <v>0</v>
      </c>
      <c r="T76" s="2149">
        <v>0</v>
      </c>
      <c r="U76" s="2149"/>
      <c r="V76" s="2149"/>
      <c r="W76" s="2149"/>
      <c r="X76" s="2830"/>
      <c r="Y76" s="2917"/>
      <c r="AA76" s="685">
        <f>D76-'[4]Tab. 6F - Kultura'!$D$76</f>
        <v>-1488145</v>
      </c>
    </row>
    <row r="77" spans="1:27" s="1143" customFormat="1" ht="13.5" hidden="1" customHeight="1">
      <c r="A77" s="2902"/>
      <c r="B77" s="2169" t="s">
        <v>30</v>
      </c>
      <c r="C77" s="2908" t="s">
        <v>35</v>
      </c>
      <c r="D77" s="1996">
        <f>+D78</f>
        <v>0</v>
      </c>
      <c r="E77" s="1996">
        <f>+E78</f>
        <v>0</v>
      </c>
      <c r="F77" s="1996"/>
      <c r="G77" s="1996"/>
      <c r="H77" s="1996"/>
      <c r="I77" s="1996">
        <f t="shared" ref="I77:T77" si="57">+I78</f>
        <v>0</v>
      </c>
      <c r="J77" s="1996">
        <f t="shared" si="57"/>
        <v>0</v>
      </c>
      <c r="K77" s="1996">
        <f t="shared" si="57"/>
        <v>0</v>
      </c>
      <c r="L77" s="1996">
        <f t="shared" si="57"/>
        <v>0</v>
      </c>
      <c r="M77" s="1996">
        <f t="shared" si="57"/>
        <v>0</v>
      </c>
      <c r="N77" s="1996">
        <f t="shared" si="57"/>
        <v>0</v>
      </c>
      <c r="O77" s="1996">
        <f t="shared" si="57"/>
        <v>0</v>
      </c>
      <c r="P77" s="1996">
        <f t="shared" si="57"/>
        <v>0</v>
      </c>
      <c r="Q77" s="1996">
        <f t="shared" si="57"/>
        <v>0</v>
      </c>
      <c r="R77" s="1996">
        <f t="shared" si="57"/>
        <v>0</v>
      </c>
      <c r="S77" s="1996">
        <f t="shared" si="57"/>
        <v>0</v>
      </c>
      <c r="T77" s="1996">
        <f t="shared" si="57"/>
        <v>0</v>
      </c>
      <c r="U77" s="1996"/>
      <c r="V77" s="1996"/>
      <c r="W77" s="1996"/>
      <c r="X77" s="2830"/>
      <c r="Y77" s="2917"/>
    </row>
    <row r="78" spans="1:27" s="1143" customFormat="1" ht="13.5" hidden="1" customHeight="1" thickBot="1">
      <c r="A78" s="2916"/>
      <c r="B78" s="2144" t="s">
        <v>48</v>
      </c>
      <c r="C78" s="2910"/>
      <c r="D78" s="1994">
        <f>M78+O78+P78+Q78+R78+S78+T78+U78+V78+W78</f>
        <v>0</v>
      </c>
      <c r="E78" s="2141">
        <v>0</v>
      </c>
      <c r="F78" s="2141"/>
      <c r="G78" s="2141"/>
      <c r="H78" s="2141"/>
      <c r="I78" s="2141">
        <v>0</v>
      </c>
      <c r="J78" s="2141">
        <v>0</v>
      </c>
      <c r="K78" s="2141">
        <v>0</v>
      </c>
      <c r="L78" s="2141">
        <v>0</v>
      </c>
      <c r="M78" s="1990">
        <f>+E78+I78+J78+K78+L78+N78</f>
        <v>0</v>
      </c>
      <c r="N78" s="2141">
        <f>2492025-2492025</f>
        <v>0</v>
      </c>
      <c r="O78" s="2141"/>
      <c r="P78" s="2141"/>
      <c r="Q78" s="2141">
        <v>0</v>
      </c>
      <c r="R78" s="2141">
        <v>0</v>
      </c>
      <c r="S78" s="2141">
        <v>0</v>
      </c>
      <c r="T78" s="2141">
        <v>0</v>
      </c>
      <c r="U78" s="2141"/>
      <c r="V78" s="2141"/>
      <c r="W78" s="2141"/>
      <c r="X78" s="2831"/>
      <c r="Y78" s="2918"/>
    </row>
    <row r="79" spans="1:27" s="1143" customFormat="1" ht="39" hidden="1" customHeight="1">
      <c r="A79" s="2919" t="s">
        <v>83</v>
      </c>
      <c r="B79" s="2146" t="s">
        <v>417</v>
      </c>
      <c r="C79" s="2147" t="s">
        <v>97</v>
      </c>
      <c r="D79" s="2156"/>
      <c r="E79" s="2156"/>
      <c r="F79" s="2157"/>
      <c r="G79" s="2157"/>
      <c r="H79" s="2157"/>
      <c r="I79" s="2157"/>
      <c r="J79" s="2157"/>
      <c r="K79" s="2157"/>
      <c r="L79" s="2157"/>
      <c r="M79" s="2157"/>
      <c r="N79" s="2157"/>
      <c r="O79" s="2157"/>
      <c r="P79" s="2157"/>
      <c r="Q79" s="2157"/>
      <c r="R79" s="2157"/>
      <c r="S79" s="2158"/>
      <c r="T79" s="2158"/>
      <c r="U79" s="2158"/>
      <c r="V79" s="2158"/>
      <c r="W79" s="2158"/>
      <c r="X79" s="2167"/>
      <c r="Y79" s="2904" t="s">
        <v>203</v>
      </c>
    </row>
    <row r="80" spans="1:27" s="1279" customFormat="1" ht="16.5" hidden="1" customHeight="1">
      <c r="A80" s="2920"/>
      <c r="B80" s="2027" t="s">
        <v>22</v>
      </c>
      <c r="C80" s="2172"/>
      <c r="D80" s="1997">
        <f>+D81+D84</f>
        <v>0</v>
      </c>
      <c r="E80" s="1997">
        <f>+E81+E84</f>
        <v>0</v>
      </c>
      <c r="F80" s="1997"/>
      <c r="G80" s="1997"/>
      <c r="H80" s="1997"/>
      <c r="I80" s="1997">
        <f>I81</f>
        <v>0</v>
      </c>
      <c r="J80" s="1997">
        <f t="shared" ref="J80:R80" si="58">+J81+J84</f>
        <v>37202</v>
      </c>
      <c r="K80" s="1997">
        <f t="shared" si="58"/>
        <v>145091</v>
      </c>
      <c r="L80" s="1997">
        <f t="shared" si="58"/>
        <v>394112</v>
      </c>
      <c r="M80" s="1997">
        <f>+M81+M84</f>
        <v>0</v>
      </c>
      <c r="N80" s="1997">
        <f t="shared" si="58"/>
        <v>0</v>
      </c>
      <c r="O80" s="1997">
        <f t="shared" si="58"/>
        <v>0</v>
      </c>
      <c r="P80" s="1997">
        <f t="shared" si="58"/>
        <v>0</v>
      </c>
      <c r="Q80" s="1997">
        <f t="shared" si="58"/>
        <v>0</v>
      </c>
      <c r="R80" s="1997">
        <f t="shared" si="58"/>
        <v>0</v>
      </c>
      <c r="S80" s="1997">
        <f>+S81+S84</f>
        <v>0</v>
      </c>
      <c r="T80" s="1997">
        <f>+T81+T84</f>
        <v>0</v>
      </c>
      <c r="U80" s="1997"/>
      <c r="V80" s="1997"/>
      <c r="W80" s="1997"/>
      <c r="X80" s="2101">
        <f>+X81</f>
        <v>0</v>
      </c>
      <c r="Y80" s="2905"/>
    </row>
    <row r="81" spans="1:86" s="1143" customFormat="1" ht="13.5" hidden="1" customHeight="1">
      <c r="A81" s="2920"/>
      <c r="B81" s="2139" t="s">
        <v>36</v>
      </c>
      <c r="C81" s="2922" t="s">
        <v>204</v>
      </c>
      <c r="D81" s="1996">
        <f>+D83+D82</f>
        <v>0</v>
      </c>
      <c r="E81" s="1996">
        <f>E83</f>
        <v>0</v>
      </c>
      <c r="F81" s="1996"/>
      <c r="G81" s="1996"/>
      <c r="H81" s="1996"/>
      <c r="I81" s="1996">
        <f>I83</f>
        <v>0</v>
      </c>
      <c r="J81" s="1996">
        <f>J82</f>
        <v>5580</v>
      </c>
      <c r="K81" s="1996">
        <f>K83</f>
        <v>145091</v>
      </c>
      <c r="L81" s="1996">
        <f>L83</f>
        <v>73696</v>
      </c>
      <c r="M81" s="1996">
        <f>M83+M82</f>
        <v>0</v>
      </c>
      <c r="N81" s="1996">
        <f t="shared" ref="N81:T81" si="59">N83</f>
        <v>0</v>
      </c>
      <c r="O81" s="1996">
        <f>O83+O82</f>
        <v>0</v>
      </c>
      <c r="P81" s="1996">
        <f t="shared" si="59"/>
        <v>0</v>
      </c>
      <c r="Q81" s="1996">
        <f t="shared" si="59"/>
        <v>0</v>
      </c>
      <c r="R81" s="1996">
        <f t="shared" si="59"/>
        <v>0</v>
      </c>
      <c r="S81" s="1996">
        <f t="shared" si="59"/>
        <v>0</v>
      </c>
      <c r="T81" s="1996">
        <f t="shared" si="59"/>
        <v>0</v>
      </c>
      <c r="U81" s="1996"/>
      <c r="V81" s="1996"/>
      <c r="W81" s="1996"/>
      <c r="X81" s="2140">
        <f>+X83</f>
        <v>0</v>
      </c>
      <c r="Y81" s="2905"/>
    </row>
    <row r="82" spans="1:86" s="1143" customFormat="1" ht="13.5" hidden="1" customHeight="1">
      <c r="A82" s="2920"/>
      <c r="B82" s="2160" t="s">
        <v>45</v>
      </c>
      <c r="C82" s="2923"/>
      <c r="D82" s="1994">
        <f>M82+O82+P82+Q82+R82+S82+T82+U82+V82+W82</f>
        <v>0</v>
      </c>
      <c r="E82" s="1996"/>
      <c r="F82" s="1996"/>
      <c r="G82" s="1996"/>
      <c r="H82" s="1996"/>
      <c r="I82" s="1996"/>
      <c r="J82" s="1990">
        <v>5580</v>
      </c>
      <c r="K82" s="1996"/>
      <c r="L82" s="1996"/>
      <c r="M82" s="1990"/>
      <c r="N82" s="1996"/>
      <c r="O82" s="1990"/>
      <c r="P82" s="1996"/>
      <c r="Q82" s="1996"/>
      <c r="R82" s="1996"/>
      <c r="S82" s="1996"/>
      <c r="T82" s="1996"/>
      <c r="U82" s="1996"/>
      <c r="V82" s="1996"/>
      <c r="W82" s="1996"/>
      <c r="X82" s="2140">
        <v>0</v>
      </c>
      <c r="Y82" s="2905"/>
    </row>
    <row r="83" spans="1:86" s="1143" customFormat="1" ht="13.5" hidden="1" customHeight="1">
      <c r="A83" s="2920"/>
      <c r="B83" s="2169" t="s">
        <v>150</v>
      </c>
      <c r="C83" s="2924"/>
      <c r="D83" s="1994">
        <f>M83+O83+P83+Q83+R83+S83+T83+U83+V83+W83</f>
        <v>0</v>
      </c>
      <c r="E83" s="1990">
        <v>0</v>
      </c>
      <c r="F83" s="1990"/>
      <c r="G83" s="1990"/>
      <c r="H83" s="1990"/>
      <c r="I83" s="1990">
        <v>0</v>
      </c>
      <c r="J83" s="1990">
        <v>0</v>
      </c>
      <c r="K83" s="1990">
        <f>306585-161494</f>
        <v>145091</v>
      </c>
      <c r="L83" s="1990">
        <f>1762866+1748664-3437834</f>
        <v>73696</v>
      </c>
      <c r="M83" s="1990"/>
      <c r="N83" s="1990"/>
      <c r="O83" s="1990"/>
      <c r="P83" s="1990">
        <v>0</v>
      </c>
      <c r="Q83" s="1990">
        <v>0</v>
      </c>
      <c r="R83" s="1990">
        <v>0</v>
      </c>
      <c r="S83" s="1990">
        <v>0</v>
      </c>
      <c r="T83" s="1990">
        <v>0</v>
      </c>
      <c r="U83" s="1990"/>
      <c r="V83" s="1990"/>
      <c r="W83" s="1990"/>
      <c r="X83" s="2133">
        <f>SUM(P83:T83)</f>
        <v>0</v>
      </c>
      <c r="Y83" s="2905"/>
    </row>
    <row r="84" spans="1:86" s="1143" customFormat="1" ht="13.5" hidden="1" customHeight="1">
      <c r="A84" s="2920"/>
      <c r="B84" s="2178" t="s">
        <v>30</v>
      </c>
      <c r="C84" s="2908" t="s">
        <v>35</v>
      </c>
      <c r="D84" s="1996">
        <f>+D85</f>
        <v>0</v>
      </c>
      <c r="E84" s="1996">
        <f>+E85</f>
        <v>0</v>
      </c>
      <c r="F84" s="1996"/>
      <c r="G84" s="1996"/>
      <c r="H84" s="1996"/>
      <c r="I84" s="1996">
        <f t="shared" ref="I84:X84" si="60">+I85</f>
        <v>0</v>
      </c>
      <c r="J84" s="1996">
        <f t="shared" si="60"/>
        <v>31622</v>
      </c>
      <c r="K84" s="1996">
        <f t="shared" si="60"/>
        <v>0</v>
      </c>
      <c r="L84" s="1996">
        <f t="shared" si="60"/>
        <v>320416</v>
      </c>
      <c r="M84" s="1996">
        <f t="shared" si="60"/>
        <v>0</v>
      </c>
      <c r="N84" s="1996">
        <f t="shared" si="60"/>
        <v>0</v>
      </c>
      <c r="O84" s="1996">
        <f t="shared" si="60"/>
        <v>0</v>
      </c>
      <c r="P84" s="1996">
        <f t="shared" si="60"/>
        <v>0</v>
      </c>
      <c r="Q84" s="1996">
        <f t="shared" si="60"/>
        <v>0</v>
      </c>
      <c r="R84" s="1996">
        <f t="shared" si="60"/>
        <v>0</v>
      </c>
      <c r="S84" s="1996">
        <f t="shared" si="60"/>
        <v>0</v>
      </c>
      <c r="T84" s="1996">
        <f t="shared" si="60"/>
        <v>0</v>
      </c>
      <c r="U84" s="2143"/>
      <c r="V84" s="2143"/>
      <c r="W84" s="2143"/>
      <c r="X84" s="2150" t="str">
        <f t="shared" si="60"/>
        <v>x</v>
      </c>
      <c r="Y84" s="2905"/>
    </row>
    <row r="85" spans="1:86" s="1143" customFormat="1" ht="13.5" hidden="1" customHeight="1">
      <c r="A85" s="2920"/>
      <c r="B85" s="2169" t="s">
        <v>48</v>
      </c>
      <c r="C85" s="2910"/>
      <c r="D85" s="1994">
        <f>M85+O85+P85+Q85+R85+S85+T85+U85+V85+W85</f>
        <v>0</v>
      </c>
      <c r="E85" s="1990">
        <v>0</v>
      </c>
      <c r="F85" s="1990"/>
      <c r="G85" s="1990"/>
      <c r="H85" s="1990"/>
      <c r="I85" s="1990">
        <v>0</v>
      </c>
      <c r="J85" s="1990">
        <v>31622</v>
      </c>
      <c r="K85" s="1990">
        <f>493415-493415</f>
        <v>0</v>
      </c>
      <c r="L85" s="1990">
        <f>2837134+2876336-5393054</f>
        <v>320416</v>
      </c>
      <c r="M85" s="1990"/>
      <c r="N85" s="1990"/>
      <c r="O85" s="1990"/>
      <c r="P85" s="1990">
        <v>0</v>
      </c>
      <c r="Q85" s="1990">
        <v>0</v>
      </c>
      <c r="R85" s="1990">
        <v>0</v>
      </c>
      <c r="S85" s="1990">
        <v>0</v>
      </c>
      <c r="T85" s="1990">
        <v>0</v>
      </c>
      <c r="U85" s="1601"/>
      <c r="V85" s="1601"/>
      <c r="W85" s="1601"/>
      <c r="X85" s="2150" t="s">
        <v>77</v>
      </c>
      <c r="Y85" s="2905"/>
    </row>
    <row r="86" spans="1:86" s="1279" customFormat="1" ht="16.5" hidden="1" customHeight="1">
      <c r="A86" s="2920"/>
      <c r="B86" s="2027" t="s">
        <v>34</v>
      </c>
      <c r="C86" s="2172"/>
      <c r="D86" s="1997">
        <f>D89+D87</f>
        <v>0</v>
      </c>
      <c r="E86" s="1997">
        <f t="shared" ref="E86:J86" si="61">E89</f>
        <v>0</v>
      </c>
      <c r="F86" s="1997"/>
      <c r="G86" s="1997"/>
      <c r="H86" s="1997"/>
      <c r="I86" s="1997">
        <f t="shared" si="61"/>
        <v>0</v>
      </c>
      <c r="J86" s="1997">
        <f t="shared" si="61"/>
        <v>3720</v>
      </c>
      <c r="K86" s="1997">
        <f t="shared" ref="K86:R86" si="62">K89+K87</f>
        <v>6444</v>
      </c>
      <c r="L86" s="1997">
        <f t="shared" si="62"/>
        <v>89342</v>
      </c>
      <c r="M86" s="1997">
        <f>M89+M87</f>
        <v>0</v>
      </c>
      <c r="N86" s="1997">
        <f t="shared" si="62"/>
        <v>0</v>
      </c>
      <c r="O86" s="1997">
        <f t="shared" si="62"/>
        <v>0</v>
      </c>
      <c r="P86" s="1997">
        <f t="shared" si="62"/>
        <v>0</v>
      </c>
      <c r="Q86" s="1997">
        <f t="shared" si="62"/>
        <v>0</v>
      </c>
      <c r="R86" s="1997">
        <f t="shared" si="62"/>
        <v>0</v>
      </c>
      <c r="S86" s="1997">
        <f>S89+S87</f>
        <v>0</v>
      </c>
      <c r="T86" s="1997">
        <f>T89+T87</f>
        <v>0</v>
      </c>
      <c r="U86" s="1997"/>
      <c r="V86" s="1997"/>
      <c r="W86" s="1997"/>
      <c r="X86" s="2915" t="s">
        <v>77</v>
      </c>
      <c r="Y86" s="2905"/>
    </row>
    <row r="87" spans="1:86" s="1143" customFormat="1" ht="13.5" hidden="1" customHeight="1">
      <c r="A87" s="2920"/>
      <c r="B87" s="2139" t="s">
        <v>36</v>
      </c>
      <c r="C87" s="2922" t="s">
        <v>204</v>
      </c>
      <c r="D87" s="2179">
        <f>+D88</f>
        <v>0</v>
      </c>
      <c r="E87" s="2179">
        <f t="shared" ref="E87:T87" si="63">+E88</f>
        <v>0</v>
      </c>
      <c r="F87" s="2179">
        <f t="shared" si="63"/>
        <v>0</v>
      </c>
      <c r="G87" s="2179">
        <f t="shared" si="63"/>
        <v>0</v>
      </c>
      <c r="H87" s="2179">
        <f t="shared" si="63"/>
        <v>0</v>
      </c>
      <c r="I87" s="2179">
        <f t="shared" si="63"/>
        <v>0</v>
      </c>
      <c r="J87" s="2179">
        <f t="shared" si="63"/>
        <v>0</v>
      </c>
      <c r="K87" s="2179">
        <f t="shared" si="63"/>
        <v>6444</v>
      </c>
      <c r="L87" s="2179">
        <f t="shared" si="63"/>
        <v>89342</v>
      </c>
      <c r="M87" s="2179">
        <f t="shared" si="63"/>
        <v>0</v>
      </c>
      <c r="N87" s="2179">
        <f t="shared" si="63"/>
        <v>0</v>
      </c>
      <c r="O87" s="2179">
        <f t="shared" si="63"/>
        <v>0</v>
      </c>
      <c r="P87" s="2179">
        <f t="shared" si="63"/>
        <v>0</v>
      </c>
      <c r="Q87" s="2179">
        <f t="shared" si="63"/>
        <v>0</v>
      </c>
      <c r="R87" s="2179">
        <f t="shared" si="63"/>
        <v>0</v>
      </c>
      <c r="S87" s="2179">
        <f t="shared" si="63"/>
        <v>0</v>
      </c>
      <c r="T87" s="2179">
        <f t="shared" si="63"/>
        <v>0</v>
      </c>
      <c r="U87" s="2179"/>
      <c r="V87" s="2179"/>
      <c r="W87" s="2179"/>
      <c r="X87" s="2830"/>
      <c r="Y87" s="2917"/>
      <c r="AA87" s="685">
        <f>D88-'[4]Tab. 6F - Kultura'!$D$88</f>
        <v>-4922063</v>
      </c>
    </row>
    <row r="88" spans="1:86" s="1143" customFormat="1" ht="13.5" hidden="1" customHeight="1">
      <c r="A88" s="2920"/>
      <c r="B88" s="2169" t="s">
        <v>172</v>
      </c>
      <c r="C88" s="2924"/>
      <c r="D88" s="1994">
        <f>M88+O88+P88+Q88+R88+S88+T88+U88+V88+W88</f>
        <v>0</v>
      </c>
      <c r="E88" s="2149">
        <v>0</v>
      </c>
      <c r="F88" s="2149"/>
      <c r="G88" s="2149"/>
      <c r="H88" s="2149"/>
      <c r="I88" s="2149">
        <v>0</v>
      </c>
      <c r="J88" s="2149">
        <v>0</v>
      </c>
      <c r="K88" s="2149">
        <f>142114-135670</f>
        <v>6444</v>
      </c>
      <c r="L88" s="2149">
        <f>817154+840926-1568738</f>
        <v>89342</v>
      </c>
      <c r="M88" s="1990"/>
      <c r="N88" s="2149"/>
      <c r="O88" s="2149"/>
      <c r="P88" s="2149"/>
      <c r="Q88" s="2149">
        <v>0</v>
      </c>
      <c r="R88" s="2149">
        <v>0</v>
      </c>
      <c r="S88" s="2149">
        <v>0</v>
      </c>
      <c r="T88" s="2149">
        <v>0</v>
      </c>
      <c r="U88" s="2149"/>
      <c r="V88" s="2149"/>
      <c r="W88" s="2149"/>
      <c r="X88" s="2830"/>
      <c r="Y88" s="2917"/>
    </row>
    <row r="89" spans="1:86" s="1143" customFormat="1" ht="13.5" hidden="1" customHeight="1">
      <c r="A89" s="2920"/>
      <c r="B89" s="2178" t="s">
        <v>30</v>
      </c>
      <c r="C89" s="2908" t="s">
        <v>35</v>
      </c>
      <c r="D89" s="1996">
        <f>+D90</f>
        <v>0</v>
      </c>
      <c r="E89" s="1996">
        <f>+E90</f>
        <v>0</v>
      </c>
      <c r="F89" s="1996"/>
      <c r="G89" s="1996"/>
      <c r="H89" s="1996"/>
      <c r="I89" s="1996">
        <f t="shared" ref="I89:T89" si="64">+I90</f>
        <v>0</v>
      </c>
      <c r="J89" s="1996">
        <f t="shared" si="64"/>
        <v>3720</v>
      </c>
      <c r="K89" s="1996">
        <f t="shared" si="64"/>
        <v>0</v>
      </c>
      <c r="L89" s="1996">
        <f t="shared" si="64"/>
        <v>0</v>
      </c>
      <c r="M89" s="1996">
        <f t="shared" si="64"/>
        <v>0</v>
      </c>
      <c r="N89" s="1996">
        <f t="shared" si="64"/>
        <v>0</v>
      </c>
      <c r="O89" s="1996">
        <f t="shared" si="64"/>
        <v>0</v>
      </c>
      <c r="P89" s="1996">
        <f t="shared" si="64"/>
        <v>0</v>
      </c>
      <c r="Q89" s="1996">
        <f t="shared" si="64"/>
        <v>0</v>
      </c>
      <c r="R89" s="1996">
        <f t="shared" si="64"/>
        <v>0</v>
      </c>
      <c r="S89" s="1996">
        <f t="shared" si="64"/>
        <v>0</v>
      </c>
      <c r="T89" s="1996">
        <f t="shared" si="64"/>
        <v>0</v>
      </c>
      <c r="U89" s="1996"/>
      <c r="V89" s="1996"/>
      <c r="W89" s="1996"/>
      <c r="X89" s="2830"/>
      <c r="Y89" s="2917"/>
    </row>
    <row r="90" spans="1:86" s="1143" customFormat="1" ht="13.5" hidden="1" customHeight="1" thickBot="1">
      <c r="A90" s="2921"/>
      <c r="B90" s="2144" t="s">
        <v>48</v>
      </c>
      <c r="C90" s="2911"/>
      <c r="D90" s="2155">
        <f>M90+O90+P90+Q90+R90+S90+T90+U90+V90+W90</f>
        <v>0</v>
      </c>
      <c r="E90" s="2141">
        <v>0</v>
      </c>
      <c r="F90" s="2141"/>
      <c r="G90" s="2141"/>
      <c r="H90" s="2141">
        <f>H96+H100</f>
        <v>0</v>
      </c>
      <c r="I90" s="2141">
        <v>0</v>
      </c>
      <c r="J90" s="2141">
        <v>3720</v>
      </c>
      <c r="K90" s="2141">
        <f>493415-493415</f>
        <v>0</v>
      </c>
      <c r="L90" s="2141">
        <f>2837134+2876336-5713470</f>
        <v>0</v>
      </c>
      <c r="M90" s="2141"/>
      <c r="N90" s="2141"/>
      <c r="O90" s="2141"/>
      <c r="P90" s="2141">
        <v>0</v>
      </c>
      <c r="Q90" s="2141">
        <v>0</v>
      </c>
      <c r="R90" s="2141">
        <v>0</v>
      </c>
      <c r="S90" s="2141">
        <v>0</v>
      </c>
      <c r="T90" s="2141">
        <v>0</v>
      </c>
      <c r="U90" s="2141"/>
      <c r="V90" s="2141"/>
      <c r="W90" s="2141"/>
      <c r="X90" s="2831"/>
      <c r="Y90" s="2918"/>
    </row>
    <row r="91" spans="1:86" ht="6.75" customHeight="1">
      <c r="L91" s="1144"/>
    </row>
    <row r="92" spans="1:86" ht="18" customHeight="1">
      <c r="A92" s="2093" t="s">
        <v>295</v>
      </c>
      <c r="E92" s="685"/>
      <c r="F92" s="1143"/>
      <c r="G92" s="2094"/>
      <c r="L92" s="1144"/>
      <c r="Y92" s="2113"/>
      <c r="Z92" s="1143"/>
      <c r="AA92" s="1143"/>
      <c r="AB92" s="1143"/>
      <c r="AC92" s="1143"/>
      <c r="AD92" s="1143"/>
      <c r="AE92" s="1143"/>
      <c r="AF92" s="1143"/>
      <c r="AG92" s="1143"/>
      <c r="AH92" s="1143"/>
      <c r="AI92" s="1143"/>
      <c r="AJ92" s="1143"/>
      <c r="AK92" s="1143"/>
      <c r="AL92" s="1143"/>
      <c r="AM92" s="1143"/>
      <c r="AN92" s="1143"/>
      <c r="AO92" s="1143"/>
      <c r="AP92" s="1143"/>
      <c r="AQ92" s="1143"/>
      <c r="AR92" s="1143"/>
      <c r="AS92" s="1143"/>
      <c r="AT92" s="1143"/>
      <c r="AU92" s="1143"/>
      <c r="AV92" s="1143"/>
      <c r="AW92" s="1143"/>
      <c r="AX92" s="1143"/>
      <c r="AY92" s="1143"/>
      <c r="AZ92" s="1143"/>
      <c r="BA92" s="1143"/>
      <c r="BB92" s="1143"/>
      <c r="BC92" s="1143"/>
      <c r="BD92" s="1143"/>
      <c r="BE92" s="1143"/>
      <c r="BF92" s="1143"/>
      <c r="BG92" s="1143"/>
      <c r="BH92" s="1143"/>
      <c r="BI92" s="1143"/>
      <c r="BJ92" s="1143"/>
      <c r="BK92" s="1143"/>
      <c r="BL92" s="1143"/>
      <c r="BM92" s="1143"/>
      <c r="BN92" s="1143"/>
      <c r="BO92" s="1143"/>
      <c r="BP92" s="1143"/>
      <c r="BQ92" s="1143"/>
      <c r="BR92" s="1143"/>
      <c r="BS92" s="1143"/>
      <c r="BT92" s="1143"/>
      <c r="BU92" s="1143"/>
      <c r="BV92" s="1143"/>
      <c r="BW92" s="1143"/>
      <c r="BX92" s="1143"/>
      <c r="BY92" s="1143"/>
      <c r="BZ92" s="1143"/>
      <c r="CA92" s="1143"/>
      <c r="CB92" s="1143"/>
      <c r="CC92" s="1143"/>
      <c r="CD92" s="1143"/>
      <c r="CE92" s="1143"/>
      <c r="CF92" s="1143"/>
      <c r="CG92" s="1143"/>
      <c r="CH92" s="1143"/>
    </row>
    <row r="93" spans="1:86">
      <c r="E93" s="685"/>
      <c r="F93" s="1143"/>
      <c r="L93" s="1144"/>
      <c r="Y93" s="2113"/>
    </row>
    <row r="94" spans="1:86">
      <c r="E94" s="2165"/>
      <c r="F94" s="1143"/>
      <c r="L94" s="1144"/>
      <c r="Y94" s="2113"/>
    </row>
    <row r="95" spans="1:86">
      <c r="E95" s="685"/>
      <c r="F95" s="1143"/>
      <c r="L95" s="1144"/>
      <c r="Y95" s="2113"/>
    </row>
    <row r="96" spans="1:86">
      <c r="E96" s="2165"/>
      <c r="F96" s="1143"/>
      <c r="L96" s="1144"/>
      <c r="Y96" s="2113"/>
    </row>
    <row r="97" spans="5:25">
      <c r="E97" s="685"/>
      <c r="F97" s="1143"/>
      <c r="L97" s="1144"/>
      <c r="Y97" s="2113"/>
    </row>
    <row r="98" spans="5:25">
      <c r="E98" s="2180"/>
      <c r="F98" s="1143"/>
      <c r="L98" s="1144"/>
      <c r="Y98" s="2113"/>
    </row>
    <row r="99" spans="5:25">
      <c r="E99" s="685"/>
      <c r="F99" s="1143"/>
      <c r="L99" s="1144"/>
      <c r="Y99" s="2113"/>
    </row>
    <row r="100" spans="5:25">
      <c r="E100" s="2181"/>
      <c r="F100" s="1143"/>
      <c r="L100" s="1144"/>
      <c r="Y100" s="2113"/>
    </row>
    <row r="101" spans="5:25">
      <c r="E101" s="685"/>
      <c r="F101" s="1143"/>
      <c r="L101" s="1144"/>
      <c r="Y101" s="2113"/>
    </row>
    <row r="102" spans="5:25">
      <c r="E102" s="685"/>
      <c r="F102" s="1143"/>
      <c r="L102" s="1144"/>
      <c r="Y102" s="2113"/>
    </row>
    <row r="103" spans="5:25">
      <c r="E103" s="685"/>
      <c r="F103" s="1143"/>
      <c r="L103" s="1144"/>
      <c r="Y103" s="2113"/>
    </row>
    <row r="104" spans="5:25">
      <c r="E104" s="2181"/>
      <c r="L104" s="1144"/>
      <c r="Y104" s="2113"/>
    </row>
    <row r="105" spans="5:25">
      <c r="E105" s="685"/>
      <c r="L105" s="1144"/>
      <c r="Y105" s="2113"/>
    </row>
    <row r="106" spans="5:25">
      <c r="E106" s="685"/>
      <c r="L106" s="1144"/>
      <c r="Y106" s="2113"/>
    </row>
    <row r="107" spans="5:25">
      <c r="E107" s="685"/>
      <c r="F107" s="1143"/>
      <c r="L107" s="1144"/>
      <c r="Y107" s="2113"/>
    </row>
    <row r="108" spans="5:25">
      <c r="E108" s="2165"/>
      <c r="F108" s="1143"/>
      <c r="L108" s="1144"/>
      <c r="Y108" s="2113"/>
    </row>
    <row r="109" spans="5:25">
      <c r="E109" s="685"/>
      <c r="F109" s="1143"/>
      <c r="L109" s="1144"/>
      <c r="Y109" s="2113"/>
    </row>
    <row r="110" spans="5:25">
      <c r="E110" s="2165"/>
      <c r="F110" s="1143"/>
      <c r="L110" s="1144"/>
      <c r="Y110" s="2113"/>
    </row>
    <row r="111" spans="5:25">
      <c r="E111" s="685"/>
      <c r="F111" s="1143"/>
      <c r="L111" s="1144"/>
      <c r="Y111" s="2113"/>
    </row>
    <row r="112" spans="5:25">
      <c r="E112" s="2180"/>
      <c r="F112" s="1143"/>
      <c r="L112" s="1144"/>
      <c r="Y112" s="2113"/>
    </row>
    <row r="113" spans="5:25">
      <c r="E113" s="685"/>
      <c r="F113" s="1143"/>
      <c r="L113" s="1144"/>
      <c r="Y113" s="2113"/>
    </row>
    <row r="114" spans="5:25">
      <c r="E114" s="2181"/>
      <c r="F114" s="1143"/>
      <c r="L114" s="1144"/>
      <c r="Y114" s="2113"/>
    </row>
    <row r="115" spans="5:25">
      <c r="E115" s="685"/>
      <c r="F115" s="1143"/>
      <c r="L115" s="1144"/>
      <c r="Y115" s="2113"/>
    </row>
    <row r="116" spans="5:25">
      <c r="E116" s="685"/>
      <c r="F116" s="1143"/>
      <c r="L116" s="1144"/>
      <c r="Y116" s="2113"/>
    </row>
    <row r="117" spans="5:25">
      <c r="E117" s="685"/>
      <c r="F117" s="1143"/>
      <c r="L117" s="1144"/>
      <c r="Y117" s="2113"/>
    </row>
    <row r="118" spans="5:25">
      <c r="E118" s="2181"/>
      <c r="L118" s="1144"/>
      <c r="Y118" s="2113"/>
    </row>
    <row r="119" spans="5:25">
      <c r="E119" s="685"/>
      <c r="L119" s="1144"/>
      <c r="Y119" s="2113"/>
    </row>
    <row r="120" spans="5:25">
      <c r="E120" s="685"/>
      <c r="L120" s="1144"/>
      <c r="Y120" s="2113"/>
    </row>
    <row r="121" spans="5:25">
      <c r="E121" s="685"/>
      <c r="F121" s="1143"/>
      <c r="L121" s="1144"/>
      <c r="Y121" s="2113"/>
    </row>
    <row r="122" spans="5:25">
      <c r="E122" s="2165"/>
      <c r="F122" s="1143"/>
      <c r="L122" s="1144"/>
      <c r="Y122" s="2113"/>
    </row>
    <row r="123" spans="5:25">
      <c r="E123" s="685"/>
      <c r="F123" s="1143"/>
      <c r="L123" s="1144"/>
      <c r="Y123" s="2113"/>
    </row>
    <row r="124" spans="5:25">
      <c r="E124" s="2165"/>
      <c r="F124" s="1143"/>
      <c r="L124" s="1144"/>
      <c r="Y124" s="2113"/>
    </row>
    <row r="125" spans="5:25">
      <c r="E125" s="685"/>
      <c r="F125" s="1143"/>
      <c r="L125" s="1144"/>
      <c r="Y125" s="2113"/>
    </row>
    <row r="126" spans="5:25">
      <c r="E126" s="2180"/>
      <c r="F126" s="1143"/>
      <c r="L126" s="1144"/>
      <c r="Y126" s="2113"/>
    </row>
    <row r="127" spans="5:25">
      <c r="E127" s="685"/>
      <c r="F127" s="1143"/>
      <c r="L127" s="1144"/>
      <c r="Y127" s="2113"/>
    </row>
    <row r="128" spans="5:25">
      <c r="E128" s="2181"/>
      <c r="F128" s="1143"/>
      <c r="L128" s="1144"/>
      <c r="Y128" s="2113"/>
    </row>
    <row r="129" spans="5:25">
      <c r="E129" s="685"/>
      <c r="F129" s="1143"/>
      <c r="L129" s="1144"/>
      <c r="Y129" s="2113"/>
    </row>
    <row r="130" spans="5:25">
      <c r="E130" s="685"/>
      <c r="F130" s="1143"/>
      <c r="L130" s="1144"/>
      <c r="Y130" s="2113"/>
    </row>
    <row r="131" spans="5:25">
      <c r="E131" s="685"/>
      <c r="F131" s="1143"/>
      <c r="L131" s="1144"/>
      <c r="Y131" s="2113"/>
    </row>
    <row r="132" spans="5:25">
      <c r="E132" s="2181"/>
      <c r="L132" s="1144"/>
      <c r="Y132" s="2113"/>
    </row>
    <row r="133" spans="5:25">
      <c r="E133" s="685"/>
      <c r="L133" s="1144"/>
      <c r="Y133" s="2113"/>
    </row>
    <row r="134" spans="5:25">
      <c r="E134" s="685"/>
      <c r="L134" s="1144"/>
      <c r="Y134" s="2113"/>
    </row>
    <row r="135" spans="5:25">
      <c r="E135" s="685"/>
      <c r="F135" s="1143"/>
      <c r="L135" s="1144"/>
      <c r="Y135" s="2113"/>
    </row>
    <row r="136" spans="5:25">
      <c r="E136" s="2165"/>
      <c r="F136" s="1143"/>
      <c r="L136" s="1144"/>
      <c r="Y136" s="2113"/>
    </row>
    <row r="137" spans="5:25">
      <c r="E137" s="685"/>
      <c r="F137" s="1143"/>
      <c r="L137" s="1144"/>
      <c r="Y137" s="2113"/>
    </row>
    <row r="138" spans="5:25">
      <c r="E138" s="2165"/>
      <c r="F138" s="1143"/>
      <c r="L138" s="1144"/>
      <c r="Y138" s="2113"/>
    </row>
    <row r="139" spans="5:25">
      <c r="E139" s="685"/>
      <c r="F139" s="1143"/>
      <c r="L139" s="1144"/>
      <c r="Y139" s="2113"/>
    </row>
    <row r="140" spans="5:25">
      <c r="E140" s="2180"/>
      <c r="F140" s="1143"/>
      <c r="L140" s="1144"/>
      <c r="Y140" s="2113"/>
    </row>
    <row r="141" spans="5:25">
      <c r="E141" s="685"/>
      <c r="F141" s="1143"/>
      <c r="L141" s="1144"/>
      <c r="Y141" s="2113"/>
    </row>
    <row r="142" spans="5:25">
      <c r="E142" s="2181"/>
      <c r="F142" s="1143"/>
      <c r="L142" s="1144"/>
      <c r="Y142" s="2113"/>
    </row>
    <row r="143" spans="5:25">
      <c r="E143" s="685"/>
      <c r="F143" s="1143"/>
      <c r="L143" s="1144"/>
      <c r="Y143" s="2113"/>
    </row>
    <row r="144" spans="5:25">
      <c r="E144" s="685"/>
      <c r="F144" s="1143"/>
      <c r="L144" s="1144"/>
      <c r="Y144" s="2113"/>
    </row>
    <row r="145" spans="5:25">
      <c r="E145" s="685"/>
      <c r="F145" s="1143"/>
      <c r="L145" s="1144"/>
      <c r="Y145" s="2113"/>
    </row>
    <row r="146" spans="5:25">
      <c r="E146" s="2181"/>
      <c r="L146" s="1144"/>
      <c r="Y146" s="2113"/>
    </row>
    <row r="147" spans="5:25">
      <c r="E147" s="685"/>
      <c r="L147" s="1144"/>
      <c r="Y147" s="2113"/>
    </row>
    <row r="148" spans="5:25">
      <c r="E148" s="685"/>
      <c r="L148" s="1144"/>
      <c r="Y148" s="2113"/>
    </row>
    <row r="149" spans="5:25">
      <c r="E149" s="685"/>
      <c r="F149" s="1143"/>
      <c r="L149" s="1144"/>
      <c r="Y149" s="2113"/>
    </row>
    <row r="150" spans="5:25">
      <c r="E150" s="2165"/>
      <c r="F150" s="1143"/>
      <c r="L150" s="1144"/>
      <c r="Y150" s="2113"/>
    </row>
    <row r="151" spans="5:25">
      <c r="E151" s="685"/>
      <c r="F151" s="1143"/>
      <c r="L151" s="1144"/>
      <c r="Y151" s="2113"/>
    </row>
    <row r="152" spans="5:25">
      <c r="E152" s="2165"/>
      <c r="F152" s="1143"/>
      <c r="L152" s="1144"/>
      <c r="Y152" s="2113"/>
    </row>
    <row r="153" spans="5:25">
      <c r="E153" s="685"/>
      <c r="F153" s="1143"/>
      <c r="L153" s="1144"/>
      <c r="Y153" s="2113"/>
    </row>
    <row r="154" spans="5:25">
      <c r="E154" s="2180"/>
      <c r="F154" s="1143"/>
      <c r="L154" s="1144"/>
      <c r="Y154" s="2113"/>
    </row>
    <row r="155" spans="5:25">
      <c r="E155" s="685"/>
      <c r="F155" s="1143"/>
      <c r="L155" s="1144"/>
      <c r="Y155" s="2113"/>
    </row>
    <row r="156" spans="5:25">
      <c r="E156" s="2181"/>
      <c r="F156" s="1143"/>
      <c r="L156" s="1144"/>
      <c r="Y156" s="2113"/>
    </row>
    <row r="157" spans="5:25">
      <c r="E157" s="685"/>
      <c r="F157" s="1143"/>
      <c r="L157" s="1144"/>
      <c r="Y157" s="2113"/>
    </row>
    <row r="158" spans="5:25">
      <c r="E158" s="685"/>
      <c r="F158" s="1143"/>
      <c r="L158" s="1144"/>
      <c r="Y158" s="2113"/>
    </row>
    <row r="159" spans="5:25">
      <c r="E159" s="685"/>
      <c r="F159" s="1143"/>
      <c r="L159" s="1144"/>
      <c r="Y159" s="2113"/>
    </row>
    <row r="160" spans="5:25">
      <c r="E160" s="2181"/>
      <c r="L160" s="1144"/>
      <c r="Y160" s="2113"/>
    </row>
    <row r="161" spans="5:25">
      <c r="E161" s="685"/>
      <c r="L161" s="1144"/>
      <c r="Y161" s="2113"/>
    </row>
    <row r="162" spans="5:25">
      <c r="E162" s="685"/>
      <c r="L162" s="1144"/>
      <c r="Y162" s="2113"/>
    </row>
    <row r="163" spans="5:25">
      <c r="E163" s="685"/>
      <c r="F163" s="1143"/>
      <c r="L163" s="1144"/>
      <c r="Y163" s="2113"/>
    </row>
    <row r="164" spans="5:25">
      <c r="E164" s="2165"/>
      <c r="F164" s="1143"/>
      <c r="L164" s="1144"/>
      <c r="Y164" s="2113"/>
    </row>
    <row r="165" spans="5:25">
      <c r="E165" s="685"/>
      <c r="F165" s="1143"/>
      <c r="L165" s="1144"/>
      <c r="Y165" s="2113"/>
    </row>
    <row r="166" spans="5:25">
      <c r="E166" s="2165"/>
      <c r="F166" s="1143"/>
      <c r="L166" s="1144"/>
      <c r="Y166" s="2113"/>
    </row>
    <row r="167" spans="5:25">
      <c r="E167" s="685"/>
      <c r="F167" s="1143"/>
      <c r="L167" s="1144"/>
      <c r="Y167" s="2113"/>
    </row>
    <row r="168" spans="5:25">
      <c r="E168" s="2180"/>
      <c r="F168" s="1143"/>
      <c r="L168" s="1144"/>
      <c r="Y168" s="2113"/>
    </row>
    <row r="169" spans="5:25">
      <c r="E169" s="685"/>
      <c r="F169" s="1143"/>
      <c r="L169" s="1144"/>
      <c r="Y169" s="2113"/>
    </row>
    <row r="170" spans="5:25">
      <c r="E170" s="2181"/>
      <c r="F170" s="1143"/>
      <c r="L170" s="1144"/>
      <c r="Y170" s="2113"/>
    </row>
    <row r="171" spans="5:25">
      <c r="E171" s="685"/>
      <c r="F171" s="1143"/>
      <c r="L171" s="1144"/>
      <c r="Y171" s="2113"/>
    </row>
    <row r="172" spans="5:25">
      <c r="E172" s="685"/>
      <c r="F172" s="1143"/>
      <c r="L172" s="1144"/>
      <c r="Y172" s="2113"/>
    </row>
    <row r="173" spans="5:25">
      <c r="E173" s="685"/>
      <c r="F173" s="1143"/>
      <c r="L173" s="1144"/>
      <c r="Y173" s="2113"/>
    </row>
    <row r="174" spans="5:25">
      <c r="E174" s="2181"/>
      <c r="L174" s="1144"/>
      <c r="Y174" s="2113"/>
    </row>
    <row r="175" spans="5:25">
      <c r="E175" s="685"/>
      <c r="L175" s="1144"/>
      <c r="Y175" s="2113"/>
    </row>
    <row r="176" spans="5:25">
      <c r="E176" s="685"/>
      <c r="L176" s="1144"/>
      <c r="Y176" s="2113"/>
    </row>
    <row r="177" spans="5:25">
      <c r="E177" s="685"/>
      <c r="F177" s="1143"/>
      <c r="L177" s="1144"/>
      <c r="Y177" s="2113"/>
    </row>
    <row r="178" spans="5:25">
      <c r="E178" s="2165"/>
      <c r="F178" s="1143"/>
      <c r="L178" s="1144"/>
      <c r="Y178" s="2113"/>
    </row>
    <row r="179" spans="5:25">
      <c r="E179" s="685"/>
      <c r="F179" s="1143"/>
      <c r="L179" s="1144"/>
      <c r="Y179" s="2113"/>
    </row>
    <row r="180" spans="5:25">
      <c r="E180" s="2165"/>
      <c r="F180" s="1143"/>
      <c r="L180" s="1144"/>
      <c r="Y180" s="2113"/>
    </row>
    <row r="181" spans="5:25">
      <c r="E181" s="685"/>
      <c r="F181" s="1143"/>
      <c r="L181" s="1144"/>
      <c r="Y181" s="2113"/>
    </row>
    <row r="182" spans="5:25">
      <c r="E182" s="2180"/>
      <c r="F182" s="1143"/>
      <c r="L182" s="1144"/>
      <c r="Y182" s="2113"/>
    </row>
    <row r="183" spans="5:25">
      <c r="E183" s="685"/>
      <c r="F183" s="1143"/>
      <c r="L183" s="1144"/>
      <c r="Y183" s="2113"/>
    </row>
    <row r="184" spans="5:25">
      <c r="E184" s="2181"/>
      <c r="F184" s="1143"/>
      <c r="L184" s="1144"/>
      <c r="Y184" s="2113"/>
    </row>
    <row r="185" spans="5:25">
      <c r="E185" s="685"/>
      <c r="F185" s="1143"/>
      <c r="L185" s="1144"/>
      <c r="Y185" s="2113"/>
    </row>
    <row r="186" spans="5:25">
      <c r="E186" s="685"/>
      <c r="F186" s="1143"/>
      <c r="L186" s="1144"/>
      <c r="Y186" s="2113"/>
    </row>
    <row r="187" spans="5:25">
      <c r="E187" s="685"/>
      <c r="F187" s="1143"/>
      <c r="L187" s="1144"/>
      <c r="Y187" s="2113"/>
    </row>
    <row r="188" spans="5:25">
      <c r="E188" s="2181"/>
      <c r="L188" s="1144"/>
      <c r="Y188" s="2113"/>
    </row>
    <row r="189" spans="5:25">
      <c r="E189" s="685"/>
      <c r="L189" s="1144"/>
      <c r="Y189" s="2113"/>
    </row>
    <row r="190" spans="5:25">
      <c r="E190" s="685"/>
      <c r="L190" s="1144"/>
      <c r="Y190" s="2113"/>
    </row>
    <row r="191" spans="5:25">
      <c r="E191" s="685"/>
      <c r="F191" s="1143"/>
      <c r="L191" s="1144"/>
      <c r="Y191" s="2113"/>
    </row>
    <row r="192" spans="5:25">
      <c r="E192" s="2165"/>
      <c r="F192" s="1143"/>
      <c r="L192" s="1144"/>
      <c r="Y192" s="2113"/>
    </row>
    <row r="193" spans="5:25">
      <c r="E193" s="685"/>
      <c r="F193" s="1143"/>
      <c r="L193" s="1144"/>
      <c r="Y193" s="2113"/>
    </row>
    <row r="194" spans="5:25">
      <c r="E194" s="2165"/>
      <c r="F194" s="1143"/>
      <c r="L194" s="1144"/>
      <c r="Y194" s="2113"/>
    </row>
    <row r="195" spans="5:25">
      <c r="E195" s="685"/>
      <c r="F195" s="1143"/>
      <c r="L195" s="1144"/>
      <c r="Y195" s="2113"/>
    </row>
    <row r="196" spans="5:25">
      <c r="E196" s="2180"/>
      <c r="F196" s="1143"/>
      <c r="L196" s="1144"/>
      <c r="Y196" s="2113"/>
    </row>
    <row r="197" spans="5:25">
      <c r="E197" s="685"/>
      <c r="F197" s="1143"/>
      <c r="L197" s="1144"/>
      <c r="Y197" s="2113"/>
    </row>
    <row r="198" spans="5:25">
      <c r="E198" s="2181"/>
      <c r="F198" s="1143"/>
      <c r="L198" s="1144"/>
      <c r="Y198" s="2113"/>
    </row>
    <row r="199" spans="5:25">
      <c r="E199" s="685"/>
      <c r="F199" s="1143"/>
      <c r="L199" s="1144"/>
      <c r="Y199" s="2113"/>
    </row>
    <row r="200" spans="5:25">
      <c r="E200" s="685"/>
      <c r="F200" s="1143"/>
      <c r="L200" s="1144"/>
      <c r="Y200" s="2113"/>
    </row>
    <row r="201" spans="5:25">
      <c r="E201" s="685"/>
      <c r="F201" s="1143"/>
      <c r="L201" s="1144"/>
      <c r="Y201" s="2113"/>
    </row>
    <row r="202" spans="5:25">
      <c r="E202" s="2181"/>
      <c r="L202" s="1144"/>
      <c r="Y202" s="2113"/>
    </row>
    <row r="203" spans="5:25">
      <c r="E203" s="685"/>
      <c r="L203" s="1144"/>
      <c r="Y203" s="2113"/>
    </row>
    <row r="204" spans="5:25">
      <c r="E204" s="685"/>
      <c r="L204" s="1144"/>
      <c r="Y204" s="2113"/>
    </row>
    <row r="205" spans="5:25">
      <c r="E205" s="685"/>
      <c r="F205" s="1143"/>
      <c r="L205" s="1144"/>
      <c r="Y205" s="2113"/>
    </row>
    <row r="206" spans="5:25">
      <c r="E206" s="2165"/>
      <c r="F206" s="1143"/>
      <c r="L206" s="1144"/>
      <c r="Y206" s="2113"/>
    </row>
    <row r="207" spans="5:25">
      <c r="E207" s="685"/>
      <c r="F207" s="1143"/>
      <c r="L207" s="1144"/>
      <c r="Y207" s="2113"/>
    </row>
    <row r="208" spans="5:25">
      <c r="E208" s="2165"/>
      <c r="F208" s="1143"/>
      <c r="L208" s="1144"/>
      <c r="Y208" s="2113"/>
    </row>
    <row r="209" spans="5:25">
      <c r="E209" s="685"/>
      <c r="F209" s="1143"/>
      <c r="L209" s="1144"/>
      <c r="Y209" s="2113"/>
    </row>
    <row r="210" spans="5:25">
      <c r="E210" s="2180"/>
      <c r="F210" s="1143"/>
      <c r="L210" s="1144"/>
      <c r="Y210" s="2113"/>
    </row>
    <row r="211" spans="5:25">
      <c r="E211" s="685"/>
      <c r="F211" s="1143"/>
      <c r="L211" s="1144"/>
      <c r="Y211" s="2113"/>
    </row>
    <row r="212" spans="5:25">
      <c r="E212" s="2181"/>
      <c r="F212" s="1143"/>
      <c r="L212" s="1144"/>
      <c r="Y212" s="2113"/>
    </row>
    <row r="213" spans="5:25">
      <c r="E213" s="685"/>
      <c r="F213" s="1143"/>
      <c r="L213" s="1144"/>
      <c r="Y213" s="2113"/>
    </row>
    <row r="214" spans="5:25">
      <c r="E214" s="685"/>
      <c r="F214" s="1143"/>
      <c r="L214" s="1144"/>
      <c r="Y214" s="2113"/>
    </row>
    <row r="215" spans="5:25">
      <c r="E215" s="685"/>
      <c r="F215" s="1143"/>
      <c r="L215" s="1144"/>
      <c r="Y215" s="2113"/>
    </row>
    <row r="216" spans="5:25">
      <c r="E216" s="2181"/>
      <c r="L216" s="1144"/>
      <c r="Y216" s="2113"/>
    </row>
    <row r="217" spans="5:25">
      <c r="E217" s="685"/>
      <c r="L217" s="1144"/>
      <c r="Y217" s="2113"/>
    </row>
    <row r="218" spans="5:25">
      <c r="E218" s="685"/>
      <c r="L218" s="1144"/>
      <c r="Y218" s="2113"/>
    </row>
    <row r="219" spans="5:25">
      <c r="E219" s="685"/>
      <c r="F219" s="1143"/>
      <c r="L219" s="1144"/>
      <c r="Y219" s="2113"/>
    </row>
    <row r="424" spans="1:25" ht="12" thickBot="1"/>
    <row r="425" spans="1:25" ht="33.75">
      <c r="A425" s="2183"/>
      <c r="B425" s="1298" t="s">
        <v>85</v>
      </c>
      <c r="C425" s="1298"/>
      <c r="D425" s="2184"/>
      <c r="E425" s="2184"/>
      <c r="F425" s="2184"/>
      <c r="G425" s="2184"/>
      <c r="H425" s="2184"/>
      <c r="I425" s="2184"/>
      <c r="J425" s="2184"/>
      <c r="K425" s="2184"/>
      <c r="L425" s="2185"/>
      <c r="M425" s="2185"/>
      <c r="N425" s="2185"/>
      <c r="O425" s="2185"/>
      <c r="P425" s="2185"/>
      <c r="Q425" s="2185"/>
      <c r="R425" s="2185"/>
      <c r="S425" s="2185"/>
      <c r="T425" s="2185"/>
      <c r="U425" s="2185"/>
      <c r="V425" s="2185"/>
      <c r="W425" s="2185"/>
      <c r="X425" s="2185"/>
      <c r="Y425" s="2186"/>
    </row>
    <row r="426" spans="1:25">
      <c r="A426" s="2187"/>
      <c r="M426" s="2103"/>
      <c r="N426" s="2103"/>
      <c r="O426" s="2103"/>
      <c r="P426" s="2103"/>
      <c r="Q426" s="2103"/>
      <c r="R426" s="2103"/>
      <c r="S426" s="2103"/>
      <c r="T426" s="2103"/>
      <c r="U426" s="2103"/>
      <c r="V426" s="2103"/>
      <c r="W426" s="2103"/>
      <c r="X426" s="2103"/>
      <c r="Y426" s="2188"/>
    </row>
    <row r="427" spans="1:25">
      <c r="A427" s="2187"/>
      <c r="M427" s="2103"/>
      <c r="N427" s="2103"/>
      <c r="O427" s="2103"/>
      <c r="P427" s="2103"/>
      <c r="Q427" s="2103"/>
      <c r="R427" s="2103"/>
      <c r="S427" s="2103"/>
      <c r="T427" s="2103"/>
      <c r="U427" s="2103"/>
      <c r="V427" s="2103"/>
      <c r="W427" s="2103"/>
      <c r="X427" s="2103"/>
      <c r="Y427" s="2188"/>
    </row>
    <row r="428" spans="1:25">
      <c r="A428" s="2187"/>
      <c r="M428" s="2103"/>
      <c r="N428" s="2103"/>
      <c r="O428" s="2103"/>
      <c r="P428" s="2103"/>
      <c r="Q428" s="2103"/>
      <c r="R428" s="2103"/>
      <c r="S428" s="2103"/>
      <c r="T428" s="2103"/>
      <c r="U428" s="2103"/>
      <c r="V428" s="2103"/>
      <c r="W428" s="2103"/>
      <c r="X428" s="2103"/>
      <c r="Y428" s="2188"/>
    </row>
    <row r="429" spans="1:25">
      <c r="A429" s="2187"/>
      <c r="M429" s="2103"/>
      <c r="N429" s="2103"/>
      <c r="O429" s="2103"/>
      <c r="P429" s="2103"/>
      <c r="Q429" s="2103"/>
      <c r="R429" s="2103"/>
      <c r="S429" s="2103"/>
      <c r="T429" s="2103"/>
      <c r="U429" s="2103"/>
      <c r="V429" s="2103"/>
      <c r="W429" s="2103"/>
      <c r="X429" s="2103"/>
      <c r="Y429" s="2188"/>
    </row>
    <row r="430" spans="1:25">
      <c r="A430" s="2187"/>
      <c r="M430" s="2103"/>
      <c r="N430" s="2103"/>
      <c r="O430" s="2103"/>
      <c r="P430" s="2103"/>
      <c r="Q430" s="2103"/>
      <c r="R430" s="2103"/>
      <c r="S430" s="2103"/>
      <c r="T430" s="2103"/>
      <c r="U430" s="2103"/>
      <c r="V430" s="2103"/>
      <c r="W430" s="2103"/>
      <c r="X430" s="2103"/>
      <c r="Y430" s="2188"/>
    </row>
    <row r="431" spans="1:25">
      <c r="A431" s="2187"/>
      <c r="M431" s="2103"/>
      <c r="N431" s="2103"/>
      <c r="O431" s="2103"/>
      <c r="P431" s="2103"/>
      <c r="Q431" s="2103"/>
      <c r="R431" s="2103"/>
      <c r="S431" s="2103"/>
      <c r="T431" s="2103"/>
      <c r="U431" s="2103"/>
      <c r="V431" s="2103"/>
      <c r="W431" s="2103"/>
      <c r="X431" s="2103"/>
      <c r="Y431" s="2188"/>
    </row>
    <row r="432" spans="1:25">
      <c r="A432" s="2187"/>
      <c r="M432" s="2103"/>
      <c r="N432" s="2103"/>
      <c r="O432" s="2103"/>
      <c r="P432" s="2103"/>
      <c r="Q432" s="2103"/>
      <c r="R432" s="2103"/>
      <c r="S432" s="2103"/>
      <c r="T432" s="2103"/>
      <c r="U432" s="2103"/>
      <c r="V432" s="2103"/>
      <c r="W432" s="2103"/>
      <c r="X432" s="2103"/>
      <c r="Y432" s="2188"/>
    </row>
    <row r="433" spans="1:25">
      <c r="A433" s="2187"/>
      <c r="M433" s="2103"/>
      <c r="N433" s="2103"/>
      <c r="O433" s="2103"/>
      <c r="P433" s="2103"/>
      <c r="Q433" s="2103"/>
      <c r="R433" s="2103"/>
      <c r="S433" s="2103"/>
      <c r="T433" s="2103"/>
      <c r="U433" s="2103"/>
      <c r="V433" s="2103"/>
      <c r="W433" s="2103"/>
      <c r="X433" s="2103"/>
      <c r="Y433" s="2188"/>
    </row>
    <row r="434" spans="1:25">
      <c r="A434" s="2187"/>
      <c r="M434" s="2103"/>
      <c r="N434" s="2103"/>
      <c r="O434" s="2103"/>
      <c r="P434" s="2103"/>
      <c r="Q434" s="2103"/>
      <c r="R434" s="2103"/>
      <c r="S434" s="2103"/>
      <c r="T434" s="2103"/>
      <c r="U434" s="2103"/>
      <c r="V434" s="2103"/>
      <c r="W434" s="2103"/>
      <c r="X434" s="2103"/>
      <c r="Y434" s="2188"/>
    </row>
    <row r="435" spans="1:25">
      <c r="A435" s="2187"/>
      <c r="M435" s="2103"/>
      <c r="N435" s="2103"/>
      <c r="O435" s="2103"/>
      <c r="P435" s="2103"/>
      <c r="Q435" s="2103"/>
      <c r="R435" s="2103"/>
      <c r="S435" s="2103"/>
      <c r="T435" s="2103"/>
      <c r="U435" s="2103"/>
      <c r="V435" s="2103"/>
      <c r="W435" s="2103"/>
      <c r="X435" s="2103"/>
      <c r="Y435" s="2188"/>
    </row>
    <row r="436" spans="1:25" ht="12" thickBot="1">
      <c r="A436" s="2189"/>
      <c r="B436" s="2190"/>
      <c r="C436" s="2190"/>
      <c r="D436" s="2190"/>
      <c r="E436" s="2190"/>
      <c r="F436" s="2190"/>
      <c r="G436" s="2190"/>
      <c r="H436" s="2190"/>
      <c r="I436" s="2190"/>
      <c r="J436" s="2190"/>
      <c r="K436" s="2190"/>
      <c r="L436" s="2191"/>
      <c r="M436" s="2191"/>
      <c r="N436" s="2191"/>
      <c r="O436" s="2191"/>
      <c r="P436" s="2191"/>
      <c r="Q436" s="2191"/>
      <c r="R436" s="2191"/>
      <c r="S436" s="2191"/>
      <c r="T436" s="2191"/>
      <c r="U436" s="2191"/>
      <c r="V436" s="2191"/>
      <c r="W436" s="2191"/>
      <c r="X436" s="2191"/>
      <c r="Y436" s="2192"/>
    </row>
  </sheetData>
  <mergeCells count="51">
    <mergeCell ref="A79:A90"/>
    <mergeCell ref="Y79:Y90"/>
    <mergeCell ref="C81:C83"/>
    <mergeCell ref="C84:C85"/>
    <mergeCell ref="C87:C88"/>
    <mergeCell ref="C89:C90"/>
    <mergeCell ref="X86:X90"/>
    <mergeCell ref="A67:A78"/>
    <mergeCell ref="Y67:Y78"/>
    <mergeCell ref="C69:C70"/>
    <mergeCell ref="C72:C73"/>
    <mergeCell ref="C75:C76"/>
    <mergeCell ref="C77:C78"/>
    <mergeCell ref="X74:X78"/>
    <mergeCell ref="A55:A66"/>
    <mergeCell ref="Y55:Y66"/>
    <mergeCell ref="C57:C58"/>
    <mergeCell ref="C60:C61"/>
    <mergeCell ref="C63:C64"/>
    <mergeCell ref="C65:C66"/>
    <mergeCell ref="X62:X66"/>
    <mergeCell ref="A43:A54"/>
    <mergeCell ref="Y43:Y54"/>
    <mergeCell ref="C45:C46"/>
    <mergeCell ref="C47:C49"/>
    <mergeCell ref="C51:C52"/>
    <mergeCell ref="C53:C54"/>
    <mergeCell ref="X50:X54"/>
    <mergeCell ref="Y22:Y30"/>
    <mergeCell ref="A31:A42"/>
    <mergeCell ref="Y31:Y42"/>
    <mergeCell ref="C36:C37"/>
    <mergeCell ref="C39:C40"/>
    <mergeCell ref="C41:C42"/>
    <mergeCell ref="X38:X42"/>
    <mergeCell ref="A22:A30"/>
    <mergeCell ref="X28:X30"/>
    <mergeCell ref="C33:C35"/>
    <mergeCell ref="C24:C30"/>
    <mergeCell ref="B4:B6"/>
    <mergeCell ref="C4:C6"/>
    <mergeCell ref="D4:D6"/>
    <mergeCell ref="Y4:Y6"/>
    <mergeCell ref="Y11:Y21"/>
    <mergeCell ref="C12:C16"/>
    <mergeCell ref="C18:C21"/>
    <mergeCell ref="X4:X6"/>
    <mergeCell ref="X17:X21"/>
    <mergeCell ref="M4:M5"/>
    <mergeCell ref="O4:O5"/>
    <mergeCell ref="P4:W5"/>
  </mergeCells>
  <printOptions horizontalCentered="1"/>
  <pageMargins left="0.15748031496062992" right="0.15748031496062992" top="0.47244094488188981" bottom="0.39370078740157483" header="0.15748031496062992" footer="0.15748031496062992"/>
  <pageSetup paperSize="9" scale="69" firstPageNumber="42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______________________________________________________________________________________________________________________________________</oddHeader>
    <oddFooter>&amp;C&amp;8&amp;P</oddFooter>
  </headerFooter>
  <rowBreaks count="1" manualBreakCount="1">
    <brk id="92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X254"/>
  <sheetViews>
    <sheetView showGridLines="0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P228" sqref="P228"/>
    </sheetView>
  </sheetViews>
  <sheetFormatPr defaultColWidth="9.140625" defaultRowHeight="12" outlineLevelRow="1"/>
  <cols>
    <col min="1" max="1" width="3.7109375" style="2093" customWidth="1"/>
    <col min="2" max="2" width="57.140625" style="1144" customWidth="1"/>
    <col min="3" max="3" width="9.7109375" style="1144" customWidth="1"/>
    <col min="4" max="4" width="12.85546875" style="1144" customWidth="1"/>
    <col min="5" max="5" width="12" style="1144" hidden="1" customWidth="1"/>
    <col min="6" max="6" width="11.7109375" style="1144" hidden="1" customWidth="1"/>
    <col min="7" max="7" width="10.140625" style="1144" hidden="1" customWidth="1"/>
    <col min="8" max="8" width="12.28515625" style="1144" hidden="1" customWidth="1"/>
    <col min="9" max="10" width="10.140625" style="1144" hidden="1" customWidth="1"/>
    <col min="11" max="11" width="12.5703125" style="1144" hidden="1" customWidth="1"/>
    <col min="12" max="12" width="12.7109375" style="1144" hidden="1" customWidth="1"/>
    <col min="13" max="13" width="12.5703125" style="1144" customWidth="1"/>
    <col min="14" max="14" width="10" style="2103" hidden="1" customWidth="1"/>
    <col min="15" max="15" width="10.140625" style="1144" customWidth="1"/>
    <col min="16" max="16" width="10.42578125" style="1144" customWidth="1"/>
    <col min="17" max="17" width="10" style="1144" customWidth="1"/>
    <col min="18" max="20" width="9.42578125" style="1144" customWidth="1"/>
    <col min="21" max="21" width="9.5703125" style="1144" customWidth="1"/>
    <col min="22" max="22" width="10.5703125" style="1144" customWidth="1"/>
    <col min="23" max="23" width="9.42578125" style="1144" customWidth="1"/>
    <col min="24" max="24" width="11.7109375" style="1144" customWidth="1"/>
    <col min="25" max="25" width="15.7109375" style="2097" customWidth="1"/>
    <col min="26" max="26" width="15.140625" style="1144" hidden="1" customWidth="1"/>
    <col min="27" max="27" width="11.7109375" style="1144" bestFit="1" customWidth="1"/>
    <col min="28" max="16384" width="9.140625" style="1144"/>
  </cols>
  <sheetData>
    <row r="1" spans="1:76" ht="16.5" customHeight="1">
      <c r="F1" s="2094"/>
      <c r="N1" s="1144"/>
      <c r="P1" s="3725"/>
      <c r="Q1" s="3725"/>
      <c r="R1" s="3725"/>
      <c r="S1" s="1138" t="s">
        <v>450</v>
      </c>
      <c r="T1" s="1132"/>
      <c r="U1" s="1132"/>
      <c r="V1" s="1132"/>
      <c r="W1" s="1132"/>
      <c r="X1" s="310"/>
      <c r="Y1" s="311"/>
    </row>
    <row r="2" spans="1:76" ht="15" hidden="1" customHeight="1">
      <c r="F2" s="2094"/>
      <c r="N2" s="1139"/>
      <c r="O2" s="1137"/>
      <c r="P2" s="1137"/>
      <c r="Q2" s="1137"/>
      <c r="R2" s="1137"/>
      <c r="S2" s="1137"/>
      <c r="T2" s="1137"/>
      <c r="U2" s="1137"/>
      <c r="V2" s="1137"/>
      <c r="W2" s="1137"/>
      <c r="X2" s="310"/>
      <c r="Y2" s="311"/>
    </row>
    <row r="3" spans="1:76" ht="9" customHeight="1">
      <c r="D3" s="2094"/>
      <c r="F3" s="2094"/>
      <c r="N3" s="1139"/>
      <c r="O3" s="1139"/>
      <c r="P3" s="1139"/>
      <c r="Q3" s="1139"/>
      <c r="R3" s="1139"/>
      <c r="S3" s="1139"/>
      <c r="T3" s="1139"/>
      <c r="U3" s="1139"/>
      <c r="V3" s="1139"/>
      <c r="W3" s="1139"/>
      <c r="X3" s="310"/>
      <c r="Y3" s="311"/>
    </row>
    <row r="4" spans="1:76" s="2096" customFormat="1" ht="40.5" customHeight="1">
      <c r="A4" s="3726" t="s">
        <v>302</v>
      </c>
      <c r="B4" s="3726"/>
      <c r="C4" s="3726"/>
      <c r="D4" s="3726"/>
      <c r="E4" s="3726"/>
      <c r="F4" s="3726"/>
      <c r="G4" s="3726"/>
      <c r="H4" s="3726"/>
      <c r="I4" s="3726"/>
      <c r="J4" s="3726"/>
      <c r="K4" s="3726"/>
      <c r="L4" s="3726"/>
      <c r="M4" s="3726"/>
      <c r="N4" s="3726"/>
      <c r="O4" s="3726"/>
      <c r="P4" s="3726"/>
      <c r="Q4" s="3726"/>
      <c r="R4" s="3726"/>
      <c r="S4" s="3726"/>
      <c r="T4" s="3726"/>
      <c r="U4" s="3726"/>
      <c r="V4" s="3726"/>
      <c r="W4" s="3726"/>
      <c r="X4" s="3726"/>
      <c r="Y4" s="3726"/>
      <c r="Z4" s="2095"/>
      <c r="AA4" s="2095"/>
      <c r="AB4" s="2095"/>
      <c r="AC4" s="2095"/>
      <c r="AD4" s="2095"/>
      <c r="AE4" s="2095"/>
      <c r="AF4" s="2095"/>
      <c r="AG4" s="2095"/>
      <c r="AH4" s="2095"/>
      <c r="AI4" s="2095"/>
      <c r="AJ4" s="2095"/>
      <c r="AK4" s="2095"/>
      <c r="AL4" s="2095"/>
      <c r="AM4" s="2095"/>
      <c r="AN4" s="2095"/>
      <c r="AO4" s="2095"/>
      <c r="AP4" s="2095"/>
      <c r="AQ4" s="2095"/>
      <c r="AR4" s="2095"/>
      <c r="AS4" s="2095"/>
      <c r="AT4" s="2095"/>
      <c r="AU4" s="2095"/>
      <c r="AV4" s="1143"/>
      <c r="AW4" s="1143"/>
      <c r="AX4" s="1143"/>
      <c r="AY4" s="1143"/>
      <c r="AZ4" s="1143"/>
      <c r="BA4" s="1143"/>
      <c r="BB4" s="1143"/>
      <c r="BC4" s="1143"/>
      <c r="BD4" s="1143"/>
      <c r="BE4" s="1143"/>
      <c r="BF4" s="1143"/>
      <c r="BG4" s="1143"/>
      <c r="BH4" s="1143"/>
      <c r="BI4" s="1143"/>
      <c r="BJ4" s="1143"/>
      <c r="BK4" s="1143"/>
      <c r="BL4" s="1143"/>
      <c r="BM4" s="1143"/>
      <c r="BN4" s="1143"/>
      <c r="BO4" s="1143"/>
      <c r="BP4" s="1143"/>
      <c r="BQ4" s="1143"/>
      <c r="BR4" s="1143"/>
      <c r="BS4" s="1143"/>
      <c r="BT4" s="1143"/>
      <c r="BU4" s="1143"/>
      <c r="BV4" s="1143"/>
      <c r="BW4" s="1143"/>
      <c r="BX4" s="1143"/>
    </row>
    <row r="5" spans="1:76" ht="33.75" customHeight="1">
      <c r="A5" s="3727"/>
      <c r="B5" s="3728" t="s">
        <v>91</v>
      </c>
      <c r="C5" s="3729" t="s">
        <v>87</v>
      </c>
      <c r="D5" s="3730" t="s">
        <v>88</v>
      </c>
      <c r="E5" s="3731" t="s">
        <v>3</v>
      </c>
      <c r="F5" s="3732"/>
      <c r="G5" s="3732"/>
      <c r="H5" s="3732"/>
      <c r="I5" s="3732"/>
      <c r="J5" s="3732"/>
      <c r="K5" s="3732"/>
      <c r="L5" s="3733"/>
      <c r="M5" s="3734" t="s">
        <v>363</v>
      </c>
      <c r="N5" s="3735"/>
      <c r="O5" s="3736" t="s">
        <v>375</v>
      </c>
      <c r="P5" s="3737" t="s">
        <v>370</v>
      </c>
      <c r="Q5" s="3738"/>
      <c r="R5" s="3738"/>
      <c r="S5" s="3738"/>
      <c r="T5" s="3738"/>
      <c r="U5" s="3738"/>
      <c r="V5" s="3738"/>
      <c r="W5" s="3739"/>
      <c r="X5" s="3740" t="s">
        <v>343</v>
      </c>
      <c r="Y5" s="3741" t="s">
        <v>89</v>
      </c>
      <c r="Z5" s="1143"/>
      <c r="AA5" s="1143"/>
      <c r="AB5" s="1143"/>
      <c r="AC5" s="1143"/>
      <c r="AD5" s="1143"/>
      <c r="AE5" s="1143"/>
      <c r="AF5" s="1143"/>
      <c r="AG5" s="1143"/>
      <c r="AH5" s="1143"/>
      <c r="AI5" s="1143"/>
      <c r="AJ5" s="1143"/>
      <c r="AK5" s="1143"/>
      <c r="AL5" s="1143"/>
      <c r="AM5" s="1143"/>
      <c r="AN5" s="1143"/>
      <c r="AO5" s="1143"/>
      <c r="AP5" s="1143"/>
      <c r="AQ5" s="1143"/>
      <c r="AR5" s="1143"/>
      <c r="AS5" s="1143"/>
      <c r="AT5" s="1143"/>
      <c r="AU5" s="1143"/>
      <c r="AV5" s="1143"/>
      <c r="AW5" s="1143"/>
      <c r="AX5" s="1143"/>
      <c r="AY5" s="1143"/>
      <c r="AZ5" s="1143"/>
      <c r="BA5" s="1143"/>
      <c r="BB5" s="1143"/>
      <c r="BC5" s="1143"/>
      <c r="BD5" s="1143"/>
      <c r="BE5" s="1143"/>
      <c r="BF5" s="1143"/>
      <c r="BG5" s="1143"/>
      <c r="BH5" s="1143"/>
      <c r="BI5" s="1143"/>
      <c r="BJ5" s="1143"/>
      <c r="BK5" s="1143"/>
      <c r="BL5" s="1143"/>
      <c r="BM5" s="1143"/>
      <c r="BN5" s="1143"/>
      <c r="BO5" s="1143"/>
      <c r="BP5" s="1143"/>
      <c r="BQ5" s="1143"/>
      <c r="BR5" s="1143"/>
      <c r="BS5" s="1143"/>
      <c r="BT5" s="1143"/>
      <c r="BU5" s="1143"/>
      <c r="BV5" s="1143"/>
      <c r="BW5" s="1143"/>
      <c r="BX5" s="1143"/>
    </row>
    <row r="6" spans="1:76" ht="27" customHeight="1">
      <c r="A6" s="3742" t="s">
        <v>90</v>
      </c>
      <c r="B6" s="3589"/>
      <c r="C6" s="3743"/>
      <c r="D6" s="3744"/>
      <c r="E6" s="3745"/>
      <c r="F6" s="3746"/>
      <c r="G6" s="3746"/>
      <c r="H6" s="3746"/>
      <c r="I6" s="3746"/>
      <c r="J6" s="3746"/>
      <c r="K6" s="3746"/>
      <c r="L6" s="3747"/>
      <c r="M6" s="3748"/>
      <c r="N6" s="3746"/>
      <c r="O6" s="3749"/>
      <c r="P6" s="2695"/>
      <c r="Q6" s="2696"/>
      <c r="R6" s="2696"/>
      <c r="S6" s="2696"/>
      <c r="T6" s="2696"/>
      <c r="U6" s="2696"/>
      <c r="V6" s="2696"/>
      <c r="W6" s="2697"/>
      <c r="X6" s="2899"/>
      <c r="Y6" s="3750"/>
      <c r="Z6" s="1143"/>
      <c r="AA6" s="1143"/>
      <c r="AB6" s="1143"/>
      <c r="AC6" s="1143"/>
      <c r="AD6" s="1143"/>
      <c r="AE6" s="1143"/>
      <c r="AF6" s="1143"/>
      <c r="AG6" s="1143"/>
      <c r="AH6" s="1143"/>
      <c r="AI6" s="1143"/>
      <c r="AJ6" s="1143"/>
      <c r="AK6" s="1143"/>
      <c r="AL6" s="1143"/>
      <c r="AM6" s="1143"/>
      <c r="AN6" s="1143"/>
      <c r="AO6" s="1143"/>
      <c r="AP6" s="1143"/>
      <c r="AQ6" s="1143"/>
      <c r="AR6" s="1143"/>
      <c r="AS6" s="1143"/>
      <c r="AT6" s="1143"/>
      <c r="AU6" s="1143"/>
      <c r="AV6" s="1143"/>
      <c r="AW6" s="1143"/>
      <c r="AX6" s="1143"/>
      <c r="AY6" s="1143"/>
      <c r="AZ6" s="1143"/>
      <c r="BA6" s="1143"/>
      <c r="BB6" s="1143"/>
      <c r="BC6" s="1143"/>
      <c r="BD6" s="1143"/>
      <c r="BE6" s="1143"/>
      <c r="BF6" s="1143"/>
      <c r="BG6" s="1143"/>
      <c r="BH6" s="1143"/>
      <c r="BI6" s="1143"/>
      <c r="BJ6" s="1143"/>
      <c r="BK6" s="1143"/>
      <c r="BL6" s="1143"/>
      <c r="BM6" s="1143"/>
      <c r="BN6" s="1143"/>
      <c r="BO6" s="1143"/>
      <c r="BP6" s="1143"/>
      <c r="BQ6" s="1143"/>
      <c r="BR6" s="1143"/>
      <c r="BS6" s="1143"/>
      <c r="BT6" s="1143"/>
      <c r="BU6" s="1143"/>
      <c r="BV6" s="1143"/>
      <c r="BW6" s="1143"/>
      <c r="BX6" s="1143"/>
    </row>
    <row r="7" spans="1:76" ht="38.25" customHeight="1">
      <c r="A7" s="3751"/>
      <c r="B7" s="3752"/>
      <c r="C7" s="3753"/>
      <c r="D7" s="3754"/>
      <c r="E7" s="3755" t="s">
        <v>6</v>
      </c>
      <c r="F7" s="3756" t="s">
        <v>7</v>
      </c>
      <c r="G7" s="3756" t="s">
        <v>8</v>
      </c>
      <c r="H7" s="3756" t="s">
        <v>9</v>
      </c>
      <c r="I7" s="3757" t="s">
        <v>10</v>
      </c>
      <c r="J7" s="3757" t="s">
        <v>11</v>
      </c>
      <c r="K7" s="3757" t="s">
        <v>12</v>
      </c>
      <c r="L7" s="3757" t="s">
        <v>13</v>
      </c>
      <c r="M7" s="3758" t="s">
        <v>338</v>
      </c>
      <c r="N7" s="3757" t="s">
        <v>14</v>
      </c>
      <c r="O7" s="3757" t="s">
        <v>15</v>
      </c>
      <c r="P7" s="3757" t="s">
        <v>16</v>
      </c>
      <c r="Q7" s="3757" t="s">
        <v>17</v>
      </c>
      <c r="R7" s="3757" t="s">
        <v>18</v>
      </c>
      <c r="S7" s="3757" t="s">
        <v>271</v>
      </c>
      <c r="T7" s="3757" t="s">
        <v>276</v>
      </c>
      <c r="U7" s="3757" t="s">
        <v>340</v>
      </c>
      <c r="V7" s="3757" t="s">
        <v>341</v>
      </c>
      <c r="W7" s="3757" t="s">
        <v>339</v>
      </c>
      <c r="X7" s="3759"/>
      <c r="Y7" s="3760"/>
      <c r="Z7" s="1143"/>
      <c r="AA7" s="1143"/>
      <c r="AB7" s="1143"/>
      <c r="AC7" s="1143"/>
      <c r="AD7" s="1143"/>
      <c r="AE7" s="1143"/>
      <c r="AF7" s="1143"/>
      <c r="AG7" s="1143"/>
      <c r="AH7" s="1143"/>
      <c r="AI7" s="1143"/>
      <c r="AJ7" s="1143"/>
      <c r="AK7" s="1143"/>
      <c r="AL7" s="1143"/>
      <c r="AM7" s="1143"/>
      <c r="AN7" s="1143"/>
      <c r="AO7" s="1143"/>
      <c r="AP7" s="1143"/>
      <c r="AQ7" s="1143"/>
      <c r="AR7" s="1143"/>
      <c r="AS7" s="1143"/>
      <c r="AT7" s="1143"/>
      <c r="AU7" s="1143"/>
      <c r="AV7" s="1143"/>
      <c r="AW7" s="1143"/>
      <c r="AX7" s="1143"/>
      <c r="AY7" s="1143"/>
      <c r="AZ7" s="1143"/>
      <c r="BA7" s="1143"/>
      <c r="BB7" s="1143"/>
      <c r="BC7" s="1143"/>
      <c r="BD7" s="1143"/>
      <c r="BE7" s="1143"/>
      <c r="BF7" s="1143"/>
      <c r="BG7" s="1143"/>
      <c r="BH7" s="1143"/>
      <c r="BI7" s="1143"/>
      <c r="BJ7" s="1143"/>
      <c r="BK7" s="1143"/>
      <c r="BL7" s="1143"/>
      <c r="BM7" s="1143"/>
      <c r="BN7" s="1143"/>
      <c r="BO7" s="1143"/>
      <c r="BP7" s="1143"/>
      <c r="BQ7" s="1143"/>
      <c r="BR7" s="1143"/>
      <c r="BS7" s="1143"/>
      <c r="BT7" s="1143"/>
      <c r="BU7" s="1143"/>
      <c r="BV7" s="1143"/>
      <c r="BW7" s="1143"/>
      <c r="BX7" s="1143"/>
    </row>
    <row r="8" spans="1:76" ht="9.75" customHeight="1">
      <c r="A8" s="3761">
        <v>1</v>
      </c>
      <c r="B8" s="3762">
        <v>2</v>
      </c>
      <c r="C8" s="3763">
        <v>3</v>
      </c>
      <c r="D8" s="3763">
        <v>4</v>
      </c>
      <c r="E8" s="3764"/>
      <c r="F8" s="3764"/>
      <c r="G8" s="3764"/>
      <c r="H8" s="3764"/>
      <c r="I8" s="3765"/>
      <c r="J8" s="3765"/>
      <c r="K8" s="3765"/>
      <c r="L8" s="3765"/>
      <c r="M8" s="3765">
        <v>5</v>
      </c>
      <c r="N8" s="3765" t="s">
        <v>342</v>
      </c>
      <c r="O8" s="3765">
        <v>6</v>
      </c>
      <c r="P8" s="3765">
        <v>7</v>
      </c>
      <c r="Q8" s="3765">
        <v>8</v>
      </c>
      <c r="R8" s="3765">
        <v>9</v>
      </c>
      <c r="S8" s="3765">
        <v>10</v>
      </c>
      <c r="T8" s="3765">
        <v>11</v>
      </c>
      <c r="U8" s="3765">
        <v>12</v>
      </c>
      <c r="V8" s="3765">
        <v>13</v>
      </c>
      <c r="W8" s="3765">
        <v>14</v>
      </c>
      <c r="X8" s="3766">
        <v>15</v>
      </c>
      <c r="Y8" s="3765">
        <v>16</v>
      </c>
      <c r="Z8" s="1143"/>
      <c r="AA8" s="1143"/>
      <c r="AB8" s="1143"/>
      <c r="AC8" s="1143"/>
      <c r="AD8" s="1143"/>
      <c r="AE8" s="1143"/>
      <c r="AF8" s="1143"/>
      <c r="AG8" s="1143"/>
      <c r="AH8" s="1143"/>
      <c r="AI8" s="1143"/>
      <c r="AJ8" s="1143"/>
      <c r="AK8" s="1143"/>
      <c r="AL8" s="1143"/>
      <c r="AM8" s="1143"/>
      <c r="AN8" s="1143"/>
      <c r="AO8" s="1143"/>
      <c r="AP8" s="1143"/>
      <c r="AQ8" s="1143"/>
      <c r="AR8" s="1143"/>
      <c r="AS8" s="1143"/>
      <c r="AT8" s="1143"/>
      <c r="AU8" s="1143"/>
      <c r="AV8" s="1143"/>
      <c r="AW8" s="1143"/>
      <c r="AX8" s="1143"/>
      <c r="AY8" s="1143"/>
      <c r="AZ8" s="1143"/>
      <c r="BA8" s="1143"/>
      <c r="BB8" s="1143"/>
      <c r="BC8" s="1143"/>
      <c r="BD8" s="1143"/>
      <c r="BE8" s="1143"/>
      <c r="BF8" s="1143"/>
      <c r="BG8" s="1143"/>
      <c r="BH8" s="1143"/>
      <c r="BI8" s="1143"/>
      <c r="BJ8" s="1143"/>
      <c r="BK8" s="1143"/>
      <c r="BL8" s="1143"/>
      <c r="BM8" s="1143"/>
      <c r="BN8" s="1143"/>
      <c r="BO8" s="1143"/>
      <c r="BP8" s="1143"/>
      <c r="BQ8" s="1143"/>
      <c r="BR8" s="1143"/>
      <c r="BS8" s="1143"/>
      <c r="BT8" s="1143"/>
      <c r="BU8" s="1143"/>
      <c r="BV8" s="1143"/>
      <c r="BW8" s="1143"/>
      <c r="BX8" s="1143"/>
    </row>
    <row r="9" spans="1:76" s="1987" customFormat="1" ht="16.5" customHeight="1">
      <c r="A9" s="3767"/>
      <c r="B9" s="3768" t="s">
        <v>92</v>
      </c>
      <c r="C9" s="766"/>
      <c r="D9" s="767">
        <f>+D10+D11</f>
        <v>60099700</v>
      </c>
      <c r="E9" s="767">
        <f t="shared" ref="E9:R9" si="0">+E10+E11</f>
        <v>0</v>
      </c>
      <c r="F9" s="767">
        <f t="shared" si="0"/>
        <v>0</v>
      </c>
      <c r="G9" s="767">
        <f t="shared" si="0"/>
        <v>0</v>
      </c>
      <c r="H9" s="767">
        <f t="shared" si="0"/>
        <v>0</v>
      </c>
      <c r="I9" s="767">
        <f>+I10+I11</f>
        <v>0</v>
      </c>
      <c r="J9" s="767">
        <f t="shared" si="0"/>
        <v>629249</v>
      </c>
      <c r="K9" s="767">
        <f>+K10+K11</f>
        <v>5990094</v>
      </c>
      <c r="L9" s="767">
        <f t="shared" si="0"/>
        <v>4311439</v>
      </c>
      <c r="M9" s="767">
        <f>+M10+M11</f>
        <v>14035549</v>
      </c>
      <c r="N9" s="767">
        <f t="shared" si="0"/>
        <v>3104767</v>
      </c>
      <c r="O9" s="767">
        <f t="shared" si="0"/>
        <v>7029238</v>
      </c>
      <c r="P9" s="767">
        <f t="shared" si="0"/>
        <v>10868088</v>
      </c>
      <c r="Q9" s="767">
        <f t="shared" si="0"/>
        <v>10033675</v>
      </c>
      <c r="R9" s="767">
        <f t="shared" si="0"/>
        <v>4882671</v>
      </c>
      <c r="S9" s="767">
        <f t="shared" ref="S9:X9" si="1">+S10+S11</f>
        <v>3729040</v>
      </c>
      <c r="T9" s="767">
        <f t="shared" si="1"/>
        <v>2720411</v>
      </c>
      <c r="U9" s="767">
        <f t="shared" si="1"/>
        <v>2720411</v>
      </c>
      <c r="V9" s="767">
        <f t="shared" si="1"/>
        <v>2720411</v>
      </c>
      <c r="W9" s="767">
        <f t="shared" si="1"/>
        <v>1360206</v>
      </c>
      <c r="X9" s="652">
        <f t="shared" si="1"/>
        <v>39034913</v>
      </c>
      <c r="Y9" s="3769"/>
      <c r="Z9" s="1154">
        <f>P9+Q9+R9+S9+T9+U9+V9+W9</f>
        <v>39034913</v>
      </c>
    </row>
    <row r="10" spans="1:76" s="1987" customFormat="1" ht="13.5" customHeight="1">
      <c r="A10" s="3770"/>
      <c r="B10" s="3768" t="s">
        <v>93</v>
      </c>
      <c r="C10" s="766"/>
      <c r="D10" s="767">
        <f t="shared" ref="D10:W10" si="2">+D35+D104+D131+D138</f>
        <v>25156056</v>
      </c>
      <c r="E10" s="767">
        <f t="shared" si="2"/>
        <v>0</v>
      </c>
      <c r="F10" s="767">
        <f t="shared" si="2"/>
        <v>0</v>
      </c>
      <c r="G10" s="767">
        <f t="shared" si="2"/>
        <v>0</v>
      </c>
      <c r="H10" s="767">
        <f t="shared" si="2"/>
        <v>0</v>
      </c>
      <c r="I10" s="767">
        <f t="shared" si="2"/>
        <v>0</v>
      </c>
      <c r="J10" s="767">
        <f t="shared" si="2"/>
        <v>0</v>
      </c>
      <c r="K10" s="767">
        <f t="shared" si="2"/>
        <v>0</v>
      </c>
      <c r="L10" s="767">
        <f t="shared" si="2"/>
        <v>0</v>
      </c>
      <c r="M10" s="767">
        <f t="shared" si="2"/>
        <v>0</v>
      </c>
      <c r="N10" s="767">
        <f t="shared" si="2"/>
        <v>0</v>
      </c>
      <c r="O10" s="767">
        <f t="shared" si="2"/>
        <v>2071007</v>
      </c>
      <c r="P10" s="767">
        <f t="shared" si="2"/>
        <v>5500000</v>
      </c>
      <c r="Q10" s="767">
        <f t="shared" si="2"/>
        <v>3900000</v>
      </c>
      <c r="R10" s="767">
        <f t="shared" si="2"/>
        <v>1663610</v>
      </c>
      <c r="S10" s="767">
        <f t="shared" si="2"/>
        <v>2500000</v>
      </c>
      <c r="T10" s="767">
        <f t="shared" si="2"/>
        <v>2720411</v>
      </c>
      <c r="U10" s="767">
        <f t="shared" si="2"/>
        <v>2720411</v>
      </c>
      <c r="V10" s="767">
        <f t="shared" si="2"/>
        <v>2720411</v>
      </c>
      <c r="W10" s="767">
        <f t="shared" si="2"/>
        <v>1360206</v>
      </c>
      <c r="X10" s="652">
        <f>SUM(P10:W10)</f>
        <v>23085049</v>
      </c>
      <c r="Y10" s="3769"/>
      <c r="Z10" s="1154"/>
    </row>
    <row r="11" spans="1:76" s="1987" customFormat="1" ht="13.5" customHeight="1" thickBot="1">
      <c r="A11" s="3770"/>
      <c r="B11" s="772" t="s">
        <v>21</v>
      </c>
      <c r="C11" s="3295"/>
      <c r="D11" s="769">
        <f t="shared" ref="D11:W11" si="3">D165+D69+D80+D91+D119+D54+D152</f>
        <v>34943644</v>
      </c>
      <c r="E11" s="769">
        <f t="shared" si="3"/>
        <v>0</v>
      </c>
      <c r="F11" s="769">
        <f t="shared" si="3"/>
        <v>0</v>
      </c>
      <c r="G11" s="769">
        <f t="shared" si="3"/>
        <v>0</v>
      </c>
      <c r="H11" s="769">
        <f t="shared" si="3"/>
        <v>0</v>
      </c>
      <c r="I11" s="769">
        <f t="shared" si="3"/>
        <v>0</v>
      </c>
      <c r="J11" s="769">
        <f t="shared" si="3"/>
        <v>629249</v>
      </c>
      <c r="K11" s="769">
        <f t="shared" si="3"/>
        <v>5990094</v>
      </c>
      <c r="L11" s="769">
        <f t="shared" si="3"/>
        <v>4311439</v>
      </c>
      <c r="M11" s="769">
        <f t="shared" si="3"/>
        <v>14035549</v>
      </c>
      <c r="N11" s="769">
        <f t="shared" si="3"/>
        <v>3104767</v>
      </c>
      <c r="O11" s="769">
        <f t="shared" si="3"/>
        <v>4958231</v>
      </c>
      <c r="P11" s="769">
        <f t="shared" si="3"/>
        <v>5368088</v>
      </c>
      <c r="Q11" s="769">
        <f t="shared" si="3"/>
        <v>6133675</v>
      </c>
      <c r="R11" s="769">
        <f t="shared" si="3"/>
        <v>3219061</v>
      </c>
      <c r="S11" s="769">
        <f t="shared" si="3"/>
        <v>1229040</v>
      </c>
      <c r="T11" s="769">
        <f t="shared" si="3"/>
        <v>0</v>
      </c>
      <c r="U11" s="769">
        <f t="shared" si="3"/>
        <v>0</v>
      </c>
      <c r="V11" s="769">
        <f t="shared" si="3"/>
        <v>0</v>
      </c>
      <c r="W11" s="769">
        <f t="shared" si="3"/>
        <v>0</v>
      </c>
      <c r="X11" s="654">
        <f>SUM(P11:W11)</f>
        <v>15949864</v>
      </c>
      <c r="Y11" s="3771"/>
    </row>
    <row r="12" spans="1:76" s="3777" customFormat="1" ht="14.25" customHeight="1">
      <c r="A12" s="3772"/>
      <c r="B12" s="501" t="s">
        <v>22</v>
      </c>
      <c r="C12" s="696"/>
      <c r="D12" s="554">
        <f>+D13+D18</f>
        <v>60099700</v>
      </c>
      <c r="E12" s="783">
        <f t="shared" ref="E12:X12" si="4">+E13+E18</f>
        <v>0</v>
      </c>
      <c r="F12" s="783">
        <f>+F13+F18</f>
        <v>0</v>
      </c>
      <c r="G12" s="783">
        <f>+G13+G18</f>
        <v>0</v>
      </c>
      <c r="H12" s="783">
        <f>+H13+H18</f>
        <v>0</v>
      </c>
      <c r="I12" s="783">
        <f t="shared" si="4"/>
        <v>0</v>
      </c>
      <c r="J12" s="783">
        <f t="shared" si="4"/>
        <v>629249</v>
      </c>
      <c r="K12" s="783">
        <f>+K13+K18</f>
        <v>5990094</v>
      </c>
      <c r="L12" s="783">
        <f t="shared" si="4"/>
        <v>4311439</v>
      </c>
      <c r="M12" s="783">
        <f>+M13+M18</f>
        <v>14035549</v>
      </c>
      <c r="N12" s="783">
        <f t="shared" si="4"/>
        <v>3104767</v>
      </c>
      <c r="O12" s="783">
        <f t="shared" si="4"/>
        <v>7029238</v>
      </c>
      <c r="P12" s="783">
        <f t="shared" si="4"/>
        <v>10868088</v>
      </c>
      <c r="Q12" s="783">
        <f t="shared" si="4"/>
        <v>10033675</v>
      </c>
      <c r="R12" s="783">
        <f t="shared" si="4"/>
        <v>4882671</v>
      </c>
      <c r="S12" s="783">
        <f>+S13+S18</f>
        <v>3729040</v>
      </c>
      <c r="T12" s="783">
        <f>+T13+T18</f>
        <v>2720411</v>
      </c>
      <c r="U12" s="783">
        <f>+U13+U18</f>
        <v>2720411</v>
      </c>
      <c r="V12" s="783">
        <f>+V13+V18</f>
        <v>2720411</v>
      </c>
      <c r="W12" s="783">
        <f>+W13+W18</f>
        <v>1360206</v>
      </c>
      <c r="X12" s="3773">
        <f t="shared" si="4"/>
        <v>39034913</v>
      </c>
      <c r="Y12" s="3774"/>
      <c r="Z12" s="3775"/>
      <c r="AA12" s="1243"/>
      <c r="AB12" s="3776"/>
      <c r="AC12" s="3776"/>
      <c r="AD12" s="3776"/>
      <c r="AE12" s="3776"/>
      <c r="AF12" s="3776"/>
      <c r="AG12" s="3776"/>
      <c r="AH12" s="3776"/>
      <c r="AI12" s="3776"/>
      <c r="AJ12" s="3776"/>
      <c r="AK12" s="3776"/>
      <c r="AL12" s="3776"/>
      <c r="AM12" s="3776"/>
      <c r="AN12" s="3776"/>
      <c r="AO12" s="3776"/>
      <c r="AP12" s="3776"/>
      <c r="AQ12" s="3776"/>
      <c r="AR12" s="3776"/>
      <c r="AS12" s="3776"/>
      <c r="AT12" s="3776"/>
      <c r="AU12" s="3776"/>
      <c r="AV12" s="3776"/>
      <c r="AW12" s="3776"/>
      <c r="AX12" s="3776"/>
      <c r="AY12" s="3776"/>
      <c r="AZ12" s="3776"/>
      <c r="BA12" s="3776"/>
      <c r="BB12" s="3776"/>
      <c r="BC12" s="3776"/>
      <c r="BD12" s="3776"/>
      <c r="BE12" s="3776"/>
      <c r="BF12" s="3776"/>
      <c r="BG12" s="3776"/>
      <c r="BH12" s="3776"/>
      <c r="BI12" s="3776"/>
      <c r="BJ12" s="3776"/>
      <c r="BK12" s="3776"/>
      <c r="BL12" s="3776"/>
      <c r="BM12" s="3776"/>
      <c r="BN12" s="3776"/>
      <c r="BO12" s="3776"/>
      <c r="BP12" s="3776"/>
      <c r="BQ12" s="3776"/>
      <c r="BR12" s="3776"/>
      <c r="BS12" s="3776"/>
      <c r="BT12" s="3776"/>
      <c r="BU12" s="3776"/>
      <c r="BV12" s="3776"/>
      <c r="BW12" s="3776"/>
      <c r="BX12" s="3776"/>
    </row>
    <row r="13" spans="1:76" s="865" customFormat="1" ht="14.25" customHeight="1">
      <c r="A13" s="3778"/>
      <c r="B13" s="3779" t="s">
        <v>23</v>
      </c>
      <c r="C13" s="3780"/>
      <c r="D13" s="3781">
        <f>SUM(D14:D17)</f>
        <v>25701523</v>
      </c>
      <c r="E13" s="3781">
        <f>SUM(E14:E17)</f>
        <v>0</v>
      </c>
      <c r="F13" s="3781">
        <f>SUM(F14:F17)</f>
        <v>0</v>
      </c>
      <c r="G13" s="3781">
        <f>SUM(G14:G17)</f>
        <v>0</v>
      </c>
      <c r="H13" s="3781">
        <f>SUM(H14:H17)</f>
        <v>0</v>
      </c>
      <c r="I13" s="3781">
        <f>+I14+I15+I16+I17</f>
        <v>0</v>
      </c>
      <c r="J13" s="3781">
        <f t="shared" ref="J13:X13" si="5">SUM(J14:J17)</f>
        <v>0</v>
      </c>
      <c r="K13" s="3781">
        <f t="shared" si="5"/>
        <v>3801777</v>
      </c>
      <c r="L13" s="3781">
        <f t="shared" si="5"/>
        <v>3261339</v>
      </c>
      <c r="M13" s="3781">
        <f t="shared" si="5"/>
        <v>7063116</v>
      </c>
      <c r="N13" s="3781">
        <f t="shared" si="5"/>
        <v>0</v>
      </c>
      <c r="O13" s="3781">
        <f t="shared" si="5"/>
        <v>1056476</v>
      </c>
      <c r="P13" s="3781">
        <f t="shared" si="5"/>
        <v>4039337</v>
      </c>
      <c r="Q13" s="3781">
        <f t="shared" si="5"/>
        <v>6444915</v>
      </c>
      <c r="R13" s="3781">
        <f t="shared" si="5"/>
        <v>2044442</v>
      </c>
      <c r="S13" s="3781">
        <f t="shared" si="5"/>
        <v>1590288</v>
      </c>
      <c r="T13" s="3781">
        <f t="shared" si="5"/>
        <v>989414</v>
      </c>
      <c r="U13" s="3781">
        <f t="shared" si="5"/>
        <v>989414</v>
      </c>
      <c r="V13" s="3781">
        <f t="shared" si="5"/>
        <v>989414</v>
      </c>
      <c r="W13" s="3781">
        <f t="shared" si="5"/>
        <v>494707</v>
      </c>
      <c r="X13" s="3782">
        <f t="shared" si="5"/>
        <v>17581931</v>
      </c>
      <c r="Y13" s="3783"/>
      <c r="AA13" s="1987"/>
    </row>
    <row r="14" spans="1:76" s="865" customFormat="1" ht="14.25" hidden="1" customHeight="1">
      <c r="A14" s="3784"/>
      <c r="B14" s="3785" t="s">
        <v>24</v>
      </c>
      <c r="C14" s="3786"/>
      <c r="D14" s="3787">
        <f t="shared" ref="D14:X14" si="6">+D37+D106+D121+D140+D154</f>
        <v>0</v>
      </c>
      <c r="E14" s="3787">
        <f t="shared" si="6"/>
        <v>0</v>
      </c>
      <c r="F14" s="3787">
        <f t="shared" si="6"/>
        <v>0</v>
      </c>
      <c r="G14" s="3787">
        <f t="shared" si="6"/>
        <v>0</v>
      </c>
      <c r="H14" s="3787">
        <f t="shared" si="6"/>
        <v>0</v>
      </c>
      <c r="I14" s="3787">
        <f t="shared" si="6"/>
        <v>0</v>
      </c>
      <c r="J14" s="3787">
        <f t="shared" si="6"/>
        <v>0</v>
      </c>
      <c r="K14" s="3787">
        <f t="shared" si="6"/>
        <v>0</v>
      </c>
      <c r="L14" s="3787">
        <f t="shared" si="6"/>
        <v>0</v>
      </c>
      <c r="M14" s="3787">
        <f t="shared" si="6"/>
        <v>0</v>
      </c>
      <c r="N14" s="3787">
        <f t="shared" si="6"/>
        <v>0</v>
      </c>
      <c r="O14" s="3787">
        <f t="shared" si="6"/>
        <v>0</v>
      </c>
      <c r="P14" s="3787">
        <f t="shared" si="6"/>
        <v>0</v>
      </c>
      <c r="Q14" s="3787">
        <f t="shared" si="6"/>
        <v>0</v>
      </c>
      <c r="R14" s="3787">
        <f t="shared" si="6"/>
        <v>0</v>
      </c>
      <c r="S14" s="3787">
        <f t="shared" si="6"/>
        <v>0</v>
      </c>
      <c r="T14" s="3787">
        <f t="shared" si="6"/>
        <v>0</v>
      </c>
      <c r="U14" s="3787">
        <f t="shared" si="6"/>
        <v>0</v>
      </c>
      <c r="V14" s="3787">
        <f t="shared" si="6"/>
        <v>0</v>
      </c>
      <c r="W14" s="3787">
        <f t="shared" si="6"/>
        <v>0</v>
      </c>
      <c r="X14" s="3788">
        <f t="shared" si="6"/>
        <v>0</v>
      </c>
      <c r="Y14" s="3783"/>
      <c r="Z14" s="1349"/>
      <c r="AA14" s="3789"/>
    </row>
    <row r="15" spans="1:76" s="865" customFormat="1" ht="14.25" customHeight="1" outlineLevel="1">
      <c r="A15" s="3784"/>
      <c r="B15" s="3790" t="s">
        <v>25</v>
      </c>
      <c r="C15" s="3786"/>
      <c r="D15" s="3787">
        <f>D168+D38+D56+D141+D155</f>
        <v>9149279</v>
      </c>
      <c r="E15" s="3787">
        <f t="shared" ref="E15:L15" si="7">+E168+E38+E56</f>
        <v>0</v>
      </c>
      <c r="F15" s="3787">
        <f t="shared" si="7"/>
        <v>0</v>
      </c>
      <c r="G15" s="3787">
        <f t="shared" si="7"/>
        <v>0</v>
      </c>
      <c r="H15" s="3787">
        <f t="shared" si="7"/>
        <v>0</v>
      </c>
      <c r="I15" s="3787">
        <f t="shared" si="7"/>
        <v>0</v>
      </c>
      <c r="J15" s="3787">
        <f t="shared" si="7"/>
        <v>0</v>
      </c>
      <c r="K15" s="3787">
        <f t="shared" si="7"/>
        <v>0</v>
      </c>
      <c r="L15" s="3787">
        <f t="shared" si="7"/>
        <v>0</v>
      </c>
      <c r="M15" s="3787">
        <f t="shared" ref="M15:X15" si="8">M168+M38+M56+M141+M155</f>
        <v>0</v>
      </c>
      <c r="N15" s="3787">
        <f t="shared" si="8"/>
        <v>0</v>
      </c>
      <c r="O15" s="3787">
        <f t="shared" si="8"/>
        <v>753226</v>
      </c>
      <c r="P15" s="3787">
        <f t="shared" si="8"/>
        <v>2000000</v>
      </c>
      <c r="Q15" s="3787">
        <f t="shared" si="8"/>
        <v>1418000</v>
      </c>
      <c r="R15" s="3787">
        <f t="shared" si="8"/>
        <v>605854</v>
      </c>
      <c r="S15" s="3787">
        <f t="shared" si="8"/>
        <v>909250</v>
      </c>
      <c r="T15" s="3787">
        <f t="shared" si="8"/>
        <v>989414</v>
      </c>
      <c r="U15" s="3787">
        <f t="shared" si="8"/>
        <v>989414</v>
      </c>
      <c r="V15" s="3787">
        <f t="shared" si="8"/>
        <v>989414</v>
      </c>
      <c r="W15" s="3787">
        <f t="shared" si="8"/>
        <v>494707</v>
      </c>
      <c r="X15" s="3788">
        <f t="shared" si="8"/>
        <v>8396053</v>
      </c>
      <c r="Y15" s="3783"/>
      <c r="Z15" s="1349">
        <f>D15-D25</f>
        <v>0</v>
      </c>
      <c r="AA15" s="3789"/>
    </row>
    <row r="16" spans="1:76" s="865" customFormat="1" ht="14.25" hidden="1" customHeight="1" outlineLevel="1">
      <c r="A16" s="3784"/>
      <c r="B16" s="3785" t="s">
        <v>26</v>
      </c>
      <c r="C16" s="3786"/>
      <c r="D16" s="3787">
        <f>+D39+D93+D107+D122+D57</f>
        <v>0</v>
      </c>
      <c r="E16" s="3787">
        <f t="shared" ref="E16:L16" si="9">+E39+E93+E107+E122+E57+E141+E155</f>
        <v>0</v>
      </c>
      <c r="F16" s="3787">
        <f t="shared" si="9"/>
        <v>0</v>
      </c>
      <c r="G16" s="3787">
        <f t="shared" si="9"/>
        <v>0</v>
      </c>
      <c r="H16" s="3787">
        <f t="shared" si="9"/>
        <v>0</v>
      </c>
      <c r="I16" s="3787">
        <f t="shared" si="9"/>
        <v>0</v>
      </c>
      <c r="J16" s="3787">
        <f t="shared" si="9"/>
        <v>0</v>
      </c>
      <c r="K16" s="3787">
        <f t="shared" si="9"/>
        <v>0</v>
      </c>
      <c r="L16" s="3787">
        <f t="shared" si="9"/>
        <v>0</v>
      </c>
      <c r="M16" s="3787">
        <f t="shared" ref="M16:X16" si="10">+M39+M93+M107+M122+M57</f>
        <v>0</v>
      </c>
      <c r="N16" s="3787">
        <f t="shared" si="10"/>
        <v>0</v>
      </c>
      <c r="O16" s="3787">
        <f t="shared" si="10"/>
        <v>0</v>
      </c>
      <c r="P16" s="3787">
        <f t="shared" si="10"/>
        <v>0</v>
      </c>
      <c r="Q16" s="3787">
        <f t="shared" si="10"/>
        <v>0</v>
      </c>
      <c r="R16" s="3787">
        <f t="shared" si="10"/>
        <v>0</v>
      </c>
      <c r="S16" s="3787">
        <f t="shared" si="10"/>
        <v>0</v>
      </c>
      <c r="T16" s="3787">
        <f t="shared" si="10"/>
        <v>0</v>
      </c>
      <c r="U16" s="3787">
        <f t="shared" si="10"/>
        <v>0</v>
      </c>
      <c r="V16" s="3787">
        <f t="shared" si="10"/>
        <v>0</v>
      </c>
      <c r="W16" s="3787">
        <f t="shared" si="10"/>
        <v>0</v>
      </c>
      <c r="X16" s="3788">
        <f t="shared" si="10"/>
        <v>0</v>
      </c>
      <c r="Y16" s="3783"/>
      <c r="Z16" s="1349">
        <f>D16-D26</f>
        <v>0</v>
      </c>
      <c r="AA16" s="3789"/>
    </row>
    <row r="17" spans="1:27" s="865" customFormat="1" ht="14.25" customHeight="1" outlineLevel="1">
      <c r="A17" s="3784"/>
      <c r="B17" s="3785" t="s">
        <v>28</v>
      </c>
      <c r="C17" s="3791"/>
      <c r="D17" s="3787">
        <f t="shared" ref="D17:X17" si="11">+D71+D82</f>
        <v>16552244</v>
      </c>
      <c r="E17" s="3787">
        <f t="shared" si="11"/>
        <v>0</v>
      </c>
      <c r="F17" s="3787">
        <f t="shared" si="11"/>
        <v>0</v>
      </c>
      <c r="G17" s="3787">
        <f t="shared" si="11"/>
        <v>0</v>
      </c>
      <c r="H17" s="3787">
        <f t="shared" si="11"/>
        <v>0</v>
      </c>
      <c r="I17" s="3787">
        <f t="shared" si="11"/>
        <v>0</v>
      </c>
      <c r="J17" s="3787">
        <f t="shared" si="11"/>
        <v>0</v>
      </c>
      <c r="K17" s="3787">
        <f t="shared" si="11"/>
        <v>3801777</v>
      </c>
      <c r="L17" s="3787">
        <f t="shared" si="11"/>
        <v>3261339</v>
      </c>
      <c r="M17" s="3787">
        <f t="shared" si="11"/>
        <v>7063116</v>
      </c>
      <c r="N17" s="3787">
        <f t="shared" si="11"/>
        <v>0</v>
      </c>
      <c r="O17" s="3787">
        <f t="shared" si="11"/>
        <v>303250</v>
      </c>
      <c r="P17" s="3787">
        <f t="shared" si="11"/>
        <v>2039337</v>
      </c>
      <c r="Q17" s="3787">
        <f t="shared" si="11"/>
        <v>5026915</v>
      </c>
      <c r="R17" s="3787">
        <f t="shared" si="11"/>
        <v>1438588</v>
      </c>
      <c r="S17" s="3787">
        <f t="shared" si="11"/>
        <v>681038</v>
      </c>
      <c r="T17" s="3787">
        <f t="shared" si="11"/>
        <v>0</v>
      </c>
      <c r="U17" s="3787">
        <f t="shared" si="11"/>
        <v>0</v>
      </c>
      <c r="V17" s="3787">
        <f t="shared" si="11"/>
        <v>0</v>
      </c>
      <c r="W17" s="3787">
        <f t="shared" si="11"/>
        <v>0</v>
      </c>
      <c r="X17" s="3788">
        <f t="shared" si="11"/>
        <v>9185878</v>
      </c>
      <c r="Y17" s="3783"/>
      <c r="Z17" s="1349">
        <f>D17-D27</f>
        <v>0</v>
      </c>
      <c r="AA17" s="3789"/>
    </row>
    <row r="18" spans="1:27" s="865" customFormat="1" ht="14.25" customHeight="1" outlineLevel="1">
      <c r="A18" s="3778"/>
      <c r="B18" s="3792" t="s">
        <v>30</v>
      </c>
      <c r="C18" s="3793"/>
      <c r="D18" s="3794">
        <f>+D20+D21+D22+D19</f>
        <v>34398177</v>
      </c>
      <c r="E18" s="3794">
        <f t="shared" ref="E18:T18" si="12">+E20+E21+E22+E19</f>
        <v>0</v>
      </c>
      <c r="F18" s="3794">
        <f t="shared" si="12"/>
        <v>0</v>
      </c>
      <c r="G18" s="3794">
        <f t="shared" si="12"/>
        <v>0</v>
      </c>
      <c r="H18" s="3794">
        <f t="shared" si="12"/>
        <v>0</v>
      </c>
      <c r="I18" s="3794">
        <f t="shared" si="12"/>
        <v>0</v>
      </c>
      <c r="J18" s="3794">
        <f t="shared" si="12"/>
        <v>629249</v>
      </c>
      <c r="K18" s="3794">
        <f t="shared" si="12"/>
        <v>2188317</v>
      </c>
      <c r="L18" s="3794">
        <f t="shared" si="12"/>
        <v>1050100</v>
      </c>
      <c r="M18" s="3794">
        <f>+M20+M21+M22+M19</f>
        <v>6972433</v>
      </c>
      <c r="N18" s="3794">
        <f t="shared" si="12"/>
        <v>3104767</v>
      </c>
      <c r="O18" s="3794">
        <f t="shared" si="12"/>
        <v>5972762</v>
      </c>
      <c r="P18" s="3794">
        <f t="shared" si="12"/>
        <v>6828751</v>
      </c>
      <c r="Q18" s="3794">
        <f t="shared" si="12"/>
        <v>3588760</v>
      </c>
      <c r="R18" s="3794">
        <f t="shared" si="12"/>
        <v>2838229</v>
      </c>
      <c r="S18" s="3794">
        <f t="shared" si="12"/>
        <v>2138752</v>
      </c>
      <c r="T18" s="3794">
        <f t="shared" si="12"/>
        <v>1730997</v>
      </c>
      <c r="U18" s="3794">
        <f>+U20+U21+U22+U19</f>
        <v>1730997</v>
      </c>
      <c r="V18" s="3794">
        <f>+V20+V21+V22+V19</f>
        <v>1730997</v>
      </c>
      <c r="W18" s="3794">
        <f>+W20+W21+W22+W19</f>
        <v>865499</v>
      </c>
      <c r="X18" s="3795">
        <f>+X20+X21+X22+X19</f>
        <v>21452982</v>
      </c>
      <c r="Y18" s="3783"/>
      <c r="Z18" s="3789">
        <f>D20-D31</f>
        <v>0</v>
      </c>
      <c r="AA18" s="3789"/>
    </row>
    <row r="19" spans="1:27" s="865" customFormat="1" ht="14.25" hidden="1" customHeight="1" outlineLevel="1">
      <c r="A19" s="3778"/>
      <c r="B19" s="3785" t="s">
        <v>24</v>
      </c>
      <c r="C19" s="3780"/>
      <c r="D19" s="3787">
        <f t="shared" ref="D19:W19" si="13">+D109+D41</f>
        <v>0</v>
      </c>
      <c r="E19" s="3787">
        <f t="shared" si="13"/>
        <v>0</v>
      </c>
      <c r="F19" s="3787">
        <f t="shared" si="13"/>
        <v>0</v>
      </c>
      <c r="G19" s="3787">
        <f t="shared" si="13"/>
        <v>0</v>
      </c>
      <c r="H19" s="3787">
        <f t="shared" si="13"/>
        <v>0</v>
      </c>
      <c r="I19" s="3787">
        <f t="shared" si="13"/>
        <v>0</v>
      </c>
      <c r="J19" s="3787">
        <f t="shared" si="13"/>
        <v>0</v>
      </c>
      <c r="K19" s="3787">
        <f t="shared" si="13"/>
        <v>0</v>
      </c>
      <c r="L19" s="3787">
        <f t="shared" si="13"/>
        <v>0</v>
      </c>
      <c r="M19" s="3787">
        <f t="shared" si="13"/>
        <v>0</v>
      </c>
      <c r="N19" s="3787">
        <f t="shared" si="13"/>
        <v>0</v>
      </c>
      <c r="O19" s="3787">
        <f t="shared" si="13"/>
        <v>0</v>
      </c>
      <c r="P19" s="3787">
        <f t="shared" si="13"/>
        <v>0</v>
      </c>
      <c r="Q19" s="3787">
        <f t="shared" si="13"/>
        <v>0</v>
      </c>
      <c r="R19" s="3787">
        <f t="shared" si="13"/>
        <v>0</v>
      </c>
      <c r="S19" s="3787">
        <f t="shared" si="13"/>
        <v>0</v>
      </c>
      <c r="T19" s="3787">
        <f t="shared" si="13"/>
        <v>0</v>
      </c>
      <c r="U19" s="3787">
        <f t="shared" si="13"/>
        <v>0</v>
      </c>
      <c r="V19" s="3787">
        <f t="shared" si="13"/>
        <v>0</v>
      </c>
      <c r="W19" s="3787">
        <f t="shared" si="13"/>
        <v>0</v>
      </c>
      <c r="X19" s="3788">
        <f>+X109</f>
        <v>0</v>
      </c>
      <c r="Y19" s="3783"/>
      <c r="Z19" s="3789"/>
      <c r="AA19" s="3789"/>
    </row>
    <row r="20" spans="1:27" s="865" customFormat="1" ht="14.25" customHeight="1" outlineLevel="1">
      <c r="A20" s="3778"/>
      <c r="B20" s="3790" t="s">
        <v>33</v>
      </c>
      <c r="C20" s="3786"/>
      <c r="D20" s="3787">
        <f>D170+D42+D95+D59+D143+D157</f>
        <v>16006777</v>
      </c>
      <c r="E20" s="3787">
        <f t="shared" ref="E20:L20" si="14">E170+E42+E95+E59</f>
        <v>0</v>
      </c>
      <c r="F20" s="3787">
        <f t="shared" si="14"/>
        <v>0</v>
      </c>
      <c r="G20" s="3787">
        <f t="shared" si="14"/>
        <v>0</v>
      </c>
      <c r="H20" s="3787">
        <f t="shared" si="14"/>
        <v>0</v>
      </c>
      <c r="I20" s="3787">
        <f t="shared" si="14"/>
        <v>0</v>
      </c>
      <c r="J20" s="3787">
        <f t="shared" si="14"/>
        <v>0</v>
      </c>
      <c r="K20" s="3787">
        <f t="shared" si="14"/>
        <v>0</v>
      </c>
      <c r="L20" s="3787">
        <f t="shared" si="14"/>
        <v>0</v>
      </c>
      <c r="M20" s="3787">
        <f t="shared" ref="M20:X20" si="15">M170+M42+M95+M59+M143+M157</f>
        <v>0</v>
      </c>
      <c r="N20" s="3787">
        <f t="shared" si="15"/>
        <v>0</v>
      </c>
      <c r="O20" s="3787">
        <f t="shared" si="15"/>
        <v>1317781</v>
      </c>
      <c r="P20" s="3787">
        <f t="shared" si="15"/>
        <v>3500000</v>
      </c>
      <c r="Q20" s="3787">
        <f t="shared" si="15"/>
        <v>2482000</v>
      </c>
      <c r="R20" s="3787">
        <f t="shared" si="15"/>
        <v>1057756</v>
      </c>
      <c r="S20" s="3787">
        <f t="shared" si="15"/>
        <v>1590750</v>
      </c>
      <c r="T20" s="3787">
        <f t="shared" si="15"/>
        <v>1730997</v>
      </c>
      <c r="U20" s="3787">
        <f t="shared" si="15"/>
        <v>1730997</v>
      </c>
      <c r="V20" s="3787">
        <f t="shared" si="15"/>
        <v>1730997</v>
      </c>
      <c r="W20" s="3787">
        <f t="shared" si="15"/>
        <v>865499</v>
      </c>
      <c r="X20" s="3788">
        <f t="shared" si="15"/>
        <v>14688996</v>
      </c>
      <c r="Y20" s="3783"/>
      <c r="Z20" s="1349"/>
      <c r="AA20" s="3789"/>
    </row>
    <row r="21" spans="1:27" s="865" customFormat="1" ht="14.25" hidden="1" customHeight="1" outlineLevel="1">
      <c r="A21" s="3778"/>
      <c r="B21" s="3785" t="s">
        <v>26</v>
      </c>
      <c r="C21" s="3796"/>
      <c r="D21" s="3787">
        <f>+D43+D96+D110+D124+D60</f>
        <v>0</v>
      </c>
      <c r="E21" s="3787">
        <f t="shared" ref="E21:L21" si="16">+E43+E96+E110+E124+E60+E143+E157</f>
        <v>0</v>
      </c>
      <c r="F21" s="3787">
        <f t="shared" si="16"/>
        <v>0</v>
      </c>
      <c r="G21" s="3787">
        <f t="shared" si="16"/>
        <v>0</v>
      </c>
      <c r="H21" s="3787">
        <f t="shared" si="16"/>
        <v>0</v>
      </c>
      <c r="I21" s="3787">
        <f t="shared" si="16"/>
        <v>0</v>
      </c>
      <c r="J21" s="3787">
        <f t="shared" si="16"/>
        <v>0</v>
      </c>
      <c r="K21" s="3787">
        <f t="shared" si="16"/>
        <v>0</v>
      </c>
      <c r="L21" s="3787">
        <f t="shared" si="16"/>
        <v>0</v>
      </c>
      <c r="M21" s="3787">
        <f t="shared" ref="M21:X21" si="17">+M43+M96+M110+M124+M60</f>
        <v>0</v>
      </c>
      <c r="N21" s="3787">
        <f t="shared" si="17"/>
        <v>0</v>
      </c>
      <c r="O21" s="3787">
        <f t="shared" si="17"/>
        <v>0</v>
      </c>
      <c r="P21" s="3787">
        <f t="shared" si="17"/>
        <v>0</v>
      </c>
      <c r="Q21" s="3787">
        <f t="shared" si="17"/>
        <v>0</v>
      </c>
      <c r="R21" s="3787">
        <f t="shared" si="17"/>
        <v>0</v>
      </c>
      <c r="S21" s="3787">
        <f t="shared" si="17"/>
        <v>0</v>
      </c>
      <c r="T21" s="3787">
        <f t="shared" si="17"/>
        <v>0</v>
      </c>
      <c r="U21" s="3787">
        <f t="shared" si="17"/>
        <v>0</v>
      </c>
      <c r="V21" s="3787">
        <f t="shared" si="17"/>
        <v>0</v>
      </c>
      <c r="W21" s="3787">
        <f t="shared" si="17"/>
        <v>0</v>
      </c>
      <c r="X21" s="3788">
        <f t="shared" si="17"/>
        <v>0</v>
      </c>
      <c r="Y21" s="3783"/>
      <c r="Z21" s="1349"/>
      <c r="AA21" s="3789"/>
    </row>
    <row r="22" spans="1:27" s="865" customFormat="1" ht="14.25" customHeight="1" outlineLevel="1">
      <c r="A22" s="3778"/>
      <c r="B22" s="3790" t="s">
        <v>32</v>
      </c>
      <c r="C22" s="3796"/>
      <c r="D22" s="3787">
        <f t="shared" ref="D22:X22" si="18">D73+D84+D133</f>
        <v>18391400</v>
      </c>
      <c r="E22" s="3787">
        <f t="shared" si="18"/>
        <v>0</v>
      </c>
      <c r="F22" s="3787">
        <f t="shared" si="18"/>
        <v>0</v>
      </c>
      <c r="G22" s="3787">
        <f t="shared" si="18"/>
        <v>0</v>
      </c>
      <c r="H22" s="3787">
        <f t="shared" si="18"/>
        <v>0</v>
      </c>
      <c r="I22" s="3787">
        <f t="shared" si="18"/>
        <v>0</v>
      </c>
      <c r="J22" s="3787">
        <f t="shared" si="18"/>
        <v>629249</v>
      </c>
      <c r="K22" s="3787">
        <f t="shared" si="18"/>
        <v>2188317</v>
      </c>
      <c r="L22" s="3787">
        <f t="shared" si="18"/>
        <v>1050100</v>
      </c>
      <c r="M22" s="3787">
        <f t="shared" si="18"/>
        <v>6972433</v>
      </c>
      <c r="N22" s="3787">
        <f t="shared" si="18"/>
        <v>3104767</v>
      </c>
      <c r="O22" s="3787">
        <f t="shared" si="18"/>
        <v>4654981</v>
      </c>
      <c r="P22" s="3787">
        <f t="shared" si="18"/>
        <v>3328751</v>
      </c>
      <c r="Q22" s="3787">
        <f t="shared" si="18"/>
        <v>1106760</v>
      </c>
      <c r="R22" s="3787">
        <f t="shared" si="18"/>
        <v>1780473</v>
      </c>
      <c r="S22" s="3787">
        <f t="shared" si="18"/>
        <v>548002</v>
      </c>
      <c r="T22" s="3787">
        <f t="shared" si="18"/>
        <v>0</v>
      </c>
      <c r="U22" s="3787">
        <f t="shared" si="18"/>
        <v>0</v>
      </c>
      <c r="V22" s="3787">
        <f t="shared" si="18"/>
        <v>0</v>
      </c>
      <c r="W22" s="3787">
        <f t="shared" si="18"/>
        <v>0</v>
      </c>
      <c r="X22" s="3788">
        <f t="shared" si="18"/>
        <v>6763986</v>
      </c>
      <c r="Y22" s="3797"/>
      <c r="Z22" s="1349"/>
      <c r="AA22" s="3789"/>
    </row>
    <row r="23" spans="1:27" s="865" customFormat="1" ht="14.25" customHeight="1" outlineLevel="1">
      <c r="A23" s="3770"/>
      <c r="B23" s="501" t="s">
        <v>34</v>
      </c>
      <c r="C23" s="522"/>
      <c r="D23" s="3798">
        <f>+D24+D30</f>
        <v>60099700</v>
      </c>
      <c r="E23" s="3798">
        <f t="shared" ref="E23:N23" si="19">+E24+E30</f>
        <v>0</v>
      </c>
      <c r="F23" s="3798">
        <f>+F24+F30</f>
        <v>0</v>
      </c>
      <c r="G23" s="3798">
        <f>+G24+G30</f>
        <v>0</v>
      </c>
      <c r="H23" s="3798">
        <f>+H24+H30</f>
        <v>0</v>
      </c>
      <c r="I23" s="3798">
        <f t="shared" si="19"/>
        <v>0</v>
      </c>
      <c r="J23" s="3798">
        <f t="shared" si="19"/>
        <v>3544011</v>
      </c>
      <c r="K23" s="3798">
        <f t="shared" si="19"/>
        <v>8207133</v>
      </c>
      <c r="L23" s="3798">
        <f t="shared" si="19"/>
        <v>6670133</v>
      </c>
      <c r="M23" s="3798">
        <f>+M24+M30</f>
        <v>18421278</v>
      </c>
      <c r="N23" s="3798">
        <f t="shared" si="19"/>
        <v>0</v>
      </c>
      <c r="O23" s="3798">
        <f t="shared" ref="O23:W23" si="20">+O24+O30</f>
        <v>2374257</v>
      </c>
      <c r="P23" s="3798">
        <f t="shared" si="20"/>
        <v>12235102</v>
      </c>
      <c r="Q23" s="3798">
        <f t="shared" si="20"/>
        <v>8400484</v>
      </c>
      <c r="R23" s="3798">
        <f t="shared" si="20"/>
        <v>1663610</v>
      </c>
      <c r="S23" s="3798">
        <f t="shared" si="20"/>
        <v>7483531</v>
      </c>
      <c r="T23" s="3798">
        <f t="shared" si="20"/>
        <v>2720411</v>
      </c>
      <c r="U23" s="3798">
        <f t="shared" si="20"/>
        <v>2720411</v>
      </c>
      <c r="V23" s="3798">
        <f t="shared" si="20"/>
        <v>2720411</v>
      </c>
      <c r="W23" s="3798">
        <f t="shared" si="20"/>
        <v>1360206</v>
      </c>
      <c r="X23" s="3799" t="s">
        <v>77</v>
      </c>
      <c r="Y23" s="3800"/>
      <c r="Z23" s="3789">
        <f>D33-D22-D19</f>
        <v>0</v>
      </c>
    </row>
    <row r="24" spans="1:27" s="865" customFormat="1" ht="14.25" customHeight="1" outlineLevel="1">
      <c r="A24" s="3778"/>
      <c r="B24" s="3779" t="s">
        <v>23</v>
      </c>
      <c r="C24" s="3780"/>
      <c r="D24" s="3781">
        <f t="shared" ref="D24:P24" si="21">SUM(D25:D29)</f>
        <v>25701523</v>
      </c>
      <c r="E24" s="3781">
        <f t="shared" si="21"/>
        <v>0</v>
      </c>
      <c r="F24" s="3781">
        <f t="shared" si="21"/>
        <v>0</v>
      </c>
      <c r="G24" s="3781">
        <f t="shared" si="21"/>
        <v>0</v>
      </c>
      <c r="H24" s="3781">
        <f t="shared" si="21"/>
        <v>0</v>
      </c>
      <c r="I24" s="3781">
        <f t="shared" si="21"/>
        <v>0</v>
      </c>
      <c r="J24" s="3781">
        <f t="shared" si="21"/>
        <v>0</v>
      </c>
      <c r="K24" s="3781">
        <f t="shared" si="21"/>
        <v>3801777</v>
      </c>
      <c r="L24" s="3781">
        <f t="shared" si="21"/>
        <v>3261339</v>
      </c>
      <c r="M24" s="3781">
        <f>SUM(M25:M29)</f>
        <v>7063117</v>
      </c>
      <c r="N24" s="3781">
        <f t="shared" si="21"/>
        <v>0</v>
      </c>
      <c r="O24" s="3781">
        <f t="shared" si="21"/>
        <v>1056476</v>
      </c>
      <c r="P24" s="3781">
        <f t="shared" si="21"/>
        <v>4039337</v>
      </c>
      <c r="Q24" s="3781">
        <f t="shared" ref="Q24:W24" si="22">SUM(Q25:Q29)</f>
        <v>4860541</v>
      </c>
      <c r="R24" s="3781">
        <f t="shared" si="22"/>
        <v>605854</v>
      </c>
      <c r="S24" s="3781">
        <f t="shared" si="22"/>
        <v>4613250</v>
      </c>
      <c r="T24" s="3781">
        <f t="shared" si="22"/>
        <v>989414</v>
      </c>
      <c r="U24" s="3781">
        <f t="shared" si="22"/>
        <v>989414</v>
      </c>
      <c r="V24" s="3781">
        <f t="shared" si="22"/>
        <v>989414</v>
      </c>
      <c r="W24" s="3781">
        <f t="shared" si="22"/>
        <v>494707</v>
      </c>
      <c r="X24" s="3801"/>
      <c r="Y24" s="3783"/>
      <c r="Z24" s="3789"/>
    </row>
    <row r="25" spans="1:27" s="865" customFormat="1" ht="14.25" customHeight="1" outlineLevel="1">
      <c r="A25" s="3784"/>
      <c r="B25" s="3790" t="s">
        <v>25</v>
      </c>
      <c r="C25" s="3791"/>
      <c r="D25" s="3787">
        <f>+D173+D46+D63+D146+D160</f>
        <v>9149279</v>
      </c>
      <c r="E25" s="3787">
        <f t="shared" ref="E25:L25" si="23">+E173+E46+E63</f>
        <v>0</v>
      </c>
      <c r="F25" s="3787">
        <f t="shared" si="23"/>
        <v>0</v>
      </c>
      <c r="G25" s="3787">
        <f t="shared" si="23"/>
        <v>0</v>
      </c>
      <c r="H25" s="3787">
        <f t="shared" si="23"/>
        <v>0</v>
      </c>
      <c r="I25" s="3787">
        <f t="shared" si="23"/>
        <v>0</v>
      </c>
      <c r="J25" s="3787">
        <f t="shared" si="23"/>
        <v>0</v>
      </c>
      <c r="K25" s="3787">
        <f t="shared" si="23"/>
        <v>0</v>
      </c>
      <c r="L25" s="3787">
        <f t="shared" si="23"/>
        <v>0</v>
      </c>
      <c r="M25" s="3787">
        <f t="shared" ref="M25:W25" si="24">+M173+M46+M63+M146+M160</f>
        <v>0</v>
      </c>
      <c r="N25" s="3787">
        <f t="shared" si="24"/>
        <v>0</v>
      </c>
      <c r="O25" s="3787">
        <f t="shared" si="24"/>
        <v>753226</v>
      </c>
      <c r="P25" s="3787">
        <f t="shared" si="24"/>
        <v>2000000</v>
      </c>
      <c r="Q25" s="3787">
        <f t="shared" si="24"/>
        <v>1418000</v>
      </c>
      <c r="R25" s="3787">
        <f t="shared" si="24"/>
        <v>605854</v>
      </c>
      <c r="S25" s="3787">
        <f t="shared" si="24"/>
        <v>909250</v>
      </c>
      <c r="T25" s="3787">
        <f t="shared" si="24"/>
        <v>989414</v>
      </c>
      <c r="U25" s="3787">
        <f t="shared" si="24"/>
        <v>989414</v>
      </c>
      <c r="V25" s="3787">
        <f t="shared" si="24"/>
        <v>989414</v>
      </c>
      <c r="W25" s="3787">
        <f t="shared" si="24"/>
        <v>494707</v>
      </c>
      <c r="X25" s="3801"/>
      <c r="Y25" s="3783"/>
      <c r="Z25" s="3789">
        <f>D25-D15</f>
        <v>0</v>
      </c>
    </row>
    <row r="26" spans="1:27" s="865" customFormat="1" ht="14.25" hidden="1" customHeight="1" outlineLevel="1">
      <c r="A26" s="3784"/>
      <c r="B26" s="3785" t="s">
        <v>26</v>
      </c>
      <c r="C26" s="3786"/>
      <c r="D26" s="3787">
        <f>+D47+D99+D113+D127+D64</f>
        <v>0</v>
      </c>
      <c r="E26" s="3787">
        <f t="shared" ref="E26:L26" si="25">+E47+E99+E113+E127+E64+E146+E160</f>
        <v>0</v>
      </c>
      <c r="F26" s="3787">
        <f t="shared" si="25"/>
        <v>0</v>
      </c>
      <c r="G26" s="3787">
        <f t="shared" si="25"/>
        <v>0</v>
      </c>
      <c r="H26" s="3787">
        <f t="shared" si="25"/>
        <v>0</v>
      </c>
      <c r="I26" s="3787">
        <f t="shared" si="25"/>
        <v>0</v>
      </c>
      <c r="J26" s="3787">
        <f t="shared" si="25"/>
        <v>0</v>
      </c>
      <c r="K26" s="3787">
        <f t="shared" si="25"/>
        <v>0</v>
      </c>
      <c r="L26" s="3787">
        <f t="shared" si="25"/>
        <v>0</v>
      </c>
      <c r="M26" s="3787">
        <f t="shared" ref="M26:W26" si="26">+M47+M99+M113+M127+M64</f>
        <v>0</v>
      </c>
      <c r="N26" s="3787">
        <f t="shared" si="26"/>
        <v>0</v>
      </c>
      <c r="O26" s="3787">
        <f t="shared" si="26"/>
        <v>0</v>
      </c>
      <c r="P26" s="3787">
        <f t="shared" si="26"/>
        <v>0</v>
      </c>
      <c r="Q26" s="3787">
        <f t="shared" si="26"/>
        <v>0</v>
      </c>
      <c r="R26" s="3787">
        <f t="shared" si="26"/>
        <v>0</v>
      </c>
      <c r="S26" s="3787">
        <f t="shared" si="26"/>
        <v>0</v>
      </c>
      <c r="T26" s="3787">
        <f t="shared" si="26"/>
        <v>0</v>
      </c>
      <c r="U26" s="3787">
        <f t="shared" si="26"/>
        <v>0</v>
      </c>
      <c r="V26" s="3787">
        <f t="shared" si="26"/>
        <v>0</v>
      </c>
      <c r="W26" s="3787">
        <f t="shared" si="26"/>
        <v>0</v>
      </c>
      <c r="X26" s="3801"/>
      <c r="Y26" s="3783"/>
      <c r="Z26" s="3789">
        <f>D26-D16</f>
        <v>0</v>
      </c>
    </row>
    <row r="27" spans="1:27" s="865" customFormat="1" ht="14.25" customHeight="1" outlineLevel="1">
      <c r="A27" s="3784"/>
      <c r="B27" s="3785" t="s">
        <v>78</v>
      </c>
      <c r="C27" s="3786"/>
      <c r="D27" s="3787">
        <f t="shared" ref="D27:W27" si="27">+D76+D87</f>
        <v>16552244</v>
      </c>
      <c r="E27" s="3787">
        <f t="shared" si="27"/>
        <v>0</v>
      </c>
      <c r="F27" s="3787">
        <f t="shared" si="27"/>
        <v>0</v>
      </c>
      <c r="G27" s="3787">
        <f t="shared" si="27"/>
        <v>0</v>
      </c>
      <c r="H27" s="3787">
        <f t="shared" si="27"/>
        <v>0</v>
      </c>
      <c r="I27" s="3787">
        <f t="shared" si="27"/>
        <v>0</v>
      </c>
      <c r="J27" s="3787">
        <f t="shared" si="27"/>
        <v>0</v>
      </c>
      <c r="K27" s="3787">
        <f t="shared" si="27"/>
        <v>3801777</v>
      </c>
      <c r="L27" s="3787">
        <f t="shared" si="27"/>
        <v>3261339</v>
      </c>
      <c r="M27" s="3787">
        <f t="shared" si="27"/>
        <v>7063116</v>
      </c>
      <c r="N27" s="3787">
        <f t="shared" si="27"/>
        <v>0</v>
      </c>
      <c r="O27" s="3787">
        <f t="shared" si="27"/>
        <v>303250</v>
      </c>
      <c r="P27" s="3787">
        <f t="shared" si="27"/>
        <v>2039337</v>
      </c>
      <c r="Q27" s="3787">
        <f t="shared" si="27"/>
        <v>3442541</v>
      </c>
      <c r="R27" s="3787">
        <f t="shared" si="27"/>
        <v>0</v>
      </c>
      <c r="S27" s="3787">
        <f t="shared" si="27"/>
        <v>3704000</v>
      </c>
      <c r="T27" s="3787">
        <f t="shared" si="27"/>
        <v>0</v>
      </c>
      <c r="U27" s="3787">
        <f t="shared" si="27"/>
        <v>0</v>
      </c>
      <c r="V27" s="3787">
        <f t="shared" si="27"/>
        <v>0</v>
      </c>
      <c r="W27" s="3787">
        <f t="shared" si="27"/>
        <v>0</v>
      </c>
      <c r="X27" s="3801"/>
      <c r="Y27" s="3783"/>
      <c r="Z27" s="3789">
        <f>D27-D17</f>
        <v>0</v>
      </c>
    </row>
    <row r="28" spans="1:27" s="865" customFormat="1" ht="14.25" hidden="1" customHeight="1" outlineLevel="1">
      <c r="A28" s="3784"/>
      <c r="B28" s="3785" t="s">
        <v>37</v>
      </c>
      <c r="C28" s="3786"/>
      <c r="D28" s="3787">
        <f t="shared" ref="D28:W28" si="28">+D114+D48</f>
        <v>0</v>
      </c>
      <c r="E28" s="3787">
        <f t="shared" si="28"/>
        <v>0</v>
      </c>
      <c r="F28" s="3787">
        <f t="shared" si="28"/>
        <v>0</v>
      </c>
      <c r="G28" s="3787">
        <f t="shared" si="28"/>
        <v>0</v>
      </c>
      <c r="H28" s="3787">
        <f t="shared" si="28"/>
        <v>0</v>
      </c>
      <c r="I28" s="3787">
        <f t="shared" si="28"/>
        <v>0</v>
      </c>
      <c r="J28" s="3787">
        <f t="shared" si="28"/>
        <v>0</v>
      </c>
      <c r="K28" s="3787">
        <f t="shared" si="28"/>
        <v>0</v>
      </c>
      <c r="L28" s="3787">
        <f t="shared" si="28"/>
        <v>0</v>
      </c>
      <c r="M28" s="3787">
        <f t="shared" si="28"/>
        <v>0</v>
      </c>
      <c r="N28" s="3787">
        <f t="shared" si="28"/>
        <v>0</v>
      </c>
      <c r="O28" s="3787">
        <f t="shared" si="28"/>
        <v>0</v>
      </c>
      <c r="P28" s="3787">
        <f t="shared" si="28"/>
        <v>0</v>
      </c>
      <c r="Q28" s="3787">
        <f t="shared" si="28"/>
        <v>0</v>
      </c>
      <c r="R28" s="3787">
        <f t="shared" si="28"/>
        <v>0</v>
      </c>
      <c r="S28" s="3787">
        <f t="shared" si="28"/>
        <v>0</v>
      </c>
      <c r="T28" s="3787">
        <f t="shared" si="28"/>
        <v>0</v>
      </c>
      <c r="U28" s="3787">
        <f t="shared" si="28"/>
        <v>0</v>
      </c>
      <c r="V28" s="3787">
        <f t="shared" si="28"/>
        <v>0</v>
      </c>
      <c r="W28" s="3787">
        <f t="shared" si="28"/>
        <v>0</v>
      </c>
      <c r="X28" s="3801"/>
      <c r="Y28" s="3783"/>
    </row>
    <row r="29" spans="1:27" s="865" customFormat="1" ht="12.75" hidden="1" customHeight="1" outlineLevel="1">
      <c r="A29" s="3784"/>
      <c r="B29" s="3802" t="s">
        <v>24</v>
      </c>
      <c r="C29" s="3803"/>
      <c r="D29" s="3804">
        <v>0</v>
      </c>
      <c r="E29" s="3804">
        <v>0</v>
      </c>
      <c r="F29" s="3804">
        <v>0</v>
      </c>
      <c r="G29" s="3804">
        <v>0</v>
      </c>
      <c r="H29" s="3804">
        <v>0</v>
      </c>
      <c r="I29" s="3804">
        <v>0</v>
      </c>
      <c r="J29" s="3804">
        <v>0</v>
      </c>
      <c r="K29" s="3804">
        <v>0</v>
      </c>
      <c r="L29" s="3804">
        <v>0</v>
      </c>
      <c r="M29" s="3804">
        <v>1</v>
      </c>
      <c r="N29" s="3804">
        <v>0</v>
      </c>
      <c r="O29" s="3804">
        <v>0</v>
      </c>
      <c r="P29" s="3804">
        <v>0</v>
      </c>
      <c r="Q29" s="3804">
        <v>0</v>
      </c>
      <c r="R29" s="3804"/>
      <c r="S29" s="3804"/>
      <c r="T29" s="3804"/>
      <c r="U29" s="3804"/>
      <c r="V29" s="3804"/>
      <c r="W29" s="3804"/>
      <c r="X29" s="3801"/>
      <c r="Y29" s="3783"/>
    </row>
    <row r="30" spans="1:27" s="865" customFormat="1" ht="14.25" customHeight="1" outlineLevel="1">
      <c r="A30" s="3778"/>
      <c r="B30" s="3792" t="s">
        <v>30</v>
      </c>
      <c r="C30" s="3805"/>
      <c r="D30" s="3794">
        <f>+D31+D33+D32</f>
        <v>34398177</v>
      </c>
      <c r="E30" s="3794">
        <f>+E31+E33+E32</f>
        <v>0</v>
      </c>
      <c r="F30" s="3794">
        <f>+F31+F33+F32</f>
        <v>0</v>
      </c>
      <c r="G30" s="3794">
        <f>+G31+G33+G32</f>
        <v>0</v>
      </c>
      <c r="H30" s="3794">
        <f>+H31+H33+H32</f>
        <v>0</v>
      </c>
      <c r="I30" s="3794">
        <f t="shared" ref="I30:P30" si="29">SUM(I31:I33)</f>
        <v>0</v>
      </c>
      <c r="J30" s="3794">
        <f t="shared" si="29"/>
        <v>3544011</v>
      </c>
      <c r="K30" s="3794">
        <f t="shared" si="29"/>
        <v>4405356</v>
      </c>
      <c r="L30" s="3794">
        <f t="shared" si="29"/>
        <v>3408794</v>
      </c>
      <c r="M30" s="3794">
        <f>SUM(M31:M33)</f>
        <v>11358161</v>
      </c>
      <c r="N30" s="3794">
        <f t="shared" si="29"/>
        <v>0</v>
      </c>
      <c r="O30" s="3794">
        <f t="shared" si="29"/>
        <v>1317781</v>
      </c>
      <c r="P30" s="3794">
        <f t="shared" si="29"/>
        <v>8195765</v>
      </c>
      <c r="Q30" s="3794">
        <f t="shared" ref="Q30:W30" si="30">SUM(Q31:Q33)</f>
        <v>3539943</v>
      </c>
      <c r="R30" s="3794">
        <f t="shared" si="30"/>
        <v>1057756</v>
      </c>
      <c r="S30" s="3794">
        <f t="shared" si="30"/>
        <v>2870281</v>
      </c>
      <c r="T30" s="3794">
        <f t="shared" si="30"/>
        <v>1730997</v>
      </c>
      <c r="U30" s="3794">
        <f t="shared" si="30"/>
        <v>1730997</v>
      </c>
      <c r="V30" s="3794">
        <f t="shared" si="30"/>
        <v>1730997</v>
      </c>
      <c r="W30" s="3794">
        <f t="shared" si="30"/>
        <v>865499</v>
      </c>
      <c r="X30" s="3801"/>
      <c r="Y30" s="3783"/>
    </row>
    <row r="31" spans="1:27" s="865" customFormat="1" ht="14.25" customHeight="1" outlineLevel="1">
      <c r="A31" s="3784"/>
      <c r="B31" s="3790" t="s">
        <v>33</v>
      </c>
      <c r="C31" s="3806"/>
      <c r="D31" s="3787">
        <f>D176+D101+D50+D66+D149+D163</f>
        <v>16006777</v>
      </c>
      <c r="E31" s="3787">
        <f t="shared" ref="E31:L31" si="31">E176+E101+E50+E66</f>
        <v>0</v>
      </c>
      <c r="F31" s="3787">
        <f t="shared" si="31"/>
        <v>0</v>
      </c>
      <c r="G31" s="3787">
        <f t="shared" si="31"/>
        <v>0</v>
      </c>
      <c r="H31" s="3787">
        <f t="shared" si="31"/>
        <v>0</v>
      </c>
      <c r="I31" s="3787">
        <f t="shared" si="31"/>
        <v>0</v>
      </c>
      <c r="J31" s="3787">
        <f t="shared" si="31"/>
        <v>0</v>
      </c>
      <c r="K31" s="3787">
        <f t="shared" si="31"/>
        <v>0</v>
      </c>
      <c r="L31" s="3787">
        <f t="shared" si="31"/>
        <v>0</v>
      </c>
      <c r="M31" s="3787">
        <f t="shared" ref="M31:W31" si="32">M176+M101+M50+M66+M149+M163</f>
        <v>0</v>
      </c>
      <c r="N31" s="3787">
        <f t="shared" si="32"/>
        <v>0</v>
      </c>
      <c r="O31" s="3787">
        <f t="shared" si="32"/>
        <v>1317781</v>
      </c>
      <c r="P31" s="3787">
        <f t="shared" si="32"/>
        <v>3500000</v>
      </c>
      <c r="Q31" s="3787">
        <f t="shared" si="32"/>
        <v>2482000</v>
      </c>
      <c r="R31" s="3787">
        <f t="shared" si="32"/>
        <v>1057756</v>
      </c>
      <c r="S31" s="3787">
        <f t="shared" si="32"/>
        <v>1590750</v>
      </c>
      <c r="T31" s="3787">
        <f t="shared" si="32"/>
        <v>1730997</v>
      </c>
      <c r="U31" s="3787">
        <f t="shared" si="32"/>
        <v>1730997</v>
      </c>
      <c r="V31" s="3787">
        <f t="shared" si="32"/>
        <v>1730997</v>
      </c>
      <c r="W31" s="3787">
        <f t="shared" si="32"/>
        <v>865499</v>
      </c>
      <c r="X31" s="3801"/>
      <c r="Y31" s="3783"/>
      <c r="Z31" s="3789">
        <f>D31-D20</f>
        <v>0</v>
      </c>
    </row>
    <row r="32" spans="1:27" s="865" customFormat="1" ht="14.25" hidden="1" customHeight="1" outlineLevel="1">
      <c r="A32" s="3784"/>
      <c r="B32" s="3785" t="s">
        <v>26</v>
      </c>
      <c r="C32" s="3806"/>
      <c r="D32" s="3787">
        <f>+D51+D102+D116+D129+D67</f>
        <v>0</v>
      </c>
      <c r="E32" s="3787">
        <f t="shared" ref="E32:L32" si="33">+E51+E102+E116+E129+E67+E149+E163</f>
        <v>0</v>
      </c>
      <c r="F32" s="3787">
        <f t="shared" si="33"/>
        <v>0</v>
      </c>
      <c r="G32" s="3787">
        <f t="shared" si="33"/>
        <v>0</v>
      </c>
      <c r="H32" s="3787">
        <f t="shared" si="33"/>
        <v>0</v>
      </c>
      <c r="I32" s="3787">
        <f t="shared" si="33"/>
        <v>0</v>
      </c>
      <c r="J32" s="3787">
        <f t="shared" si="33"/>
        <v>0</v>
      </c>
      <c r="K32" s="3787">
        <f t="shared" si="33"/>
        <v>0</v>
      </c>
      <c r="L32" s="3787">
        <f t="shared" si="33"/>
        <v>0</v>
      </c>
      <c r="M32" s="3787">
        <f t="shared" ref="M32:W32" si="34">+M51+M102+M116+M129+M67</f>
        <v>0</v>
      </c>
      <c r="N32" s="3787">
        <f t="shared" si="34"/>
        <v>0</v>
      </c>
      <c r="O32" s="3787">
        <f t="shared" si="34"/>
        <v>0</v>
      </c>
      <c r="P32" s="3787">
        <f t="shared" si="34"/>
        <v>0</v>
      </c>
      <c r="Q32" s="3787">
        <f t="shared" si="34"/>
        <v>0</v>
      </c>
      <c r="R32" s="3787">
        <f t="shared" si="34"/>
        <v>0</v>
      </c>
      <c r="S32" s="3787">
        <f t="shared" si="34"/>
        <v>0</v>
      </c>
      <c r="T32" s="3787">
        <f t="shared" si="34"/>
        <v>0</v>
      </c>
      <c r="U32" s="3787">
        <f t="shared" si="34"/>
        <v>0</v>
      </c>
      <c r="V32" s="3787">
        <f t="shared" si="34"/>
        <v>0</v>
      </c>
      <c r="W32" s="3787">
        <f t="shared" si="34"/>
        <v>0</v>
      </c>
      <c r="X32" s="3801"/>
      <c r="Y32" s="3783"/>
      <c r="Z32" s="3789">
        <f>D32-D21</f>
        <v>0</v>
      </c>
      <c r="AA32" s="3789"/>
    </row>
    <row r="33" spans="1:26" s="865" customFormat="1" ht="14.25" customHeight="1" collapsed="1" thickBot="1">
      <c r="A33" s="3807"/>
      <c r="B33" s="3808" t="s">
        <v>32</v>
      </c>
      <c r="C33" s="3809"/>
      <c r="D33" s="3810">
        <f t="shared" ref="D33:W33" si="35">+D78+D89+D117+D52+D136</f>
        <v>18391400</v>
      </c>
      <c r="E33" s="3810">
        <f t="shared" si="35"/>
        <v>0</v>
      </c>
      <c r="F33" s="3810">
        <f t="shared" si="35"/>
        <v>0</v>
      </c>
      <c r="G33" s="3810">
        <f t="shared" si="35"/>
        <v>0</v>
      </c>
      <c r="H33" s="3810">
        <f t="shared" si="35"/>
        <v>0</v>
      </c>
      <c r="I33" s="3810">
        <f t="shared" si="35"/>
        <v>0</v>
      </c>
      <c r="J33" s="3810">
        <f t="shared" si="35"/>
        <v>3544011</v>
      </c>
      <c r="K33" s="3810">
        <f t="shared" si="35"/>
        <v>4405356</v>
      </c>
      <c r="L33" s="3810">
        <f t="shared" si="35"/>
        <v>3408794</v>
      </c>
      <c r="M33" s="3810">
        <f t="shared" si="35"/>
        <v>11358161</v>
      </c>
      <c r="N33" s="3810">
        <f t="shared" si="35"/>
        <v>0</v>
      </c>
      <c r="O33" s="3810">
        <f t="shared" si="35"/>
        <v>0</v>
      </c>
      <c r="P33" s="3810">
        <f t="shared" si="35"/>
        <v>4695765</v>
      </c>
      <c r="Q33" s="3810">
        <f t="shared" si="35"/>
        <v>1057943</v>
      </c>
      <c r="R33" s="3810">
        <f t="shared" si="35"/>
        <v>0</v>
      </c>
      <c r="S33" s="3810">
        <f t="shared" si="35"/>
        <v>1279531</v>
      </c>
      <c r="T33" s="3810">
        <f t="shared" si="35"/>
        <v>0</v>
      </c>
      <c r="U33" s="3810">
        <f t="shared" si="35"/>
        <v>0</v>
      </c>
      <c r="V33" s="3810">
        <f t="shared" si="35"/>
        <v>0</v>
      </c>
      <c r="W33" s="3810">
        <f t="shared" si="35"/>
        <v>0</v>
      </c>
      <c r="X33" s="3811"/>
      <c r="Y33" s="3812"/>
      <c r="Z33" s="3789">
        <f>D33-D22-D19</f>
        <v>0</v>
      </c>
    </row>
    <row r="34" spans="1:26" s="701" customFormat="1" hidden="1">
      <c r="A34" s="3813"/>
      <c r="B34" s="3814"/>
      <c r="C34" s="3815" t="s">
        <v>128</v>
      </c>
      <c r="D34" s="3815"/>
      <c r="E34" s="3816"/>
      <c r="F34" s="3816"/>
      <c r="G34" s="3816"/>
      <c r="H34" s="3816"/>
      <c r="I34" s="3817"/>
      <c r="J34" s="3817"/>
      <c r="K34" s="3817"/>
      <c r="L34" s="3817"/>
      <c r="M34" s="3817"/>
      <c r="N34" s="3817"/>
      <c r="O34" s="3817"/>
      <c r="P34" s="3817"/>
      <c r="Q34" s="3817"/>
      <c r="R34" s="3817"/>
      <c r="S34" s="3817"/>
      <c r="T34" s="3817"/>
      <c r="U34" s="3817"/>
      <c r="V34" s="3817"/>
      <c r="W34" s="3817"/>
      <c r="X34" s="3818"/>
      <c r="Y34" s="3819" t="s">
        <v>205</v>
      </c>
    </row>
    <row r="35" spans="1:26" s="701" customFormat="1" ht="14.25" hidden="1" customHeight="1">
      <c r="A35" s="3813"/>
      <c r="B35" s="1988" t="s">
        <v>22</v>
      </c>
      <c r="C35" s="3820"/>
      <c r="D35" s="3821">
        <f>+D36+D40</f>
        <v>0</v>
      </c>
      <c r="E35" s="3822">
        <f>+E36+E40</f>
        <v>0</v>
      </c>
      <c r="F35" s="3822"/>
      <c r="G35" s="3822"/>
      <c r="H35" s="3822">
        <f t="shared" ref="H35:O35" si="36">+H36+H40</f>
        <v>0</v>
      </c>
      <c r="I35" s="3822">
        <f t="shared" si="36"/>
        <v>0</v>
      </c>
      <c r="J35" s="3822">
        <f t="shared" si="36"/>
        <v>0</v>
      </c>
      <c r="K35" s="3822">
        <f t="shared" si="36"/>
        <v>0</v>
      </c>
      <c r="L35" s="3823">
        <f t="shared" si="36"/>
        <v>0</v>
      </c>
      <c r="M35" s="3822">
        <f>+M36+M40</f>
        <v>0</v>
      </c>
      <c r="N35" s="3822">
        <f t="shared" si="36"/>
        <v>0</v>
      </c>
      <c r="O35" s="3822">
        <f t="shared" si="36"/>
        <v>0</v>
      </c>
      <c r="P35" s="3822"/>
      <c r="Q35" s="3822"/>
      <c r="R35" s="3822"/>
      <c r="S35" s="3822"/>
      <c r="T35" s="3822"/>
      <c r="U35" s="3822"/>
      <c r="V35" s="3822"/>
      <c r="W35" s="3822"/>
      <c r="X35" s="3824">
        <f>+X36+X40</f>
        <v>0</v>
      </c>
      <c r="Y35" s="3819"/>
    </row>
    <row r="36" spans="1:26" s="701" customFormat="1" ht="12.95" hidden="1" customHeight="1">
      <c r="A36" s="3813"/>
      <c r="B36" s="3825" t="s">
        <v>23</v>
      </c>
      <c r="C36" s="3826"/>
      <c r="D36" s="3827">
        <f t="shared" ref="D36:O36" si="37">+D37+D39+D38</f>
        <v>0</v>
      </c>
      <c r="E36" s="3827">
        <f t="shared" si="37"/>
        <v>0</v>
      </c>
      <c r="F36" s="3827">
        <f t="shared" si="37"/>
        <v>0</v>
      </c>
      <c r="G36" s="3827">
        <f t="shared" si="37"/>
        <v>0</v>
      </c>
      <c r="H36" s="3827">
        <f t="shared" si="37"/>
        <v>0</v>
      </c>
      <c r="I36" s="3827">
        <f t="shared" si="37"/>
        <v>0</v>
      </c>
      <c r="J36" s="3827">
        <f t="shared" si="37"/>
        <v>0</v>
      </c>
      <c r="K36" s="3827">
        <f t="shared" si="37"/>
        <v>0</v>
      </c>
      <c r="L36" s="3828">
        <f t="shared" si="37"/>
        <v>0</v>
      </c>
      <c r="M36" s="3829">
        <f>+M37+M39+M38</f>
        <v>0</v>
      </c>
      <c r="N36" s="3827">
        <f t="shared" si="37"/>
        <v>0</v>
      </c>
      <c r="O36" s="3827">
        <f t="shared" si="37"/>
        <v>0</v>
      </c>
      <c r="P36" s="3827"/>
      <c r="Q36" s="3827"/>
      <c r="R36" s="3827"/>
      <c r="S36" s="3827"/>
      <c r="T36" s="3827"/>
      <c r="U36" s="3827"/>
      <c r="V36" s="3827"/>
      <c r="W36" s="3827"/>
      <c r="X36" s="3830">
        <f>+X37+X39+X38</f>
        <v>0</v>
      </c>
      <c r="Y36" s="3819"/>
    </row>
    <row r="37" spans="1:26" s="701" customFormat="1" ht="12.95" hidden="1" customHeight="1">
      <c r="A37" s="3813"/>
      <c r="B37" s="3831" t="s">
        <v>24</v>
      </c>
      <c r="C37" s="3826"/>
      <c r="D37" s="3832">
        <f>M37+O37+P37+Q37+R37+S37+T37</f>
        <v>0</v>
      </c>
      <c r="E37" s="3833"/>
      <c r="F37" s="3833"/>
      <c r="G37" s="3833"/>
      <c r="H37" s="3833"/>
      <c r="I37" s="3833"/>
      <c r="J37" s="3833"/>
      <c r="K37" s="3833">
        <v>0</v>
      </c>
      <c r="L37" s="3834">
        <v>0</v>
      </c>
      <c r="M37" s="3833">
        <f>E37+I37+J37+K37+L37+N37</f>
        <v>0</v>
      </c>
      <c r="N37" s="3833"/>
      <c r="O37" s="3833">
        <v>0</v>
      </c>
      <c r="P37" s="3833"/>
      <c r="Q37" s="3833"/>
      <c r="R37" s="3833"/>
      <c r="S37" s="3833"/>
      <c r="T37" s="3833"/>
      <c r="U37" s="3833"/>
      <c r="V37" s="3833"/>
      <c r="W37" s="3833"/>
      <c r="X37" s="3835">
        <f>SUM(P37:T37)</f>
        <v>0</v>
      </c>
      <c r="Y37" s="3819"/>
      <c r="Z37" s="3836"/>
    </row>
    <row r="38" spans="1:26" s="1179" customFormat="1" ht="12.95" hidden="1" customHeight="1">
      <c r="A38" s="3813"/>
      <c r="B38" s="3837" t="s">
        <v>25</v>
      </c>
      <c r="C38" s="3826"/>
      <c r="D38" s="3832">
        <f>M38+O38+P38+Q38+R38+S38+T38</f>
        <v>0</v>
      </c>
      <c r="E38" s="3833">
        <v>0</v>
      </c>
      <c r="F38" s="3833"/>
      <c r="G38" s="3833"/>
      <c r="H38" s="3833"/>
      <c r="I38" s="3833">
        <v>0</v>
      </c>
      <c r="J38" s="3833"/>
      <c r="K38" s="3833"/>
      <c r="L38" s="3834"/>
      <c r="M38" s="3833">
        <f>E38+I38+J38+K38+L38+N38</f>
        <v>0</v>
      </c>
      <c r="N38" s="3833"/>
      <c r="O38" s="3833"/>
      <c r="P38" s="3833"/>
      <c r="Q38" s="3833"/>
      <c r="R38" s="3833"/>
      <c r="S38" s="3833"/>
      <c r="T38" s="3833"/>
      <c r="U38" s="3833"/>
      <c r="V38" s="3833"/>
      <c r="W38" s="3833"/>
      <c r="X38" s="3835">
        <f>SUM(P38:T38)</f>
        <v>0</v>
      </c>
      <c r="Y38" s="3819"/>
      <c r="Z38" s="1186"/>
    </row>
    <row r="39" spans="1:26" s="1179" customFormat="1" ht="12.95" hidden="1" customHeight="1">
      <c r="A39" s="3813"/>
      <c r="B39" s="3831" t="s">
        <v>26</v>
      </c>
      <c r="C39" s="3826"/>
      <c r="D39" s="3832">
        <f>M39+O39+P39+Q39+R39+S39+T39</f>
        <v>0</v>
      </c>
      <c r="E39" s="3838"/>
      <c r="F39" s="3838"/>
      <c r="G39" s="3838"/>
      <c r="H39" s="3838"/>
      <c r="I39" s="3833"/>
      <c r="J39" s="3833">
        <v>0</v>
      </c>
      <c r="K39" s="3833">
        <v>0</v>
      </c>
      <c r="L39" s="3834">
        <v>0</v>
      </c>
      <c r="M39" s="3833">
        <f>E39+I39+J39+K39+L39+N39</f>
        <v>0</v>
      </c>
      <c r="N39" s="3833">
        <v>0</v>
      </c>
      <c r="O39" s="3833">
        <v>0</v>
      </c>
      <c r="P39" s="3833"/>
      <c r="Q39" s="3833"/>
      <c r="R39" s="3833"/>
      <c r="S39" s="3833"/>
      <c r="T39" s="3833"/>
      <c r="U39" s="3833"/>
      <c r="V39" s="3833"/>
      <c r="W39" s="3833"/>
      <c r="X39" s="3835">
        <f>SUM(P39:T39)</f>
        <v>0</v>
      </c>
      <c r="Y39" s="3819"/>
    </row>
    <row r="40" spans="1:26" s="701" customFormat="1" ht="12.95" hidden="1" customHeight="1">
      <c r="A40" s="3813"/>
      <c r="B40" s="3839" t="s">
        <v>30</v>
      </c>
      <c r="C40" s="3826"/>
      <c r="D40" s="3827">
        <f>D42+D43+D41</f>
        <v>0</v>
      </c>
      <c r="E40" s="3827">
        <f>E42+E43+E41</f>
        <v>0</v>
      </c>
      <c r="F40" s="3827">
        <f t="shared" ref="F40:O40" si="38">F42+F43+F41</f>
        <v>0</v>
      </c>
      <c r="G40" s="3827">
        <f t="shared" si="38"/>
        <v>0</v>
      </c>
      <c r="H40" s="3827">
        <f t="shared" si="38"/>
        <v>0</v>
      </c>
      <c r="I40" s="3827">
        <f t="shared" si="38"/>
        <v>0</v>
      </c>
      <c r="J40" s="3827">
        <f t="shared" si="38"/>
        <v>0</v>
      </c>
      <c r="K40" s="3827">
        <f t="shared" si="38"/>
        <v>0</v>
      </c>
      <c r="L40" s="3828">
        <f t="shared" si="38"/>
        <v>0</v>
      </c>
      <c r="M40" s="3829">
        <f t="shared" si="38"/>
        <v>0</v>
      </c>
      <c r="N40" s="3827">
        <f t="shared" si="38"/>
        <v>0</v>
      </c>
      <c r="O40" s="3827">
        <f t="shared" si="38"/>
        <v>0</v>
      </c>
      <c r="P40" s="3827"/>
      <c r="Q40" s="3827"/>
      <c r="R40" s="3827"/>
      <c r="S40" s="3827"/>
      <c r="T40" s="3827"/>
      <c r="U40" s="3827"/>
      <c r="V40" s="3827"/>
      <c r="W40" s="3827"/>
      <c r="X40" s="3830">
        <f>X42+X43+X41</f>
        <v>0</v>
      </c>
      <c r="Y40" s="3819"/>
    </row>
    <row r="41" spans="1:26" s="701" customFormat="1" ht="12.95" hidden="1" customHeight="1">
      <c r="A41" s="3813"/>
      <c r="B41" s="3831" t="s">
        <v>24</v>
      </c>
      <c r="C41" s="3826"/>
      <c r="D41" s="3832">
        <f>M41+O41+P41+Q41+R41+S41+T41</f>
        <v>0</v>
      </c>
      <c r="E41" s="3833"/>
      <c r="F41" s="3833"/>
      <c r="G41" s="3833"/>
      <c r="H41" s="3833"/>
      <c r="I41" s="3833"/>
      <c r="J41" s="2509">
        <v>0</v>
      </c>
      <c r="K41" s="2509">
        <v>0</v>
      </c>
      <c r="L41" s="3840"/>
      <c r="M41" s="3833">
        <f>E41+I41+J41+K41+L41+N41</f>
        <v>0</v>
      </c>
      <c r="N41" s="3841"/>
      <c r="O41" s="3842">
        <v>0</v>
      </c>
      <c r="P41" s="3829"/>
      <c r="Q41" s="3827"/>
      <c r="R41" s="3827"/>
      <c r="S41" s="3827"/>
      <c r="T41" s="3827"/>
      <c r="U41" s="3827"/>
      <c r="V41" s="3827"/>
      <c r="W41" s="3827"/>
      <c r="X41" s="3835">
        <f>SUM(P41:T41)</f>
        <v>0</v>
      </c>
      <c r="Y41" s="3819"/>
    </row>
    <row r="42" spans="1:26" s="701" customFormat="1" ht="12.95" hidden="1" customHeight="1">
      <c r="A42" s="3813"/>
      <c r="B42" s="3831" t="s">
        <v>33</v>
      </c>
      <c r="C42" s="3826"/>
      <c r="D42" s="3832">
        <f>M42+O42+P42+Q42+R42+S42+T42</f>
        <v>0</v>
      </c>
      <c r="E42" s="3838">
        <v>0</v>
      </c>
      <c r="F42" s="3838"/>
      <c r="G42" s="3838"/>
      <c r="H42" s="3838"/>
      <c r="I42" s="3833">
        <v>0</v>
      </c>
      <c r="J42" s="3843"/>
      <c r="K42" s="3843"/>
      <c r="L42" s="3844"/>
      <c r="M42" s="3833">
        <f>E42+I42+J42+K42+L42+N42</f>
        <v>0</v>
      </c>
      <c r="N42" s="3843"/>
      <c r="O42" s="3843"/>
      <c r="P42" s="3829"/>
      <c r="Q42" s="3829"/>
      <c r="R42" s="3829"/>
      <c r="S42" s="3829"/>
      <c r="T42" s="3829"/>
      <c r="U42" s="3829"/>
      <c r="V42" s="3829"/>
      <c r="W42" s="3829"/>
      <c r="X42" s="3835">
        <f>SUM(P42:T42)</f>
        <v>0</v>
      </c>
      <c r="Y42" s="3819"/>
    </row>
    <row r="43" spans="1:26" s="701" customFormat="1" ht="12.95" hidden="1" customHeight="1">
      <c r="A43" s="3813"/>
      <c r="B43" s="3831" t="s">
        <v>26</v>
      </c>
      <c r="C43" s="3826"/>
      <c r="D43" s="3832">
        <f>M43+O43+P43+Q43+R43+S43+T43</f>
        <v>0</v>
      </c>
      <c r="E43" s="3833"/>
      <c r="F43" s="3833"/>
      <c r="G43" s="3833"/>
      <c r="H43" s="3833"/>
      <c r="I43" s="3833"/>
      <c r="J43" s="3833">
        <v>0</v>
      </c>
      <c r="K43" s="3833">
        <v>0</v>
      </c>
      <c r="L43" s="3834">
        <v>0</v>
      </c>
      <c r="M43" s="3833">
        <f>E43+I43+J43+K43+L43+N43</f>
        <v>0</v>
      </c>
      <c r="N43" s="3833">
        <v>0</v>
      </c>
      <c r="O43" s="3833">
        <v>0</v>
      </c>
      <c r="P43" s="3833"/>
      <c r="Q43" s="3833"/>
      <c r="R43" s="3833"/>
      <c r="S43" s="3833"/>
      <c r="T43" s="3833"/>
      <c r="U43" s="3833"/>
      <c r="V43" s="3833"/>
      <c r="W43" s="3833"/>
      <c r="X43" s="3835">
        <f>SUM(P43:T43)</f>
        <v>0</v>
      </c>
      <c r="Y43" s="3819"/>
      <c r="Z43" s="3836"/>
    </row>
    <row r="44" spans="1:26" s="701" customFormat="1" ht="12.95" hidden="1" customHeight="1">
      <c r="A44" s="3813"/>
      <c r="B44" s="1988" t="s">
        <v>34</v>
      </c>
      <c r="C44" s="3820"/>
      <c r="D44" s="3822">
        <f>+D45+D49</f>
        <v>0</v>
      </c>
      <c r="E44" s="3822">
        <f>+E45+E49</f>
        <v>0</v>
      </c>
      <c r="F44" s="3822"/>
      <c r="G44" s="3822"/>
      <c r="H44" s="3822">
        <f t="shared" ref="H44:O44" si="39">+H45+H49</f>
        <v>0</v>
      </c>
      <c r="I44" s="3822">
        <f t="shared" si="39"/>
        <v>0</v>
      </c>
      <c r="J44" s="3822">
        <f t="shared" si="39"/>
        <v>0</v>
      </c>
      <c r="K44" s="3822">
        <f t="shared" si="39"/>
        <v>0</v>
      </c>
      <c r="L44" s="3823">
        <f t="shared" si="39"/>
        <v>0</v>
      </c>
      <c r="M44" s="3822">
        <f>+M45+M49</f>
        <v>0</v>
      </c>
      <c r="N44" s="3822">
        <f t="shared" si="39"/>
        <v>0</v>
      </c>
      <c r="O44" s="3822">
        <f t="shared" si="39"/>
        <v>0</v>
      </c>
      <c r="P44" s="3822"/>
      <c r="Q44" s="3822"/>
      <c r="R44" s="3822"/>
      <c r="S44" s="3822"/>
      <c r="T44" s="3822"/>
      <c r="U44" s="3822"/>
      <c r="V44" s="3822"/>
      <c r="W44" s="3822"/>
      <c r="X44" s="3845" t="s">
        <v>77</v>
      </c>
      <c r="Y44" s="3819"/>
    </row>
    <row r="45" spans="1:26" s="701" customFormat="1" ht="12.95" hidden="1" customHeight="1">
      <c r="A45" s="3813"/>
      <c r="B45" s="3825" t="s">
        <v>23</v>
      </c>
      <c r="C45" s="3826"/>
      <c r="D45" s="3829">
        <f>D46+D47+D48</f>
        <v>0</v>
      </c>
      <c r="E45" s="3829">
        <f t="shared" ref="E45:O45" si="40">E46+E47+E48</f>
        <v>0</v>
      </c>
      <c r="F45" s="3829">
        <f t="shared" si="40"/>
        <v>0</v>
      </c>
      <c r="G45" s="3829">
        <f t="shared" si="40"/>
        <v>0</v>
      </c>
      <c r="H45" s="3829">
        <f t="shared" si="40"/>
        <v>0</v>
      </c>
      <c r="I45" s="3829">
        <f t="shared" si="40"/>
        <v>0</v>
      </c>
      <c r="J45" s="3829">
        <f t="shared" si="40"/>
        <v>0</v>
      </c>
      <c r="K45" s="3829">
        <f t="shared" si="40"/>
        <v>0</v>
      </c>
      <c r="L45" s="3846">
        <f t="shared" si="40"/>
        <v>0</v>
      </c>
      <c r="M45" s="3829">
        <f>M46+M47+M48</f>
        <v>0</v>
      </c>
      <c r="N45" s="3829">
        <f t="shared" si="40"/>
        <v>0</v>
      </c>
      <c r="O45" s="3829">
        <f t="shared" si="40"/>
        <v>0</v>
      </c>
      <c r="P45" s="3829"/>
      <c r="Q45" s="3829"/>
      <c r="R45" s="3829"/>
      <c r="S45" s="3829"/>
      <c r="T45" s="3829"/>
      <c r="U45" s="3829"/>
      <c r="V45" s="3829"/>
      <c r="W45" s="3829"/>
      <c r="X45" s="3845"/>
      <c r="Y45" s="3819"/>
    </row>
    <row r="46" spans="1:26" s="701" customFormat="1" ht="12.95" hidden="1" customHeight="1">
      <c r="A46" s="3813"/>
      <c r="B46" s="3837" t="s">
        <v>25</v>
      </c>
      <c r="C46" s="3826"/>
      <c r="D46" s="3832">
        <f>M46+O46+P46+Q46+R46+S46+T46</f>
        <v>0</v>
      </c>
      <c r="E46" s="2509">
        <v>0</v>
      </c>
      <c r="F46" s="2509"/>
      <c r="G46" s="2509"/>
      <c r="H46" s="2509"/>
      <c r="I46" s="3847">
        <v>0</v>
      </c>
      <c r="J46" s="3833"/>
      <c r="K46" s="3843"/>
      <c r="L46" s="3834"/>
      <c r="M46" s="3833">
        <f>E46+I46+J46+K46+L46+N46</f>
        <v>0</v>
      </c>
      <c r="N46" s="3843"/>
      <c r="O46" s="3843"/>
      <c r="P46" s="3829"/>
      <c r="Q46" s="3829"/>
      <c r="R46" s="3829"/>
      <c r="S46" s="3829"/>
      <c r="T46" s="3829"/>
      <c r="U46" s="3829"/>
      <c r="V46" s="3829"/>
      <c r="W46" s="3829"/>
      <c r="X46" s="3845"/>
      <c r="Y46" s="3819"/>
    </row>
    <row r="47" spans="1:26" s="701" customFormat="1" ht="12.95" hidden="1" customHeight="1">
      <c r="A47" s="3813"/>
      <c r="B47" s="3831" t="s">
        <v>26</v>
      </c>
      <c r="C47" s="3826"/>
      <c r="D47" s="3832">
        <f>M47+O47+P47+Q47+R47+S47+T47</f>
        <v>0</v>
      </c>
      <c r="E47" s="3838"/>
      <c r="F47" s="3838"/>
      <c r="G47" s="3838"/>
      <c r="H47" s="3838"/>
      <c r="I47" s="3833"/>
      <c r="J47" s="3833">
        <v>0</v>
      </c>
      <c r="K47" s="3833">
        <v>0</v>
      </c>
      <c r="L47" s="3834">
        <v>0</v>
      </c>
      <c r="M47" s="3833"/>
      <c r="N47" s="3833">
        <v>0</v>
      </c>
      <c r="O47" s="3833">
        <v>0</v>
      </c>
      <c r="P47" s="3833"/>
      <c r="Q47" s="3833"/>
      <c r="R47" s="3833"/>
      <c r="S47" s="3833"/>
      <c r="T47" s="3833"/>
      <c r="U47" s="3833"/>
      <c r="V47" s="3833"/>
      <c r="W47" s="3833"/>
      <c r="X47" s="3845"/>
      <c r="Y47" s="3819"/>
    </row>
    <row r="48" spans="1:26" s="701" customFormat="1" ht="12.75" hidden="1" customHeight="1">
      <c r="A48" s="3813"/>
      <c r="B48" s="3831" t="s">
        <v>37</v>
      </c>
      <c r="C48" s="3826"/>
      <c r="D48" s="3832">
        <f>M48+O48+P48+Q48+R48+S48+T48</f>
        <v>0</v>
      </c>
      <c r="E48" s="3838">
        <v>0</v>
      </c>
      <c r="F48" s="3838"/>
      <c r="G48" s="3838"/>
      <c r="H48" s="3838"/>
      <c r="I48" s="3833">
        <v>0</v>
      </c>
      <c r="J48" s="3833">
        <v>0</v>
      </c>
      <c r="K48" s="3833"/>
      <c r="L48" s="3834">
        <v>0</v>
      </c>
      <c r="M48" s="3833">
        <f>E48+I48+J48+K48+L48+N48</f>
        <v>0</v>
      </c>
      <c r="N48" s="3833">
        <v>0</v>
      </c>
      <c r="O48" s="3833"/>
      <c r="P48" s="3833"/>
      <c r="Q48" s="3833"/>
      <c r="R48" s="3833"/>
      <c r="S48" s="3833"/>
      <c r="T48" s="3833"/>
      <c r="U48" s="3833"/>
      <c r="V48" s="3833"/>
      <c r="W48" s="3833"/>
      <c r="X48" s="3845"/>
      <c r="Y48" s="3819"/>
    </row>
    <row r="49" spans="1:25" s="701" customFormat="1" ht="12.75" hidden="1" customHeight="1">
      <c r="A49" s="3813"/>
      <c r="B49" s="3839" t="s">
        <v>30</v>
      </c>
      <c r="C49" s="3826"/>
      <c r="D49" s="3829">
        <f>D50+D51+D52</f>
        <v>0</v>
      </c>
      <c r="E49" s="3829">
        <f t="shared" ref="E49:O49" si="41">E50+E51+E52</f>
        <v>0</v>
      </c>
      <c r="F49" s="3829">
        <f t="shared" si="41"/>
        <v>0</v>
      </c>
      <c r="G49" s="3829">
        <f t="shared" si="41"/>
        <v>0</v>
      </c>
      <c r="H49" s="3829">
        <f t="shared" si="41"/>
        <v>0</v>
      </c>
      <c r="I49" s="3829">
        <f t="shared" si="41"/>
        <v>0</v>
      </c>
      <c r="J49" s="3829">
        <f t="shared" si="41"/>
        <v>0</v>
      </c>
      <c r="K49" s="3829">
        <f t="shared" si="41"/>
        <v>0</v>
      </c>
      <c r="L49" s="3846">
        <f t="shared" si="41"/>
        <v>0</v>
      </c>
      <c r="M49" s="3829">
        <f t="shared" si="41"/>
        <v>0</v>
      </c>
      <c r="N49" s="3829">
        <f t="shared" si="41"/>
        <v>0</v>
      </c>
      <c r="O49" s="3829">
        <f t="shared" si="41"/>
        <v>0</v>
      </c>
      <c r="P49" s="3829"/>
      <c r="Q49" s="3829"/>
      <c r="R49" s="3829"/>
      <c r="S49" s="3829"/>
      <c r="T49" s="3829"/>
      <c r="U49" s="3829"/>
      <c r="V49" s="3829"/>
      <c r="W49" s="3829"/>
      <c r="X49" s="3845"/>
      <c r="Y49" s="3819"/>
    </row>
    <row r="50" spans="1:25" s="701" customFormat="1" ht="12.95" hidden="1" customHeight="1">
      <c r="A50" s="3813"/>
      <c r="B50" s="3837" t="s">
        <v>33</v>
      </c>
      <c r="C50" s="3826"/>
      <c r="D50" s="3832">
        <f>M50+O50+P50+Q50+R50+S50+T50</f>
        <v>0</v>
      </c>
      <c r="E50" s="3827">
        <v>0</v>
      </c>
      <c r="F50" s="3827"/>
      <c r="G50" s="3827"/>
      <c r="H50" s="3827"/>
      <c r="I50" s="3829">
        <v>0</v>
      </c>
      <c r="J50" s="3843"/>
      <c r="K50" s="3843"/>
      <c r="L50" s="3844"/>
      <c r="M50" s="3833">
        <f>E50+I50+J50+K50+L50+N50</f>
        <v>0</v>
      </c>
      <c r="N50" s="3843"/>
      <c r="O50" s="3843"/>
      <c r="P50" s="3829"/>
      <c r="Q50" s="3829"/>
      <c r="R50" s="3829"/>
      <c r="S50" s="3829"/>
      <c r="T50" s="3829"/>
      <c r="U50" s="3829"/>
      <c r="V50" s="3829"/>
      <c r="W50" s="3829"/>
      <c r="X50" s="3845"/>
      <c r="Y50" s="3819"/>
    </row>
    <row r="51" spans="1:25" s="701" customFormat="1" ht="12.95" hidden="1" customHeight="1">
      <c r="A51" s="3813"/>
      <c r="B51" s="3831" t="s">
        <v>26</v>
      </c>
      <c r="C51" s="3826"/>
      <c r="D51" s="3832">
        <f>M51+O51+P51+Q51+R51+S51+T51</f>
        <v>0</v>
      </c>
      <c r="E51" s="3838"/>
      <c r="F51" s="3838"/>
      <c r="G51" s="3838"/>
      <c r="H51" s="3838"/>
      <c r="I51" s="3833"/>
      <c r="J51" s="3833">
        <v>0</v>
      </c>
      <c r="K51" s="3833">
        <v>0</v>
      </c>
      <c r="L51" s="3833">
        <v>0</v>
      </c>
      <c r="M51" s="3833">
        <f>E51+I51+J51+K51+L51+N51</f>
        <v>0</v>
      </c>
      <c r="N51" s="3833">
        <v>0</v>
      </c>
      <c r="O51" s="3833">
        <v>0</v>
      </c>
      <c r="P51" s="3833"/>
      <c r="Q51" s="3833"/>
      <c r="R51" s="3833"/>
      <c r="S51" s="3833"/>
      <c r="T51" s="3833"/>
      <c r="U51" s="3833"/>
      <c r="V51" s="3833"/>
      <c r="W51" s="3833"/>
      <c r="X51" s="3845"/>
      <c r="Y51" s="3819"/>
    </row>
    <row r="52" spans="1:25" s="701" customFormat="1" ht="12.95" hidden="1" customHeight="1" thickBot="1">
      <c r="A52" s="3848"/>
      <c r="B52" s="3849" t="s">
        <v>32</v>
      </c>
      <c r="C52" s="3850"/>
      <c r="D52" s="3851">
        <f>M52+O52+P52+Q52+R52+S52+T52</f>
        <v>0</v>
      </c>
      <c r="E52" s="3852">
        <v>0</v>
      </c>
      <c r="F52" s="3852"/>
      <c r="G52" s="3852"/>
      <c r="H52" s="3852"/>
      <c r="I52" s="3853">
        <v>0</v>
      </c>
      <c r="J52" s="1896">
        <v>0</v>
      </c>
      <c r="K52" s="1896"/>
      <c r="L52" s="1896">
        <v>0</v>
      </c>
      <c r="M52" s="3854">
        <f>E52+I52+J52+K52+L52+N52</f>
        <v>0</v>
      </c>
      <c r="N52" s="1896">
        <v>0</v>
      </c>
      <c r="O52" s="1896"/>
      <c r="P52" s="3853"/>
      <c r="Q52" s="3853"/>
      <c r="R52" s="3853"/>
      <c r="S52" s="3853"/>
      <c r="T52" s="3853"/>
      <c r="U52" s="3853"/>
      <c r="V52" s="3853"/>
      <c r="W52" s="3853"/>
      <c r="X52" s="2533"/>
      <c r="Y52" s="3855"/>
    </row>
    <row r="53" spans="1:25" s="701" customFormat="1" ht="24" hidden="1">
      <c r="A53" s="3813" t="s">
        <v>80</v>
      </c>
      <c r="B53" s="3856"/>
      <c r="C53" s="3857" t="s">
        <v>97</v>
      </c>
      <c r="D53" s="3857"/>
      <c r="E53" s="506"/>
      <c r="F53" s="506"/>
      <c r="G53" s="506"/>
      <c r="H53" s="506"/>
      <c r="I53" s="507"/>
      <c r="J53" s="507"/>
      <c r="K53" s="507"/>
      <c r="L53" s="507"/>
      <c r="M53" s="507"/>
      <c r="N53" s="507"/>
      <c r="O53" s="507"/>
      <c r="P53" s="507"/>
      <c r="Q53" s="507"/>
      <c r="R53" s="507"/>
      <c r="S53" s="507"/>
      <c r="T53" s="507"/>
      <c r="U53" s="507"/>
      <c r="V53" s="507"/>
      <c r="W53" s="507"/>
      <c r="X53" s="3858"/>
      <c r="Y53" s="3819" t="s">
        <v>205</v>
      </c>
    </row>
    <row r="54" spans="1:25" s="701" customFormat="1" ht="12.95" hidden="1" customHeight="1">
      <c r="A54" s="3813"/>
      <c r="B54" s="1988" t="s">
        <v>22</v>
      </c>
      <c r="C54" s="3820"/>
      <c r="D54" s="3821">
        <f>+D55+D58</f>
        <v>0</v>
      </c>
      <c r="E54" s="3822">
        <f>+E55+E58</f>
        <v>0</v>
      </c>
      <c r="F54" s="3822"/>
      <c r="G54" s="3822"/>
      <c r="H54" s="3822">
        <f t="shared" ref="H54:O54" si="42">+H55+H58</f>
        <v>0</v>
      </c>
      <c r="I54" s="3859">
        <f t="shared" si="42"/>
        <v>0</v>
      </c>
      <c r="J54" s="3859">
        <f t="shared" si="42"/>
        <v>0</v>
      </c>
      <c r="K54" s="3822">
        <f t="shared" si="42"/>
        <v>0</v>
      </c>
      <c r="L54" s="3860">
        <f t="shared" si="42"/>
        <v>0</v>
      </c>
      <c r="M54" s="3822">
        <f>+M55+M58</f>
        <v>0</v>
      </c>
      <c r="N54" s="3859">
        <f t="shared" si="42"/>
        <v>0</v>
      </c>
      <c r="O54" s="3859">
        <f t="shared" si="42"/>
        <v>0</v>
      </c>
      <c r="P54" s="3822"/>
      <c r="Q54" s="3822"/>
      <c r="R54" s="3822"/>
      <c r="S54" s="3822"/>
      <c r="T54" s="3822"/>
      <c r="U54" s="3822"/>
      <c r="V54" s="3822"/>
      <c r="W54" s="3822"/>
      <c r="X54" s="3861">
        <f>+X55+X58</f>
        <v>0</v>
      </c>
      <c r="Y54" s="3819"/>
    </row>
    <row r="55" spans="1:25" s="701" customFormat="1" ht="12.95" hidden="1" customHeight="1">
      <c r="A55" s="3813"/>
      <c r="B55" s="3825" t="s">
        <v>23</v>
      </c>
      <c r="C55" s="3826" t="s">
        <v>206</v>
      </c>
      <c r="D55" s="3827">
        <f>+D56+D57</f>
        <v>0</v>
      </c>
      <c r="E55" s="3827">
        <f t="shared" ref="E55:J55" si="43">+E56+E57</f>
        <v>0</v>
      </c>
      <c r="F55" s="3827">
        <f t="shared" si="43"/>
        <v>0</v>
      </c>
      <c r="G55" s="3827">
        <f t="shared" si="43"/>
        <v>0</v>
      </c>
      <c r="H55" s="3827">
        <f t="shared" si="43"/>
        <v>0</v>
      </c>
      <c r="I55" s="3862">
        <f t="shared" si="43"/>
        <v>0</v>
      </c>
      <c r="J55" s="3862">
        <f t="shared" si="43"/>
        <v>0</v>
      </c>
      <c r="K55" s="3827">
        <f>+K56</f>
        <v>0</v>
      </c>
      <c r="L55" s="3862">
        <f>+L56</f>
        <v>0</v>
      </c>
      <c r="M55" s="3827">
        <f>+M56+M57</f>
        <v>0</v>
      </c>
      <c r="N55" s="3862">
        <f>+N56</f>
        <v>0</v>
      </c>
      <c r="O55" s="3862">
        <f>+O56</f>
        <v>0</v>
      </c>
      <c r="P55" s="3827"/>
      <c r="Q55" s="3827"/>
      <c r="R55" s="3827"/>
      <c r="S55" s="3827"/>
      <c r="T55" s="3827"/>
      <c r="U55" s="3827"/>
      <c r="V55" s="3827"/>
      <c r="W55" s="3827"/>
      <c r="X55" s="3863">
        <f>+X56</f>
        <v>0</v>
      </c>
      <c r="Y55" s="3819"/>
    </row>
    <row r="56" spans="1:25" s="701" customFormat="1" ht="11.25" hidden="1" customHeight="1">
      <c r="A56" s="3813"/>
      <c r="B56" s="3837" t="s">
        <v>25</v>
      </c>
      <c r="C56" s="3826"/>
      <c r="D56" s="3832">
        <f>M56+O56+P56+Q56+R56+S56+T56</f>
        <v>0</v>
      </c>
      <c r="E56" s="3833">
        <v>0</v>
      </c>
      <c r="F56" s="3833"/>
      <c r="G56" s="3833"/>
      <c r="H56" s="3833"/>
      <c r="I56" s="3864">
        <v>0</v>
      </c>
      <c r="J56" s="3864">
        <v>0</v>
      </c>
      <c r="K56" s="3833"/>
      <c r="L56" s="3864">
        <v>0</v>
      </c>
      <c r="M56" s="3833">
        <f>E56+I56+J56+K56+L56+N56</f>
        <v>0</v>
      </c>
      <c r="N56" s="3864">
        <v>0</v>
      </c>
      <c r="O56" s="3864">
        <v>0</v>
      </c>
      <c r="P56" s="3833"/>
      <c r="Q56" s="3833"/>
      <c r="R56" s="3833"/>
      <c r="S56" s="3833"/>
      <c r="T56" s="3833"/>
      <c r="U56" s="3833"/>
      <c r="V56" s="3833"/>
      <c r="W56" s="3833"/>
      <c r="X56" s="3865">
        <f>SUM(P56:W56)</f>
        <v>0</v>
      </c>
      <c r="Y56" s="3819"/>
    </row>
    <row r="57" spans="1:25" s="701" customFormat="1" ht="12.95" hidden="1" customHeight="1">
      <c r="A57" s="3813"/>
      <c r="B57" s="3831" t="s">
        <v>26</v>
      </c>
      <c r="C57" s="3826"/>
      <c r="D57" s="3832">
        <f>M57+O57+P57+Q57+R57+S57+T57</f>
        <v>0</v>
      </c>
      <c r="E57" s="3838"/>
      <c r="F57" s="3838"/>
      <c r="G57" s="3838"/>
      <c r="H57" s="3838"/>
      <c r="I57" s="3866">
        <v>0</v>
      </c>
      <c r="J57" s="3866">
        <v>0</v>
      </c>
      <c r="K57" s="3838">
        <v>0</v>
      </c>
      <c r="L57" s="3866">
        <v>0</v>
      </c>
      <c r="M57" s="3833">
        <f>E57+I57+J57+K57+L57+N57</f>
        <v>0</v>
      </c>
      <c r="N57" s="3866">
        <v>0</v>
      </c>
      <c r="O57" s="3866">
        <v>0</v>
      </c>
      <c r="P57" s="3838"/>
      <c r="Q57" s="3838"/>
      <c r="R57" s="3838"/>
      <c r="S57" s="3838"/>
      <c r="T57" s="3838"/>
      <c r="U57" s="3838"/>
      <c r="V57" s="3838"/>
      <c r="W57" s="3838"/>
      <c r="X57" s="3865">
        <f>SUM(P57:W57)</f>
        <v>0</v>
      </c>
      <c r="Y57" s="3819"/>
    </row>
    <row r="58" spans="1:25" s="701" customFormat="1" ht="12" hidden="1" customHeight="1">
      <c r="A58" s="3813"/>
      <c r="B58" s="3839" t="s">
        <v>30</v>
      </c>
      <c r="C58" s="3826"/>
      <c r="D58" s="3827">
        <f t="shared" ref="D58:I58" si="44">D59+D60</f>
        <v>0</v>
      </c>
      <c r="E58" s="3827">
        <f t="shared" si="44"/>
        <v>0</v>
      </c>
      <c r="F58" s="3827">
        <f t="shared" si="44"/>
        <v>0</v>
      </c>
      <c r="G58" s="3827">
        <f t="shared" si="44"/>
        <v>0</v>
      </c>
      <c r="H58" s="3827">
        <f t="shared" si="44"/>
        <v>0</v>
      </c>
      <c r="I58" s="3862">
        <f t="shared" si="44"/>
        <v>0</v>
      </c>
      <c r="J58" s="3862">
        <f t="shared" ref="J58:O58" si="45">J59</f>
        <v>0</v>
      </c>
      <c r="K58" s="3827">
        <f>K59+K60</f>
        <v>0</v>
      </c>
      <c r="L58" s="3862">
        <f t="shared" si="45"/>
        <v>0</v>
      </c>
      <c r="M58" s="3827">
        <f>M59+M60</f>
        <v>0</v>
      </c>
      <c r="N58" s="3862">
        <f t="shared" si="45"/>
        <v>0</v>
      </c>
      <c r="O58" s="3862">
        <f t="shared" si="45"/>
        <v>0</v>
      </c>
      <c r="P58" s="3827"/>
      <c r="Q58" s="3827"/>
      <c r="R58" s="3827"/>
      <c r="S58" s="3827"/>
      <c r="T58" s="3827"/>
      <c r="U58" s="3827"/>
      <c r="V58" s="3827"/>
      <c r="W58" s="3827"/>
      <c r="X58" s="3863">
        <f>X59</f>
        <v>0</v>
      </c>
      <c r="Y58" s="3819"/>
    </row>
    <row r="59" spans="1:25" s="701" customFormat="1" ht="12.95" hidden="1" customHeight="1">
      <c r="A59" s="3813"/>
      <c r="B59" s="3831" t="s">
        <v>33</v>
      </c>
      <c r="C59" s="3826"/>
      <c r="D59" s="3832">
        <f>M59+O59+P59+Q59+R59+S59+T59</f>
        <v>0</v>
      </c>
      <c r="E59" s="3827"/>
      <c r="F59" s="3827"/>
      <c r="G59" s="3827"/>
      <c r="H59" s="3827"/>
      <c r="I59" s="3867">
        <v>0</v>
      </c>
      <c r="J59" s="3868">
        <v>0</v>
      </c>
      <c r="K59" s="3843"/>
      <c r="L59" s="3869">
        <v>0</v>
      </c>
      <c r="M59" s="3833">
        <f>E59+I59+J59+K59+L59+N59</f>
        <v>0</v>
      </c>
      <c r="N59" s="3868">
        <v>0</v>
      </c>
      <c r="O59" s="3868">
        <v>0</v>
      </c>
      <c r="P59" s="3829"/>
      <c r="Q59" s="3829"/>
      <c r="R59" s="3829"/>
      <c r="S59" s="3829"/>
      <c r="T59" s="3829"/>
      <c r="U59" s="3829"/>
      <c r="V59" s="3829"/>
      <c r="W59" s="3829"/>
      <c r="X59" s="3865">
        <f>SUM(P59:W59)</f>
        <v>0</v>
      </c>
      <c r="Y59" s="3819"/>
    </row>
    <row r="60" spans="1:25" s="701" customFormat="1" ht="12.95" hidden="1" customHeight="1">
      <c r="A60" s="3813"/>
      <c r="B60" s="3831" t="s">
        <v>26</v>
      </c>
      <c r="C60" s="3870"/>
      <c r="D60" s="3832">
        <f>M60+O60+P60+Q60+R60+S60+T60</f>
        <v>0</v>
      </c>
      <c r="E60" s="3841"/>
      <c r="F60" s="3827"/>
      <c r="G60" s="3827"/>
      <c r="H60" s="3827"/>
      <c r="I60" s="3867">
        <v>0</v>
      </c>
      <c r="J60" s="3868">
        <v>0</v>
      </c>
      <c r="K60" s="3843">
        <v>0</v>
      </c>
      <c r="L60" s="3871">
        <v>0</v>
      </c>
      <c r="M60" s="3833">
        <f>E60+I60+J60+K60+L60+N60</f>
        <v>0</v>
      </c>
      <c r="N60" s="3868">
        <v>0</v>
      </c>
      <c r="O60" s="3868"/>
      <c r="P60" s="3829"/>
      <c r="Q60" s="3829"/>
      <c r="R60" s="3829"/>
      <c r="S60" s="3829"/>
      <c r="T60" s="3829"/>
      <c r="U60" s="3829"/>
      <c r="V60" s="3829"/>
      <c r="W60" s="3829"/>
      <c r="X60" s="3865">
        <f>SUM(P60:W60)</f>
        <v>0</v>
      </c>
      <c r="Y60" s="3819"/>
    </row>
    <row r="61" spans="1:25" s="701" customFormat="1" ht="12.95" hidden="1" customHeight="1">
      <c r="A61" s="3813"/>
      <c r="B61" s="1988" t="s">
        <v>34</v>
      </c>
      <c r="C61" s="3820"/>
      <c r="D61" s="3822">
        <f>+D62+D65</f>
        <v>0</v>
      </c>
      <c r="E61" s="3822">
        <f>+E62+E65</f>
        <v>0</v>
      </c>
      <c r="F61" s="3822">
        <f>+F62+F65</f>
        <v>0</v>
      </c>
      <c r="G61" s="3822">
        <f>+G62+G65</f>
        <v>0</v>
      </c>
      <c r="H61" s="3822">
        <f>+H62+H65</f>
        <v>0</v>
      </c>
      <c r="I61" s="3859">
        <f t="shared" ref="I61:O61" si="46">+I62+I65</f>
        <v>0</v>
      </c>
      <c r="J61" s="3859">
        <f t="shared" si="46"/>
        <v>0</v>
      </c>
      <c r="K61" s="3822">
        <f t="shared" si="46"/>
        <v>0</v>
      </c>
      <c r="L61" s="3860">
        <f t="shared" si="46"/>
        <v>0</v>
      </c>
      <c r="M61" s="3822">
        <f>+M62+M65</f>
        <v>0</v>
      </c>
      <c r="N61" s="3859">
        <f t="shared" si="46"/>
        <v>0</v>
      </c>
      <c r="O61" s="3859">
        <f t="shared" si="46"/>
        <v>0</v>
      </c>
      <c r="P61" s="3822"/>
      <c r="Q61" s="3822"/>
      <c r="R61" s="3822"/>
      <c r="S61" s="3822"/>
      <c r="T61" s="3822"/>
      <c r="U61" s="3822"/>
      <c r="V61" s="3822"/>
      <c r="W61" s="3822"/>
      <c r="X61" s="3845" t="s">
        <v>77</v>
      </c>
      <c r="Y61" s="3819"/>
    </row>
    <row r="62" spans="1:25" s="701" customFormat="1" ht="12.95" hidden="1" customHeight="1">
      <c r="A62" s="3813"/>
      <c r="B62" s="3825" t="s">
        <v>23</v>
      </c>
      <c r="C62" s="3826" t="s">
        <v>206</v>
      </c>
      <c r="D62" s="3829">
        <f>D63+D64</f>
        <v>0</v>
      </c>
      <c r="E62" s="3829">
        <f>E63+E64</f>
        <v>0</v>
      </c>
      <c r="F62" s="3829">
        <f t="shared" ref="F62:O62" si="47">F63</f>
        <v>0</v>
      </c>
      <c r="G62" s="3829">
        <f t="shared" si="47"/>
        <v>0</v>
      </c>
      <c r="H62" s="3829">
        <f>H68+H72</f>
        <v>0</v>
      </c>
      <c r="I62" s="3867">
        <f t="shared" si="47"/>
        <v>0</v>
      </c>
      <c r="J62" s="3867">
        <f t="shared" si="47"/>
        <v>0</v>
      </c>
      <c r="K62" s="3829">
        <f t="shared" si="47"/>
        <v>0</v>
      </c>
      <c r="L62" s="3872">
        <f t="shared" si="47"/>
        <v>0</v>
      </c>
      <c r="M62" s="3829">
        <f>M63+M64</f>
        <v>0</v>
      </c>
      <c r="N62" s="3867">
        <f t="shared" si="47"/>
        <v>0</v>
      </c>
      <c r="O62" s="3867">
        <f t="shared" si="47"/>
        <v>0</v>
      </c>
      <c r="P62" s="3829"/>
      <c r="Q62" s="3829"/>
      <c r="R62" s="3829"/>
      <c r="S62" s="3829"/>
      <c r="T62" s="3829"/>
      <c r="U62" s="3829"/>
      <c r="V62" s="3829"/>
      <c r="W62" s="3829"/>
      <c r="X62" s="3845"/>
      <c r="Y62" s="3819"/>
    </row>
    <row r="63" spans="1:25" s="701" customFormat="1" ht="12.95" hidden="1" customHeight="1">
      <c r="A63" s="3813"/>
      <c r="B63" s="3837" t="s">
        <v>25</v>
      </c>
      <c r="C63" s="3826"/>
      <c r="D63" s="3832">
        <f>M63+O63+P63+Q63+R63+S63+T63</f>
        <v>0</v>
      </c>
      <c r="E63" s="3841">
        <v>0</v>
      </c>
      <c r="F63" s="3841"/>
      <c r="G63" s="3841"/>
      <c r="H63" s="3841"/>
      <c r="I63" s="3868">
        <v>0</v>
      </c>
      <c r="J63" s="3864">
        <v>0</v>
      </c>
      <c r="K63" s="3833"/>
      <c r="L63" s="3873">
        <v>0</v>
      </c>
      <c r="M63" s="3833">
        <f>E63+I63+J63+K63+L63+N63</f>
        <v>0</v>
      </c>
      <c r="N63" s="3868">
        <v>0</v>
      </c>
      <c r="O63" s="3868">
        <v>0</v>
      </c>
      <c r="P63" s="3829"/>
      <c r="Q63" s="3829"/>
      <c r="R63" s="3827"/>
      <c r="S63" s="3827"/>
      <c r="T63" s="3827"/>
      <c r="U63" s="3827"/>
      <c r="V63" s="3827"/>
      <c r="W63" s="3827"/>
      <c r="X63" s="3845"/>
      <c r="Y63" s="3819"/>
    </row>
    <row r="64" spans="1:25" s="701" customFormat="1" ht="11.25" hidden="1" customHeight="1">
      <c r="A64" s="3813"/>
      <c r="B64" s="3831" t="s">
        <v>26</v>
      </c>
      <c r="C64" s="3826"/>
      <c r="D64" s="3832">
        <f>M64+O64+P64+Q64+R64+S64+T64</f>
        <v>0</v>
      </c>
      <c r="E64" s="3841"/>
      <c r="F64" s="3841"/>
      <c r="G64" s="3841"/>
      <c r="H64" s="3841"/>
      <c r="I64" s="3868">
        <v>0</v>
      </c>
      <c r="J64" s="3864">
        <v>0</v>
      </c>
      <c r="K64" s="3868">
        <v>0</v>
      </c>
      <c r="L64" s="3873">
        <v>0</v>
      </c>
      <c r="M64" s="3833">
        <f>E64+I64+J64+K64+L64+N64</f>
        <v>0</v>
      </c>
      <c r="N64" s="3868">
        <v>0</v>
      </c>
      <c r="O64" s="3868">
        <v>0</v>
      </c>
      <c r="P64" s="3829"/>
      <c r="Q64" s="3829"/>
      <c r="R64" s="3829"/>
      <c r="S64" s="3829"/>
      <c r="T64" s="3829"/>
      <c r="U64" s="3829"/>
      <c r="V64" s="3829"/>
      <c r="W64" s="3829"/>
      <c r="X64" s="3845"/>
      <c r="Y64" s="3819"/>
    </row>
    <row r="65" spans="1:25" s="701" customFormat="1" ht="12.95" hidden="1" customHeight="1">
      <c r="A65" s="3813"/>
      <c r="B65" s="3839" t="s">
        <v>30</v>
      </c>
      <c r="C65" s="3826"/>
      <c r="D65" s="3829">
        <f>D66+D67</f>
        <v>0</v>
      </c>
      <c r="E65" s="3829">
        <f>E66+E67</f>
        <v>0</v>
      </c>
      <c r="F65" s="3829">
        <f>F66+F67</f>
        <v>0</v>
      </c>
      <c r="G65" s="3829">
        <f>G66+G67</f>
        <v>0</v>
      </c>
      <c r="H65" s="3829">
        <f>H66+H67</f>
        <v>0</v>
      </c>
      <c r="I65" s="3867">
        <f t="shared" ref="I65:O65" si="48">I66</f>
        <v>0</v>
      </c>
      <c r="J65" s="3867">
        <f t="shared" si="48"/>
        <v>0</v>
      </c>
      <c r="K65" s="3829">
        <f t="shared" si="48"/>
        <v>0</v>
      </c>
      <c r="L65" s="3867">
        <f t="shared" si="48"/>
        <v>0</v>
      </c>
      <c r="M65" s="3829">
        <f>M66+M67</f>
        <v>0</v>
      </c>
      <c r="N65" s="3867">
        <f t="shared" si="48"/>
        <v>0</v>
      </c>
      <c r="O65" s="3867">
        <f t="shared" si="48"/>
        <v>0</v>
      </c>
      <c r="P65" s="3829"/>
      <c r="Q65" s="3829"/>
      <c r="R65" s="3829"/>
      <c r="S65" s="3829"/>
      <c r="T65" s="3829"/>
      <c r="U65" s="3829"/>
      <c r="V65" s="3829"/>
      <c r="W65" s="3829"/>
      <c r="X65" s="3845"/>
      <c r="Y65" s="3819"/>
    </row>
    <row r="66" spans="1:25" s="701" customFormat="1" hidden="1">
      <c r="A66" s="3813"/>
      <c r="B66" s="3837" t="s">
        <v>33</v>
      </c>
      <c r="C66" s="3826"/>
      <c r="D66" s="3832">
        <f>M66+O66+P66+Q66+R66+S66+T66</f>
        <v>0</v>
      </c>
      <c r="E66" s="3841">
        <v>0</v>
      </c>
      <c r="F66" s="3841"/>
      <c r="G66" s="3841"/>
      <c r="H66" s="3841"/>
      <c r="I66" s="3868">
        <v>0</v>
      </c>
      <c r="J66" s="3868">
        <v>0</v>
      </c>
      <c r="K66" s="3843"/>
      <c r="L66" s="3868">
        <v>0</v>
      </c>
      <c r="M66" s="3833">
        <f>E66+I66+J66+K66+L66+N66</f>
        <v>0</v>
      </c>
      <c r="N66" s="3868">
        <v>0</v>
      </c>
      <c r="O66" s="3868">
        <v>0</v>
      </c>
      <c r="P66" s="3843"/>
      <c r="Q66" s="3843"/>
      <c r="R66" s="3843"/>
      <c r="S66" s="3843"/>
      <c r="T66" s="3843"/>
      <c r="U66" s="3843"/>
      <c r="V66" s="3843"/>
      <c r="W66" s="3843"/>
      <c r="X66" s="3845"/>
      <c r="Y66" s="3819"/>
    </row>
    <row r="67" spans="1:25" s="701" customFormat="1" ht="12.95" hidden="1" customHeight="1">
      <c r="A67" s="3874"/>
      <c r="B67" s="3831" t="s">
        <v>26</v>
      </c>
      <c r="C67" s="3875"/>
      <c r="D67" s="3832">
        <f>M67+O67+P67+Q67+R67+S67+T67</f>
        <v>0</v>
      </c>
      <c r="E67" s="3841"/>
      <c r="F67" s="3841"/>
      <c r="G67" s="3841"/>
      <c r="H67" s="3841"/>
      <c r="I67" s="3868">
        <v>0</v>
      </c>
      <c r="J67" s="3868">
        <v>0</v>
      </c>
      <c r="K67" s="3843">
        <v>0</v>
      </c>
      <c r="L67" s="3868">
        <v>0</v>
      </c>
      <c r="M67" s="3833">
        <f>E67+I67+J67+K67+L67+N67</f>
        <v>0</v>
      </c>
      <c r="N67" s="3868">
        <v>0</v>
      </c>
      <c r="O67" s="3869">
        <v>0</v>
      </c>
      <c r="P67" s="3844"/>
      <c r="Q67" s="3844"/>
      <c r="R67" s="3844"/>
      <c r="S67" s="3844"/>
      <c r="T67" s="3844"/>
      <c r="U67" s="3844"/>
      <c r="V67" s="3844"/>
      <c r="W67" s="3844"/>
      <c r="X67" s="3876"/>
      <c r="Y67" s="3877"/>
    </row>
    <row r="68" spans="1:25" s="3886" customFormat="1" ht="32.25" customHeight="1">
      <c r="A68" s="3878" t="s">
        <v>79</v>
      </c>
      <c r="B68" s="3879" t="s">
        <v>207</v>
      </c>
      <c r="C68" s="3880" t="s">
        <v>97</v>
      </c>
      <c r="D68" s="3880"/>
      <c r="E68" s="3881"/>
      <c r="F68" s="3881"/>
      <c r="G68" s="3881"/>
      <c r="H68" s="3881"/>
      <c r="I68" s="3882"/>
      <c r="J68" s="3882"/>
      <c r="K68" s="3882"/>
      <c r="L68" s="3882"/>
      <c r="M68" s="3882"/>
      <c r="N68" s="3882"/>
      <c r="O68" s="3883"/>
      <c r="P68" s="3883"/>
      <c r="Q68" s="3883"/>
      <c r="R68" s="3883"/>
      <c r="S68" s="3883"/>
      <c r="T68" s="3883"/>
      <c r="U68" s="3883"/>
      <c r="V68" s="3883"/>
      <c r="W68" s="3883"/>
      <c r="X68" s="3884"/>
      <c r="Y68" s="3885" t="s">
        <v>491</v>
      </c>
    </row>
    <row r="69" spans="1:25" s="3892" customFormat="1" ht="15.75" customHeight="1">
      <c r="A69" s="3878"/>
      <c r="B69" s="1988" t="s">
        <v>22</v>
      </c>
      <c r="C69" s="3820"/>
      <c r="D69" s="3887">
        <f t="shared" ref="D69:P69" si="49">+D70+D72</f>
        <v>15220421</v>
      </c>
      <c r="E69" s="3888">
        <f t="shared" si="49"/>
        <v>0</v>
      </c>
      <c r="F69" s="3888">
        <f t="shared" si="49"/>
        <v>0</v>
      </c>
      <c r="G69" s="3888">
        <f t="shared" si="49"/>
        <v>0</v>
      </c>
      <c r="H69" s="3888">
        <f t="shared" si="49"/>
        <v>0</v>
      </c>
      <c r="I69" s="3888">
        <f t="shared" si="49"/>
        <v>0</v>
      </c>
      <c r="J69" s="3889">
        <f t="shared" si="49"/>
        <v>629249</v>
      </c>
      <c r="K69" s="3889">
        <f t="shared" si="49"/>
        <v>5656222</v>
      </c>
      <c r="L69" s="3890">
        <f t="shared" si="49"/>
        <v>2983150</v>
      </c>
      <c r="M69" s="3889">
        <f>+M70+M72</f>
        <v>11755762</v>
      </c>
      <c r="N69" s="3889">
        <f t="shared" si="49"/>
        <v>2487141</v>
      </c>
      <c r="O69" s="3822">
        <f t="shared" si="49"/>
        <v>2210811</v>
      </c>
      <c r="P69" s="3822">
        <f t="shared" si="49"/>
        <v>1253848</v>
      </c>
      <c r="Q69" s="3822"/>
      <c r="R69" s="3822"/>
      <c r="S69" s="3822"/>
      <c r="T69" s="3822"/>
      <c r="U69" s="3822"/>
      <c r="V69" s="3822"/>
      <c r="W69" s="3822"/>
      <c r="X69" s="3891">
        <f>+X70+X72</f>
        <v>1253848</v>
      </c>
      <c r="Y69" s="3819"/>
    </row>
    <row r="70" spans="1:25" s="3892" customFormat="1" ht="12.75" customHeight="1">
      <c r="A70" s="3878"/>
      <c r="B70" s="3893" t="s">
        <v>23</v>
      </c>
      <c r="C70" s="3894" t="s">
        <v>209</v>
      </c>
      <c r="D70" s="3829">
        <f>D71</f>
        <v>7209673</v>
      </c>
      <c r="E70" s="3867">
        <f t="shared" ref="E70:N70" si="50">E71</f>
        <v>0</v>
      </c>
      <c r="F70" s="3867">
        <f t="shared" si="50"/>
        <v>0</v>
      </c>
      <c r="G70" s="3867">
        <f t="shared" si="50"/>
        <v>0</v>
      </c>
      <c r="H70" s="3867">
        <f t="shared" si="50"/>
        <v>0</v>
      </c>
      <c r="I70" s="3867">
        <f t="shared" si="50"/>
        <v>0</v>
      </c>
      <c r="J70" s="3867">
        <f t="shared" si="50"/>
        <v>0</v>
      </c>
      <c r="K70" s="3829">
        <f t="shared" si="50"/>
        <v>3801777</v>
      </c>
      <c r="L70" s="3846">
        <f t="shared" si="50"/>
        <v>2588068</v>
      </c>
      <c r="M70" s="3829">
        <f t="shared" si="50"/>
        <v>6389845</v>
      </c>
      <c r="N70" s="3829">
        <f t="shared" si="50"/>
        <v>0</v>
      </c>
      <c r="O70" s="3829">
        <f>O71</f>
        <v>303250</v>
      </c>
      <c r="P70" s="3829">
        <f>P71</f>
        <v>516578</v>
      </c>
      <c r="Q70" s="3829"/>
      <c r="R70" s="3829"/>
      <c r="S70" s="3829"/>
      <c r="T70" s="3829"/>
      <c r="U70" s="3829"/>
      <c r="V70" s="3829"/>
      <c r="W70" s="3829"/>
      <c r="X70" s="3895">
        <f>X71</f>
        <v>516578</v>
      </c>
      <c r="Y70" s="3819"/>
    </row>
    <row r="71" spans="1:25" s="3892" customFormat="1" ht="12.75" customHeight="1">
      <c r="A71" s="3878"/>
      <c r="B71" s="3896" t="s">
        <v>78</v>
      </c>
      <c r="C71" s="3897"/>
      <c r="D71" s="3898">
        <f>M71+O71+P71+Q71+R71+S71+T71</f>
        <v>7209673</v>
      </c>
      <c r="E71" s="3899">
        <v>0</v>
      </c>
      <c r="F71" s="3899"/>
      <c r="G71" s="3899"/>
      <c r="H71" s="3899"/>
      <c r="I71" s="3900">
        <v>0</v>
      </c>
      <c r="J71" s="3900">
        <v>0</v>
      </c>
      <c r="K71" s="3901">
        <f>2852777+949000</f>
        <v>3801777</v>
      </c>
      <c r="L71" s="3902">
        <f>3556234-855353-112812-1</f>
        <v>2588068</v>
      </c>
      <c r="M71" s="3901">
        <f>E71+I71+J71+K71+L71+N71</f>
        <v>6389845</v>
      </c>
      <c r="N71" s="3901">
        <f>202176+69754+112812-384742</f>
        <v>0</v>
      </c>
      <c r="O71" s="3901">
        <f>372688-2013-67425</f>
        <v>303250</v>
      </c>
      <c r="P71" s="3901">
        <f>225798-161388+1+384742+67425</f>
        <v>516578</v>
      </c>
      <c r="Q71" s="3901"/>
      <c r="R71" s="3901"/>
      <c r="S71" s="3901"/>
      <c r="T71" s="3901"/>
      <c r="U71" s="3901"/>
      <c r="V71" s="3901"/>
      <c r="W71" s="3901"/>
      <c r="X71" s="3903">
        <f>SUM(P71:T71)</f>
        <v>516578</v>
      </c>
      <c r="Y71" s="3819"/>
    </row>
    <row r="72" spans="1:25" s="3892" customFormat="1" ht="12.75" customHeight="1">
      <c r="A72" s="3878"/>
      <c r="B72" s="3839" t="s">
        <v>30</v>
      </c>
      <c r="C72" s="3897"/>
      <c r="D72" s="3827">
        <f>D73</f>
        <v>8010748</v>
      </c>
      <c r="E72" s="3862">
        <f t="shared" ref="E72:P72" si="51">E73</f>
        <v>0</v>
      </c>
      <c r="F72" s="3862">
        <f t="shared" si="51"/>
        <v>0</v>
      </c>
      <c r="G72" s="3862">
        <f t="shared" si="51"/>
        <v>0</v>
      </c>
      <c r="H72" s="3862">
        <f t="shared" si="51"/>
        <v>0</v>
      </c>
      <c r="I72" s="3862">
        <f t="shared" si="51"/>
        <v>0</v>
      </c>
      <c r="J72" s="3827">
        <f t="shared" si="51"/>
        <v>629249</v>
      </c>
      <c r="K72" s="3827">
        <f t="shared" si="51"/>
        <v>1854445</v>
      </c>
      <c r="L72" s="3828">
        <f t="shared" si="51"/>
        <v>395082</v>
      </c>
      <c r="M72" s="3829">
        <f t="shared" si="51"/>
        <v>5365917</v>
      </c>
      <c r="N72" s="3827">
        <f t="shared" si="51"/>
        <v>2487141</v>
      </c>
      <c r="O72" s="3827">
        <f t="shared" si="51"/>
        <v>1907561</v>
      </c>
      <c r="P72" s="3827">
        <f t="shared" si="51"/>
        <v>737270</v>
      </c>
      <c r="Q72" s="3827"/>
      <c r="R72" s="3827"/>
      <c r="S72" s="3827"/>
      <c r="T72" s="3827"/>
      <c r="U72" s="3827"/>
      <c r="V72" s="3827"/>
      <c r="W72" s="3827"/>
      <c r="X72" s="3895">
        <f>X73</f>
        <v>737270</v>
      </c>
      <c r="Y72" s="3819"/>
    </row>
    <row r="73" spans="1:25" s="3892" customFormat="1" ht="12.75" customHeight="1">
      <c r="A73" s="3878"/>
      <c r="B73" s="3896" t="s">
        <v>32</v>
      </c>
      <c r="C73" s="3897"/>
      <c r="D73" s="3898">
        <f>M73+O73+P73+Q73+R73+S73+T73</f>
        <v>8010748</v>
      </c>
      <c r="E73" s="3862">
        <v>0</v>
      </c>
      <c r="F73" s="3862"/>
      <c r="G73" s="3862"/>
      <c r="H73" s="3862"/>
      <c r="I73" s="3867">
        <v>0</v>
      </c>
      <c r="J73" s="3843">
        <f>631141-1892</f>
        <v>629249</v>
      </c>
      <c r="K73" s="3843">
        <f>1642504+253578-41637</f>
        <v>1854445</v>
      </c>
      <c r="L73" s="3844">
        <f>456822-39189-22551</f>
        <v>395082</v>
      </c>
      <c r="M73" s="3901">
        <f>E73+I73+J73+K73+L73+N73</f>
        <v>5365917</v>
      </c>
      <c r="N73" s="3843">
        <f>2650107-16771+41637-187832</f>
        <v>2487141</v>
      </c>
      <c r="O73" s="3844">
        <f>2274891-261371-105959</f>
        <v>1907561</v>
      </c>
      <c r="P73" s="3844">
        <f>357175+63753+22551+187832+105959</f>
        <v>737270</v>
      </c>
      <c r="Q73" s="3843"/>
      <c r="R73" s="3843"/>
      <c r="S73" s="3843"/>
      <c r="T73" s="3843"/>
      <c r="U73" s="3843"/>
      <c r="V73" s="3843"/>
      <c r="W73" s="3843"/>
      <c r="X73" s="3903">
        <f>SUM(P73:T73)</f>
        <v>737270</v>
      </c>
      <c r="Y73" s="3819"/>
    </row>
    <row r="74" spans="1:25" s="3892" customFormat="1" ht="15.75" customHeight="1">
      <c r="A74" s="3878"/>
      <c r="B74" s="1988" t="s">
        <v>34</v>
      </c>
      <c r="C74" s="3820"/>
      <c r="D74" s="3887">
        <f t="shared" ref="D74:P74" si="52">+D75+D78</f>
        <v>15220421</v>
      </c>
      <c r="E74" s="3888">
        <f t="shared" si="52"/>
        <v>0</v>
      </c>
      <c r="F74" s="3888">
        <f t="shared" si="52"/>
        <v>0</v>
      </c>
      <c r="G74" s="3888">
        <f t="shared" si="52"/>
        <v>0</v>
      </c>
      <c r="H74" s="3888">
        <f t="shared" si="52"/>
        <v>0</v>
      </c>
      <c r="I74" s="3888">
        <f t="shared" si="52"/>
        <v>0</v>
      </c>
      <c r="J74" s="3889">
        <f t="shared" si="52"/>
        <v>3544011</v>
      </c>
      <c r="K74" s="3889">
        <f t="shared" si="52"/>
        <v>3801777</v>
      </c>
      <c r="L74" s="3890">
        <f t="shared" si="52"/>
        <v>5996862</v>
      </c>
      <c r="M74" s="3889">
        <f>+M75+M78</f>
        <v>13342650</v>
      </c>
      <c r="N74" s="3889">
        <f t="shared" si="52"/>
        <v>0</v>
      </c>
      <c r="O74" s="3822">
        <f t="shared" si="52"/>
        <v>303250</v>
      </c>
      <c r="P74" s="3822">
        <f t="shared" si="52"/>
        <v>516578</v>
      </c>
      <c r="Q74" s="3822">
        <f>+Q75+Q78</f>
        <v>1057943</v>
      </c>
      <c r="R74" s="3822"/>
      <c r="S74" s="3822"/>
      <c r="T74" s="3822"/>
      <c r="U74" s="3822"/>
      <c r="V74" s="3822"/>
      <c r="W74" s="3822"/>
      <c r="X74" s="3904" t="s">
        <v>77</v>
      </c>
      <c r="Y74" s="3819"/>
    </row>
    <row r="75" spans="1:25" s="3892" customFormat="1" ht="13.5" customHeight="1">
      <c r="A75" s="3878"/>
      <c r="B75" s="3893" t="s">
        <v>23</v>
      </c>
      <c r="C75" s="3894" t="s">
        <v>209</v>
      </c>
      <c r="D75" s="3829">
        <f>D76</f>
        <v>7209673</v>
      </c>
      <c r="E75" s="3867">
        <f t="shared" ref="E75:Q75" si="53">E76</f>
        <v>0</v>
      </c>
      <c r="F75" s="3867">
        <f t="shared" si="53"/>
        <v>0</v>
      </c>
      <c r="G75" s="3867">
        <f t="shared" si="53"/>
        <v>0</v>
      </c>
      <c r="H75" s="3867">
        <f t="shared" si="53"/>
        <v>0</v>
      </c>
      <c r="I75" s="3867">
        <f t="shared" si="53"/>
        <v>0</v>
      </c>
      <c r="J75" s="3867">
        <f t="shared" si="53"/>
        <v>0</v>
      </c>
      <c r="K75" s="3829">
        <f t="shared" si="53"/>
        <v>3801777</v>
      </c>
      <c r="L75" s="3846">
        <f t="shared" si="53"/>
        <v>2588068</v>
      </c>
      <c r="M75" s="3829">
        <f t="shared" si="53"/>
        <v>6389845</v>
      </c>
      <c r="N75" s="3829">
        <f t="shared" si="53"/>
        <v>0</v>
      </c>
      <c r="O75" s="3829">
        <f t="shared" si="53"/>
        <v>303250</v>
      </c>
      <c r="P75" s="3829">
        <f t="shared" si="53"/>
        <v>516578</v>
      </c>
      <c r="Q75" s="3829">
        <f t="shared" si="53"/>
        <v>0</v>
      </c>
      <c r="R75" s="3829"/>
      <c r="S75" s="3829"/>
      <c r="T75" s="3829"/>
      <c r="U75" s="3829"/>
      <c r="V75" s="3829"/>
      <c r="W75" s="3829"/>
      <c r="X75" s="3904"/>
      <c r="Y75" s="3819"/>
    </row>
    <row r="76" spans="1:25" s="3892" customFormat="1" ht="13.5" customHeight="1">
      <c r="A76" s="3878"/>
      <c r="B76" s="3896" t="s">
        <v>28</v>
      </c>
      <c r="C76" s="3897"/>
      <c r="D76" s="3898">
        <f>M76+O76+P76+Q76+R76+S76+T76</f>
        <v>7209673</v>
      </c>
      <c r="E76" s="3899">
        <v>0</v>
      </c>
      <c r="F76" s="3899"/>
      <c r="G76" s="3899"/>
      <c r="H76" s="3899"/>
      <c r="I76" s="3900">
        <v>0</v>
      </c>
      <c r="J76" s="3900">
        <v>0</v>
      </c>
      <c r="K76" s="3901">
        <f>2852777+949000</f>
        <v>3801777</v>
      </c>
      <c r="L76" s="3902">
        <f>3556234-855353-112812-1</f>
        <v>2588068</v>
      </c>
      <c r="M76" s="3901">
        <f>E76+I76+J76+K76+L76+N76</f>
        <v>6389845</v>
      </c>
      <c r="N76" s="3901">
        <f>202176+69754+112812-384742</f>
        <v>0</v>
      </c>
      <c r="O76" s="3901">
        <f>372688-2013-67425</f>
        <v>303250</v>
      </c>
      <c r="P76" s="3901">
        <f>225798-161388+1+384742+67425</f>
        <v>516578</v>
      </c>
      <c r="Q76" s="3901"/>
      <c r="R76" s="3901"/>
      <c r="S76" s="3901"/>
      <c r="T76" s="3901"/>
      <c r="U76" s="3901"/>
      <c r="V76" s="3901"/>
      <c r="W76" s="3901"/>
      <c r="X76" s="3904"/>
      <c r="Y76" s="3819"/>
    </row>
    <row r="77" spans="1:25" s="3892" customFormat="1" ht="13.5" customHeight="1">
      <c r="A77" s="3878"/>
      <c r="B77" s="3905" t="s">
        <v>30</v>
      </c>
      <c r="C77" s="3897"/>
      <c r="D77" s="3829">
        <f>D78</f>
        <v>8010748</v>
      </c>
      <c r="E77" s="3867">
        <f t="shared" ref="E77:Q77" si="54">E78</f>
        <v>0</v>
      </c>
      <c r="F77" s="3867">
        <f t="shared" si="54"/>
        <v>0</v>
      </c>
      <c r="G77" s="3867">
        <f t="shared" si="54"/>
        <v>0</v>
      </c>
      <c r="H77" s="3867">
        <f t="shared" si="54"/>
        <v>0</v>
      </c>
      <c r="I77" s="3867">
        <f t="shared" si="54"/>
        <v>0</v>
      </c>
      <c r="J77" s="3829">
        <f t="shared" si="54"/>
        <v>3544011</v>
      </c>
      <c r="K77" s="3829">
        <f t="shared" si="54"/>
        <v>0</v>
      </c>
      <c r="L77" s="3846">
        <f t="shared" si="54"/>
        <v>3408794</v>
      </c>
      <c r="M77" s="3829">
        <f t="shared" si="54"/>
        <v>6952805</v>
      </c>
      <c r="N77" s="3829">
        <f t="shared" si="54"/>
        <v>0</v>
      </c>
      <c r="O77" s="3829">
        <f t="shared" si="54"/>
        <v>0</v>
      </c>
      <c r="P77" s="3829">
        <f t="shared" si="54"/>
        <v>0</v>
      </c>
      <c r="Q77" s="3829">
        <f t="shared" si="54"/>
        <v>1057943</v>
      </c>
      <c r="R77" s="3829"/>
      <c r="S77" s="3829"/>
      <c r="T77" s="3829"/>
      <c r="U77" s="3829"/>
      <c r="V77" s="3829"/>
      <c r="W77" s="3829"/>
      <c r="X77" s="3904"/>
      <c r="Y77" s="3819"/>
    </row>
    <row r="78" spans="1:25" s="3892" customFormat="1" ht="13.5" customHeight="1" thickBot="1">
      <c r="A78" s="3906"/>
      <c r="B78" s="479" t="s">
        <v>32</v>
      </c>
      <c r="C78" s="3907"/>
      <c r="D78" s="3908">
        <f>M78+O78+P78+Q78+R78+S78+T78</f>
        <v>8010748</v>
      </c>
      <c r="E78" s="3909">
        <v>0</v>
      </c>
      <c r="F78" s="3909"/>
      <c r="G78" s="3909"/>
      <c r="H78" s="3909"/>
      <c r="I78" s="3910">
        <v>0</v>
      </c>
      <c r="J78" s="3911">
        <f>3204300+339711</f>
        <v>3544011</v>
      </c>
      <c r="K78" s="3911">
        <v>0</v>
      </c>
      <c r="L78" s="3911">
        <v>3408794</v>
      </c>
      <c r="M78" s="3911">
        <f>E78+I78+J78+K78+L78+N78</f>
        <v>6952805</v>
      </c>
      <c r="N78" s="3911">
        <f>2403223-2403223</f>
        <v>0</v>
      </c>
      <c r="O78" s="3912">
        <f>2063514-1005571-1057943</f>
        <v>0</v>
      </c>
      <c r="P78" s="3912">
        <v>0</v>
      </c>
      <c r="Q78" s="3912">
        <v>1057943</v>
      </c>
      <c r="R78" s="3912"/>
      <c r="S78" s="3912"/>
      <c r="T78" s="3912"/>
      <c r="U78" s="3912"/>
      <c r="V78" s="3912"/>
      <c r="W78" s="3912"/>
      <c r="X78" s="3913"/>
      <c r="Y78" s="3855"/>
    </row>
    <row r="79" spans="1:25" s="3886" customFormat="1" ht="40.5" customHeight="1">
      <c r="A79" s="3878" t="s">
        <v>80</v>
      </c>
      <c r="B79" s="3879" t="s">
        <v>210</v>
      </c>
      <c r="C79" s="3880" t="s">
        <v>97</v>
      </c>
      <c r="D79" s="3880"/>
      <c r="E79" s="3881"/>
      <c r="F79" s="3881"/>
      <c r="G79" s="3881"/>
      <c r="H79" s="3881"/>
      <c r="I79" s="3882"/>
      <c r="J79" s="3882"/>
      <c r="K79" s="3882"/>
      <c r="L79" s="3882"/>
      <c r="M79" s="3882"/>
      <c r="N79" s="3882"/>
      <c r="O79" s="3883"/>
      <c r="P79" s="3883"/>
      <c r="Q79" s="3883">
        <f>+Q80-Q85</f>
        <v>2691134</v>
      </c>
      <c r="R79" s="3883"/>
      <c r="S79" s="3883"/>
      <c r="T79" s="3883"/>
      <c r="U79" s="3883"/>
      <c r="V79" s="3883"/>
      <c r="W79" s="3883"/>
      <c r="X79" s="3884"/>
      <c r="Y79" s="3819" t="s">
        <v>491</v>
      </c>
    </row>
    <row r="80" spans="1:25" s="3886" customFormat="1" ht="14.25" customHeight="1">
      <c r="A80" s="3878"/>
      <c r="B80" s="1988" t="s">
        <v>22</v>
      </c>
      <c r="C80" s="3820"/>
      <c r="D80" s="3887">
        <f t="shared" ref="D80:O80" si="55">+D81+D83</f>
        <v>19723223</v>
      </c>
      <c r="E80" s="3888">
        <f t="shared" si="55"/>
        <v>0</v>
      </c>
      <c r="F80" s="3888">
        <f t="shared" si="55"/>
        <v>0</v>
      </c>
      <c r="G80" s="3888">
        <f t="shared" si="55"/>
        <v>0</v>
      </c>
      <c r="H80" s="3888">
        <f t="shared" si="55"/>
        <v>0</v>
      </c>
      <c r="I80" s="3888">
        <f t="shared" si="55"/>
        <v>0</v>
      </c>
      <c r="J80" s="3888">
        <f t="shared" si="55"/>
        <v>0</v>
      </c>
      <c r="K80" s="3889">
        <f t="shared" si="55"/>
        <v>333872</v>
      </c>
      <c r="L80" s="3890">
        <f t="shared" si="55"/>
        <v>1328289</v>
      </c>
      <c r="M80" s="3889">
        <f>+M81+M83</f>
        <v>2279787</v>
      </c>
      <c r="N80" s="3889">
        <f t="shared" si="55"/>
        <v>617626</v>
      </c>
      <c r="O80" s="3889">
        <f t="shared" si="55"/>
        <v>2747420</v>
      </c>
      <c r="P80" s="3889">
        <f>+P81+P83</f>
        <v>4114240</v>
      </c>
      <c r="Q80" s="3889">
        <f>+Q81+Q83</f>
        <v>6133675</v>
      </c>
      <c r="R80" s="3889">
        <f>+R81+R83</f>
        <v>3219061</v>
      </c>
      <c r="S80" s="3889">
        <f>+S81+S83</f>
        <v>1229040</v>
      </c>
      <c r="T80" s="3822"/>
      <c r="U80" s="3822"/>
      <c r="V80" s="3822"/>
      <c r="W80" s="3822"/>
      <c r="X80" s="3891">
        <f>+X81+X83</f>
        <v>14696016</v>
      </c>
      <c r="Y80" s="3819"/>
    </row>
    <row r="81" spans="1:25" s="3886" customFormat="1" ht="14.25" customHeight="1">
      <c r="A81" s="3878"/>
      <c r="B81" s="3825" t="s">
        <v>23</v>
      </c>
      <c r="C81" s="3894" t="s">
        <v>209</v>
      </c>
      <c r="D81" s="3829">
        <f>D82</f>
        <v>9342571</v>
      </c>
      <c r="E81" s="3867">
        <f t="shared" ref="E81:N81" si="56">E82</f>
        <v>0</v>
      </c>
      <c r="F81" s="3867">
        <f t="shared" si="56"/>
        <v>0</v>
      </c>
      <c r="G81" s="3867">
        <f t="shared" si="56"/>
        <v>0</v>
      </c>
      <c r="H81" s="3867">
        <f t="shared" si="56"/>
        <v>0</v>
      </c>
      <c r="I81" s="3867">
        <f t="shared" si="56"/>
        <v>0</v>
      </c>
      <c r="J81" s="3867">
        <f t="shared" si="56"/>
        <v>0</v>
      </c>
      <c r="K81" s="3829">
        <f t="shared" si="56"/>
        <v>0</v>
      </c>
      <c r="L81" s="3846">
        <f t="shared" si="56"/>
        <v>673271</v>
      </c>
      <c r="M81" s="3829">
        <f t="shared" si="56"/>
        <v>673271</v>
      </c>
      <c r="N81" s="3914">
        <f t="shared" si="56"/>
        <v>0</v>
      </c>
      <c r="O81" s="3914">
        <f>O82</f>
        <v>0</v>
      </c>
      <c r="P81" s="3914">
        <f>P82</f>
        <v>1522759</v>
      </c>
      <c r="Q81" s="3914">
        <f>Q82</f>
        <v>5026915</v>
      </c>
      <c r="R81" s="3914">
        <f>R82</f>
        <v>1438588</v>
      </c>
      <c r="S81" s="3914">
        <f>S82</f>
        <v>681038</v>
      </c>
      <c r="T81" s="3829"/>
      <c r="U81" s="3829"/>
      <c r="V81" s="3829"/>
      <c r="W81" s="3829"/>
      <c r="X81" s="3895">
        <f>X82</f>
        <v>8669300</v>
      </c>
      <c r="Y81" s="3819"/>
    </row>
    <row r="82" spans="1:25" s="3921" customFormat="1">
      <c r="A82" s="3878"/>
      <c r="B82" s="3915" t="s">
        <v>78</v>
      </c>
      <c r="C82" s="3897"/>
      <c r="D82" s="3832">
        <f>M82+O82+P82+Q82+R82+S82+T82</f>
        <v>9342571</v>
      </c>
      <c r="E82" s="3916">
        <v>0</v>
      </c>
      <c r="F82" s="3916"/>
      <c r="G82" s="3916"/>
      <c r="H82" s="3916"/>
      <c r="I82" s="3917">
        <v>0</v>
      </c>
      <c r="J82" s="3917">
        <v>0</v>
      </c>
      <c r="K82" s="3918">
        <v>0</v>
      </c>
      <c r="L82" s="3919">
        <f>2335159-1661887-1</f>
        <v>673271</v>
      </c>
      <c r="M82" s="3833">
        <f>E82+I82+J82+K82+L82+N82</f>
        <v>673271</v>
      </c>
      <c r="N82" s="3920">
        <f>3719572+2918400-6637972</f>
        <v>0</v>
      </c>
      <c r="O82" s="3920">
        <f>129366+6637972-6205919-561419</f>
        <v>0</v>
      </c>
      <c r="P82" s="3920">
        <f>2898095-1376691+4784992+561419-5345056</f>
        <v>1522759</v>
      </c>
      <c r="Q82" s="3920">
        <f>260379+120178+1+1420927+3225430</f>
        <v>5026915</v>
      </c>
      <c r="R82" s="3920">
        <v>1438588</v>
      </c>
      <c r="S82" s="3920">
        <v>681038</v>
      </c>
      <c r="T82" s="3918"/>
      <c r="U82" s="3918"/>
      <c r="V82" s="3918"/>
      <c r="W82" s="3918"/>
      <c r="X82" s="3835">
        <f>SUM(P82:T82)</f>
        <v>8669300</v>
      </c>
      <c r="Y82" s="3819"/>
    </row>
    <row r="83" spans="1:25" s="3886" customFormat="1" ht="14.25" customHeight="1">
      <c r="A83" s="3878"/>
      <c r="B83" s="3839" t="s">
        <v>30</v>
      </c>
      <c r="C83" s="3897"/>
      <c r="D83" s="3827">
        <f>D84</f>
        <v>10380652</v>
      </c>
      <c r="E83" s="3862">
        <f t="shared" ref="E83:S83" si="57">E84</f>
        <v>0</v>
      </c>
      <c r="F83" s="3862">
        <f t="shared" si="57"/>
        <v>0</v>
      </c>
      <c r="G83" s="3862">
        <f t="shared" si="57"/>
        <v>0</v>
      </c>
      <c r="H83" s="3862">
        <f t="shared" si="57"/>
        <v>0</v>
      </c>
      <c r="I83" s="3862">
        <f t="shared" si="57"/>
        <v>0</v>
      </c>
      <c r="J83" s="3862">
        <f t="shared" si="57"/>
        <v>0</v>
      </c>
      <c r="K83" s="3827">
        <f t="shared" si="57"/>
        <v>333872</v>
      </c>
      <c r="L83" s="3828">
        <f t="shared" si="57"/>
        <v>655018</v>
      </c>
      <c r="M83" s="3829">
        <f t="shared" si="57"/>
        <v>1606516</v>
      </c>
      <c r="N83" s="3922">
        <f t="shared" si="57"/>
        <v>617626</v>
      </c>
      <c r="O83" s="3922">
        <f t="shared" si="57"/>
        <v>2747420</v>
      </c>
      <c r="P83" s="3922">
        <f t="shared" si="57"/>
        <v>2591481</v>
      </c>
      <c r="Q83" s="3922">
        <f t="shared" si="57"/>
        <v>1106760</v>
      </c>
      <c r="R83" s="3922">
        <f t="shared" si="57"/>
        <v>1780473</v>
      </c>
      <c r="S83" s="3922">
        <f t="shared" si="57"/>
        <v>548002</v>
      </c>
      <c r="T83" s="3827"/>
      <c r="U83" s="3827"/>
      <c r="V83" s="3827"/>
      <c r="W83" s="3827"/>
      <c r="X83" s="3895">
        <f>X84</f>
        <v>6026716</v>
      </c>
      <c r="Y83" s="3819"/>
    </row>
    <row r="84" spans="1:25" s="3886" customFormat="1">
      <c r="A84" s="3878"/>
      <c r="B84" s="3831" t="s">
        <v>32</v>
      </c>
      <c r="C84" s="3897"/>
      <c r="D84" s="3832">
        <f>M84+O84+P84+Q84+R84+S84+T84</f>
        <v>10380652</v>
      </c>
      <c r="E84" s="3862">
        <v>0</v>
      </c>
      <c r="F84" s="3862"/>
      <c r="G84" s="3862"/>
      <c r="H84" s="3862"/>
      <c r="I84" s="3867">
        <v>0</v>
      </c>
      <c r="J84" s="3868">
        <v>0</v>
      </c>
      <c r="K84" s="3843">
        <f>398692-64820</f>
        <v>333872</v>
      </c>
      <c r="L84" s="3844">
        <f>813168-153168-4982</f>
        <v>655018</v>
      </c>
      <c r="M84" s="3833">
        <f>E84+I84+J84+K84+L84+N84</f>
        <v>1606516</v>
      </c>
      <c r="N84" s="3847">
        <f>5432672+64820-1752137-3127729</f>
        <v>617626</v>
      </c>
      <c r="O84" s="3923">
        <f>411879+1905305+3127729-2646073-51420</f>
        <v>2747420</v>
      </c>
      <c r="P84" s="3923">
        <f>3185084+408701+51420-1053724</f>
        <v>2591481</v>
      </c>
      <c r="Q84" s="3923">
        <f>139157+4982+2237372-1274751</f>
        <v>1106760</v>
      </c>
      <c r="R84" s="3923">
        <v>1780473</v>
      </c>
      <c r="S84" s="3923">
        <v>548002</v>
      </c>
      <c r="T84" s="3844"/>
      <c r="U84" s="3844"/>
      <c r="V84" s="3844"/>
      <c r="W84" s="3844"/>
      <c r="X84" s="3835">
        <f>SUM(P84:T84)</f>
        <v>6026716</v>
      </c>
      <c r="Y84" s="3819"/>
    </row>
    <row r="85" spans="1:25" s="3924" customFormat="1" ht="14.25" customHeight="1">
      <c r="A85" s="3878"/>
      <c r="B85" s="1988" t="s">
        <v>34</v>
      </c>
      <c r="C85" s="3820"/>
      <c r="D85" s="3821">
        <f t="shared" ref="D85:P85" si="58">+D86+D89</f>
        <v>19723223</v>
      </c>
      <c r="E85" s="3859">
        <f t="shared" si="58"/>
        <v>0</v>
      </c>
      <c r="F85" s="3859">
        <f t="shared" si="58"/>
        <v>0</v>
      </c>
      <c r="G85" s="3859">
        <f t="shared" si="58"/>
        <v>0</v>
      </c>
      <c r="H85" s="3859">
        <f t="shared" si="58"/>
        <v>0</v>
      </c>
      <c r="I85" s="3859">
        <f t="shared" si="58"/>
        <v>0</v>
      </c>
      <c r="J85" s="3859">
        <f t="shared" si="58"/>
        <v>0</v>
      </c>
      <c r="K85" s="3822">
        <f t="shared" si="58"/>
        <v>4405356</v>
      </c>
      <c r="L85" s="3823">
        <f t="shared" si="58"/>
        <v>673271</v>
      </c>
      <c r="M85" s="3822">
        <f>+M86+M89</f>
        <v>5078627</v>
      </c>
      <c r="N85" s="3822">
        <f t="shared" si="58"/>
        <v>0</v>
      </c>
      <c r="O85" s="3822">
        <f t="shared" si="58"/>
        <v>0</v>
      </c>
      <c r="P85" s="3822">
        <f t="shared" si="58"/>
        <v>6218524</v>
      </c>
      <c r="Q85" s="3822">
        <f>+Q86+Q89</f>
        <v>3442541</v>
      </c>
      <c r="R85" s="3822">
        <f>+R86+R89</f>
        <v>0</v>
      </c>
      <c r="S85" s="3822">
        <f>+S86+S89</f>
        <v>4983531</v>
      </c>
      <c r="T85" s="3822"/>
      <c r="U85" s="3822"/>
      <c r="V85" s="3822"/>
      <c r="W85" s="3822"/>
      <c r="X85" s="3904" t="s">
        <v>77</v>
      </c>
      <c r="Y85" s="3819"/>
    </row>
    <row r="86" spans="1:25" s="3886" customFormat="1" ht="14.25" customHeight="1">
      <c r="A86" s="3878"/>
      <c r="B86" s="3825" t="s">
        <v>23</v>
      </c>
      <c r="C86" s="3894" t="s">
        <v>209</v>
      </c>
      <c r="D86" s="3829">
        <f>D87</f>
        <v>9342571</v>
      </c>
      <c r="E86" s="3867">
        <f t="shared" ref="E86:S86" si="59">E87</f>
        <v>0</v>
      </c>
      <c r="F86" s="3867">
        <f t="shared" si="59"/>
        <v>0</v>
      </c>
      <c r="G86" s="3867">
        <f t="shared" si="59"/>
        <v>0</v>
      </c>
      <c r="H86" s="3867">
        <f t="shared" si="59"/>
        <v>0</v>
      </c>
      <c r="I86" s="3867">
        <f t="shared" si="59"/>
        <v>0</v>
      </c>
      <c r="J86" s="3867">
        <f t="shared" si="59"/>
        <v>0</v>
      </c>
      <c r="K86" s="3829">
        <f t="shared" si="59"/>
        <v>0</v>
      </c>
      <c r="L86" s="3846">
        <f t="shared" si="59"/>
        <v>673271</v>
      </c>
      <c r="M86" s="3829">
        <f t="shared" si="59"/>
        <v>673271</v>
      </c>
      <c r="N86" s="3914">
        <f t="shared" si="59"/>
        <v>0</v>
      </c>
      <c r="O86" s="3829">
        <f t="shared" si="59"/>
        <v>0</v>
      </c>
      <c r="P86" s="3829">
        <f t="shared" si="59"/>
        <v>1522759</v>
      </c>
      <c r="Q86" s="3829">
        <f t="shared" si="59"/>
        <v>3442541</v>
      </c>
      <c r="R86" s="3829">
        <f t="shared" si="59"/>
        <v>0</v>
      </c>
      <c r="S86" s="3829">
        <f t="shared" si="59"/>
        <v>3704000</v>
      </c>
      <c r="T86" s="3829"/>
      <c r="U86" s="3829"/>
      <c r="V86" s="3829"/>
      <c r="W86" s="3829"/>
      <c r="X86" s="3904"/>
      <c r="Y86" s="3819"/>
    </row>
    <row r="87" spans="1:25" s="3886" customFormat="1" ht="12.75" customHeight="1">
      <c r="A87" s="3878"/>
      <c r="B87" s="3831" t="s">
        <v>28</v>
      </c>
      <c r="C87" s="3897"/>
      <c r="D87" s="3832">
        <f>M87+O87+P87+Q87+R87+S87+T87</f>
        <v>9342571</v>
      </c>
      <c r="E87" s="3916">
        <v>0</v>
      </c>
      <c r="F87" s="3916"/>
      <c r="G87" s="3916"/>
      <c r="H87" s="3916"/>
      <c r="I87" s="3917">
        <v>0</v>
      </c>
      <c r="J87" s="3917">
        <v>0</v>
      </c>
      <c r="K87" s="3918">
        <v>0</v>
      </c>
      <c r="L87" s="3919">
        <f>2335159-1661887-1</f>
        <v>673271</v>
      </c>
      <c r="M87" s="3833">
        <f>E87+I87+J87+K87+L87+N87</f>
        <v>673271</v>
      </c>
      <c r="N87" s="3920">
        <f>3719572+2918400-6637972</f>
        <v>0</v>
      </c>
      <c r="O87" s="3918">
        <f>129366+6637972-6205919-561419</f>
        <v>0</v>
      </c>
      <c r="P87" s="3918">
        <f>2898095-1376691+2882477+561419-3442541</f>
        <v>1522759</v>
      </c>
      <c r="Q87" s="3918">
        <f>3442541</f>
        <v>3442541</v>
      </c>
      <c r="R87" s="3918">
        <f>3704000-3704000</f>
        <v>0</v>
      </c>
      <c r="S87" s="3918">
        <v>3704000</v>
      </c>
      <c r="T87" s="3918"/>
      <c r="U87" s="3918"/>
      <c r="V87" s="3918"/>
      <c r="W87" s="3918"/>
      <c r="X87" s="3904"/>
      <c r="Y87" s="3819"/>
    </row>
    <row r="88" spans="1:25" s="3886" customFormat="1" ht="14.25" customHeight="1">
      <c r="A88" s="3878"/>
      <c r="B88" s="3839" t="s">
        <v>30</v>
      </c>
      <c r="C88" s="3897"/>
      <c r="D88" s="3829">
        <f>D89</f>
        <v>10380652</v>
      </c>
      <c r="E88" s="3867">
        <f t="shared" ref="E88:S88" si="60">E89</f>
        <v>0</v>
      </c>
      <c r="F88" s="3867">
        <f t="shared" si="60"/>
        <v>0</v>
      </c>
      <c r="G88" s="3867">
        <f t="shared" si="60"/>
        <v>0</v>
      </c>
      <c r="H88" s="3867">
        <f t="shared" si="60"/>
        <v>0</v>
      </c>
      <c r="I88" s="3867">
        <f t="shared" si="60"/>
        <v>0</v>
      </c>
      <c r="J88" s="3867">
        <f t="shared" si="60"/>
        <v>0</v>
      </c>
      <c r="K88" s="3829">
        <f t="shared" si="60"/>
        <v>4405356</v>
      </c>
      <c r="L88" s="3846">
        <f t="shared" si="60"/>
        <v>0</v>
      </c>
      <c r="M88" s="3829">
        <f t="shared" si="60"/>
        <v>4405356</v>
      </c>
      <c r="N88" s="3914">
        <f t="shared" si="60"/>
        <v>0</v>
      </c>
      <c r="O88" s="3829">
        <f t="shared" si="60"/>
        <v>0</v>
      </c>
      <c r="P88" s="3829">
        <f t="shared" si="60"/>
        <v>4695765</v>
      </c>
      <c r="Q88" s="3829">
        <f t="shared" si="60"/>
        <v>0</v>
      </c>
      <c r="R88" s="3829">
        <f t="shared" si="60"/>
        <v>0</v>
      </c>
      <c r="S88" s="3829">
        <f t="shared" si="60"/>
        <v>1279531</v>
      </c>
      <c r="T88" s="3829"/>
      <c r="U88" s="3829"/>
      <c r="V88" s="3829"/>
      <c r="W88" s="3829"/>
      <c r="X88" s="3904"/>
      <c r="Y88" s="3819"/>
    </row>
    <row r="89" spans="1:25" s="3886" customFormat="1" ht="12.75" thickBot="1">
      <c r="A89" s="3906"/>
      <c r="B89" s="496" t="s">
        <v>32</v>
      </c>
      <c r="C89" s="3907"/>
      <c r="D89" s="3851">
        <f>M89+O89+P89+Q89+R89+S89+T89</f>
        <v>10380652</v>
      </c>
      <c r="E89" s="3925">
        <v>0</v>
      </c>
      <c r="F89" s="3925"/>
      <c r="G89" s="3925"/>
      <c r="H89" s="3925"/>
      <c r="I89" s="3926">
        <v>0</v>
      </c>
      <c r="J89" s="3926">
        <v>0</v>
      </c>
      <c r="K89" s="3854">
        <v>4405356</v>
      </c>
      <c r="L89" s="3854">
        <v>0</v>
      </c>
      <c r="M89" s="3854">
        <f>E89+I89+J89+K89+L89+N89</f>
        <v>4405356</v>
      </c>
      <c r="N89" s="3927">
        <f>4152261-4152261</f>
        <v>0</v>
      </c>
      <c r="O89" s="3928">
        <f>4152261-4152261</f>
        <v>0</v>
      </c>
      <c r="P89" s="3928">
        <f>1823035+2582321+290409</f>
        <v>4695765</v>
      </c>
      <c r="Q89" s="3928">
        <v>0</v>
      </c>
      <c r="R89" s="3928">
        <f>1569940-1569940</f>
        <v>0</v>
      </c>
      <c r="S89" s="3928">
        <v>1279531</v>
      </c>
      <c r="T89" s="3928"/>
      <c r="U89" s="3928"/>
      <c r="V89" s="3928"/>
      <c r="W89" s="3928"/>
      <c r="X89" s="3913"/>
      <c r="Y89" s="3855"/>
    </row>
    <row r="90" spans="1:25" s="1350" customFormat="1" hidden="1">
      <c r="A90" s="3878"/>
      <c r="B90" s="3856"/>
      <c r="C90" s="3929" t="s">
        <v>97</v>
      </c>
      <c r="D90" s="3929"/>
      <c r="E90" s="3930"/>
      <c r="F90" s="3930"/>
      <c r="G90" s="3930"/>
      <c r="H90" s="3930"/>
      <c r="I90" s="3931"/>
      <c r="J90" s="3931"/>
      <c r="K90" s="3931"/>
      <c r="L90" s="3931"/>
      <c r="M90" s="3931"/>
      <c r="N90" s="3931"/>
      <c r="O90" s="507"/>
      <c r="P90" s="507"/>
      <c r="Q90" s="507"/>
      <c r="R90" s="507"/>
      <c r="S90" s="507"/>
      <c r="T90" s="507"/>
      <c r="U90" s="507"/>
      <c r="V90" s="507"/>
      <c r="W90" s="507"/>
      <c r="X90" s="3858"/>
      <c r="Y90" s="3819" t="s">
        <v>208</v>
      </c>
    </row>
    <row r="91" spans="1:25" s="3699" customFormat="1" ht="13.5" hidden="1" customHeight="1">
      <c r="A91" s="3878"/>
      <c r="B91" s="1988" t="s">
        <v>22</v>
      </c>
      <c r="C91" s="3820"/>
      <c r="D91" s="3887">
        <f>+D92+D94</f>
        <v>0</v>
      </c>
      <c r="E91" s="3889">
        <f>+E92+E94</f>
        <v>0</v>
      </c>
      <c r="F91" s="3889"/>
      <c r="G91" s="3889"/>
      <c r="H91" s="3889">
        <f t="shared" ref="H91:O91" si="61">+H92+H94</f>
        <v>0</v>
      </c>
      <c r="I91" s="3889">
        <f t="shared" si="61"/>
        <v>0</v>
      </c>
      <c r="J91" s="3889">
        <f t="shared" si="61"/>
        <v>0</v>
      </c>
      <c r="K91" s="3889">
        <f t="shared" si="61"/>
        <v>0</v>
      </c>
      <c r="L91" s="3890">
        <f t="shared" si="61"/>
        <v>0</v>
      </c>
      <c r="M91" s="3889">
        <f>+M92+M94</f>
        <v>0</v>
      </c>
      <c r="N91" s="3889">
        <f t="shared" si="61"/>
        <v>0</v>
      </c>
      <c r="O91" s="3822">
        <f t="shared" si="61"/>
        <v>0</v>
      </c>
      <c r="P91" s="3822"/>
      <c r="Q91" s="3822"/>
      <c r="R91" s="3822"/>
      <c r="S91" s="3822"/>
      <c r="T91" s="3822"/>
      <c r="U91" s="3822"/>
      <c r="V91" s="3822"/>
      <c r="W91" s="3822"/>
      <c r="X91" s="3824">
        <f>+X92+X94</f>
        <v>0</v>
      </c>
      <c r="Y91" s="3819"/>
    </row>
    <row r="92" spans="1:25" s="3699" customFormat="1" ht="13.5" hidden="1" customHeight="1">
      <c r="A92" s="3878"/>
      <c r="B92" s="3825" t="s">
        <v>23</v>
      </c>
      <c r="C92" s="3826" t="s">
        <v>209</v>
      </c>
      <c r="D92" s="3922">
        <f>+D93</f>
        <v>0</v>
      </c>
      <c r="E92" s="3922">
        <f>+E93</f>
        <v>0</v>
      </c>
      <c r="F92" s="3922"/>
      <c r="G92" s="3922"/>
      <c r="H92" s="3922">
        <f>+H93</f>
        <v>0</v>
      </c>
      <c r="I92" s="3914">
        <f t="shared" ref="I92:X92" si="62">SUM(I93:I93)</f>
        <v>0</v>
      </c>
      <c r="J92" s="3914">
        <f t="shared" si="62"/>
        <v>0</v>
      </c>
      <c r="K92" s="3914">
        <f t="shared" si="62"/>
        <v>0</v>
      </c>
      <c r="L92" s="3914">
        <f t="shared" si="62"/>
        <v>0</v>
      </c>
      <c r="M92" s="3914">
        <f t="shared" si="62"/>
        <v>0</v>
      </c>
      <c r="N92" s="3914">
        <f t="shared" si="62"/>
        <v>0</v>
      </c>
      <c r="O92" s="3829">
        <f t="shared" si="62"/>
        <v>0</v>
      </c>
      <c r="P92" s="3829"/>
      <c r="Q92" s="3829"/>
      <c r="R92" s="3829"/>
      <c r="S92" s="3829"/>
      <c r="T92" s="3829"/>
      <c r="U92" s="3829"/>
      <c r="V92" s="3829"/>
      <c r="W92" s="3829"/>
      <c r="X92" s="3830">
        <f t="shared" si="62"/>
        <v>0</v>
      </c>
      <c r="Y92" s="3819"/>
    </row>
    <row r="93" spans="1:25" s="1350" customFormat="1" hidden="1">
      <c r="A93" s="3878"/>
      <c r="B93" s="3831" t="s">
        <v>26</v>
      </c>
      <c r="C93" s="3826"/>
      <c r="D93" s="3832">
        <f>M93+O93+P93+Q93+R93+S93+T93</f>
        <v>0</v>
      </c>
      <c r="E93" s="3932"/>
      <c r="F93" s="3932"/>
      <c r="G93" s="3932"/>
      <c r="H93" s="3932"/>
      <c r="I93" s="3933"/>
      <c r="J93" s="3933"/>
      <c r="K93" s="3933"/>
      <c r="L93" s="3933"/>
      <c r="M93" s="3833">
        <f>E93+I93+J93+K93+L93+N93</f>
        <v>0</v>
      </c>
      <c r="N93" s="3933"/>
      <c r="O93" s="3833"/>
      <c r="P93" s="3833"/>
      <c r="Q93" s="3833"/>
      <c r="R93" s="3833"/>
      <c r="S93" s="3833"/>
      <c r="T93" s="3833"/>
      <c r="U93" s="3833"/>
      <c r="V93" s="3833"/>
      <c r="W93" s="3833"/>
      <c r="X93" s="3835">
        <f>SUM(P93:T93)</f>
        <v>0</v>
      </c>
      <c r="Y93" s="3819"/>
    </row>
    <row r="94" spans="1:25" s="1350" customFormat="1" ht="13.5" hidden="1" customHeight="1">
      <c r="A94" s="3878"/>
      <c r="B94" s="3839" t="s">
        <v>30</v>
      </c>
      <c r="C94" s="3826"/>
      <c r="D94" s="3922">
        <f>+D95+D96</f>
        <v>0</v>
      </c>
      <c r="E94" s="3827">
        <f>+E95+E96</f>
        <v>0</v>
      </c>
      <c r="F94" s="3827">
        <f t="shared" ref="F94:O94" si="63">+F95+F96</f>
        <v>0</v>
      </c>
      <c r="G94" s="3827">
        <f t="shared" si="63"/>
        <v>0</v>
      </c>
      <c r="H94" s="3827">
        <f t="shared" si="63"/>
        <v>0</v>
      </c>
      <c r="I94" s="3827">
        <f t="shared" si="63"/>
        <v>0</v>
      </c>
      <c r="J94" s="3827">
        <f t="shared" si="63"/>
        <v>0</v>
      </c>
      <c r="K94" s="3827">
        <f t="shared" si="63"/>
        <v>0</v>
      </c>
      <c r="L94" s="3827">
        <f t="shared" si="63"/>
        <v>0</v>
      </c>
      <c r="M94" s="3827">
        <f t="shared" si="63"/>
        <v>0</v>
      </c>
      <c r="N94" s="3827">
        <f t="shared" si="63"/>
        <v>0</v>
      </c>
      <c r="O94" s="3827">
        <f t="shared" si="63"/>
        <v>0</v>
      </c>
      <c r="P94" s="3829"/>
      <c r="Q94" s="3829"/>
      <c r="R94" s="3829"/>
      <c r="S94" s="3829"/>
      <c r="T94" s="3829"/>
      <c r="U94" s="3829"/>
      <c r="V94" s="3829"/>
      <c r="W94" s="3829"/>
      <c r="X94" s="3830">
        <f>+X95</f>
        <v>0</v>
      </c>
      <c r="Y94" s="3819"/>
    </row>
    <row r="95" spans="1:25" s="1350" customFormat="1" ht="13.5" hidden="1" customHeight="1">
      <c r="A95" s="3878"/>
      <c r="B95" s="3831" t="s">
        <v>33</v>
      </c>
      <c r="C95" s="3826"/>
      <c r="D95" s="3832">
        <f>M95+O95+P95+Q95+R95+S95+T95</f>
        <v>0</v>
      </c>
      <c r="E95" s="3838"/>
      <c r="F95" s="3838"/>
      <c r="G95" s="3838"/>
      <c r="H95" s="3838"/>
      <c r="I95" s="3833"/>
      <c r="J95" s="3833"/>
      <c r="K95" s="3833"/>
      <c r="L95" s="3933"/>
      <c r="M95" s="3833">
        <f>E95+I95+J95+K95+L95+N95</f>
        <v>0</v>
      </c>
      <c r="N95" s="3933"/>
      <c r="O95" s="3833"/>
      <c r="P95" s="3833"/>
      <c r="Q95" s="3833"/>
      <c r="R95" s="3833"/>
      <c r="S95" s="3833"/>
      <c r="T95" s="3833"/>
      <c r="U95" s="3833"/>
      <c r="V95" s="3833"/>
      <c r="W95" s="3833"/>
      <c r="X95" s="3835">
        <f>SUM(P95:T95)</f>
        <v>0</v>
      </c>
      <c r="Y95" s="3819"/>
    </row>
    <row r="96" spans="1:25" s="1350" customFormat="1" ht="12" hidden="1" customHeight="1">
      <c r="A96" s="3878"/>
      <c r="B96" s="3831" t="s">
        <v>26</v>
      </c>
      <c r="C96" s="3826"/>
      <c r="D96" s="3832">
        <f>M96+O96+P96+Q96+R96+S96+T96</f>
        <v>0</v>
      </c>
      <c r="E96" s="3838"/>
      <c r="F96" s="3838"/>
      <c r="G96" s="3838"/>
      <c r="H96" s="3838"/>
      <c r="I96" s="3833"/>
      <c r="J96" s="3864">
        <v>0</v>
      </c>
      <c r="K96" s="3864">
        <v>0</v>
      </c>
      <c r="L96" s="3934">
        <v>0</v>
      </c>
      <c r="M96" s="3833">
        <f>E96+I96+J96+K96+L96+N96</f>
        <v>0</v>
      </c>
      <c r="N96" s="3433">
        <v>0</v>
      </c>
      <c r="O96" s="3864">
        <v>0</v>
      </c>
      <c r="P96" s="3833"/>
      <c r="Q96" s="3833"/>
      <c r="R96" s="3833"/>
      <c r="S96" s="3833"/>
      <c r="T96" s="3833"/>
      <c r="U96" s="3833"/>
      <c r="V96" s="3833"/>
      <c r="W96" s="3833"/>
      <c r="X96" s="3835">
        <f>SUM(P96:T96)</f>
        <v>0</v>
      </c>
      <c r="Y96" s="3819"/>
    </row>
    <row r="97" spans="1:29" s="1350" customFormat="1" ht="13.5" hidden="1" customHeight="1">
      <c r="A97" s="3878"/>
      <c r="B97" s="1988" t="s">
        <v>34</v>
      </c>
      <c r="C97" s="3820"/>
      <c r="D97" s="3889">
        <f>+D98+D100</f>
        <v>0</v>
      </c>
      <c r="E97" s="3822">
        <f>+E98+E100</f>
        <v>0</v>
      </c>
      <c r="F97" s="3822"/>
      <c r="G97" s="3822"/>
      <c r="H97" s="3822">
        <f t="shared" ref="H97:O97" si="64">+H98+H100</f>
        <v>0</v>
      </c>
      <c r="I97" s="3822">
        <f t="shared" si="64"/>
        <v>0</v>
      </c>
      <c r="J97" s="3822">
        <f t="shared" si="64"/>
        <v>0</v>
      </c>
      <c r="K97" s="3822">
        <f t="shared" si="64"/>
        <v>0</v>
      </c>
      <c r="L97" s="3890">
        <f t="shared" si="64"/>
        <v>0</v>
      </c>
      <c r="M97" s="3889">
        <f>+M98+M100</f>
        <v>0</v>
      </c>
      <c r="N97" s="3889">
        <f t="shared" si="64"/>
        <v>0</v>
      </c>
      <c r="O97" s="3822">
        <f t="shared" si="64"/>
        <v>0</v>
      </c>
      <c r="P97" s="3822"/>
      <c r="Q97" s="3822"/>
      <c r="R97" s="3822"/>
      <c r="S97" s="3822"/>
      <c r="T97" s="3822"/>
      <c r="U97" s="3822"/>
      <c r="V97" s="3822"/>
      <c r="W97" s="3822"/>
      <c r="X97" s="3845" t="s">
        <v>77</v>
      </c>
      <c r="Y97" s="3819"/>
      <c r="Z97" s="3935"/>
    </row>
    <row r="98" spans="1:29" s="3886" customFormat="1" ht="14.25" hidden="1" customHeight="1">
      <c r="A98" s="3878"/>
      <c r="B98" s="3825" t="s">
        <v>23</v>
      </c>
      <c r="C98" s="3826" t="s">
        <v>209</v>
      </c>
      <c r="D98" s="3914">
        <f>+D99</f>
        <v>0</v>
      </c>
      <c r="E98" s="3827">
        <f>+E99</f>
        <v>0</v>
      </c>
      <c r="F98" s="3827"/>
      <c r="G98" s="3827"/>
      <c r="H98" s="3827">
        <f>+H99</f>
        <v>0</v>
      </c>
      <c r="I98" s="3829">
        <f t="shared" ref="I98:O98" si="65">SUM(I99:I99)</f>
        <v>0</v>
      </c>
      <c r="J98" s="3829">
        <f t="shared" si="65"/>
        <v>0</v>
      </c>
      <c r="K98" s="3829">
        <f t="shared" si="65"/>
        <v>0</v>
      </c>
      <c r="L98" s="3914">
        <f t="shared" si="65"/>
        <v>0</v>
      </c>
      <c r="M98" s="3914">
        <f t="shared" si="65"/>
        <v>0</v>
      </c>
      <c r="N98" s="3914">
        <f t="shared" si="65"/>
        <v>0</v>
      </c>
      <c r="O98" s="3829">
        <f t="shared" si="65"/>
        <v>0</v>
      </c>
      <c r="P98" s="3829"/>
      <c r="Q98" s="3829"/>
      <c r="R98" s="3829"/>
      <c r="S98" s="3829"/>
      <c r="T98" s="3829"/>
      <c r="U98" s="3829"/>
      <c r="V98" s="3829"/>
      <c r="W98" s="3829"/>
      <c r="X98" s="3845"/>
      <c r="Y98" s="3819"/>
      <c r="Z98" s="3935"/>
    </row>
    <row r="99" spans="1:29" s="3886" customFormat="1" hidden="1">
      <c r="A99" s="3878"/>
      <c r="B99" s="3831" t="s">
        <v>26</v>
      </c>
      <c r="C99" s="3826"/>
      <c r="D99" s="3832">
        <f>M99+O99+P99+Q99+R99+S99+T99</f>
        <v>0</v>
      </c>
      <c r="E99" s="3838"/>
      <c r="F99" s="3838"/>
      <c r="G99" s="3838"/>
      <c r="H99" s="3838"/>
      <c r="I99" s="3833"/>
      <c r="J99" s="3833"/>
      <c r="K99" s="3833"/>
      <c r="L99" s="3933"/>
      <c r="M99" s="3833">
        <f>E99+I99+J99+K99+L99+N99</f>
        <v>0</v>
      </c>
      <c r="N99" s="3933"/>
      <c r="O99" s="3833"/>
      <c r="P99" s="3833"/>
      <c r="Q99" s="3833"/>
      <c r="R99" s="3833"/>
      <c r="S99" s="3833"/>
      <c r="T99" s="3833"/>
      <c r="U99" s="3833"/>
      <c r="V99" s="3833"/>
      <c r="W99" s="3833"/>
      <c r="X99" s="3845"/>
      <c r="Y99" s="3819"/>
      <c r="Z99" s="3935"/>
    </row>
    <row r="100" spans="1:29" s="3886" customFormat="1" ht="12.75" hidden="1" customHeight="1">
      <c r="A100" s="3878"/>
      <c r="B100" s="3839" t="s">
        <v>30</v>
      </c>
      <c r="C100" s="3826"/>
      <c r="D100" s="3914">
        <f t="shared" ref="D100:O100" si="66">+D101+D102</f>
        <v>0</v>
      </c>
      <c r="E100" s="3829">
        <f t="shared" si="66"/>
        <v>0</v>
      </c>
      <c r="F100" s="3829">
        <f t="shared" si="66"/>
        <v>0</v>
      </c>
      <c r="G100" s="3829">
        <f t="shared" si="66"/>
        <v>0</v>
      </c>
      <c r="H100" s="3829">
        <f t="shared" si="66"/>
        <v>0</v>
      </c>
      <c r="I100" s="3829">
        <f t="shared" si="66"/>
        <v>0</v>
      </c>
      <c r="J100" s="3829">
        <f t="shared" si="66"/>
        <v>0</v>
      </c>
      <c r="K100" s="3829">
        <f t="shared" si="66"/>
        <v>0</v>
      </c>
      <c r="L100" s="3829">
        <f t="shared" si="66"/>
        <v>0</v>
      </c>
      <c r="M100" s="3829">
        <f t="shared" si="66"/>
        <v>0</v>
      </c>
      <c r="N100" s="3829">
        <f t="shared" si="66"/>
        <v>0</v>
      </c>
      <c r="O100" s="3829">
        <f t="shared" si="66"/>
        <v>0</v>
      </c>
      <c r="P100" s="3829"/>
      <c r="Q100" s="3829"/>
      <c r="R100" s="3829"/>
      <c r="S100" s="3829"/>
      <c r="T100" s="3829"/>
      <c r="U100" s="3829"/>
      <c r="V100" s="3829"/>
      <c r="W100" s="3829"/>
      <c r="X100" s="3845"/>
      <c r="Y100" s="3819"/>
      <c r="Z100" s="3935"/>
    </row>
    <row r="101" spans="1:29" s="3886" customFormat="1" ht="12.75" hidden="1" customHeight="1">
      <c r="A101" s="3878"/>
      <c r="B101" s="3837" t="s">
        <v>33</v>
      </c>
      <c r="C101" s="3826"/>
      <c r="D101" s="3832">
        <f>M101+O101+P101+Q101+R101+S101+T101</f>
        <v>0</v>
      </c>
      <c r="E101" s="3838"/>
      <c r="F101" s="3838"/>
      <c r="G101" s="3838"/>
      <c r="H101" s="3838"/>
      <c r="I101" s="3833"/>
      <c r="J101" s="3833"/>
      <c r="K101" s="3833"/>
      <c r="L101" s="3933"/>
      <c r="M101" s="3833">
        <f>E101+I101+J101+K101+L101+N101</f>
        <v>0</v>
      </c>
      <c r="N101" s="3933"/>
      <c r="O101" s="3833"/>
      <c r="P101" s="3833"/>
      <c r="Q101" s="3833"/>
      <c r="R101" s="3833"/>
      <c r="S101" s="3833"/>
      <c r="T101" s="3833"/>
      <c r="U101" s="3833"/>
      <c r="V101" s="3833"/>
      <c r="W101" s="3833"/>
      <c r="X101" s="3845"/>
      <c r="Y101" s="3819"/>
      <c r="Z101" s="3935"/>
    </row>
    <row r="102" spans="1:29" s="3886" customFormat="1" ht="12.75" hidden="1" customHeight="1">
      <c r="A102" s="3878"/>
      <c r="B102" s="3831" t="s">
        <v>26</v>
      </c>
      <c r="C102" s="3826"/>
      <c r="D102" s="3832">
        <f>M102+O102+P102+Q102+R102+S102+T102</f>
        <v>0</v>
      </c>
      <c r="E102" s="3838"/>
      <c r="F102" s="3838"/>
      <c r="G102" s="3838"/>
      <c r="H102" s="3838"/>
      <c r="I102" s="3833"/>
      <c r="J102" s="3864">
        <v>0</v>
      </c>
      <c r="K102" s="3864">
        <v>0</v>
      </c>
      <c r="L102" s="3864">
        <v>0</v>
      </c>
      <c r="M102" s="3833">
        <f>E102+I102+J102+K102+L102+N102</f>
        <v>0</v>
      </c>
      <c r="N102" s="3864">
        <v>0</v>
      </c>
      <c r="O102" s="3873">
        <v>0</v>
      </c>
      <c r="P102" s="3834"/>
      <c r="Q102" s="3834"/>
      <c r="R102" s="3834"/>
      <c r="S102" s="3834"/>
      <c r="T102" s="3834"/>
      <c r="U102" s="3834"/>
      <c r="V102" s="3834"/>
      <c r="W102" s="3834"/>
      <c r="X102" s="3845"/>
      <c r="Y102" s="3877"/>
      <c r="Z102" s="3935"/>
    </row>
    <row r="103" spans="1:29" ht="18.75" hidden="1" customHeight="1">
      <c r="A103" s="3813" t="s">
        <v>81</v>
      </c>
      <c r="B103" s="3879" t="s">
        <v>211</v>
      </c>
      <c r="C103" s="3880" t="s">
        <v>128</v>
      </c>
      <c r="D103" s="3880"/>
      <c r="E103" s="3881"/>
      <c r="F103" s="3881"/>
      <c r="G103" s="3881"/>
      <c r="H103" s="3881"/>
      <c r="I103" s="3882"/>
      <c r="J103" s="3882"/>
      <c r="K103" s="3882"/>
      <c r="L103" s="3882"/>
      <c r="M103" s="3882"/>
      <c r="N103" s="3882"/>
      <c r="O103" s="3882"/>
      <c r="P103" s="3882"/>
      <c r="Q103" s="3882"/>
      <c r="R103" s="3882"/>
      <c r="S103" s="3882"/>
      <c r="T103" s="3882"/>
      <c r="U103" s="3882"/>
      <c r="V103" s="3882"/>
      <c r="W103" s="3882"/>
      <c r="X103" s="3884"/>
      <c r="Y103" s="3885" t="s">
        <v>212</v>
      </c>
    </row>
    <row r="104" spans="1:29" ht="15" hidden="1" customHeight="1">
      <c r="A104" s="3878"/>
      <c r="B104" s="1988" t="s">
        <v>22</v>
      </c>
      <c r="C104" s="3936"/>
      <c r="D104" s="3821">
        <f>+D105+D108</f>
        <v>0</v>
      </c>
      <c r="E104" s="3822">
        <f t="shared" ref="E104:O104" si="67">+E105+E108</f>
        <v>0</v>
      </c>
      <c r="F104" s="3822">
        <f t="shared" si="67"/>
        <v>0</v>
      </c>
      <c r="G104" s="3822">
        <f t="shared" si="67"/>
        <v>0</v>
      </c>
      <c r="H104" s="3822">
        <f t="shared" si="67"/>
        <v>0</v>
      </c>
      <c r="I104" s="3822">
        <f t="shared" si="67"/>
        <v>0</v>
      </c>
      <c r="J104" s="3822">
        <f t="shared" si="67"/>
        <v>0</v>
      </c>
      <c r="K104" s="3822">
        <f t="shared" si="67"/>
        <v>0</v>
      </c>
      <c r="L104" s="3823">
        <f>+L105+L108</f>
        <v>0</v>
      </c>
      <c r="M104" s="3937">
        <f>+M105+M108</f>
        <v>0</v>
      </c>
      <c r="N104" s="3822">
        <f t="shared" si="67"/>
        <v>0</v>
      </c>
      <c r="O104" s="3822">
        <f t="shared" si="67"/>
        <v>0</v>
      </c>
      <c r="P104" s="3822"/>
      <c r="Q104" s="3889"/>
      <c r="R104" s="3889"/>
      <c r="S104" s="3889"/>
      <c r="T104" s="3889"/>
      <c r="U104" s="3889"/>
      <c r="V104" s="3889"/>
      <c r="W104" s="3889"/>
      <c r="X104" s="3824">
        <f>+X105+X108</f>
        <v>0</v>
      </c>
      <c r="Y104" s="3819"/>
      <c r="Z104" s="2094"/>
    </row>
    <row r="105" spans="1:29" ht="12" hidden="1" customHeight="1">
      <c r="A105" s="3878"/>
      <c r="B105" s="3825" t="s">
        <v>23</v>
      </c>
      <c r="C105" s="3938" t="s">
        <v>213</v>
      </c>
      <c r="D105" s="3827">
        <f>+D106+D107</f>
        <v>0</v>
      </c>
      <c r="E105" s="3827">
        <f>+E106+E107</f>
        <v>0</v>
      </c>
      <c r="F105" s="3827">
        <f>+F106+F107</f>
        <v>0</v>
      </c>
      <c r="G105" s="3827">
        <f>+G106+G107</f>
        <v>0</v>
      </c>
      <c r="H105" s="3827">
        <f>+H106+H107</f>
        <v>0</v>
      </c>
      <c r="I105" s="3829">
        <f>SUM(I106:I107)</f>
        <v>0</v>
      </c>
      <c r="J105" s="3829">
        <f>SUM(J106:J107)</f>
        <v>0</v>
      </c>
      <c r="K105" s="3829">
        <f>SUM(K106:K107)</f>
        <v>0</v>
      </c>
      <c r="L105" s="3846">
        <f>L106+L107</f>
        <v>0</v>
      </c>
      <c r="M105" s="3846">
        <f>M106+M107</f>
        <v>0</v>
      </c>
      <c r="N105" s="3829">
        <f>N106+N107</f>
        <v>0</v>
      </c>
      <c r="O105" s="3829">
        <f>O106+O107</f>
        <v>0</v>
      </c>
      <c r="P105" s="3829"/>
      <c r="Q105" s="3829"/>
      <c r="R105" s="3829"/>
      <c r="S105" s="3829"/>
      <c r="T105" s="3829"/>
      <c r="U105" s="3829"/>
      <c r="V105" s="3829"/>
      <c r="W105" s="3829"/>
      <c r="X105" s="3830">
        <f>X106+X107</f>
        <v>0</v>
      </c>
      <c r="Y105" s="3819"/>
      <c r="Z105" s="2094"/>
    </row>
    <row r="106" spans="1:29" ht="12" hidden="1" customHeight="1">
      <c r="A106" s="3878"/>
      <c r="B106" s="3831" t="s">
        <v>24</v>
      </c>
      <c r="C106" s="3939"/>
      <c r="D106" s="3832">
        <f>M106+O106+P106+Q106+R106+S106+T106</f>
        <v>0</v>
      </c>
      <c r="E106" s="3838">
        <f>F106+G106+H106</f>
        <v>0</v>
      </c>
      <c r="F106" s="3838"/>
      <c r="G106" s="3838"/>
      <c r="H106" s="3838"/>
      <c r="I106" s="3833"/>
      <c r="J106" s="3833"/>
      <c r="K106" s="3833"/>
      <c r="L106" s="3834"/>
      <c r="M106" s="3833">
        <f>E106+I106+J106+K106+L106+N106</f>
        <v>0</v>
      </c>
      <c r="N106" s="3833"/>
      <c r="O106" s="3833"/>
      <c r="P106" s="3833"/>
      <c r="Q106" s="3833"/>
      <c r="R106" s="3833"/>
      <c r="S106" s="3833"/>
      <c r="T106" s="3833"/>
      <c r="U106" s="3833"/>
      <c r="V106" s="3833"/>
      <c r="W106" s="3833"/>
      <c r="X106" s="3835">
        <f>SUM(P106:T106)</f>
        <v>0</v>
      </c>
      <c r="Y106" s="3819"/>
      <c r="Z106" s="2094">
        <f>D106-D114</f>
        <v>0</v>
      </c>
      <c r="AA106" s="2094"/>
    </row>
    <row r="107" spans="1:29" ht="12" hidden="1" customHeight="1">
      <c r="A107" s="3878"/>
      <c r="B107" s="3831" t="s">
        <v>26</v>
      </c>
      <c r="C107" s="3939"/>
      <c r="D107" s="3832">
        <f>M107+O107+P107+Q107+R107+S107+T107</f>
        <v>0</v>
      </c>
      <c r="E107" s="3838"/>
      <c r="F107" s="3838"/>
      <c r="G107" s="3838"/>
      <c r="H107" s="3838"/>
      <c r="I107" s="3833"/>
      <c r="J107" s="3833"/>
      <c r="K107" s="3833"/>
      <c r="L107" s="3834"/>
      <c r="M107" s="3833">
        <f>E107+I107+J107+K107+L107+N107</f>
        <v>0</v>
      </c>
      <c r="N107" s="3833"/>
      <c r="O107" s="3833"/>
      <c r="P107" s="3833"/>
      <c r="Q107" s="3833"/>
      <c r="R107" s="3833"/>
      <c r="S107" s="3833"/>
      <c r="T107" s="3833"/>
      <c r="U107" s="3833"/>
      <c r="V107" s="3833"/>
      <c r="W107" s="3833"/>
      <c r="X107" s="3835">
        <f>SUM(P107:T107)</f>
        <v>0</v>
      </c>
      <c r="Y107" s="3819"/>
      <c r="Z107" s="2094">
        <f>D109-D117</f>
        <v>0</v>
      </c>
    </row>
    <row r="108" spans="1:29" ht="12" hidden="1" customHeight="1">
      <c r="A108" s="3878"/>
      <c r="B108" s="3839" t="s">
        <v>30</v>
      </c>
      <c r="C108" s="3939"/>
      <c r="D108" s="3827">
        <f>+D110+D109</f>
        <v>0</v>
      </c>
      <c r="E108" s="3827">
        <f t="shared" ref="E108:O108" si="68">+E110+E109</f>
        <v>0</v>
      </c>
      <c r="F108" s="3827">
        <f t="shared" si="68"/>
        <v>0</v>
      </c>
      <c r="G108" s="3827">
        <f t="shared" si="68"/>
        <v>0</v>
      </c>
      <c r="H108" s="3827">
        <f t="shared" si="68"/>
        <v>0</v>
      </c>
      <c r="I108" s="3827">
        <f t="shared" si="68"/>
        <v>0</v>
      </c>
      <c r="J108" s="3827">
        <f t="shared" si="68"/>
        <v>0</v>
      </c>
      <c r="K108" s="3827">
        <f t="shared" si="68"/>
        <v>0</v>
      </c>
      <c r="L108" s="3828">
        <f t="shared" si="68"/>
        <v>0</v>
      </c>
      <c r="M108" s="3846">
        <f>+M110+M109</f>
        <v>0</v>
      </c>
      <c r="N108" s="3829">
        <f t="shared" si="68"/>
        <v>0</v>
      </c>
      <c r="O108" s="3827">
        <f t="shared" si="68"/>
        <v>0</v>
      </c>
      <c r="P108" s="3827"/>
      <c r="Q108" s="3827"/>
      <c r="R108" s="3914"/>
      <c r="S108" s="3914"/>
      <c r="T108" s="3914"/>
      <c r="U108" s="3914"/>
      <c r="V108" s="3914"/>
      <c r="W108" s="3914"/>
      <c r="X108" s="3830">
        <f>+X110</f>
        <v>0</v>
      </c>
      <c r="Y108" s="3819"/>
      <c r="Z108" s="2094"/>
      <c r="AA108" s="2094"/>
      <c r="AB108" s="2094"/>
      <c r="AC108" s="2094"/>
    </row>
    <row r="109" spans="1:29" ht="12" hidden="1" customHeight="1">
      <c r="A109" s="3878"/>
      <c r="B109" s="3831" t="s">
        <v>24</v>
      </c>
      <c r="C109" s="3939"/>
      <c r="D109" s="3832">
        <f>M109+O109+P109+Q109+R109+S109+T109</f>
        <v>0</v>
      </c>
      <c r="E109" s="3838">
        <f>F109+G109+H109</f>
        <v>0</v>
      </c>
      <c r="F109" s="3841"/>
      <c r="G109" s="3841"/>
      <c r="H109" s="3841"/>
      <c r="I109" s="3843"/>
      <c r="J109" s="3843"/>
      <c r="K109" s="3843"/>
      <c r="L109" s="3834"/>
      <c r="M109" s="3833">
        <f>E109+I109+J109+K109+L109+N109</f>
        <v>0</v>
      </c>
      <c r="N109" s="3833"/>
      <c r="O109" s="3867">
        <v>0</v>
      </c>
      <c r="P109" s="3829"/>
      <c r="Q109" s="3914"/>
      <c r="R109" s="3914"/>
      <c r="S109" s="3914"/>
      <c r="T109" s="3914"/>
      <c r="U109" s="3914"/>
      <c r="V109" s="3914"/>
      <c r="W109" s="3914"/>
      <c r="X109" s="3835">
        <f>SUM(P109:T109)</f>
        <v>0</v>
      </c>
      <c r="Y109" s="3819"/>
    </row>
    <row r="110" spans="1:29" ht="12" hidden="1" customHeight="1">
      <c r="A110" s="3940"/>
      <c r="B110" s="3831" t="s">
        <v>26</v>
      </c>
      <c r="C110" s="3941"/>
      <c r="D110" s="3832">
        <f>M110+O110+P110+Q110+R110+S110+T110</f>
        <v>0</v>
      </c>
      <c r="E110" s="3838"/>
      <c r="F110" s="3841"/>
      <c r="G110" s="3841"/>
      <c r="H110" s="3838"/>
      <c r="I110" s="3833"/>
      <c r="J110" s="3833"/>
      <c r="K110" s="3833"/>
      <c r="L110" s="3834"/>
      <c r="M110" s="3833">
        <f>E110+I110+J110+K110+L110+N110</f>
        <v>0</v>
      </c>
      <c r="N110" s="3833"/>
      <c r="O110" s="3833"/>
      <c r="P110" s="3833"/>
      <c r="Q110" s="3833"/>
      <c r="R110" s="3833"/>
      <c r="S110" s="3833"/>
      <c r="T110" s="3833"/>
      <c r="U110" s="3833"/>
      <c r="V110" s="3833"/>
      <c r="W110" s="3833"/>
      <c r="X110" s="3835">
        <f>SUM(P110:T110)</f>
        <v>0</v>
      </c>
      <c r="Y110" s="3819"/>
    </row>
    <row r="111" spans="1:29" ht="14.25" hidden="1" customHeight="1">
      <c r="A111" s="3940"/>
      <c r="B111" s="1988" t="s">
        <v>34</v>
      </c>
      <c r="C111" s="3887"/>
      <c r="D111" s="3822">
        <f t="shared" ref="D111:O111" si="69">+D112+D115</f>
        <v>0</v>
      </c>
      <c r="E111" s="3822">
        <f t="shared" si="69"/>
        <v>0</v>
      </c>
      <c r="F111" s="3822">
        <f t="shared" si="69"/>
        <v>0</v>
      </c>
      <c r="G111" s="3822">
        <f t="shared" si="69"/>
        <v>0</v>
      </c>
      <c r="H111" s="3822">
        <f t="shared" si="69"/>
        <v>0</v>
      </c>
      <c r="I111" s="3822">
        <f t="shared" si="69"/>
        <v>0</v>
      </c>
      <c r="J111" s="3822">
        <f t="shared" si="69"/>
        <v>0</v>
      </c>
      <c r="K111" s="3822">
        <f t="shared" si="69"/>
        <v>0</v>
      </c>
      <c r="L111" s="3823">
        <f t="shared" si="69"/>
        <v>0</v>
      </c>
      <c r="M111" s="3937">
        <f>+M112+M115</f>
        <v>0</v>
      </c>
      <c r="N111" s="3822">
        <f t="shared" si="69"/>
        <v>0</v>
      </c>
      <c r="O111" s="3822">
        <f t="shared" si="69"/>
        <v>0</v>
      </c>
      <c r="P111" s="3889"/>
      <c r="Q111" s="3889"/>
      <c r="R111" s="3889"/>
      <c r="S111" s="3889"/>
      <c r="T111" s="3889"/>
      <c r="U111" s="3889"/>
      <c r="V111" s="3889"/>
      <c r="W111" s="3889"/>
      <c r="X111" s="3845" t="s">
        <v>77</v>
      </c>
      <c r="Y111" s="3819"/>
    </row>
    <row r="112" spans="1:29" ht="12.95" hidden="1" customHeight="1">
      <c r="A112" s="3940"/>
      <c r="B112" s="3825" t="s">
        <v>23</v>
      </c>
      <c r="C112" s="3942" t="s">
        <v>213</v>
      </c>
      <c r="D112" s="3829">
        <f t="shared" ref="D112:O112" si="70">+D113+D114</f>
        <v>0</v>
      </c>
      <c r="E112" s="3829">
        <f t="shared" si="70"/>
        <v>0</v>
      </c>
      <c r="F112" s="3829">
        <f t="shared" si="70"/>
        <v>0</v>
      </c>
      <c r="G112" s="3829">
        <f t="shared" si="70"/>
        <v>0</v>
      </c>
      <c r="H112" s="3829">
        <f t="shared" si="70"/>
        <v>0</v>
      </c>
      <c r="I112" s="3829">
        <f t="shared" si="70"/>
        <v>0</v>
      </c>
      <c r="J112" s="3829">
        <f t="shared" si="70"/>
        <v>0</v>
      </c>
      <c r="K112" s="3829">
        <f t="shared" si="70"/>
        <v>0</v>
      </c>
      <c r="L112" s="3846">
        <f t="shared" si="70"/>
        <v>0</v>
      </c>
      <c r="M112" s="3846">
        <f>+M113+M114</f>
        <v>0</v>
      </c>
      <c r="N112" s="3829">
        <f t="shared" si="70"/>
        <v>0</v>
      </c>
      <c r="O112" s="3829">
        <f t="shared" si="70"/>
        <v>0</v>
      </c>
      <c r="P112" s="3914"/>
      <c r="Q112" s="3914"/>
      <c r="R112" s="3914"/>
      <c r="S112" s="3914"/>
      <c r="T112" s="3914"/>
      <c r="U112" s="3914"/>
      <c r="V112" s="3914"/>
      <c r="W112" s="3914"/>
      <c r="X112" s="3845"/>
      <c r="Y112" s="3819"/>
    </row>
    <row r="113" spans="1:25" ht="12" hidden="1" customHeight="1">
      <c r="A113" s="3940"/>
      <c r="B113" s="3831" t="s">
        <v>26</v>
      </c>
      <c r="C113" s="3942"/>
      <c r="D113" s="3832">
        <f>M113+O113+P113+Q113+R113+S113+T113</f>
        <v>0</v>
      </c>
      <c r="E113" s="3838"/>
      <c r="F113" s="3838"/>
      <c r="G113" s="3838"/>
      <c r="H113" s="3838"/>
      <c r="I113" s="3833"/>
      <c r="J113" s="3833"/>
      <c r="K113" s="3833"/>
      <c r="L113" s="3834"/>
      <c r="M113" s="3833">
        <f>E113+I113+J113+K113+L113+N113</f>
        <v>0</v>
      </c>
      <c r="N113" s="3833"/>
      <c r="O113" s="3833"/>
      <c r="P113" s="3833"/>
      <c r="Q113" s="3833"/>
      <c r="R113" s="3833"/>
      <c r="S113" s="3833"/>
      <c r="T113" s="3833"/>
      <c r="U113" s="3833"/>
      <c r="V113" s="3833"/>
      <c r="W113" s="3833"/>
      <c r="X113" s="3845"/>
      <c r="Y113" s="3819"/>
    </row>
    <row r="114" spans="1:25" ht="12" hidden="1" customHeight="1">
      <c r="A114" s="3940"/>
      <c r="B114" s="3831" t="s">
        <v>37</v>
      </c>
      <c r="C114" s="3942"/>
      <c r="D114" s="3832">
        <f>M114+O114+P114+Q114+R114+S114+T114</f>
        <v>0</v>
      </c>
      <c r="E114" s="3838">
        <f>+F114+G114+H114</f>
        <v>0</v>
      </c>
      <c r="F114" s="3838"/>
      <c r="G114" s="3838"/>
      <c r="H114" s="3943"/>
      <c r="I114" s="3833"/>
      <c r="J114" s="3833"/>
      <c r="K114" s="3833"/>
      <c r="L114" s="3834"/>
      <c r="M114" s="3833">
        <f>E114+I114+J114+K114+L114+N114</f>
        <v>0</v>
      </c>
      <c r="N114" s="3833"/>
      <c r="O114" s="3833"/>
      <c r="P114" s="3833"/>
      <c r="Q114" s="3833"/>
      <c r="R114" s="3833"/>
      <c r="S114" s="3833"/>
      <c r="T114" s="3833"/>
      <c r="U114" s="3833"/>
      <c r="V114" s="3833"/>
      <c r="W114" s="3833"/>
      <c r="X114" s="3845"/>
      <c r="Y114" s="3819"/>
    </row>
    <row r="115" spans="1:25" ht="12" hidden="1" customHeight="1">
      <c r="A115" s="3940"/>
      <c r="B115" s="3839" t="s">
        <v>30</v>
      </c>
      <c r="C115" s="3942"/>
      <c r="D115" s="3829">
        <f t="shared" ref="D115:O115" si="71">+D116+D117</f>
        <v>0</v>
      </c>
      <c r="E115" s="3829">
        <f t="shared" si="71"/>
        <v>0</v>
      </c>
      <c r="F115" s="3829">
        <f t="shared" si="71"/>
        <v>0</v>
      </c>
      <c r="G115" s="3829">
        <f t="shared" si="71"/>
        <v>0</v>
      </c>
      <c r="H115" s="3829">
        <f t="shared" si="71"/>
        <v>0</v>
      </c>
      <c r="I115" s="3829">
        <f t="shared" si="71"/>
        <v>0</v>
      </c>
      <c r="J115" s="3829">
        <f t="shared" si="71"/>
        <v>0</v>
      </c>
      <c r="K115" s="3829">
        <f t="shared" si="71"/>
        <v>0</v>
      </c>
      <c r="L115" s="3846">
        <f t="shared" si="71"/>
        <v>0</v>
      </c>
      <c r="M115" s="3846">
        <f>+M116+M117</f>
        <v>0</v>
      </c>
      <c r="N115" s="3829">
        <f t="shared" si="71"/>
        <v>0</v>
      </c>
      <c r="O115" s="3829">
        <f t="shared" si="71"/>
        <v>0</v>
      </c>
      <c r="P115" s="3914"/>
      <c r="Q115" s="3914"/>
      <c r="R115" s="3914"/>
      <c r="S115" s="3914"/>
      <c r="T115" s="3914"/>
      <c r="U115" s="3914"/>
      <c r="V115" s="3914"/>
      <c r="W115" s="3914"/>
      <c r="X115" s="3845"/>
      <c r="Y115" s="3819"/>
    </row>
    <row r="116" spans="1:25" ht="12" hidden="1" customHeight="1">
      <c r="A116" s="3940"/>
      <c r="B116" s="3831" t="s">
        <v>26</v>
      </c>
      <c r="C116" s="3942"/>
      <c r="D116" s="3832">
        <f>M116+O116+P116+Q116+R116+S116+T116</f>
        <v>0</v>
      </c>
      <c r="E116" s="3838">
        <f>+F116+G116+H116</f>
        <v>0</v>
      </c>
      <c r="F116" s="3944"/>
      <c r="G116" s="3944"/>
      <c r="H116" s="3944"/>
      <c r="I116" s="3833"/>
      <c r="J116" s="3833"/>
      <c r="K116" s="3833"/>
      <c r="L116" s="3833"/>
      <c r="M116" s="3833">
        <f>E116+I116+J116+K116+L116+N116</f>
        <v>0</v>
      </c>
      <c r="N116" s="3833"/>
      <c r="O116" s="3833"/>
      <c r="P116" s="3833"/>
      <c r="Q116" s="3833"/>
      <c r="R116" s="3833"/>
      <c r="S116" s="3833"/>
      <c r="T116" s="3833"/>
      <c r="U116" s="3833"/>
      <c r="V116" s="3833"/>
      <c r="W116" s="3833"/>
      <c r="X116" s="3845"/>
      <c r="Y116" s="3819"/>
    </row>
    <row r="117" spans="1:25" ht="12" hidden="1" customHeight="1" thickBot="1">
      <c r="A117" s="3945"/>
      <c r="B117" s="3849" t="s">
        <v>32</v>
      </c>
      <c r="C117" s="3946"/>
      <c r="D117" s="3851">
        <f>M117+O117+P117+Q117+R117+S117+T117</f>
        <v>0</v>
      </c>
      <c r="E117" s="3947">
        <f>+F117+G117+H117</f>
        <v>0</v>
      </c>
      <c r="F117" s="3948"/>
      <c r="G117" s="3948"/>
      <c r="H117" s="2100"/>
      <c r="I117" s="1896"/>
      <c r="J117" s="3911"/>
      <c r="K117" s="3911"/>
      <c r="L117" s="1896"/>
      <c r="M117" s="3854">
        <f>E117+I117+J117+K117+L117+N117</f>
        <v>0</v>
      </c>
      <c r="N117" s="1896"/>
      <c r="O117" s="3854"/>
      <c r="P117" s="1896"/>
      <c r="Q117" s="1896"/>
      <c r="R117" s="1896"/>
      <c r="S117" s="1896"/>
      <c r="T117" s="1896"/>
      <c r="U117" s="1896"/>
      <c r="V117" s="1896"/>
      <c r="W117" s="1896"/>
      <c r="X117" s="2799"/>
      <c r="Y117" s="3855"/>
    </row>
    <row r="118" spans="1:25" ht="26.25" hidden="1" customHeight="1">
      <c r="A118" s="3878" t="s">
        <v>82</v>
      </c>
      <c r="B118" s="3856" t="s">
        <v>214</v>
      </c>
      <c r="C118" s="3929" t="s">
        <v>97</v>
      </c>
      <c r="D118" s="3929"/>
      <c r="E118" s="506"/>
      <c r="F118" s="506"/>
      <c r="G118" s="506"/>
      <c r="H118" s="506"/>
      <c r="I118" s="507"/>
      <c r="J118" s="507"/>
      <c r="K118" s="507"/>
      <c r="L118" s="3949"/>
      <c r="M118" s="507"/>
      <c r="N118" s="507"/>
      <c r="O118" s="507"/>
      <c r="P118" s="507"/>
      <c r="Q118" s="507"/>
      <c r="R118" s="507"/>
      <c r="S118" s="507"/>
      <c r="T118" s="507"/>
      <c r="U118" s="507"/>
      <c r="V118" s="507"/>
      <c r="W118" s="507"/>
      <c r="X118" s="3858"/>
      <c r="Y118" s="3819" t="s">
        <v>215</v>
      </c>
    </row>
    <row r="119" spans="1:25" ht="14.25" hidden="1" customHeight="1">
      <c r="A119" s="3878"/>
      <c r="B119" s="3181" t="s">
        <v>22</v>
      </c>
      <c r="C119" s="3936"/>
      <c r="D119" s="3821">
        <f t="shared" ref="D119:N119" si="72">+D120+D123</f>
        <v>0</v>
      </c>
      <c r="E119" s="3859">
        <f t="shared" si="72"/>
        <v>0</v>
      </c>
      <c r="F119" s="3822">
        <f t="shared" si="72"/>
        <v>0</v>
      </c>
      <c r="G119" s="3822">
        <f t="shared" si="72"/>
        <v>0</v>
      </c>
      <c r="H119" s="3822">
        <f t="shared" si="72"/>
        <v>0</v>
      </c>
      <c r="I119" s="3822">
        <f t="shared" si="72"/>
        <v>0</v>
      </c>
      <c r="J119" s="3859">
        <f t="shared" si="72"/>
        <v>0</v>
      </c>
      <c r="K119" s="3859">
        <f t="shared" si="72"/>
        <v>0</v>
      </c>
      <c r="L119" s="3860">
        <f t="shared" si="72"/>
        <v>0</v>
      </c>
      <c r="M119" s="3822">
        <f>+M120+M123</f>
        <v>0</v>
      </c>
      <c r="N119" s="3888">
        <f t="shared" si="72"/>
        <v>0</v>
      </c>
      <c r="O119" s="3888">
        <f>+O120+O123</f>
        <v>0</v>
      </c>
      <c r="P119" s="3889"/>
      <c r="Q119" s="3889"/>
      <c r="R119" s="3889"/>
      <c r="S119" s="3889"/>
      <c r="T119" s="3889"/>
      <c r="U119" s="3889"/>
      <c r="V119" s="3889"/>
      <c r="W119" s="3889"/>
      <c r="X119" s="3950">
        <f>+X120+X123</f>
        <v>0</v>
      </c>
      <c r="Y119" s="3819"/>
    </row>
    <row r="120" spans="1:25" ht="12" hidden="1" customHeight="1">
      <c r="A120" s="3878"/>
      <c r="B120" s="3825" t="s">
        <v>23</v>
      </c>
      <c r="C120" s="3938" t="s">
        <v>213</v>
      </c>
      <c r="D120" s="3827">
        <f>+D121+D122</f>
        <v>0</v>
      </c>
      <c r="E120" s="3862">
        <f>+E121+E122</f>
        <v>0</v>
      </c>
      <c r="F120" s="3922">
        <f>+F121+F122</f>
        <v>0</v>
      </c>
      <c r="G120" s="3922">
        <f>+G121+G122</f>
        <v>0</v>
      </c>
      <c r="H120" s="3922">
        <f>+H121+H122</f>
        <v>0</v>
      </c>
      <c r="I120" s="3914">
        <f>SUM(I121:I122)</f>
        <v>0</v>
      </c>
      <c r="J120" s="3951">
        <f>SUM(J121:J122)</f>
        <v>0</v>
      </c>
      <c r="K120" s="3867">
        <f>SUM(K121:K122)</f>
        <v>0</v>
      </c>
      <c r="L120" s="3872">
        <f>L121+L122</f>
        <v>0</v>
      </c>
      <c r="M120" s="3829">
        <f>SUM(M121:M122)</f>
        <v>0</v>
      </c>
      <c r="N120" s="3867">
        <f>N121+N122</f>
        <v>0</v>
      </c>
      <c r="O120" s="3867">
        <f>O121+O122</f>
        <v>0</v>
      </c>
      <c r="P120" s="3829"/>
      <c r="Q120" s="3829"/>
      <c r="R120" s="3829"/>
      <c r="S120" s="3829"/>
      <c r="T120" s="3829"/>
      <c r="U120" s="3829"/>
      <c r="V120" s="3829"/>
      <c r="W120" s="3829"/>
      <c r="X120" s="3952">
        <f>X121+X122</f>
        <v>0</v>
      </c>
      <c r="Y120" s="3819"/>
    </row>
    <row r="121" spans="1:25" ht="12" hidden="1" customHeight="1">
      <c r="A121" s="3878"/>
      <c r="B121" s="3831" t="s">
        <v>24</v>
      </c>
      <c r="C121" s="3939"/>
      <c r="D121" s="3832">
        <f>M121+O121+P121+Q121+R121+S121+T121</f>
        <v>0</v>
      </c>
      <c r="E121" s="3866">
        <v>0</v>
      </c>
      <c r="F121" s="3838"/>
      <c r="G121" s="3838"/>
      <c r="H121" s="3838"/>
      <c r="I121" s="3833"/>
      <c r="J121" s="3864">
        <v>0</v>
      </c>
      <c r="K121" s="3864">
        <v>0</v>
      </c>
      <c r="L121" s="3873">
        <v>0</v>
      </c>
      <c r="M121" s="3833">
        <f>E121+I121+J121+K121+L121+N121</f>
        <v>0</v>
      </c>
      <c r="N121" s="3433">
        <v>0</v>
      </c>
      <c r="O121" s="3433">
        <v>0</v>
      </c>
      <c r="P121" s="3833"/>
      <c r="Q121" s="3833"/>
      <c r="R121" s="3833"/>
      <c r="S121" s="3833"/>
      <c r="T121" s="3833"/>
      <c r="U121" s="3833"/>
      <c r="V121" s="3833"/>
      <c r="W121" s="3833"/>
      <c r="X121" s="3865">
        <f>+P121+Q121+R121+S121</f>
        <v>0</v>
      </c>
      <c r="Y121" s="3819"/>
    </row>
    <row r="122" spans="1:25" ht="12" hidden="1" customHeight="1">
      <c r="A122" s="3878"/>
      <c r="B122" s="3831" t="s">
        <v>26</v>
      </c>
      <c r="C122" s="3939"/>
      <c r="D122" s="3832">
        <f>M122+O122+P122+Q122+R122+S122+T122</f>
        <v>0</v>
      </c>
      <c r="E122" s="3866">
        <v>0</v>
      </c>
      <c r="F122" s="3838"/>
      <c r="G122" s="3838"/>
      <c r="H122" s="3838"/>
      <c r="I122" s="3833"/>
      <c r="J122" s="3864">
        <v>0</v>
      </c>
      <c r="K122" s="3864">
        <v>0</v>
      </c>
      <c r="L122" s="3873">
        <f>10000-10000</f>
        <v>0</v>
      </c>
      <c r="M122" s="3833">
        <f>E122+I122+J122+K122+L122+N122</f>
        <v>0</v>
      </c>
      <c r="N122" s="3433">
        <v>0</v>
      </c>
      <c r="O122" s="3433">
        <v>0</v>
      </c>
      <c r="P122" s="3833"/>
      <c r="Q122" s="3833"/>
      <c r="R122" s="3833"/>
      <c r="S122" s="3833"/>
      <c r="T122" s="3833"/>
      <c r="U122" s="3833"/>
      <c r="V122" s="3833"/>
      <c r="W122" s="3833"/>
      <c r="X122" s="3865">
        <f>+P122+Q122+R122+S122</f>
        <v>0</v>
      </c>
      <c r="Y122" s="3819"/>
    </row>
    <row r="123" spans="1:25" ht="12" hidden="1" customHeight="1">
      <c r="A123" s="3878"/>
      <c r="B123" s="3905" t="s">
        <v>30</v>
      </c>
      <c r="C123" s="3939"/>
      <c r="D123" s="3827">
        <f>+D124</f>
        <v>0</v>
      </c>
      <c r="E123" s="3862">
        <f t="shared" ref="E123:M123" si="73">+E124</f>
        <v>0</v>
      </c>
      <c r="F123" s="3827">
        <f t="shared" si="73"/>
        <v>0</v>
      </c>
      <c r="G123" s="3827">
        <f t="shared" si="73"/>
        <v>0</v>
      </c>
      <c r="H123" s="3827">
        <f t="shared" si="73"/>
        <v>0</v>
      </c>
      <c r="I123" s="3827">
        <f t="shared" si="73"/>
        <v>0</v>
      </c>
      <c r="J123" s="3862">
        <f t="shared" si="73"/>
        <v>0</v>
      </c>
      <c r="K123" s="3862">
        <f t="shared" si="73"/>
        <v>0</v>
      </c>
      <c r="L123" s="3953">
        <f t="shared" si="73"/>
        <v>0</v>
      </c>
      <c r="M123" s="3829">
        <f t="shared" si="73"/>
        <v>0</v>
      </c>
      <c r="N123" s="3951">
        <f>+N124</f>
        <v>0</v>
      </c>
      <c r="O123" s="3951">
        <f>+O124</f>
        <v>0</v>
      </c>
      <c r="P123" s="3914"/>
      <c r="Q123" s="3914"/>
      <c r="R123" s="3914"/>
      <c r="S123" s="3914"/>
      <c r="T123" s="3914"/>
      <c r="U123" s="3914"/>
      <c r="V123" s="3914"/>
      <c r="W123" s="3914"/>
      <c r="X123" s="3952">
        <f>+X124</f>
        <v>0</v>
      </c>
      <c r="Y123" s="3819"/>
    </row>
    <row r="124" spans="1:25" ht="12" hidden="1" customHeight="1">
      <c r="A124" s="3878"/>
      <c r="B124" s="3831" t="s">
        <v>26</v>
      </c>
      <c r="C124" s="3941"/>
      <c r="D124" s="3832">
        <f>M124+O124+P124+Q124+R124+S124+T124</f>
        <v>0</v>
      </c>
      <c r="E124" s="3866">
        <v>0</v>
      </c>
      <c r="F124" s="2509"/>
      <c r="G124" s="2509"/>
      <c r="H124" s="3838"/>
      <c r="I124" s="3833"/>
      <c r="J124" s="3864">
        <v>0</v>
      </c>
      <c r="K124" s="3864">
        <v>0</v>
      </c>
      <c r="L124" s="3873">
        <f>30000-30000</f>
        <v>0</v>
      </c>
      <c r="M124" s="3833">
        <f>E124+I124+J124+K124+L124+N124</f>
        <v>0</v>
      </c>
      <c r="N124" s="3433">
        <v>0</v>
      </c>
      <c r="O124" s="3433">
        <v>0</v>
      </c>
      <c r="P124" s="3833"/>
      <c r="Q124" s="3833"/>
      <c r="R124" s="3833"/>
      <c r="S124" s="3833"/>
      <c r="T124" s="3833"/>
      <c r="U124" s="3833"/>
      <c r="V124" s="3833"/>
      <c r="W124" s="3833"/>
      <c r="X124" s="3865">
        <f>+P124+Q124+R124+S124</f>
        <v>0</v>
      </c>
      <c r="Y124" s="3819"/>
    </row>
    <row r="125" spans="1:25" ht="13.5" hidden="1" customHeight="1">
      <c r="A125" s="3878"/>
      <c r="B125" s="3181" t="s">
        <v>34</v>
      </c>
      <c r="C125" s="3887"/>
      <c r="D125" s="3822">
        <f t="shared" ref="D125:N125" si="74">+D126+D128</f>
        <v>0</v>
      </c>
      <c r="E125" s="3859">
        <f t="shared" si="74"/>
        <v>0</v>
      </c>
      <c r="F125" s="3822">
        <f t="shared" si="74"/>
        <v>0</v>
      </c>
      <c r="G125" s="3822">
        <f t="shared" si="74"/>
        <v>0</v>
      </c>
      <c r="H125" s="3822">
        <f t="shared" si="74"/>
        <v>0</v>
      </c>
      <c r="I125" s="3822">
        <f t="shared" si="74"/>
        <v>0</v>
      </c>
      <c r="J125" s="3859">
        <f t="shared" si="74"/>
        <v>0</v>
      </c>
      <c r="K125" s="3859">
        <f t="shared" si="74"/>
        <v>0</v>
      </c>
      <c r="L125" s="3860">
        <f t="shared" si="74"/>
        <v>0</v>
      </c>
      <c r="M125" s="3822">
        <f>+M126+M128</f>
        <v>0</v>
      </c>
      <c r="N125" s="3888">
        <f t="shared" si="74"/>
        <v>0</v>
      </c>
      <c r="O125" s="3888">
        <f>+O126+O128</f>
        <v>0</v>
      </c>
      <c r="P125" s="3889"/>
      <c r="Q125" s="3889"/>
      <c r="R125" s="3889"/>
      <c r="S125" s="3889"/>
      <c r="T125" s="3889"/>
      <c r="U125" s="3889"/>
      <c r="V125" s="3889"/>
      <c r="W125" s="3889"/>
      <c r="X125" s="3954" t="s">
        <v>77</v>
      </c>
      <c r="Y125" s="3819"/>
    </row>
    <row r="126" spans="1:25" ht="12.75" hidden="1" customHeight="1">
      <c r="A126" s="3878"/>
      <c r="B126" s="3825" t="s">
        <v>23</v>
      </c>
      <c r="C126" s="3942" t="s">
        <v>213</v>
      </c>
      <c r="D126" s="3829">
        <f>+D127</f>
        <v>0</v>
      </c>
      <c r="E126" s="3867">
        <f t="shared" ref="E126:O126" si="75">+E127</f>
        <v>0</v>
      </c>
      <c r="F126" s="3829">
        <f t="shared" si="75"/>
        <v>0</v>
      </c>
      <c r="G126" s="3829">
        <f t="shared" si="75"/>
        <v>0</v>
      </c>
      <c r="H126" s="3829">
        <f t="shared" si="75"/>
        <v>0</v>
      </c>
      <c r="I126" s="3829">
        <f t="shared" si="75"/>
        <v>0</v>
      </c>
      <c r="J126" s="3867">
        <f t="shared" si="75"/>
        <v>0</v>
      </c>
      <c r="K126" s="3867">
        <f t="shared" si="75"/>
        <v>0</v>
      </c>
      <c r="L126" s="3872">
        <f t="shared" si="75"/>
        <v>0</v>
      </c>
      <c r="M126" s="3829">
        <f t="shared" si="75"/>
        <v>0</v>
      </c>
      <c r="N126" s="3867">
        <f t="shared" si="75"/>
        <v>0</v>
      </c>
      <c r="O126" s="3867">
        <f t="shared" si="75"/>
        <v>0</v>
      </c>
      <c r="P126" s="3829"/>
      <c r="Q126" s="3829"/>
      <c r="R126" s="3829"/>
      <c r="S126" s="3829"/>
      <c r="T126" s="3829"/>
      <c r="U126" s="3829"/>
      <c r="V126" s="3829"/>
      <c r="W126" s="3829"/>
      <c r="X126" s="3954"/>
      <c r="Y126" s="3819"/>
    </row>
    <row r="127" spans="1:25" ht="12.75" hidden="1" customHeight="1">
      <c r="A127" s="3878"/>
      <c r="B127" s="3831" t="s">
        <v>26</v>
      </c>
      <c r="C127" s="3942"/>
      <c r="D127" s="3832">
        <f>M127+O127+P127+Q127+R127+S127+T127</f>
        <v>0</v>
      </c>
      <c r="E127" s="3866">
        <v>0</v>
      </c>
      <c r="F127" s="3838"/>
      <c r="G127" s="3838"/>
      <c r="H127" s="3838"/>
      <c r="I127" s="3833"/>
      <c r="J127" s="3864">
        <v>0</v>
      </c>
      <c r="K127" s="3864">
        <v>0</v>
      </c>
      <c r="L127" s="3873">
        <f>10000-10000</f>
        <v>0</v>
      </c>
      <c r="M127" s="3833">
        <f>E127+I127+J127+K127+L127+N127</f>
        <v>0</v>
      </c>
      <c r="N127" s="3433">
        <v>0</v>
      </c>
      <c r="O127" s="3433">
        <v>0</v>
      </c>
      <c r="P127" s="3833"/>
      <c r="Q127" s="3833"/>
      <c r="R127" s="3833"/>
      <c r="S127" s="3833"/>
      <c r="T127" s="3833"/>
      <c r="U127" s="3833"/>
      <c r="V127" s="3833"/>
      <c r="W127" s="3833"/>
      <c r="X127" s="3954"/>
      <c r="Y127" s="3819"/>
    </row>
    <row r="128" spans="1:25" ht="12.75" hidden="1" customHeight="1">
      <c r="A128" s="3878"/>
      <c r="B128" s="3905" t="s">
        <v>30</v>
      </c>
      <c r="C128" s="3942"/>
      <c r="D128" s="3829">
        <f>+D129</f>
        <v>0</v>
      </c>
      <c r="E128" s="3867">
        <f t="shared" ref="E128:O128" si="76">+E129</f>
        <v>0</v>
      </c>
      <c r="F128" s="3829">
        <f t="shared" si="76"/>
        <v>0</v>
      </c>
      <c r="G128" s="3829">
        <f t="shared" si="76"/>
        <v>0</v>
      </c>
      <c r="H128" s="3829">
        <f t="shared" si="76"/>
        <v>0</v>
      </c>
      <c r="I128" s="3829">
        <f t="shared" si="76"/>
        <v>0</v>
      </c>
      <c r="J128" s="3867">
        <f t="shared" si="76"/>
        <v>0</v>
      </c>
      <c r="K128" s="3867">
        <f t="shared" si="76"/>
        <v>0</v>
      </c>
      <c r="L128" s="3872">
        <f t="shared" si="76"/>
        <v>0</v>
      </c>
      <c r="M128" s="3829">
        <f t="shared" si="76"/>
        <v>0</v>
      </c>
      <c r="N128" s="3867">
        <f t="shared" si="76"/>
        <v>0</v>
      </c>
      <c r="O128" s="3867">
        <f t="shared" si="76"/>
        <v>0</v>
      </c>
      <c r="P128" s="3829"/>
      <c r="Q128" s="3829"/>
      <c r="R128" s="3829"/>
      <c r="S128" s="3829"/>
      <c r="T128" s="3829"/>
      <c r="U128" s="3829"/>
      <c r="V128" s="3829"/>
      <c r="W128" s="3829"/>
      <c r="X128" s="3954"/>
      <c r="Y128" s="3819"/>
    </row>
    <row r="129" spans="1:27" ht="12.75" hidden="1" customHeight="1">
      <c r="A129" s="3878"/>
      <c r="B129" s="3831" t="s">
        <v>26</v>
      </c>
      <c r="C129" s="3942"/>
      <c r="D129" s="3832">
        <f>M129+O129+P129+Q129+R129+S129+T129</f>
        <v>0</v>
      </c>
      <c r="E129" s="3866">
        <v>0</v>
      </c>
      <c r="F129" s="3944"/>
      <c r="G129" s="3944"/>
      <c r="H129" s="3944"/>
      <c r="I129" s="3833"/>
      <c r="J129" s="3864">
        <v>0</v>
      </c>
      <c r="K129" s="3864">
        <v>0</v>
      </c>
      <c r="L129" s="3873">
        <f>30000-30000</f>
        <v>0</v>
      </c>
      <c r="M129" s="3833">
        <f>E129+I129+J129+K129+L129+N129</f>
        <v>0</v>
      </c>
      <c r="N129" s="3433">
        <v>0</v>
      </c>
      <c r="O129" s="3433">
        <v>0</v>
      </c>
      <c r="P129" s="3833"/>
      <c r="Q129" s="3833"/>
      <c r="R129" s="3833"/>
      <c r="S129" s="3833"/>
      <c r="T129" s="3833"/>
      <c r="U129" s="3833"/>
      <c r="V129" s="3833"/>
      <c r="W129" s="3833"/>
      <c r="X129" s="3954"/>
      <c r="Y129" s="3877"/>
    </row>
    <row r="130" spans="1:27" s="701" customFormat="1" ht="30" hidden="1" customHeight="1">
      <c r="A130" s="2854"/>
      <c r="B130" s="3955"/>
      <c r="C130" s="3956" t="s">
        <v>128</v>
      </c>
      <c r="D130" s="900"/>
      <c r="E130" s="900"/>
      <c r="F130" s="900"/>
      <c r="G130" s="900"/>
      <c r="H130" s="900"/>
      <c r="I130" s="900"/>
      <c r="J130" s="900"/>
      <c r="K130" s="900"/>
      <c r="L130" s="900"/>
      <c r="M130" s="900"/>
      <c r="N130" s="3957"/>
      <c r="O130" s="3957"/>
      <c r="P130" s="3958"/>
      <c r="Q130" s="3958"/>
      <c r="R130" s="3958"/>
      <c r="S130" s="3958"/>
      <c r="T130" s="3958"/>
      <c r="U130" s="3958"/>
      <c r="V130" s="3958"/>
      <c r="W130" s="3958"/>
      <c r="X130" s="3959"/>
      <c r="Y130" s="3960" t="s">
        <v>129</v>
      </c>
    </row>
    <row r="131" spans="1:27" s="701" customFormat="1" ht="16.5" hidden="1" customHeight="1">
      <c r="A131" s="3961"/>
      <c r="B131" s="3962" t="s">
        <v>22</v>
      </c>
      <c r="C131" s="3963"/>
      <c r="D131" s="1023">
        <f>+D132</f>
        <v>0</v>
      </c>
      <c r="E131" s="1023">
        <f t="shared" ref="E131:O131" si="77">+E132</f>
        <v>0</v>
      </c>
      <c r="F131" s="1023">
        <f t="shared" si="77"/>
        <v>0</v>
      </c>
      <c r="G131" s="1023">
        <f t="shared" si="77"/>
        <v>0</v>
      </c>
      <c r="H131" s="1023">
        <f t="shared" si="77"/>
        <v>0</v>
      </c>
      <c r="I131" s="1023">
        <f t="shared" si="77"/>
        <v>0</v>
      </c>
      <c r="J131" s="1023">
        <f t="shared" si="77"/>
        <v>0</v>
      </c>
      <c r="K131" s="1023">
        <f t="shared" si="77"/>
        <v>0</v>
      </c>
      <c r="L131" s="1023">
        <f t="shared" si="77"/>
        <v>0</v>
      </c>
      <c r="M131" s="1023">
        <f t="shared" si="77"/>
        <v>0</v>
      </c>
      <c r="N131" s="1023">
        <f t="shared" si="77"/>
        <v>0</v>
      </c>
      <c r="O131" s="1023">
        <f t="shared" si="77"/>
        <v>0</v>
      </c>
      <c r="P131" s="1023"/>
      <c r="Q131" s="1023"/>
      <c r="R131" s="3964"/>
      <c r="S131" s="3964"/>
      <c r="T131" s="3964"/>
      <c r="U131" s="3964"/>
      <c r="V131" s="3964"/>
      <c r="W131" s="3964"/>
      <c r="X131" s="3965">
        <f>+X132</f>
        <v>0</v>
      </c>
      <c r="Y131" s="3960"/>
      <c r="Z131" s="3836"/>
      <c r="AA131" s="3836"/>
    </row>
    <row r="132" spans="1:27" s="701" customFormat="1" ht="14.25" hidden="1" customHeight="1">
      <c r="A132" s="3961"/>
      <c r="B132" s="3966" t="s">
        <v>30</v>
      </c>
      <c r="C132" s="2703" t="s">
        <v>216</v>
      </c>
      <c r="D132" s="3967">
        <f t="shared" ref="D132:X132" si="78">+D133</f>
        <v>0</v>
      </c>
      <c r="E132" s="3967">
        <f t="shared" si="78"/>
        <v>0</v>
      </c>
      <c r="F132" s="3967">
        <f t="shared" si="78"/>
        <v>0</v>
      </c>
      <c r="G132" s="3967">
        <f t="shared" si="78"/>
        <v>0</v>
      </c>
      <c r="H132" s="3967">
        <f t="shared" si="78"/>
        <v>0</v>
      </c>
      <c r="I132" s="3967">
        <f t="shared" si="78"/>
        <v>0</v>
      </c>
      <c r="J132" s="3967">
        <f t="shared" si="78"/>
        <v>0</v>
      </c>
      <c r="K132" s="3967">
        <f t="shared" si="78"/>
        <v>0</v>
      </c>
      <c r="L132" s="3967">
        <f t="shared" si="78"/>
        <v>0</v>
      </c>
      <c r="M132" s="3967">
        <f t="shared" si="78"/>
        <v>0</v>
      </c>
      <c r="N132" s="485">
        <f>N133</f>
        <v>0</v>
      </c>
      <c r="O132" s="485">
        <f>O133</f>
        <v>0</v>
      </c>
      <c r="P132" s="485"/>
      <c r="Q132" s="485"/>
      <c r="R132" s="485"/>
      <c r="S132" s="485"/>
      <c r="T132" s="485"/>
      <c r="U132" s="485"/>
      <c r="V132" s="485"/>
      <c r="W132" s="485"/>
      <c r="X132" s="3968">
        <f t="shared" si="78"/>
        <v>0</v>
      </c>
      <c r="Y132" s="2894"/>
    </row>
    <row r="133" spans="1:27" s="701" customFormat="1" ht="13.5" hidden="1" customHeight="1" thickBot="1">
      <c r="A133" s="3961"/>
      <c r="B133" s="3969" t="s">
        <v>32</v>
      </c>
      <c r="C133" s="2643"/>
      <c r="D133" s="3970">
        <v>0</v>
      </c>
      <c r="E133" s="3971">
        <v>0</v>
      </c>
      <c r="F133" s="3971">
        <v>0</v>
      </c>
      <c r="G133" s="3971"/>
      <c r="H133" s="3971"/>
      <c r="I133" s="3971">
        <v>0</v>
      </c>
      <c r="J133" s="3971">
        <v>0</v>
      </c>
      <c r="K133" s="3971">
        <v>0</v>
      </c>
      <c r="L133" s="3971">
        <v>0</v>
      </c>
      <c r="M133" s="3972">
        <f>E133+I133+J133+K133+L133</f>
        <v>0</v>
      </c>
      <c r="N133" s="3973">
        <v>0</v>
      </c>
      <c r="O133" s="3973">
        <f>7680-7680</f>
        <v>0</v>
      </c>
      <c r="P133" s="3973"/>
      <c r="Q133" s="3973"/>
      <c r="R133" s="3973"/>
      <c r="S133" s="3973"/>
      <c r="T133" s="3973"/>
      <c r="U133" s="3973"/>
      <c r="V133" s="3973"/>
      <c r="W133" s="3973"/>
      <c r="X133" s="3974">
        <f>SUM(P133:T133)</f>
        <v>0</v>
      </c>
      <c r="Y133" s="2894"/>
    </row>
    <row r="134" spans="1:27" s="701" customFormat="1" ht="15.75" hidden="1" customHeight="1">
      <c r="A134" s="3961"/>
      <c r="B134" s="3975" t="s">
        <v>34</v>
      </c>
      <c r="C134" s="3963"/>
      <c r="D134" s="1023">
        <f>+D135</f>
        <v>0</v>
      </c>
      <c r="E134" s="1023">
        <f t="shared" ref="E134:N135" si="79">+E135</f>
        <v>0</v>
      </c>
      <c r="F134" s="1023">
        <f t="shared" si="79"/>
        <v>0</v>
      </c>
      <c r="G134" s="1023">
        <f t="shared" si="79"/>
        <v>0</v>
      </c>
      <c r="H134" s="1023">
        <f t="shared" si="79"/>
        <v>0</v>
      </c>
      <c r="I134" s="1023">
        <f t="shared" si="79"/>
        <v>0</v>
      </c>
      <c r="J134" s="1023">
        <f t="shared" si="79"/>
        <v>0</v>
      </c>
      <c r="K134" s="1023">
        <f t="shared" si="79"/>
        <v>0</v>
      </c>
      <c r="L134" s="1023">
        <f t="shared" si="79"/>
        <v>0</v>
      </c>
      <c r="M134" s="1023">
        <f t="shared" si="79"/>
        <v>0</v>
      </c>
      <c r="N134" s="1023">
        <f t="shared" si="79"/>
        <v>0</v>
      </c>
      <c r="O134" s="1023">
        <f>O135</f>
        <v>0</v>
      </c>
      <c r="P134" s="1023"/>
      <c r="Q134" s="1023"/>
      <c r="R134" s="3964"/>
      <c r="S134" s="3964"/>
      <c r="T134" s="3964"/>
      <c r="U134" s="3964"/>
      <c r="V134" s="3964"/>
      <c r="W134" s="3964"/>
      <c r="X134" s="2646" t="s">
        <v>77</v>
      </c>
      <c r="Y134" s="2894"/>
    </row>
    <row r="135" spans="1:27" s="701" customFormat="1" ht="12.75" hidden="1" customHeight="1">
      <c r="A135" s="3961"/>
      <c r="B135" s="3966" t="s">
        <v>30</v>
      </c>
      <c r="C135" s="2703" t="s">
        <v>216</v>
      </c>
      <c r="D135" s="3967">
        <f>+D136</f>
        <v>0</v>
      </c>
      <c r="E135" s="3967">
        <f t="shared" si="79"/>
        <v>0</v>
      </c>
      <c r="F135" s="3967">
        <f t="shared" si="79"/>
        <v>0</v>
      </c>
      <c r="G135" s="3967">
        <f t="shared" si="79"/>
        <v>0</v>
      </c>
      <c r="H135" s="3967">
        <f t="shared" si="79"/>
        <v>0</v>
      </c>
      <c r="I135" s="3967">
        <f t="shared" si="79"/>
        <v>0</v>
      </c>
      <c r="J135" s="3967">
        <f t="shared" si="79"/>
        <v>0</v>
      </c>
      <c r="K135" s="3967">
        <f t="shared" si="79"/>
        <v>0</v>
      </c>
      <c r="L135" s="3967">
        <f t="shared" si="79"/>
        <v>0</v>
      </c>
      <c r="M135" s="3967">
        <f t="shared" si="79"/>
        <v>0</v>
      </c>
      <c r="N135" s="1017">
        <f t="shared" si="79"/>
        <v>0</v>
      </c>
      <c r="O135" s="1017">
        <f>O136</f>
        <v>0</v>
      </c>
      <c r="P135" s="1017"/>
      <c r="Q135" s="1017"/>
      <c r="R135" s="1017"/>
      <c r="S135" s="1017"/>
      <c r="T135" s="1017"/>
      <c r="U135" s="1017"/>
      <c r="V135" s="1017"/>
      <c r="W135" s="1017"/>
      <c r="X135" s="2646"/>
      <c r="Y135" s="2894"/>
    </row>
    <row r="136" spans="1:27" s="701" customFormat="1" ht="15.75" hidden="1" customHeight="1" thickBot="1">
      <c r="A136" s="3961"/>
      <c r="B136" s="3969" t="s">
        <v>32</v>
      </c>
      <c r="C136" s="2643"/>
      <c r="D136" s="3970">
        <v>0</v>
      </c>
      <c r="E136" s="3976">
        <v>0</v>
      </c>
      <c r="F136" s="3976"/>
      <c r="G136" s="3976"/>
      <c r="H136" s="3976"/>
      <c r="I136" s="3976">
        <v>0</v>
      </c>
      <c r="J136" s="3976">
        <v>0</v>
      </c>
      <c r="K136" s="3976">
        <f>20000-2100-17900</f>
        <v>0</v>
      </c>
      <c r="L136" s="3976">
        <v>0</v>
      </c>
      <c r="M136" s="3972">
        <f>E136+I136+J136+K136+L136</f>
        <v>0</v>
      </c>
      <c r="N136" s="3977">
        <v>0</v>
      </c>
      <c r="O136" s="3977">
        <v>0</v>
      </c>
      <c r="P136" s="3977"/>
      <c r="Q136" s="3977"/>
      <c r="R136" s="3977"/>
      <c r="S136" s="3977"/>
      <c r="T136" s="3977"/>
      <c r="U136" s="3977"/>
      <c r="V136" s="3977"/>
      <c r="W136" s="3977"/>
      <c r="X136" s="2646"/>
      <c r="Y136" s="2894"/>
    </row>
    <row r="137" spans="1:27" ht="21.75" customHeight="1">
      <c r="A137" s="3878" t="s">
        <v>81</v>
      </c>
      <c r="B137" s="3879" t="s">
        <v>420</v>
      </c>
      <c r="C137" s="3978" t="s">
        <v>128</v>
      </c>
      <c r="D137" s="3978"/>
      <c r="E137" s="3978"/>
      <c r="F137" s="3978"/>
      <c r="G137" s="3978"/>
      <c r="H137" s="3978"/>
      <c r="I137" s="3978"/>
      <c r="J137" s="3978"/>
      <c r="K137" s="3978"/>
      <c r="L137" s="3978"/>
      <c r="M137" s="3978"/>
      <c r="N137" s="3978"/>
      <c r="O137" s="3882"/>
      <c r="P137" s="3882"/>
      <c r="Q137" s="3882"/>
      <c r="R137" s="3882"/>
      <c r="S137" s="3882"/>
      <c r="T137" s="3882"/>
      <c r="U137" s="3882"/>
      <c r="V137" s="3882"/>
      <c r="W137" s="3882"/>
      <c r="X137" s="3979"/>
      <c r="Y137" s="3980" t="s">
        <v>492</v>
      </c>
    </row>
    <row r="138" spans="1:27" ht="13.5" customHeight="1">
      <c r="A138" s="3878"/>
      <c r="B138" s="1988" t="s">
        <v>22</v>
      </c>
      <c r="C138" s="3981"/>
      <c r="D138" s="3821">
        <f t="shared" ref="D138:W138" si="80">+D139+D142</f>
        <v>25156056</v>
      </c>
      <c r="E138" s="3821">
        <f t="shared" si="80"/>
        <v>0</v>
      </c>
      <c r="F138" s="3821">
        <f t="shared" si="80"/>
        <v>0</v>
      </c>
      <c r="G138" s="3821">
        <f t="shared" si="80"/>
        <v>0</v>
      </c>
      <c r="H138" s="3821">
        <f t="shared" si="80"/>
        <v>0</v>
      </c>
      <c r="I138" s="3821">
        <f t="shared" si="80"/>
        <v>0</v>
      </c>
      <c r="J138" s="3821">
        <f t="shared" si="80"/>
        <v>0</v>
      </c>
      <c r="K138" s="3821">
        <f t="shared" si="80"/>
        <v>0</v>
      </c>
      <c r="L138" s="3821">
        <f t="shared" si="80"/>
        <v>0</v>
      </c>
      <c r="M138" s="3821">
        <f>+M139+M142</f>
        <v>0</v>
      </c>
      <c r="N138" s="3821">
        <f t="shared" si="80"/>
        <v>0</v>
      </c>
      <c r="O138" s="3822">
        <f t="shared" si="80"/>
        <v>2071007</v>
      </c>
      <c r="P138" s="3822">
        <f t="shared" si="80"/>
        <v>5500000</v>
      </c>
      <c r="Q138" s="3822">
        <f t="shared" si="80"/>
        <v>3900000</v>
      </c>
      <c r="R138" s="3822">
        <f t="shared" si="80"/>
        <v>1663610</v>
      </c>
      <c r="S138" s="3822">
        <f t="shared" si="80"/>
        <v>2500000</v>
      </c>
      <c r="T138" s="3822">
        <f t="shared" si="80"/>
        <v>2720411</v>
      </c>
      <c r="U138" s="3822">
        <f t="shared" si="80"/>
        <v>2720411</v>
      </c>
      <c r="V138" s="3822">
        <f t="shared" si="80"/>
        <v>2720411</v>
      </c>
      <c r="W138" s="3822">
        <f t="shared" si="80"/>
        <v>1360206</v>
      </c>
      <c r="X138" s="3824">
        <f>+X139+X142</f>
        <v>23085049</v>
      </c>
      <c r="Y138" s="3980"/>
    </row>
    <row r="139" spans="1:27" ht="13.5" customHeight="1">
      <c r="A139" s="3878"/>
      <c r="B139" s="3825" t="s">
        <v>23</v>
      </c>
      <c r="C139" s="3826" t="s">
        <v>213</v>
      </c>
      <c r="D139" s="3827">
        <f>+D140+D141</f>
        <v>9149279</v>
      </c>
      <c r="E139" s="3827">
        <f t="shared" ref="E139:W139" si="81">+E140+E141</f>
        <v>0</v>
      </c>
      <c r="F139" s="3827">
        <f t="shared" si="81"/>
        <v>0</v>
      </c>
      <c r="G139" s="3827">
        <f t="shared" si="81"/>
        <v>0</v>
      </c>
      <c r="H139" s="3827">
        <f t="shared" si="81"/>
        <v>0</v>
      </c>
      <c r="I139" s="3827">
        <f t="shared" si="81"/>
        <v>0</v>
      </c>
      <c r="J139" s="3827">
        <f t="shared" si="81"/>
        <v>0</v>
      </c>
      <c r="K139" s="3827">
        <f t="shared" si="81"/>
        <v>0</v>
      </c>
      <c r="L139" s="3827">
        <f t="shared" si="81"/>
        <v>0</v>
      </c>
      <c r="M139" s="3827">
        <f>+M140+M141</f>
        <v>0</v>
      </c>
      <c r="N139" s="3827">
        <f t="shared" si="81"/>
        <v>0</v>
      </c>
      <c r="O139" s="3829">
        <f t="shared" si="81"/>
        <v>753226</v>
      </c>
      <c r="P139" s="3829">
        <f t="shared" si="81"/>
        <v>2000000</v>
      </c>
      <c r="Q139" s="3829">
        <f t="shared" si="81"/>
        <v>1418000</v>
      </c>
      <c r="R139" s="3829">
        <f t="shared" si="81"/>
        <v>605854</v>
      </c>
      <c r="S139" s="3829">
        <f t="shared" si="81"/>
        <v>909250</v>
      </c>
      <c r="T139" s="3829">
        <f t="shared" si="81"/>
        <v>989414</v>
      </c>
      <c r="U139" s="3829">
        <f t="shared" si="81"/>
        <v>989414</v>
      </c>
      <c r="V139" s="3829">
        <f t="shared" si="81"/>
        <v>989414</v>
      </c>
      <c r="W139" s="3829">
        <f t="shared" si="81"/>
        <v>494707</v>
      </c>
      <c r="X139" s="3830">
        <f>SUM(X140:X141)</f>
        <v>8396053</v>
      </c>
      <c r="Y139" s="3980"/>
    </row>
    <row r="140" spans="1:27" ht="12.6" hidden="1" customHeight="1">
      <c r="A140" s="3878"/>
      <c r="B140" s="3831" t="s">
        <v>24</v>
      </c>
      <c r="C140" s="3826"/>
      <c r="D140" s="3832">
        <f>M140+O140+P140+Q140+R140+S140+T140</f>
        <v>0</v>
      </c>
      <c r="E140" s="3982">
        <v>0</v>
      </c>
      <c r="F140" s="3982"/>
      <c r="G140" s="3982"/>
      <c r="H140" s="3982"/>
      <c r="I140" s="3982">
        <v>0</v>
      </c>
      <c r="J140" s="3982">
        <v>0</v>
      </c>
      <c r="K140" s="3982">
        <v>0</v>
      </c>
      <c r="L140" s="3982">
        <v>0</v>
      </c>
      <c r="M140" s="3833">
        <f>E140+I140+J140+K140+L140+N140</f>
        <v>0</v>
      </c>
      <c r="N140" s="3982">
        <v>0</v>
      </c>
      <c r="O140" s="3833">
        <f>250000-250000</f>
        <v>0</v>
      </c>
      <c r="P140" s="3833">
        <f>500000-500000</f>
        <v>0</v>
      </c>
      <c r="Q140" s="3833">
        <f>450000-450000</f>
        <v>0</v>
      </c>
      <c r="R140" s="3833">
        <f>500000-500000</f>
        <v>0</v>
      </c>
      <c r="S140" s="3833">
        <v>0</v>
      </c>
      <c r="T140" s="3833"/>
      <c r="U140" s="3833"/>
      <c r="V140" s="3833"/>
      <c r="W140" s="3833"/>
      <c r="X140" s="3835">
        <f>SUM(P140:T140)</f>
        <v>0</v>
      </c>
      <c r="Y140" s="3980"/>
    </row>
    <row r="141" spans="1:27" ht="13.5" customHeight="1">
      <c r="A141" s="3878"/>
      <c r="B141" s="3983" t="s">
        <v>312</v>
      </c>
      <c r="C141" s="3826"/>
      <c r="D141" s="3832">
        <f>M141+O141+P141+Q141+R141+S141+T141+U141+V141+W141</f>
        <v>9149279</v>
      </c>
      <c r="E141" s="3982">
        <v>0</v>
      </c>
      <c r="F141" s="3982"/>
      <c r="G141" s="3982"/>
      <c r="H141" s="3982">
        <v>0</v>
      </c>
      <c r="I141" s="3982">
        <v>0</v>
      </c>
      <c r="J141" s="3982">
        <v>0</v>
      </c>
      <c r="K141" s="3982">
        <v>0</v>
      </c>
      <c r="L141" s="3982">
        <v>0</v>
      </c>
      <c r="M141" s="3833">
        <f>E141+I141+J141+K141+L141+N141</f>
        <v>0</v>
      </c>
      <c r="N141" s="3982">
        <v>0</v>
      </c>
      <c r="O141" s="3833">
        <f>1455000-496420-205354</f>
        <v>753226</v>
      </c>
      <c r="P141" s="3833">
        <f>2910000-909650-350</f>
        <v>2000000</v>
      </c>
      <c r="Q141" s="3833">
        <f>2546000-1636750+205354+303396</f>
        <v>1418000</v>
      </c>
      <c r="R141" s="3833">
        <f>2910000-2000750-303396</f>
        <v>605854</v>
      </c>
      <c r="S141" s="3833">
        <v>909250</v>
      </c>
      <c r="T141" s="3833">
        <v>989414</v>
      </c>
      <c r="U141" s="3833">
        <v>989414</v>
      </c>
      <c r="V141" s="3833">
        <v>989414</v>
      </c>
      <c r="W141" s="3833">
        <v>494707</v>
      </c>
      <c r="X141" s="3835">
        <f>SUM(P141:W141)</f>
        <v>8396053</v>
      </c>
      <c r="Y141" s="3980"/>
    </row>
    <row r="142" spans="1:27" ht="13.5" customHeight="1">
      <c r="A142" s="3878"/>
      <c r="B142" s="3839" t="s">
        <v>30</v>
      </c>
      <c r="C142" s="3826"/>
      <c r="D142" s="3827">
        <f>+D143</f>
        <v>16006777</v>
      </c>
      <c r="E142" s="3827">
        <f t="shared" ref="E142:W142" si="82">+E143</f>
        <v>0</v>
      </c>
      <c r="F142" s="3827">
        <f t="shared" si="82"/>
        <v>0</v>
      </c>
      <c r="G142" s="3827">
        <f t="shared" si="82"/>
        <v>0</v>
      </c>
      <c r="H142" s="3827">
        <f t="shared" si="82"/>
        <v>0</v>
      </c>
      <c r="I142" s="3827">
        <f t="shared" si="82"/>
        <v>0</v>
      </c>
      <c r="J142" s="3827">
        <f t="shared" si="82"/>
        <v>0</v>
      </c>
      <c r="K142" s="3827">
        <f t="shared" si="82"/>
        <v>0</v>
      </c>
      <c r="L142" s="3827">
        <f t="shared" si="82"/>
        <v>0</v>
      </c>
      <c r="M142" s="3827">
        <f t="shared" si="82"/>
        <v>0</v>
      </c>
      <c r="N142" s="3827">
        <f t="shared" si="82"/>
        <v>0</v>
      </c>
      <c r="O142" s="3827">
        <f t="shared" si="82"/>
        <v>1317781</v>
      </c>
      <c r="P142" s="3827">
        <f t="shared" si="82"/>
        <v>3500000</v>
      </c>
      <c r="Q142" s="3827">
        <f t="shared" si="82"/>
        <v>2482000</v>
      </c>
      <c r="R142" s="3827">
        <f t="shared" si="82"/>
        <v>1057756</v>
      </c>
      <c r="S142" s="3827">
        <f t="shared" si="82"/>
        <v>1590750</v>
      </c>
      <c r="T142" s="3827">
        <f t="shared" si="82"/>
        <v>1730997</v>
      </c>
      <c r="U142" s="3827">
        <f t="shared" si="82"/>
        <v>1730997</v>
      </c>
      <c r="V142" s="3827">
        <f t="shared" si="82"/>
        <v>1730997</v>
      </c>
      <c r="W142" s="3827">
        <f t="shared" si="82"/>
        <v>865499</v>
      </c>
      <c r="X142" s="3984">
        <f>+X143</f>
        <v>14688996</v>
      </c>
      <c r="Y142" s="3980"/>
    </row>
    <row r="143" spans="1:27" ht="13.5" customHeight="1">
      <c r="A143" s="3878"/>
      <c r="B143" s="3983" t="s">
        <v>519</v>
      </c>
      <c r="C143" s="3826"/>
      <c r="D143" s="3832">
        <f>M143+O143+P143+Q143+R143+S143+T143+U143+V143+W143</f>
        <v>16006777</v>
      </c>
      <c r="E143" s="3982">
        <v>0</v>
      </c>
      <c r="F143" s="3982"/>
      <c r="G143" s="3982"/>
      <c r="H143" s="3982">
        <v>0</v>
      </c>
      <c r="I143" s="3982">
        <v>0</v>
      </c>
      <c r="J143" s="3982">
        <v>0</v>
      </c>
      <c r="K143" s="3982">
        <v>0</v>
      </c>
      <c r="L143" s="3982">
        <v>0</v>
      </c>
      <c r="M143" s="3833">
        <f>E143+I143+J143+K143+L143+N143</f>
        <v>0</v>
      </c>
      <c r="N143" s="3982">
        <v>0</v>
      </c>
      <c r="O143" s="3833">
        <f>2545000-868963-358256</f>
        <v>1317781</v>
      </c>
      <c r="P143" s="3833">
        <f>5090000-1590350+350</f>
        <v>3500000</v>
      </c>
      <c r="Q143" s="3833">
        <f>4454000-2863250+358256+532994</f>
        <v>2482000</v>
      </c>
      <c r="R143" s="3833">
        <f>5090000-3499250-532994</f>
        <v>1057756</v>
      </c>
      <c r="S143" s="3833">
        <v>1590750</v>
      </c>
      <c r="T143" s="3833">
        <v>1730997</v>
      </c>
      <c r="U143" s="3833">
        <v>1730997</v>
      </c>
      <c r="V143" s="3833">
        <v>1730997</v>
      </c>
      <c r="W143" s="3833">
        <v>865499</v>
      </c>
      <c r="X143" s="3835">
        <f>SUM(P143:W143)</f>
        <v>14688996</v>
      </c>
      <c r="Y143" s="3980"/>
    </row>
    <row r="144" spans="1:27" ht="14.25" customHeight="1">
      <c r="A144" s="3878"/>
      <c r="B144" s="1988" t="s">
        <v>34</v>
      </c>
      <c r="C144" s="3981"/>
      <c r="D144" s="3822">
        <f>+D145+D148</f>
        <v>25156056</v>
      </c>
      <c r="E144" s="3822">
        <f>+E145+E148</f>
        <v>0</v>
      </c>
      <c r="F144" s="3822"/>
      <c r="G144" s="3822"/>
      <c r="H144" s="3822"/>
      <c r="I144" s="3822">
        <f t="shared" ref="I144:W144" si="83">+I145+I148</f>
        <v>0</v>
      </c>
      <c r="J144" s="3822">
        <f t="shared" si="83"/>
        <v>0</v>
      </c>
      <c r="K144" s="3822">
        <f t="shared" si="83"/>
        <v>0</v>
      </c>
      <c r="L144" s="3822">
        <f t="shared" si="83"/>
        <v>0</v>
      </c>
      <c r="M144" s="3822">
        <f>+M145+M148</f>
        <v>0</v>
      </c>
      <c r="N144" s="3822">
        <f t="shared" si="83"/>
        <v>0</v>
      </c>
      <c r="O144" s="3822">
        <f t="shared" si="83"/>
        <v>2071007</v>
      </c>
      <c r="P144" s="3822">
        <f t="shared" si="83"/>
        <v>5500000</v>
      </c>
      <c r="Q144" s="3822">
        <f t="shared" si="83"/>
        <v>3900000</v>
      </c>
      <c r="R144" s="3822">
        <f t="shared" si="83"/>
        <v>1663610</v>
      </c>
      <c r="S144" s="3822">
        <f t="shared" si="83"/>
        <v>2500000</v>
      </c>
      <c r="T144" s="3822">
        <f t="shared" si="83"/>
        <v>2720411</v>
      </c>
      <c r="U144" s="3822">
        <f t="shared" si="83"/>
        <v>2720411</v>
      </c>
      <c r="V144" s="3822">
        <f t="shared" si="83"/>
        <v>2720411</v>
      </c>
      <c r="W144" s="3822">
        <f t="shared" si="83"/>
        <v>1360206</v>
      </c>
      <c r="X144" s="3845" t="s">
        <v>77</v>
      </c>
      <c r="Y144" s="3980"/>
    </row>
    <row r="145" spans="1:25" ht="13.5" customHeight="1">
      <c r="A145" s="3878"/>
      <c r="B145" s="3825" t="s">
        <v>23</v>
      </c>
      <c r="C145" s="3985" t="s">
        <v>213</v>
      </c>
      <c r="D145" s="3827">
        <f>+D146</f>
        <v>9149279</v>
      </c>
      <c r="E145" s="3827">
        <f t="shared" ref="E145:W145" si="84">+E146</f>
        <v>0</v>
      </c>
      <c r="F145" s="3827">
        <f t="shared" si="84"/>
        <v>0</v>
      </c>
      <c r="G145" s="3827">
        <f t="shared" si="84"/>
        <v>0</v>
      </c>
      <c r="H145" s="3827">
        <f t="shared" si="84"/>
        <v>0</v>
      </c>
      <c r="I145" s="3827">
        <f t="shared" si="84"/>
        <v>0</v>
      </c>
      <c r="J145" s="3827">
        <f t="shared" si="84"/>
        <v>0</v>
      </c>
      <c r="K145" s="3827">
        <f t="shared" si="84"/>
        <v>0</v>
      </c>
      <c r="L145" s="3827">
        <f t="shared" si="84"/>
        <v>0</v>
      </c>
      <c r="M145" s="3827">
        <f t="shared" si="84"/>
        <v>0</v>
      </c>
      <c r="N145" s="3827">
        <f t="shared" si="84"/>
        <v>0</v>
      </c>
      <c r="O145" s="3829">
        <f t="shared" si="84"/>
        <v>753226</v>
      </c>
      <c r="P145" s="3829">
        <f t="shared" si="84"/>
        <v>2000000</v>
      </c>
      <c r="Q145" s="3829">
        <f t="shared" si="84"/>
        <v>1418000</v>
      </c>
      <c r="R145" s="3829">
        <f t="shared" si="84"/>
        <v>605854</v>
      </c>
      <c r="S145" s="3829">
        <f t="shared" si="84"/>
        <v>909250</v>
      </c>
      <c r="T145" s="3829">
        <f t="shared" si="84"/>
        <v>989414</v>
      </c>
      <c r="U145" s="3829">
        <f t="shared" si="84"/>
        <v>989414</v>
      </c>
      <c r="V145" s="3829">
        <f t="shared" si="84"/>
        <v>989414</v>
      </c>
      <c r="W145" s="3829">
        <f t="shared" si="84"/>
        <v>494707</v>
      </c>
      <c r="X145" s="3845"/>
      <c r="Y145" s="3980"/>
    </row>
    <row r="146" spans="1:25" ht="12.75" customHeight="1">
      <c r="A146" s="3878"/>
      <c r="B146" s="3983" t="s">
        <v>312</v>
      </c>
      <c r="C146" s="3985"/>
      <c r="D146" s="3832">
        <f>M146+O146+P146+Q146+R146+S146+T146+U146+V146+W146</f>
        <v>9149279</v>
      </c>
      <c r="E146" s="3982">
        <v>0</v>
      </c>
      <c r="F146" s="3982"/>
      <c r="G146" s="3982"/>
      <c r="H146" s="3982"/>
      <c r="I146" s="3982">
        <v>0</v>
      </c>
      <c r="J146" s="3982">
        <v>0</v>
      </c>
      <c r="K146" s="3982">
        <v>0</v>
      </c>
      <c r="L146" s="3982">
        <v>0</v>
      </c>
      <c r="M146" s="3833">
        <f>E146+I146+J146+K146+L146+N146</f>
        <v>0</v>
      </c>
      <c r="N146" s="3982">
        <v>0</v>
      </c>
      <c r="O146" s="3833">
        <f>1455000-496420-205354</f>
        <v>753226</v>
      </c>
      <c r="P146" s="3833">
        <f>2910000-909650-350</f>
        <v>2000000</v>
      </c>
      <c r="Q146" s="3833">
        <f>2546000-1636750+205354+303396</f>
        <v>1418000</v>
      </c>
      <c r="R146" s="3833">
        <f>2910000-2000750-303396</f>
        <v>605854</v>
      </c>
      <c r="S146" s="3833">
        <v>909250</v>
      </c>
      <c r="T146" s="3833">
        <v>989414</v>
      </c>
      <c r="U146" s="3833">
        <v>989414</v>
      </c>
      <c r="V146" s="3833">
        <v>989414</v>
      </c>
      <c r="W146" s="3833">
        <v>494707</v>
      </c>
      <c r="X146" s="3845"/>
      <c r="Y146" s="3980"/>
    </row>
    <row r="147" spans="1:25" ht="11.25" hidden="1" customHeight="1">
      <c r="A147" s="3878"/>
      <c r="B147" s="3831" t="s">
        <v>37</v>
      </c>
      <c r="C147" s="3985"/>
      <c r="D147" s="3982">
        <f>+E147+I147+J147+K147+L147+N147</f>
        <v>0</v>
      </c>
      <c r="E147" s="3982">
        <v>0</v>
      </c>
      <c r="F147" s="3982"/>
      <c r="G147" s="3982"/>
      <c r="H147" s="3982"/>
      <c r="I147" s="3982"/>
      <c r="J147" s="3982"/>
      <c r="K147" s="3982">
        <v>0</v>
      </c>
      <c r="L147" s="3982">
        <v>0</v>
      </c>
      <c r="M147" s="3982">
        <v>0</v>
      </c>
      <c r="N147" s="3982"/>
      <c r="O147" s="3986"/>
      <c r="P147" s="3833"/>
      <c r="Q147" s="3833"/>
      <c r="R147" s="3833"/>
      <c r="S147" s="3833"/>
      <c r="T147" s="3833"/>
      <c r="U147" s="3833"/>
      <c r="V147" s="3833"/>
      <c r="W147" s="3833"/>
      <c r="X147" s="3845"/>
      <c r="Y147" s="3980"/>
    </row>
    <row r="148" spans="1:25" ht="12.75" customHeight="1">
      <c r="A148" s="3878"/>
      <c r="B148" s="3839" t="s">
        <v>30</v>
      </c>
      <c r="C148" s="3985"/>
      <c r="D148" s="3827">
        <f>+D149</f>
        <v>16006777</v>
      </c>
      <c r="E148" s="3827">
        <f t="shared" ref="E148:W148" si="85">+E149</f>
        <v>0</v>
      </c>
      <c r="F148" s="3827">
        <f t="shared" si="85"/>
        <v>0</v>
      </c>
      <c r="G148" s="3827">
        <f t="shared" si="85"/>
        <v>0</v>
      </c>
      <c r="H148" s="3827">
        <f t="shared" si="85"/>
        <v>0</v>
      </c>
      <c r="I148" s="3827">
        <f t="shared" si="85"/>
        <v>0</v>
      </c>
      <c r="J148" s="3827">
        <f t="shared" si="85"/>
        <v>0</v>
      </c>
      <c r="K148" s="3827">
        <f t="shared" si="85"/>
        <v>0</v>
      </c>
      <c r="L148" s="3827">
        <f t="shared" si="85"/>
        <v>0</v>
      </c>
      <c r="M148" s="3827">
        <f t="shared" si="85"/>
        <v>0</v>
      </c>
      <c r="N148" s="3827">
        <f t="shared" si="85"/>
        <v>0</v>
      </c>
      <c r="O148" s="3829">
        <f t="shared" si="85"/>
        <v>1317781</v>
      </c>
      <c r="P148" s="3829">
        <f t="shared" si="85"/>
        <v>3500000</v>
      </c>
      <c r="Q148" s="3829">
        <f t="shared" si="85"/>
        <v>2482000</v>
      </c>
      <c r="R148" s="3829">
        <f t="shared" si="85"/>
        <v>1057756</v>
      </c>
      <c r="S148" s="3829">
        <f t="shared" si="85"/>
        <v>1590750</v>
      </c>
      <c r="T148" s="3829">
        <f t="shared" si="85"/>
        <v>1730997</v>
      </c>
      <c r="U148" s="3829">
        <f t="shared" si="85"/>
        <v>1730997</v>
      </c>
      <c r="V148" s="3829">
        <f t="shared" si="85"/>
        <v>1730997</v>
      </c>
      <c r="W148" s="3829">
        <f t="shared" si="85"/>
        <v>865499</v>
      </c>
      <c r="X148" s="3845"/>
      <c r="Y148" s="3980"/>
    </row>
    <row r="149" spans="1:25" ht="12.75" customHeight="1" thickBot="1">
      <c r="A149" s="3906"/>
      <c r="B149" s="3987" t="s">
        <v>519</v>
      </c>
      <c r="C149" s="3988"/>
      <c r="D149" s="3851">
        <f>M149+O149+P149+Q149+R149+S149+T149+U149+V149+W149</f>
        <v>16006777</v>
      </c>
      <c r="E149" s="3851">
        <v>0</v>
      </c>
      <c r="F149" s="3851"/>
      <c r="G149" s="3851"/>
      <c r="H149" s="3851"/>
      <c r="I149" s="3851">
        <v>0</v>
      </c>
      <c r="J149" s="3851">
        <v>0</v>
      </c>
      <c r="K149" s="3851">
        <v>0</v>
      </c>
      <c r="L149" s="3851">
        <v>0</v>
      </c>
      <c r="M149" s="3854">
        <f>E149+I149+J149+K149+L149+N149</f>
        <v>0</v>
      </c>
      <c r="N149" s="3851">
        <v>0</v>
      </c>
      <c r="O149" s="3854">
        <f>2545000-868963-358256</f>
        <v>1317781</v>
      </c>
      <c r="P149" s="3854">
        <f>5090000-1590350+350</f>
        <v>3500000</v>
      </c>
      <c r="Q149" s="3854">
        <f>4454000-2863250+358256+532994</f>
        <v>2482000</v>
      </c>
      <c r="R149" s="3854">
        <f>5090000-3499250-532994</f>
        <v>1057756</v>
      </c>
      <c r="S149" s="3854">
        <v>1590750</v>
      </c>
      <c r="T149" s="3854">
        <v>1730997</v>
      </c>
      <c r="U149" s="3854">
        <v>1730997</v>
      </c>
      <c r="V149" s="3854">
        <v>1730997</v>
      </c>
      <c r="W149" s="3854">
        <v>865499</v>
      </c>
      <c r="X149" s="2799"/>
      <c r="Y149" s="3989"/>
    </row>
    <row r="150" spans="1:25" ht="11.25" hidden="1" customHeight="1" thickBot="1">
      <c r="A150" s="3990"/>
      <c r="B150" s="3991" t="s">
        <v>32</v>
      </c>
      <c r="C150" s="3992"/>
      <c r="D150" s="3993">
        <f>+E150+I150+J150+K150+L150+N150</f>
        <v>0</v>
      </c>
      <c r="E150" s="3994">
        <v>0</v>
      </c>
      <c r="F150" s="3994"/>
      <c r="G150" s="3994"/>
      <c r="H150" s="3994"/>
      <c r="I150" s="3995"/>
      <c r="J150" s="3996"/>
      <c r="K150" s="3995"/>
      <c r="L150" s="3995"/>
      <c r="M150" s="3995"/>
      <c r="N150" s="3995"/>
      <c r="O150" s="3995"/>
      <c r="P150" s="3995"/>
      <c r="Q150" s="3995"/>
      <c r="R150" s="3995"/>
      <c r="S150" s="3995"/>
      <c r="T150" s="3995"/>
      <c r="U150" s="3995"/>
      <c r="V150" s="3995"/>
      <c r="W150" s="3995"/>
      <c r="X150" s="3997"/>
      <c r="Y150" s="3998"/>
    </row>
    <row r="151" spans="1:25" ht="27" hidden="1" customHeight="1">
      <c r="A151" s="3878" t="s">
        <v>106</v>
      </c>
      <c r="B151" s="3814" t="s">
        <v>306</v>
      </c>
      <c r="C151" s="3956" t="s">
        <v>97</v>
      </c>
      <c r="D151" s="3999"/>
      <c r="E151" s="3956"/>
      <c r="F151" s="3956"/>
      <c r="G151" s="3956"/>
      <c r="H151" s="3956"/>
      <c r="I151" s="3956"/>
      <c r="J151" s="3956"/>
      <c r="K151" s="3956"/>
      <c r="L151" s="3956"/>
      <c r="M151" s="3956"/>
      <c r="N151" s="3956"/>
      <c r="O151" s="4000"/>
      <c r="P151" s="4000"/>
      <c r="Q151" s="4000"/>
      <c r="R151" s="4000"/>
      <c r="S151" s="4000"/>
      <c r="T151" s="4000"/>
      <c r="U151" s="4000"/>
      <c r="V151" s="4000"/>
      <c r="W151" s="4000"/>
      <c r="X151" s="4001"/>
      <c r="Y151" s="4002" t="s">
        <v>212</v>
      </c>
    </row>
    <row r="152" spans="1:25" ht="11.25" hidden="1" customHeight="1">
      <c r="A152" s="3878"/>
      <c r="B152" s="3975" t="s">
        <v>22</v>
      </c>
      <c r="C152" s="4003"/>
      <c r="D152" s="4004">
        <f t="shared" ref="D152:R152" si="86">+D153+D156</f>
        <v>0</v>
      </c>
      <c r="E152" s="4004">
        <f t="shared" si="86"/>
        <v>0</v>
      </c>
      <c r="F152" s="4004">
        <f t="shared" si="86"/>
        <v>0</v>
      </c>
      <c r="G152" s="4004">
        <f t="shared" si="86"/>
        <v>0</v>
      </c>
      <c r="H152" s="4004">
        <f t="shared" si="86"/>
        <v>0</v>
      </c>
      <c r="I152" s="4004">
        <f t="shared" si="86"/>
        <v>0</v>
      </c>
      <c r="J152" s="4004">
        <f t="shared" si="86"/>
        <v>0</v>
      </c>
      <c r="K152" s="4004">
        <f t="shared" si="86"/>
        <v>0</v>
      </c>
      <c r="L152" s="4004">
        <f t="shared" si="86"/>
        <v>0</v>
      </c>
      <c r="M152" s="4004">
        <f>+M153+M156</f>
        <v>0</v>
      </c>
      <c r="N152" s="4004">
        <f t="shared" si="86"/>
        <v>0</v>
      </c>
      <c r="O152" s="4005">
        <f t="shared" si="86"/>
        <v>0</v>
      </c>
      <c r="P152" s="4005">
        <f t="shared" si="86"/>
        <v>0</v>
      </c>
      <c r="Q152" s="4005">
        <f t="shared" si="86"/>
        <v>0</v>
      </c>
      <c r="R152" s="4005">
        <f t="shared" si="86"/>
        <v>0</v>
      </c>
      <c r="S152" s="4005"/>
      <c r="T152" s="4005"/>
      <c r="U152" s="4005"/>
      <c r="V152" s="4005"/>
      <c r="W152" s="4005"/>
      <c r="X152" s="4006">
        <f>+X153+X156</f>
        <v>0</v>
      </c>
      <c r="Y152" s="4002"/>
    </row>
    <row r="153" spans="1:25" ht="12.75" hidden="1" customHeight="1">
      <c r="A153" s="3878"/>
      <c r="B153" s="4007" t="s">
        <v>23</v>
      </c>
      <c r="C153" s="2703" t="s">
        <v>213</v>
      </c>
      <c r="D153" s="485">
        <f t="shared" ref="D153:R153" si="87">+D154+D155</f>
        <v>0</v>
      </c>
      <c r="E153" s="485">
        <f t="shared" si="87"/>
        <v>0</v>
      </c>
      <c r="F153" s="485">
        <f t="shared" si="87"/>
        <v>0</v>
      </c>
      <c r="G153" s="485">
        <f t="shared" si="87"/>
        <v>0</v>
      </c>
      <c r="H153" s="485">
        <f t="shared" si="87"/>
        <v>0</v>
      </c>
      <c r="I153" s="485">
        <f t="shared" si="87"/>
        <v>0</v>
      </c>
      <c r="J153" s="485">
        <f t="shared" si="87"/>
        <v>0</v>
      </c>
      <c r="K153" s="485">
        <f t="shared" si="87"/>
        <v>0</v>
      </c>
      <c r="L153" s="485">
        <f t="shared" si="87"/>
        <v>0</v>
      </c>
      <c r="M153" s="485">
        <f>+M154+M155</f>
        <v>0</v>
      </c>
      <c r="N153" s="485">
        <f t="shared" si="87"/>
        <v>0</v>
      </c>
      <c r="O153" s="4008">
        <f t="shared" si="87"/>
        <v>0</v>
      </c>
      <c r="P153" s="4008">
        <f t="shared" si="87"/>
        <v>0</v>
      </c>
      <c r="Q153" s="4008">
        <f t="shared" si="87"/>
        <v>0</v>
      </c>
      <c r="R153" s="4008">
        <f t="shared" si="87"/>
        <v>0</v>
      </c>
      <c r="S153" s="4008"/>
      <c r="T153" s="4008"/>
      <c r="U153" s="4008"/>
      <c r="V153" s="4008"/>
      <c r="W153" s="4008"/>
      <c r="X153" s="3968">
        <f>SUM(X154:X155)</f>
        <v>0</v>
      </c>
      <c r="Y153" s="4002"/>
    </row>
    <row r="154" spans="1:25" ht="12.75" hidden="1" customHeight="1">
      <c r="A154" s="3878"/>
      <c r="B154" s="3991" t="s">
        <v>24</v>
      </c>
      <c r="C154" s="2643"/>
      <c r="D154" s="3970">
        <f>M154+N154+O154+P154+Q154+R154</f>
        <v>0</v>
      </c>
      <c r="E154" s="3383">
        <v>0</v>
      </c>
      <c r="F154" s="3383"/>
      <c r="G154" s="3383"/>
      <c r="H154" s="3383"/>
      <c r="I154" s="3383">
        <v>0</v>
      </c>
      <c r="J154" s="3383">
        <v>0</v>
      </c>
      <c r="K154" s="3383">
        <v>0</v>
      </c>
      <c r="L154" s="3383">
        <v>0</v>
      </c>
      <c r="M154" s="3972">
        <f>E154+I154+J154+K154+L154</f>
        <v>0</v>
      </c>
      <c r="N154" s="3383">
        <v>0</v>
      </c>
      <c r="O154" s="4009">
        <f>23000-23000</f>
        <v>0</v>
      </c>
      <c r="P154" s="4009">
        <f>12000-12000</f>
        <v>0</v>
      </c>
      <c r="Q154" s="4009">
        <v>0</v>
      </c>
      <c r="R154" s="4009">
        <v>0</v>
      </c>
      <c r="S154" s="4009"/>
      <c r="T154" s="4009"/>
      <c r="U154" s="4009"/>
      <c r="V154" s="4009"/>
      <c r="W154" s="4009"/>
      <c r="X154" s="3974">
        <f>SUM(P154:T154)</f>
        <v>0</v>
      </c>
      <c r="Y154" s="4002"/>
    </row>
    <row r="155" spans="1:25" ht="12.75" hidden="1" customHeight="1">
      <c r="A155" s="3878"/>
      <c r="B155" s="4010" t="s">
        <v>312</v>
      </c>
      <c r="C155" s="2643"/>
      <c r="D155" s="3970">
        <f>M155+N155+O155+P155+Q155+R155</f>
        <v>0</v>
      </c>
      <c r="E155" s="3383">
        <v>0</v>
      </c>
      <c r="F155" s="3383"/>
      <c r="G155" s="3383"/>
      <c r="H155" s="3383">
        <v>0</v>
      </c>
      <c r="I155" s="3383">
        <v>0</v>
      </c>
      <c r="J155" s="3383">
        <v>0</v>
      </c>
      <c r="K155" s="3383">
        <v>0</v>
      </c>
      <c r="L155" s="3383">
        <v>0</v>
      </c>
      <c r="M155" s="3972">
        <f>E155+I155+J155+K155+L155</f>
        <v>0</v>
      </c>
      <c r="N155" s="3383">
        <v>0</v>
      </c>
      <c r="O155" s="4009">
        <f>36000-36000</f>
        <v>0</v>
      </c>
      <c r="P155" s="4009">
        <f>18000-18000</f>
        <v>0</v>
      </c>
      <c r="Q155" s="4009">
        <v>0</v>
      </c>
      <c r="R155" s="4009">
        <v>0</v>
      </c>
      <c r="S155" s="4009"/>
      <c r="T155" s="4009"/>
      <c r="U155" s="4009"/>
      <c r="V155" s="4009"/>
      <c r="W155" s="4009"/>
      <c r="X155" s="3974">
        <f>SUM(P155:T155)</f>
        <v>0</v>
      </c>
      <c r="Y155" s="4002"/>
    </row>
    <row r="156" spans="1:25" ht="12.75" hidden="1" customHeight="1">
      <c r="A156" s="3878"/>
      <c r="B156" s="4011" t="s">
        <v>30</v>
      </c>
      <c r="C156" s="2643"/>
      <c r="D156" s="485">
        <f t="shared" ref="D156:X156" si="88">+D157</f>
        <v>0</v>
      </c>
      <c r="E156" s="485">
        <f t="shared" si="88"/>
        <v>0</v>
      </c>
      <c r="F156" s="485">
        <f t="shared" si="88"/>
        <v>0</v>
      </c>
      <c r="G156" s="485">
        <f t="shared" si="88"/>
        <v>0</v>
      </c>
      <c r="H156" s="485">
        <f t="shared" si="88"/>
        <v>0</v>
      </c>
      <c r="I156" s="485">
        <f t="shared" si="88"/>
        <v>0</v>
      </c>
      <c r="J156" s="485">
        <f t="shared" si="88"/>
        <v>0</v>
      </c>
      <c r="K156" s="485">
        <f t="shared" si="88"/>
        <v>0</v>
      </c>
      <c r="L156" s="485">
        <f t="shared" si="88"/>
        <v>0</v>
      </c>
      <c r="M156" s="485">
        <f t="shared" si="88"/>
        <v>0</v>
      </c>
      <c r="N156" s="485">
        <f t="shared" si="88"/>
        <v>0</v>
      </c>
      <c r="O156" s="485">
        <f t="shared" si="88"/>
        <v>0</v>
      </c>
      <c r="P156" s="485">
        <f t="shared" si="88"/>
        <v>0</v>
      </c>
      <c r="Q156" s="485">
        <f t="shared" si="88"/>
        <v>0</v>
      </c>
      <c r="R156" s="485">
        <f t="shared" si="88"/>
        <v>0</v>
      </c>
      <c r="S156" s="485"/>
      <c r="T156" s="485"/>
      <c r="U156" s="485"/>
      <c r="V156" s="485"/>
      <c r="W156" s="485"/>
      <c r="X156" s="4012">
        <f t="shared" si="88"/>
        <v>0</v>
      </c>
      <c r="Y156" s="4002"/>
    </row>
    <row r="157" spans="1:25" ht="12.75" hidden="1" customHeight="1">
      <c r="A157" s="3878"/>
      <c r="B157" s="4010" t="s">
        <v>519</v>
      </c>
      <c r="C157" s="2643"/>
      <c r="D157" s="3970">
        <f>M157+N157+O157+P157+Q157+R157</f>
        <v>0</v>
      </c>
      <c r="E157" s="3383">
        <v>0</v>
      </c>
      <c r="F157" s="3383"/>
      <c r="G157" s="3383"/>
      <c r="H157" s="3383">
        <v>0</v>
      </c>
      <c r="I157" s="3383">
        <v>0</v>
      </c>
      <c r="J157" s="3383">
        <v>0</v>
      </c>
      <c r="K157" s="3383">
        <v>0</v>
      </c>
      <c r="L157" s="3383">
        <v>0</v>
      </c>
      <c r="M157" s="3972">
        <f>E157+I157+J157+K157+L157</f>
        <v>0</v>
      </c>
      <c r="N157" s="3383">
        <v>0</v>
      </c>
      <c r="O157" s="4009">
        <f>64000-64000</f>
        <v>0</v>
      </c>
      <c r="P157" s="4009">
        <f>32000-32000</f>
        <v>0</v>
      </c>
      <c r="Q157" s="4009">
        <v>0</v>
      </c>
      <c r="R157" s="4009">
        <v>0</v>
      </c>
      <c r="S157" s="4009"/>
      <c r="T157" s="4009"/>
      <c r="U157" s="4009"/>
      <c r="V157" s="4009"/>
      <c r="W157" s="4009"/>
      <c r="X157" s="3974">
        <f>SUM(P157:T157)</f>
        <v>0</v>
      </c>
      <c r="Y157" s="4002"/>
    </row>
    <row r="158" spans="1:25" ht="13.5" hidden="1" customHeight="1">
      <c r="A158" s="3878"/>
      <c r="B158" s="3975" t="s">
        <v>34</v>
      </c>
      <c r="C158" s="4003"/>
      <c r="D158" s="4005">
        <f>+D159+D162</f>
        <v>0</v>
      </c>
      <c r="E158" s="4005">
        <f>+E159+E162</f>
        <v>0</v>
      </c>
      <c r="F158" s="4005"/>
      <c r="G158" s="4005"/>
      <c r="H158" s="4005"/>
      <c r="I158" s="4005">
        <f t="shared" ref="I158:R158" si="89">+I159+I162</f>
        <v>0</v>
      </c>
      <c r="J158" s="4005">
        <f t="shared" si="89"/>
        <v>0</v>
      </c>
      <c r="K158" s="4005">
        <f t="shared" si="89"/>
        <v>0</v>
      </c>
      <c r="L158" s="4005">
        <f t="shared" si="89"/>
        <v>0</v>
      </c>
      <c r="M158" s="4005">
        <f>+M159+M162</f>
        <v>0</v>
      </c>
      <c r="N158" s="4005">
        <f t="shared" si="89"/>
        <v>0</v>
      </c>
      <c r="O158" s="4005">
        <f t="shared" si="89"/>
        <v>0</v>
      </c>
      <c r="P158" s="4005">
        <f t="shared" si="89"/>
        <v>0</v>
      </c>
      <c r="Q158" s="4005">
        <f t="shared" si="89"/>
        <v>0</v>
      </c>
      <c r="R158" s="4005">
        <f t="shared" si="89"/>
        <v>0</v>
      </c>
      <c r="S158" s="4005"/>
      <c r="T158" s="4005"/>
      <c r="U158" s="4005"/>
      <c r="V158" s="4005"/>
      <c r="W158" s="4005"/>
      <c r="X158" s="3801" t="s">
        <v>77</v>
      </c>
      <c r="Y158" s="4002"/>
    </row>
    <row r="159" spans="1:25" ht="12.75" hidden="1" customHeight="1">
      <c r="A159" s="3878"/>
      <c r="B159" s="4007" t="s">
        <v>23</v>
      </c>
      <c r="C159" s="4013" t="s">
        <v>213</v>
      </c>
      <c r="D159" s="485">
        <f t="shared" ref="D159:R159" si="90">+D160</f>
        <v>0</v>
      </c>
      <c r="E159" s="485">
        <f t="shared" si="90"/>
        <v>0</v>
      </c>
      <c r="F159" s="485">
        <f t="shared" si="90"/>
        <v>0</v>
      </c>
      <c r="G159" s="485">
        <f t="shared" si="90"/>
        <v>0</v>
      </c>
      <c r="H159" s="485">
        <f t="shared" si="90"/>
        <v>0</v>
      </c>
      <c r="I159" s="485">
        <f t="shared" si="90"/>
        <v>0</v>
      </c>
      <c r="J159" s="485">
        <f t="shared" si="90"/>
        <v>0</v>
      </c>
      <c r="K159" s="485">
        <f t="shared" si="90"/>
        <v>0</v>
      </c>
      <c r="L159" s="485">
        <f t="shared" si="90"/>
        <v>0</v>
      </c>
      <c r="M159" s="485">
        <f t="shared" si="90"/>
        <v>0</v>
      </c>
      <c r="N159" s="485">
        <f t="shared" si="90"/>
        <v>0</v>
      </c>
      <c r="O159" s="4008">
        <f t="shared" si="90"/>
        <v>0</v>
      </c>
      <c r="P159" s="4008">
        <f t="shared" si="90"/>
        <v>0</v>
      </c>
      <c r="Q159" s="4008">
        <f t="shared" si="90"/>
        <v>0</v>
      </c>
      <c r="R159" s="4008">
        <f t="shared" si="90"/>
        <v>0</v>
      </c>
      <c r="S159" s="4008"/>
      <c r="T159" s="4008"/>
      <c r="U159" s="4008"/>
      <c r="V159" s="4008"/>
      <c r="W159" s="4008"/>
      <c r="X159" s="3801"/>
      <c r="Y159" s="4002"/>
    </row>
    <row r="160" spans="1:25" ht="12.75" hidden="1" customHeight="1">
      <c r="A160" s="3878"/>
      <c r="B160" s="4010" t="s">
        <v>312</v>
      </c>
      <c r="C160" s="4013"/>
      <c r="D160" s="3970">
        <f>M160+N160+O160+P160+Q160+R160</f>
        <v>0</v>
      </c>
      <c r="E160" s="3383">
        <v>0</v>
      </c>
      <c r="F160" s="3383"/>
      <c r="G160" s="3383"/>
      <c r="H160" s="3383"/>
      <c r="I160" s="3383">
        <v>0</v>
      </c>
      <c r="J160" s="3383">
        <v>0</v>
      </c>
      <c r="K160" s="3383">
        <v>0</v>
      </c>
      <c r="L160" s="3383">
        <v>0</v>
      </c>
      <c r="M160" s="3972">
        <f>E160+I160+J160+K160+L160</f>
        <v>0</v>
      </c>
      <c r="N160" s="3383">
        <v>0</v>
      </c>
      <c r="O160" s="4009">
        <f>36000-36000</f>
        <v>0</v>
      </c>
      <c r="P160" s="4009">
        <f>18000-18000</f>
        <v>0</v>
      </c>
      <c r="Q160" s="4009">
        <v>0</v>
      </c>
      <c r="R160" s="4009">
        <v>0</v>
      </c>
      <c r="S160" s="4009"/>
      <c r="T160" s="4009"/>
      <c r="U160" s="4009"/>
      <c r="V160" s="4009"/>
      <c r="W160" s="4009"/>
      <c r="X160" s="3801"/>
      <c r="Y160" s="4002"/>
    </row>
    <row r="161" spans="1:25" ht="11.25" hidden="1" customHeight="1">
      <c r="A161" s="3878"/>
      <c r="B161" s="3991" t="s">
        <v>37</v>
      </c>
      <c r="C161" s="4013"/>
      <c r="D161" s="3383">
        <f>+E161+I161+J161+K161+L161+N161</f>
        <v>0</v>
      </c>
      <c r="E161" s="3383">
        <v>0</v>
      </c>
      <c r="F161" s="3383"/>
      <c r="G161" s="3383"/>
      <c r="H161" s="3383"/>
      <c r="I161" s="3383"/>
      <c r="J161" s="3383"/>
      <c r="K161" s="3383">
        <v>0</v>
      </c>
      <c r="L161" s="3383">
        <v>0</v>
      </c>
      <c r="M161" s="3383">
        <v>0</v>
      </c>
      <c r="N161" s="3383"/>
      <c r="O161" s="4014"/>
      <c r="P161" s="4009"/>
      <c r="Q161" s="4009"/>
      <c r="R161" s="4009"/>
      <c r="S161" s="4009"/>
      <c r="T161" s="4009"/>
      <c r="U161" s="4009"/>
      <c r="V161" s="4009"/>
      <c r="W161" s="4009"/>
      <c r="X161" s="3801"/>
      <c r="Y161" s="4002"/>
    </row>
    <row r="162" spans="1:25" ht="12.75" hidden="1" customHeight="1">
      <c r="A162" s="3878"/>
      <c r="B162" s="4011" t="s">
        <v>30</v>
      </c>
      <c r="C162" s="4013"/>
      <c r="D162" s="485">
        <f t="shared" ref="D162:R162" si="91">+D163</f>
        <v>0</v>
      </c>
      <c r="E162" s="485">
        <f t="shared" si="91"/>
        <v>0</v>
      </c>
      <c r="F162" s="485">
        <f t="shared" si="91"/>
        <v>0</v>
      </c>
      <c r="G162" s="485">
        <f t="shared" si="91"/>
        <v>0</v>
      </c>
      <c r="H162" s="485">
        <f t="shared" si="91"/>
        <v>0</v>
      </c>
      <c r="I162" s="485">
        <f t="shared" si="91"/>
        <v>0</v>
      </c>
      <c r="J162" s="485">
        <f t="shared" si="91"/>
        <v>0</v>
      </c>
      <c r="K162" s="485">
        <f t="shared" si="91"/>
        <v>0</v>
      </c>
      <c r="L162" s="485">
        <f t="shared" si="91"/>
        <v>0</v>
      </c>
      <c r="M162" s="485">
        <f t="shared" si="91"/>
        <v>0</v>
      </c>
      <c r="N162" s="485">
        <f t="shared" si="91"/>
        <v>0</v>
      </c>
      <c r="O162" s="4008">
        <f t="shared" si="91"/>
        <v>0</v>
      </c>
      <c r="P162" s="4008">
        <f t="shared" si="91"/>
        <v>0</v>
      </c>
      <c r="Q162" s="4008">
        <f t="shared" si="91"/>
        <v>0</v>
      </c>
      <c r="R162" s="4008">
        <f t="shared" si="91"/>
        <v>0</v>
      </c>
      <c r="S162" s="4008"/>
      <c r="T162" s="4008"/>
      <c r="U162" s="4008"/>
      <c r="V162" s="4008"/>
      <c r="W162" s="4008"/>
      <c r="X162" s="3801"/>
      <c r="Y162" s="4002"/>
    </row>
    <row r="163" spans="1:25" s="4017" customFormat="1" ht="15.75" hidden="1" customHeight="1" thickBot="1">
      <c r="A163" s="3878"/>
      <c r="B163" s="4010" t="s">
        <v>519</v>
      </c>
      <c r="C163" s="4013"/>
      <c r="D163" s="3970">
        <f>M163+N163+O163+P163+Q163+R163</f>
        <v>0</v>
      </c>
      <c r="E163" s="4015">
        <v>0</v>
      </c>
      <c r="F163" s="4015"/>
      <c r="G163" s="4015"/>
      <c r="H163" s="4015"/>
      <c r="I163" s="4015">
        <v>0</v>
      </c>
      <c r="J163" s="4015">
        <v>0</v>
      </c>
      <c r="K163" s="4015">
        <v>0</v>
      </c>
      <c r="L163" s="4015">
        <v>0</v>
      </c>
      <c r="M163" s="3972">
        <f>E163+I163+J163+K163+L163</f>
        <v>0</v>
      </c>
      <c r="N163" s="4015">
        <v>0</v>
      </c>
      <c r="O163" s="4016">
        <f>64000-64000</f>
        <v>0</v>
      </c>
      <c r="P163" s="4016">
        <f>32000-32000</f>
        <v>0</v>
      </c>
      <c r="Q163" s="4016">
        <v>0</v>
      </c>
      <c r="R163" s="4016">
        <v>0</v>
      </c>
      <c r="S163" s="4016"/>
      <c r="T163" s="4016"/>
      <c r="U163" s="4016"/>
      <c r="V163" s="4016"/>
      <c r="W163" s="4016"/>
      <c r="X163" s="3801"/>
      <c r="Y163" s="4002"/>
    </row>
    <row r="164" spans="1:25" ht="35.25" hidden="1" customHeight="1">
      <c r="A164" s="3878">
        <v>0</v>
      </c>
      <c r="B164" s="4018" t="s">
        <v>217</v>
      </c>
      <c r="C164" s="4019" t="s">
        <v>97</v>
      </c>
      <c r="D164" s="4019"/>
      <c r="E164" s="4020"/>
      <c r="F164" s="4020"/>
      <c r="G164" s="4020"/>
      <c r="H164" s="4020"/>
      <c r="I164" s="4021"/>
      <c r="J164" s="4021"/>
      <c r="K164" s="4021"/>
      <c r="L164" s="4021"/>
      <c r="M164" s="4021"/>
      <c r="N164" s="4021"/>
      <c r="O164" s="4021"/>
      <c r="P164" s="4021"/>
      <c r="Q164" s="4021"/>
      <c r="R164" s="4021"/>
      <c r="S164" s="4021"/>
      <c r="T164" s="4021"/>
      <c r="U164" s="4021"/>
      <c r="V164" s="4021"/>
      <c r="W164" s="4021"/>
      <c r="X164" s="4022"/>
      <c r="Y164" s="3819" t="s">
        <v>218</v>
      </c>
    </row>
    <row r="165" spans="1:25" ht="11.25" hidden="1" customHeight="1">
      <c r="A165" s="3878"/>
      <c r="B165" s="4023" t="s">
        <v>22</v>
      </c>
      <c r="C165" s="4003"/>
      <c r="D165" s="4024">
        <f t="shared" ref="D165:L165" si="92">+D166+D169</f>
        <v>0</v>
      </c>
      <c r="E165" s="4025">
        <f t="shared" si="92"/>
        <v>0</v>
      </c>
      <c r="F165" s="4026">
        <f t="shared" si="92"/>
        <v>0</v>
      </c>
      <c r="G165" s="4026">
        <f t="shared" si="92"/>
        <v>0</v>
      </c>
      <c r="H165" s="4026">
        <f t="shared" si="92"/>
        <v>0</v>
      </c>
      <c r="I165" s="4026">
        <f t="shared" si="92"/>
        <v>0</v>
      </c>
      <c r="J165" s="4026">
        <f t="shared" si="92"/>
        <v>0</v>
      </c>
      <c r="K165" s="4026">
        <f t="shared" si="92"/>
        <v>0</v>
      </c>
      <c r="L165" s="4026">
        <f t="shared" si="92"/>
        <v>0</v>
      </c>
      <c r="M165" s="4027"/>
      <c r="N165" s="4028"/>
      <c r="O165" s="4029"/>
      <c r="P165" s="4029"/>
      <c r="Q165" s="4029"/>
      <c r="R165" s="4029"/>
      <c r="S165" s="4029"/>
      <c r="T165" s="4029"/>
      <c r="U165" s="4029"/>
      <c r="V165" s="4029"/>
      <c r="W165" s="4029"/>
      <c r="X165" s="4030"/>
      <c r="Y165" s="3819"/>
    </row>
    <row r="166" spans="1:25" ht="11.25" hidden="1" customHeight="1">
      <c r="A166" s="3878"/>
      <c r="B166" s="4031" t="s">
        <v>23</v>
      </c>
      <c r="C166" s="4032" t="s">
        <v>209</v>
      </c>
      <c r="D166" s="4033">
        <f>+D167+D168</f>
        <v>0</v>
      </c>
      <c r="E166" s="4034">
        <f>+E167+E168</f>
        <v>0</v>
      </c>
      <c r="F166" s="4033">
        <f>+F167+F168</f>
        <v>0</v>
      </c>
      <c r="G166" s="4033">
        <f>+G167+G168</f>
        <v>0</v>
      </c>
      <c r="H166" s="4033">
        <f>+H167+H168</f>
        <v>0</v>
      </c>
      <c r="I166" s="4035">
        <f>SUM(I167:I168)</f>
        <v>0</v>
      </c>
      <c r="J166" s="4035">
        <f>SUM(J167:J168)</f>
        <v>0</v>
      </c>
      <c r="K166" s="4035">
        <f>SUM(K167:K168)</f>
        <v>0</v>
      </c>
      <c r="L166" s="4035">
        <f>SUM(L167:L168)</f>
        <v>0</v>
      </c>
      <c r="M166" s="4035"/>
      <c r="N166" s="4036"/>
      <c r="O166" s="4037"/>
      <c r="P166" s="4037"/>
      <c r="Q166" s="4037"/>
      <c r="R166" s="4037"/>
      <c r="S166" s="4037"/>
      <c r="T166" s="4037"/>
      <c r="U166" s="4037"/>
      <c r="V166" s="4037"/>
      <c r="W166" s="4037"/>
      <c r="X166" s="4038"/>
      <c r="Y166" s="3819"/>
    </row>
    <row r="167" spans="1:25" ht="11.25" hidden="1" customHeight="1">
      <c r="A167" s="3878"/>
      <c r="B167" s="4039" t="s">
        <v>24</v>
      </c>
      <c r="C167" s="2671"/>
      <c r="D167" s="4040">
        <f>+E167+I167+J167+K167+L167+N167</f>
        <v>0</v>
      </c>
      <c r="E167" s="4041"/>
      <c r="F167" s="4042"/>
      <c r="G167" s="4042"/>
      <c r="H167" s="4042"/>
      <c r="I167" s="4043">
        <v>0</v>
      </c>
      <c r="J167" s="4043">
        <v>0</v>
      </c>
      <c r="K167" s="4043">
        <v>0</v>
      </c>
      <c r="L167" s="4043">
        <v>0</v>
      </c>
      <c r="M167" s="4043"/>
      <c r="N167" s="4044"/>
      <c r="O167" s="4043"/>
      <c r="P167" s="4043"/>
      <c r="Q167" s="4043"/>
      <c r="R167" s="4043"/>
      <c r="S167" s="4043"/>
      <c r="T167" s="4043"/>
      <c r="U167" s="4043"/>
      <c r="V167" s="4043"/>
      <c r="W167" s="4043"/>
      <c r="X167" s="3997"/>
      <c r="Y167" s="3819"/>
    </row>
    <row r="168" spans="1:25" ht="11.25" hidden="1" customHeight="1">
      <c r="A168" s="3878"/>
      <c r="B168" s="4045" t="s">
        <v>25</v>
      </c>
      <c r="C168" s="2671"/>
      <c r="D168" s="4040">
        <f>+E168+I168+J168+K168+L168+N168</f>
        <v>0</v>
      </c>
      <c r="E168" s="4046">
        <v>0</v>
      </c>
      <c r="F168" s="4047"/>
      <c r="G168" s="4047"/>
      <c r="H168" s="4047">
        <v>0</v>
      </c>
      <c r="I168" s="4048"/>
      <c r="J168" s="4048"/>
      <c r="K168" s="4043"/>
      <c r="L168" s="4043"/>
      <c r="M168" s="4043"/>
      <c r="N168" s="4044"/>
      <c r="O168" s="4043"/>
      <c r="P168" s="4043"/>
      <c r="Q168" s="4043"/>
      <c r="R168" s="4043"/>
      <c r="S168" s="4043"/>
      <c r="T168" s="4043"/>
      <c r="U168" s="4043"/>
      <c r="V168" s="4043"/>
      <c r="W168" s="4043"/>
      <c r="X168" s="3997"/>
      <c r="Y168" s="3819"/>
    </row>
    <row r="169" spans="1:25" ht="11.25" hidden="1" customHeight="1">
      <c r="A169" s="3878"/>
      <c r="B169" s="4049" t="s">
        <v>30</v>
      </c>
      <c r="C169" s="2671"/>
      <c r="D169" s="4033">
        <f t="shared" ref="D169:L169" si="93">+D170</f>
        <v>0</v>
      </c>
      <c r="E169" s="4034">
        <f t="shared" si="93"/>
        <v>0</v>
      </c>
      <c r="F169" s="4033"/>
      <c r="G169" s="4033"/>
      <c r="H169" s="4033">
        <f t="shared" si="93"/>
        <v>0</v>
      </c>
      <c r="I169" s="4050">
        <f t="shared" si="93"/>
        <v>0</v>
      </c>
      <c r="J169" s="4050">
        <f t="shared" si="93"/>
        <v>0</v>
      </c>
      <c r="K169" s="4050">
        <f>+K170</f>
        <v>0</v>
      </c>
      <c r="L169" s="4050">
        <f t="shared" si="93"/>
        <v>0</v>
      </c>
      <c r="M169" s="4050"/>
      <c r="N169" s="4051"/>
      <c r="O169" s="4033"/>
      <c r="P169" s="4033"/>
      <c r="Q169" s="4033"/>
      <c r="R169" s="4033"/>
      <c r="S169" s="4033"/>
      <c r="T169" s="4033"/>
      <c r="U169" s="4033"/>
      <c r="V169" s="4033"/>
      <c r="W169" s="4033"/>
      <c r="X169" s="4052"/>
      <c r="Y169" s="3819"/>
    </row>
    <row r="170" spans="1:25" ht="11.25" hidden="1" customHeight="1">
      <c r="A170" s="3878"/>
      <c r="B170" s="4039" t="s">
        <v>33</v>
      </c>
      <c r="C170" s="2671"/>
      <c r="D170" s="4040">
        <f>+E170+I170+J170+K170+L170+N170</f>
        <v>0</v>
      </c>
      <c r="E170" s="4046">
        <v>0</v>
      </c>
      <c r="F170" s="4047"/>
      <c r="G170" s="4047"/>
      <c r="H170" s="4047">
        <v>0</v>
      </c>
      <c r="I170" s="4048"/>
      <c r="J170" s="4048"/>
      <c r="K170" s="4043"/>
      <c r="L170" s="4043"/>
      <c r="M170" s="4043"/>
      <c r="N170" s="4044"/>
      <c r="O170" s="4043"/>
      <c r="P170" s="4043"/>
      <c r="Q170" s="4043"/>
      <c r="R170" s="4043"/>
      <c r="S170" s="4043"/>
      <c r="T170" s="4043"/>
      <c r="U170" s="4043"/>
      <c r="V170" s="4043"/>
      <c r="W170" s="4043"/>
      <c r="X170" s="3997"/>
      <c r="Y170" s="3819"/>
    </row>
    <row r="171" spans="1:25" ht="11.25" hidden="1" customHeight="1">
      <c r="A171" s="3878"/>
      <c r="B171" s="4023" t="s">
        <v>34</v>
      </c>
      <c r="C171" s="4003"/>
      <c r="D171" s="4029">
        <f>+D172+D175</f>
        <v>0</v>
      </c>
      <c r="E171" s="4053">
        <f>+E172+E175</f>
        <v>0</v>
      </c>
      <c r="F171" s="4053"/>
      <c r="G171" s="4053"/>
      <c r="H171" s="4053"/>
      <c r="I171" s="4029">
        <f>+I172+I175</f>
        <v>0</v>
      </c>
      <c r="J171" s="4029">
        <f>+J172+J175</f>
        <v>0</v>
      </c>
      <c r="K171" s="4029">
        <f>+K172+K175</f>
        <v>0</v>
      </c>
      <c r="L171" s="4026">
        <f>+L172+L175</f>
        <v>0</v>
      </c>
      <c r="M171" s="4027"/>
      <c r="N171" s="4028"/>
      <c r="O171" s="4029"/>
      <c r="P171" s="4029"/>
      <c r="Q171" s="4029"/>
      <c r="R171" s="4029"/>
      <c r="S171" s="4029"/>
      <c r="T171" s="4029"/>
      <c r="U171" s="4029"/>
      <c r="V171" s="4029"/>
      <c r="W171" s="4029"/>
      <c r="X171" s="4054"/>
      <c r="Y171" s="3819"/>
    </row>
    <row r="172" spans="1:25" ht="11.25" hidden="1" customHeight="1">
      <c r="A172" s="3878"/>
      <c r="B172" s="4031" t="s">
        <v>23</v>
      </c>
      <c r="C172" s="4055" t="s">
        <v>209</v>
      </c>
      <c r="D172" s="4033">
        <f>+D173+D174</f>
        <v>0</v>
      </c>
      <c r="E172" s="4034">
        <f>+E173+E174</f>
        <v>0</v>
      </c>
      <c r="F172" s="4034"/>
      <c r="G172" s="4034"/>
      <c r="H172" s="4034"/>
      <c r="I172" s="4035">
        <f>+I173+I174</f>
        <v>0</v>
      </c>
      <c r="J172" s="4035">
        <f>+J173+J174</f>
        <v>0</v>
      </c>
      <c r="K172" s="4037">
        <f>+K173+K174</f>
        <v>0</v>
      </c>
      <c r="L172" s="4035">
        <f>+L173+L174</f>
        <v>0</v>
      </c>
      <c r="M172" s="4035"/>
      <c r="N172" s="4036"/>
      <c r="O172" s="4037"/>
      <c r="P172" s="4037"/>
      <c r="Q172" s="4037"/>
      <c r="R172" s="4037"/>
      <c r="S172" s="4037"/>
      <c r="T172" s="4037"/>
      <c r="U172" s="4037"/>
      <c r="V172" s="4037"/>
      <c r="W172" s="4037"/>
      <c r="X172" s="4054"/>
      <c r="Y172" s="3819"/>
    </row>
    <row r="173" spans="1:25" ht="11.25" hidden="1" customHeight="1">
      <c r="A173" s="3878"/>
      <c r="B173" s="4045" t="s">
        <v>25</v>
      </c>
      <c r="C173" s="4056"/>
      <c r="D173" s="4040">
        <f>+E173+I173+J173+K173+L173+N173</f>
        <v>0</v>
      </c>
      <c r="E173" s="4046">
        <v>0</v>
      </c>
      <c r="F173" s="4046"/>
      <c r="G173" s="4046"/>
      <c r="H173" s="4046"/>
      <c r="I173" s="4048"/>
      <c r="J173" s="4048"/>
      <c r="K173" s="4048"/>
      <c r="L173" s="4043"/>
      <c r="M173" s="4043"/>
      <c r="N173" s="4044"/>
      <c r="O173" s="4043"/>
      <c r="P173" s="4043"/>
      <c r="Q173" s="4043"/>
      <c r="R173" s="4043"/>
      <c r="S173" s="4043"/>
      <c r="T173" s="4043"/>
      <c r="U173" s="4043"/>
      <c r="V173" s="4043"/>
      <c r="W173" s="4043"/>
      <c r="X173" s="4054"/>
      <c r="Y173" s="3819"/>
    </row>
    <row r="174" spans="1:25" ht="11.25" hidden="1" customHeight="1">
      <c r="A174" s="3878"/>
      <c r="B174" s="4039" t="s">
        <v>37</v>
      </c>
      <c r="C174" s="4056"/>
      <c r="D174" s="4040">
        <f>+E174+I174+J174+K174+L174+N174</f>
        <v>0</v>
      </c>
      <c r="E174" s="4046">
        <v>0</v>
      </c>
      <c r="F174" s="4046"/>
      <c r="G174" s="4046"/>
      <c r="H174" s="4046"/>
      <c r="I174" s="4043"/>
      <c r="J174" s="4057"/>
      <c r="K174" s="4048">
        <v>0</v>
      </c>
      <c r="L174" s="4043">
        <v>0</v>
      </c>
      <c r="M174" s="4043"/>
      <c r="N174" s="4043"/>
      <c r="O174" s="4043"/>
      <c r="P174" s="4043"/>
      <c r="Q174" s="4043"/>
      <c r="R174" s="4043"/>
      <c r="S174" s="4043"/>
      <c r="T174" s="4043"/>
      <c r="U174" s="4043"/>
      <c r="V174" s="4043"/>
      <c r="W174" s="4043"/>
      <c r="X174" s="4054"/>
      <c r="Y174" s="3819"/>
    </row>
    <row r="175" spans="1:25" ht="11.25" hidden="1" customHeight="1">
      <c r="A175" s="3878"/>
      <c r="B175" s="4049" t="s">
        <v>30</v>
      </c>
      <c r="C175" s="4056"/>
      <c r="D175" s="4033">
        <f>+D176+D177</f>
        <v>0</v>
      </c>
      <c r="E175" s="4058">
        <f>+E176</f>
        <v>0</v>
      </c>
      <c r="F175" s="4058"/>
      <c r="G175" s="4058"/>
      <c r="H175" s="4058"/>
      <c r="I175" s="4035">
        <f>+I176+I177</f>
        <v>0</v>
      </c>
      <c r="J175" s="4035">
        <f>+J176+J177</f>
        <v>0</v>
      </c>
      <c r="K175" s="4037">
        <f>+K176+K177</f>
        <v>0</v>
      </c>
      <c r="L175" s="4035">
        <f>+L176+L177</f>
        <v>0</v>
      </c>
      <c r="M175" s="4035"/>
      <c r="N175" s="4035"/>
      <c r="O175" s="4037"/>
      <c r="P175" s="4037"/>
      <c r="Q175" s="4037"/>
      <c r="R175" s="4037"/>
      <c r="S175" s="4037"/>
      <c r="T175" s="4037"/>
      <c r="U175" s="4037"/>
      <c r="V175" s="4037"/>
      <c r="W175" s="4037"/>
      <c r="X175" s="4054"/>
      <c r="Y175" s="3819"/>
    </row>
    <row r="176" spans="1:25" ht="11.25" hidden="1" customHeight="1">
      <c r="A176" s="3878"/>
      <c r="B176" s="4045" t="s">
        <v>33</v>
      </c>
      <c r="C176" s="4056"/>
      <c r="D176" s="4040">
        <f>+E176+I176+J176+K176+L176+N176</f>
        <v>0</v>
      </c>
      <c r="E176" s="3993">
        <v>0</v>
      </c>
      <c r="F176" s="3993"/>
      <c r="G176" s="3993"/>
      <c r="H176" s="3993"/>
      <c r="I176" s="4059"/>
      <c r="J176" s="4059"/>
      <c r="K176" s="4059"/>
      <c r="L176" s="4060"/>
      <c r="M176" s="4060"/>
      <c r="N176" s="4044"/>
      <c r="O176" s="4043"/>
      <c r="P176" s="4043"/>
      <c r="Q176" s="4043"/>
      <c r="R176" s="4043"/>
      <c r="S176" s="4043"/>
      <c r="T176" s="4043"/>
      <c r="U176" s="4043"/>
      <c r="V176" s="4043"/>
      <c r="W176" s="4043"/>
      <c r="X176" s="4054"/>
      <c r="Y176" s="3819"/>
    </row>
    <row r="177" spans="1:26" ht="11.25" hidden="1" customHeight="1" thickBot="1">
      <c r="A177" s="3878"/>
      <c r="B177" s="4045" t="s">
        <v>32</v>
      </c>
      <c r="C177" s="4056"/>
      <c r="D177" s="4040">
        <f>+E177+I177+J177+K177+L177+N177</f>
        <v>0</v>
      </c>
      <c r="E177" s="3994">
        <v>0</v>
      </c>
      <c r="F177" s="3994"/>
      <c r="G177" s="3994"/>
      <c r="H177" s="3994"/>
      <c r="I177" s="3995"/>
      <c r="J177" s="3996"/>
      <c r="K177" s="3995"/>
      <c r="L177" s="3995"/>
      <c r="M177" s="3995"/>
      <c r="N177" s="3995"/>
      <c r="O177" s="3995"/>
      <c r="P177" s="3995"/>
      <c r="Q177" s="3995"/>
      <c r="R177" s="3995"/>
      <c r="S177" s="3995"/>
      <c r="T177" s="3995"/>
      <c r="U177" s="3995"/>
      <c r="V177" s="3995"/>
      <c r="W177" s="3995"/>
      <c r="X177" s="3997"/>
      <c r="Y177" s="3819"/>
    </row>
    <row r="178" spans="1:26" s="4017" customFormat="1" ht="36" hidden="1" customHeight="1">
      <c r="A178" s="4061" t="s">
        <v>219</v>
      </c>
      <c r="B178" s="4062"/>
      <c r="C178" s="4062"/>
      <c r="D178" s="4062"/>
      <c r="E178" s="4063"/>
      <c r="F178" s="4063">
        <f>+D182-D189</f>
        <v>0</v>
      </c>
      <c r="G178" s="4063"/>
      <c r="H178" s="4063"/>
      <c r="I178" s="4062"/>
      <c r="J178" s="4062"/>
      <c r="K178" s="4062"/>
      <c r="L178" s="4062"/>
      <c r="M178" s="4062"/>
      <c r="N178" s="4062"/>
      <c r="O178" s="4062"/>
      <c r="P178" s="4062"/>
      <c r="Q178" s="4062"/>
      <c r="R178" s="4062"/>
      <c r="S178" s="4062"/>
      <c r="T178" s="4062"/>
      <c r="U178" s="4062"/>
      <c r="V178" s="4062"/>
      <c r="W178" s="4062"/>
      <c r="X178" s="4064"/>
      <c r="Y178" s="4065"/>
    </row>
    <row r="179" spans="1:26" s="1987" customFormat="1" ht="19.5" hidden="1" customHeight="1">
      <c r="A179" s="3767"/>
      <c r="B179" s="4066" t="s">
        <v>92</v>
      </c>
      <c r="C179" s="4067"/>
      <c r="D179" s="3658">
        <f>+D180+D181</f>
        <v>0</v>
      </c>
      <c r="E179" s="3658">
        <f t="shared" ref="E179:X179" si="94">+E180+E181</f>
        <v>0</v>
      </c>
      <c r="F179" s="3658">
        <f t="shared" si="94"/>
        <v>0</v>
      </c>
      <c r="G179" s="3658">
        <f t="shared" si="94"/>
        <v>0</v>
      </c>
      <c r="H179" s="3658">
        <f t="shared" si="94"/>
        <v>0</v>
      </c>
      <c r="I179" s="3658">
        <f t="shared" si="94"/>
        <v>0</v>
      </c>
      <c r="J179" s="3658">
        <f t="shared" si="94"/>
        <v>0</v>
      </c>
      <c r="K179" s="3658">
        <f t="shared" si="94"/>
        <v>0</v>
      </c>
      <c r="L179" s="3658">
        <f t="shared" si="94"/>
        <v>0</v>
      </c>
      <c r="M179" s="3658">
        <f>+M180+M181</f>
        <v>0</v>
      </c>
      <c r="N179" s="3658">
        <f t="shared" si="94"/>
        <v>0</v>
      </c>
      <c r="O179" s="3658">
        <f t="shared" si="94"/>
        <v>0</v>
      </c>
      <c r="P179" s="3658">
        <f t="shared" si="94"/>
        <v>0</v>
      </c>
      <c r="Q179" s="3658">
        <f t="shared" si="94"/>
        <v>0</v>
      </c>
      <c r="R179" s="3658">
        <f t="shared" si="94"/>
        <v>0</v>
      </c>
      <c r="S179" s="3658"/>
      <c r="T179" s="3658"/>
      <c r="U179" s="3658"/>
      <c r="V179" s="3658"/>
      <c r="W179" s="3658"/>
      <c r="X179" s="4068">
        <f t="shared" si="94"/>
        <v>0</v>
      </c>
      <c r="Y179" s="4069"/>
    </row>
    <row r="180" spans="1:26" s="1987" customFormat="1" ht="12.75" hidden="1" customHeight="1">
      <c r="A180" s="3770"/>
      <c r="B180" s="4066" t="s">
        <v>93</v>
      </c>
      <c r="C180" s="4067"/>
      <c r="D180" s="3658">
        <v>0</v>
      </c>
      <c r="E180" s="3658">
        <v>0</v>
      </c>
      <c r="F180" s="3658">
        <v>0</v>
      </c>
      <c r="G180" s="3658">
        <v>0</v>
      </c>
      <c r="H180" s="3658">
        <v>0</v>
      </c>
      <c r="I180" s="3658">
        <v>0</v>
      </c>
      <c r="J180" s="3658">
        <v>0</v>
      </c>
      <c r="K180" s="3658">
        <v>0</v>
      </c>
      <c r="L180" s="3658">
        <v>0</v>
      </c>
      <c r="M180" s="3658">
        <v>0</v>
      </c>
      <c r="N180" s="3658">
        <v>0</v>
      </c>
      <c r="O180" s="3658">
        <v>0</v>
      </c>
      <c r="P180" s="3658">
        <v>0</v>
      </c>
      <c r="Q180" s="3658">
        <v>0</v>
      </c>
      <c r="R180" s="3658">
        <v>0</v>
      </c>
      <c r="S180" s="3658"/>
      <c r="T180" s="3658"/>
      <c r="U180" s="3658"/>
      <c r="V180" s="3658"/>
      <c r="W180" s="3658"/>
      <c r="X180" s="4068">
        <f>SUM(P180:S180)</f>
        <v>0</v>
      </c>
      <c r="Y180" s="3769"/>
    </row>
    <row r="181" spans="1:26" s="1987" customFormat="1" ht="15" hidden="1" customHeight="1">
      <c r="A181" s="3770"/>
      <c r="B181" s="4070" t="s">
        <v>21</v>
      </c>
      <c r="C181" s="4071"/>
      <c r="D181" s="4072">
        <f>+D196+D208+D215</f>
        <v>0</v>
      </c>
      <c r="E181" s="4072">
        <f t="shared" ref="E181:R181" si="95">+E196+E208+E215</f>
        <v>0</v>
      </c>
      <c r="F181" s="4072">
        <f t="shared" si="95"/>
        <v>0</v>
      </c>
      <c r="G181" s="4072">
        <f t="shared" si="95"/>
        <v>0</v>
      </c>
      <c r="H181" s="4072">
        <f t="shared" si="95"/>
        <v>0</v>
      </c>
      <c r="I181" s="4072">
        <f t="shared" si="95"/>
        <v>0</v>
      </c>
      <c r="J181" s="4072">
        <f t="shared" si="95"/>
        <v>0</v>
      </c>
      <c r="K181" s="4072">
        <f t="shared" si="95"/>
        <v>0</v>
      </c>
      <c r="L181" s="4072">
        <f t="shared" si="95"/>
        <v>0</v>
      </c>
      <c r="M181" s="4072">
        <f>+M196+M208+M215</f>
        <v>0</v>
      </c>
      <c r="N181" s="4072">
        <f t="shared" si="95"/>
        <v>0</v>
      </c>
      <c r="O181" s="4072">
        <f t="shared" si="95"/>
        <v>0</v>
      </c>
      <c r="P181" s="4072">
        <f t="shared" si="95"/>
        <v>0</v>
      </c>
      <c r="Q181" s="4072">
        <f t="shared" si="95"/>
        <v>0</v>
      </c>
      <c r="R181" s="4072">
        <f t="shared" si="95"/>
        <v>0</v>
      </c>
      <c r="S181" s="4072"/>
      <c r="T181" s="4072"/>
      <c r="U181" s="4072"/>
      <c r="V181" s="4072"/>
      <c r="W181" s="4072"/>
      <c r="X181" s="4068">
        <f>SUM(P181:S181)</f>
        <v>0</v>
      </c>
      <c r="Y181" s="3769"/>
      <c r="Z181" s="1154"/>
    </row>
    <row r="182" spans="1:26" ht="14.25" hidden="1" customHeight="1">
      <c r="A182" s="3770"/>
      <c r="B182" s="3181" t="s">
        <v>22</v>
      </c>
      <c r="C182" s="4073"/>
      <c r="D182" s="4074">
        <f>+D183</f>
        <v>0</v>
      </c>
      <c r="E182" s="4075">
        <f t="shared" ref="E182:O182" si="96">+E183</f>
        <v>0</v>
      </c>
      <c r="F182" s="4074">
        <f t="shared" si="96"/>
        <v>0</v>
      </c>
      <c r="G182" s="4074">
        <f t="shared" si="96"/>
        <v>0</v>
      </c>
      <c r="H182" s="4074">
        <f t="shared" si="96"/>
        <v>0</v>
      </c>
      <c r="I182" s="4075">
        <f t="shared" si="96"/>
        <v>0</v>
      </c>
      <c r="J182" s="4075">
        <f t="shared" si="96"/>
        <v>0</v>
      </c>
      <c r="K182" s="4075">
        <f t="shared" si="96"/>
        <v>0</v>
      </c>
      <c r="L182" s="4075">
        <f t="shared" si="96"/>
        <v>0</v>
      </c>
      <c r="M182" s="4075">
        <f t="shared" si="96"/>
        <v>0</v>
      </c>
      <c r="N182" s="4075">
        <f t="shared" si="96"/>
        <v>0</v>
      </c>
      <c r="O182" s="4075">
        <f t="shared" si="96"/>
        <v>0</v>
      </c>
      <c r="P182" s="4075"/>
      <c r="Q182" s="4075"/>
      <c r="R182" s="3510"/>
      <c r="S182" s="3510"/>
      <c r="T182" s="3510"/>
      <c r="U182" s="3510"/>
      <c r="V182" s="3510"/>
      <c r="W182" s="3510"/>
      <c r="X182" s="3717">
        <f>+X183</f>
        <v>0</v>
      </c>
      <c r="Y182" s="3769"/>
      <c r="Z182" s="2094"/>
    </row>
    <row r="183" spans="1:26" ht="12.95" hidden="1" customHeight="1">
      <c r="A183" s="4076"/>
      <c r="B183" s="3779" t="s">
        <v>23</v>
      </c>
      <c r="C183" s="3780"/>
      <c r="D183" s="3781">
        <f>+D187+D188</f>
        <v>0</v>
      </c>
      <c r="E183" s="3781">
        <f t="shared" ref="E183:N183" si="97">+E187+E188</f>
        <v>0</v>
      </c>
      <c r="F183" s="3781">
        <f t="shared" si="97"/>
        <v>0</v>
      </c>
      <c r="G183" s="3781">
        <f t="shared" si="97"/>
        <v>0</v>
      </c>
      <c r="H183" s="3781">
        <f t="shared" si="97"/>
        <v>0</v>
      </c>
      <c r="I183" s="3781">
        <f t="shared" si="97"/>
        <v>0</v>
      </c>
      <c r="J183" s="3781">
        <f t="shared" si="97"/>
        <v>0</v>
      </c>
      <c r="K183" s="3781">
        <f t="shared" si="97"/>
        <v>0</v>
      </c>
      <c r="L183" s="3781">
        <f t="shared" si="97"/>
        <v>0</v>
      </c>
      <c r="M183" s="3781">
        <f>+M187+M188</f>
        <v>0</v>
      </c>
      <c r="N183" s="3781">
        <f t="shared" si="97"/>
        <v>0</v>
      </c>
      <c r="O183" s="3781">
        <f>+O187+O188</f>
        <v>0</v>
      </c>
      <c r="P183" s="3781"/>
      <c r="Q183" s="3781"/>
      <c r="R183" s="3781"/>
      <c r="S183" s="3781"/>
      <c r="T183" s="3781"/>
      <c r="U183" s="3781"/>
      <c r="V183" s="3781"/>
      <c r="W183" s="3781"/>
      <c r="X183" s="3782">
        <f>+X187+X188</f>
        <v>0</v>
      </c>
      <c r="Y183" s="3769"/>
    </row>
    <row r="184" spans="1:26" ht="12.95" hidden="1" customHeight="1">
      <c r="A184" s="3784"/>
      <c r="B184" s="3785" t="s">
        <v>24</v>
      </c>
      <c r="C184" s="3786"/>
      <c r="D184" s="3787">
        <v>0</v>
      </c>
      <c r="E184" s="3787">
        <v>0</v>
      </c>
      <c r="F184" s="3787">
        <v>0</v>
      </c>
      <c r="G184" s="3787">
        <v>0</v>
      </c>
      <c r="H184" s="3787">
        <v>0</v>
      </c>
      <c r="I184" s="3787">
        <v>0</v>
      </c>
      <c r="J184" s="3787">
        <v>0</v>
      </c>
      <c r="K184" s="3787">
        <v>0</v>
      </c>
      <c r="L184" s="4077">
        <v>0</v>
      </c>
      <c r="M184" s="4077">
        <v>0</v>
      </c>
      <c r="N184" s="4077">
        <v>0</v>
      </c>
      <c r="O184" s="3787"/>
      <c r="P184" s="3787"/>
      <c r="Q184" s="3787"/>
      <c r="R184" s="3787"/>
      <c r="S184" s="3787"/>
      <c r="T184" s="3787"/>
      <c r="U184" s="3787"/>
      <c r="V184" s="3787"/>
      <c r="W184" s="3787"/>
      <c r="X184" s="3835"/>
      <c r="Y184" s="3769"/>
    </row>
    <row r="185" spans="1:26" ht="13.5" hidden="1" customHeight="1">
      <c r="A185" s="3784"/>
      <c r="B185" s="4078" t="s">
        <v>25</v>
      </c>
      <c r="C185" s="4079"/>
      <c r="D185" s="4080">
        <v>0</v>
      </c>
      <c r="E185" s="4080">
        <v>0</v>
      </c>
      <c r="F185" s="4080">
        <v>0</v>
      </c>
      <c r="G185" s="4080">
        <v>0</v>
      </c>
      <c r="H185" s="4080">
        <v>0</v>
      </c>
      <c r="I185" s="4080">
        <v>0</v>
      </c>
      <c r="J185" s="4080">
        <v>0</v>
      </c>
      <c r="K185" s="4080">
        <v>0</v>
      </c>
      <c r="L185" s="4081">
        <v>0</v>
      </c>
      <c r="M185" s="4081">
        <v>0</v>
      </c>
      <c r="N185" s="4081">
        <v>0</v>
      </c>
      <c r="O185" s="4080"/>
      <c r="P185" s="4080"/>
      <c r="Q185" s="4080"/>
      <c r="R185" s="4080"/>
      <c r="S185" s="4080"/>
      <c r="T185" s="4080"/>
      <c r="U185" s="4080"/>
      <c r="V185" s="4080"/>
      <c r="W185" s="4080"/>
      <c r="X185" s="3835"/>
      <c r="Y185" s="3769"/>
    </row>
    <row r="186" spans="1:26" ht="12.75" hidden="1" customHeight="1">
      <c r="A186" s="3784"/>
      <c r="B186" s="3790" t="s">
        <v>25</v>
      </c>
      <c r="C186" s="4079"/>
      <c r="D186" s="4080">
        <v>0</v>
      </c>
      <c r="E186" s="4080">
        <v>0</v>
      </c>
      <c r="F186" s="4080">
        <v>0</v>
      </c>
      <c r="G186" s="4080">
        <v>0</v>
      </c>
      <c r="H186" s="4080">
        <v>0</v>
      </c>
      <c r="I186" s="4080">
        <v>0</v>
      </c>
      <c r="J186" s="4080">
        <v>0</v>
      </c>
      <c r="K186" s="4080">
        <v>0</v>
      </c>
      <c r="L186" s="4081">
        <v>0</v>
      </c>
      <c r="M186" s="4081">
        <v>0</v>
      </c>
      <c r="N186" s="4081">
        <v>0</v>
      </c>
      <c r="O186" s="4080"/>
      <c r="P186" s="4080"/>
      <c r="Q186" s="4080"/>
      <c r="R186" s="4080"/>
      <c r="S186" s="4080"/>
      <c r="T186" s="4080"/>
      <c r="U186" s="4080"/>
      <c r="V186" s="4080"/>
      <c r="W186" s="4080"/>
      <c r="X186" s="3835"/>
      <c r="Y186" s="3769"/>
    </row>
    <row r="187" spans="1:26" s="4017" customFormat="1" ht="12.75" hidden="1" customHeight="1">
      <c r="A187" s="4082"/>
      <c r="B187" s="4083" t="s">
        <v>26</v>
      </c>
      <c r="C187" s="4079"/>
      <c r="D187" s="4080">
        <f>+D199+D217</f>
        <v>0</v>
      </c>
      <c r="E187" s="4080">
        <f t="shared" ref="E187:O187" si="98">+E199+E217</f>
        <v>0</v>
      </c>
      <c r="F187" s="4080">
        <f t="shared" si="98"/>
        <v>0</v>
      </c>
      <c r="G187" s="4080">
        <f t="shared" si="98"/>
        <v>0</v>
      </c>
      <c r="H187" s="4080">
        <f t="shared" si="98"/>
        <v>0</v>
      </c>
      <c r="I187" s="4080">
        <f t="shared" si="98"/>
        <v>0</v>
      </c>
      <c r="J187" s="4080">
        <f t="shared" si="98"/>
        <v>0</v>
      </c>
      <c r="K187" s="4080">
        <f>+K199+K217</f>
        <v>0</v>
      </c>
      <c r="L187" s="4080">
        <f>+L199+L217</f>
        <v>0</v>
      </c>
      <c r="M187" s="4080">
        <f>+M199+M217</f>
        <v>0</v>
      </c>
      <c r="N187" s="4080">
        <f t="shared" si="98"/>
        <v>0</v>
      </c>
      <c r="O187" s="4080">
        <f t="shared" si="98"/>
        <v>0</v>
      </c>
      <c r="P187" s="4080"/>
      <c r="Q187" s="4080"/>
      <c r="R187" s="4080"/>
      <c r="S187" s="4080"/>
      <c r="T187" s="4080"/>
      <c r="U187" s="4080"/>
      <c r="V187" s="4080"/>
      <c r="W187" s="4080"/>
      <c r="X187" s="3835">
        <f>SUM(P187:T187)</f>
        <v>0</v>
      </c>
      <c r="Y187" s="4084"/>
    </row>
    <row r="188" spans="1:26" ht="12.75" hidden="1" customHeight="1">
      <c r="A188" s="3784"/>
      <c r="B188" s="3785" t="s">
        <v>78</v>
      </c>
      <c r="C188" s="3791"/>
      <c r="D188" s="3787">
        <f>+D200+D210+D218</f>
        <v>0</v>
      </c>
      <c r="E188" s="3787">
        <f t="shared" ref="E188:O188" si="99">+E200+E210+E218</f>
        <v>0</v>
      </c>
      <c r="F188" s="3787">
        <f t="shared" si="99"/>
        <v>0</v>
      </c>
      <c r="G188" s="3787">
        <f t="shared" si="99"/>
        <v>0</v>
      </c>
      <c r="H188" s="3787">
        <f t="shared" si="99"/>
        <v>0</v>
      </c>
      <c r="I188" s="3787">
        <f t="shared" si="99"/>
        <v>0</v>
      </c>
      <c r="J188" s="3787">
        <f t="shared" si="99"/>
        <v>0</v>
      </c>
      <c r="K188" s="3787">
        <f>+K200+K210+K218</f>
        <v>0</v>
      </c>
      <c r="L188" s="3787">
        <f>+L200+L210+L218</f>
        <v>0</v>
      </c>
      <c r="M188" s="3787">
        <f>+M200+M210+M218</f>
        <v>0</v>
      </c>
      <c r="N188" s="3787"/>
      <c r="O188" s="3787">
        <f t="shared" si="99"/>
        <v>0</v>
      </c>
      <c r="P188" s="3787"/>
      <c r="Q188" s="3787"/>
      <c r="R188" s="3787"/>
      <c r="S188" s="3787"/>
      <c r="T188" s="3787"/>
      <c r="U188" s="3787"/>
      <c r="V188" s="3787"/>
      <c r="W188" s="3787"/>
      <c r="X188" s="3835">
        <f>SUM(P188:T188)</f>
        <v>0</v>
      </c>
      <c r="Y188" s="3769"/>
    </row>
    <row r="189" spans="1:26" ht="15" hidden="1" customHeight="1">
      <c r="A189" s="3770"/>
      <c r="B189" s="3181" t="s">
        <v>34</v>
      </c>
      <c r="C189" s="4085"/>
      <c r="D189" s="3889">
        <f>+D190</f>
        <v>0</v>
      </c>
      <c r="E189" s="3889">
        <f t="shared" ref="E189:O189" si="100">+E190</f>
        <v>0</v>
      </c>
      <c r="F189" s="3889">
        <f t="shared" si="100"/>
        <v>0</v>
      </c>
      <c r="G189" s="3889">
        <f t="shared" si="100"/>
        <v>0</v>
      </c>
      <c r="H189" s="3889">
        <f t="shared" si="100"/>
        <v>0</v>
      </c>
      <c r="I189" s="3889">
        <f t="shared" si="100"/>
        <v>0</v>
      </c>
      <c r="J189" s="3889">
        <f t="shared" si="100"/>
        <v>0</v>
      </c>
      <c r="K189" s="3889">
        <f t="shared" si="100"/>
        <v>0</v>
      </c>
      <c r="L189" s="3889">
        <f t="shared" si="100"/>
        <v>0</v>
      </c>
      <c r="M189" s="3889">
        <f t="shared" si="100"/>
        <v>0</v>
      </c>
      <c r="N189" s="3889">
        <f t="shared" si="100"/>
        <v>0</v>
      </c>
      <c r="O189" s="3889">
        <f t="shared" si="100"/>
        <v>0</v>
      </c>
      <c r="P189" s="3889"/>
      <c r="Q189" s="3889"/>
      <c r="R189" s="3889"/>
      <c r="S189" s="3889"/>
      <c r="T189" s="3889"/>
      <c r="U189" s="3889"/>
      <c r="V189" s="3889"/>
      <c r="W189" s="3889"/>
      <c r="X189" s="4086"/>
      <c r="Y189" s="3769"/>
    </row>
    <row r="190" spans="1:26" ht="12" hidden="1" customHeight="1">
      <c r="A190" s="3778"/>
      <c r="B190" s="3779" t="s">
        <v>23</v>
      </c>
      <c r="C190" s="3780"/>
      <c r="D190" s="3781">
        <f t="shared" ref="D190:N190" si="101">SUM(D192:D194)</f>
        <v>0</v>
      </c>
      <c r="E190" s="3781">
        <f t="shared" si="101"/>
        <v>0</v>
      </c>
      <c r="F190" s="3781">
        <f t="shared" si="101"/>
        <v>0</v>
      </c>
      <c r="G190" s="3781">
        <f t="shared" si="101"/>
        <v>0</v>
      </c>
      <c r="H190" s="3781">
        <f t="shared" si="101"/>
        <v>0</v>
      </c>
      <c r="I190" s="3781">
        <f t="shared" si="101"/>
        <v>0</v>
      </c>
      <c r="J190" s="3781">
        <f t="shared" si="101"/>
        <v>0</v>
      </c>
      <c r="K190" s="3781">
        <f t="shared" si="101"/>
        <v>0</v>
      </c>
      <c r="L190" s="3781">
        <f t="shared" si="101"/>
        <v>0</v>
      </c>
      <c r="M190" s="3781">
        <f>SUM(M192:M194)</f>
        <v>0</v>
      </c>
      <c r="N190" s="3781">
        <f t="shared" si="101"/>
        <v>0</v>
      </c>
      <c r="O190" s="3781">
        <f>SUM(O192:O194)</f>
        <v>0</v>
      </c>
      <c r="P190" s="3781"/>
      <c r="Q190" s="3781"/>
      <c r="R190" s="3781"/>
      <c r="S190" s="3781"/>
      <c r="T190" s="3781"/>
      <c r="U190" s="3781"/>
      <c r="V190" s="3781"/>
      <c r="W190" s="3781"/>
      <c r="X190" s="4086"/>
      <c r="Y190" s="3769"/>
    </row>
    <row r="191" spans="1:26" ht="13.5" hidden="1" customHeight="1">
      <c r="A191" s="3784"/>
      <c r="B191" s="3790" t="s">
        <v>25</v>
      </c>
      <c r="C191" s="3791"/>
      <c r="D191" s="4077">
        <v>0</v>
      </c>
      <c r="E191" s="3787">
        <v>0</v>
      </c>
      <c r="F191" s="3787">
        <v>0</v>
      </c>
      <c r="G191" s="3787">
        <v>0</v>
      </c>
      <c r="H191" s="3787">
        <v>0</v>
      </c>
      <c r="I191" s="3787">
        <v>0</v>
      </c>
      <c r="J191" s="3787">
        <v>0</v>
      </c>
      <c r="K191" s="3787">
        <v>0</v>
      </c>
      <c r="L191" s="4077">
        <v>0</v>
      </c>
      <c r="M191" s="4077">
        <v>0</v>
      </c>
      <c r="N191" s="4077">
        <v>0</v>
      </c>
      <c r="O191" s="3787"/>
      <c r="P191" s="3787"/>
      <c r="Q191" s="3787"/>
      <c r="R191" s="3787"/>
      <c r="S191" s="3787"/>
      <c r="T191" s="3787"/>
      <c r="U191" s="3787"/>
      <c r="V191" s="3787"/>
      <c r="W191" s="3787"/>
      <c r="X191" s="4086"/>
      <c r="Y191" s="3769"/>
    </row>
    <row r="192" spans="1:26" ht="12.95" hidden="1" customHeight="1">
      <c r="A192" s="3784"/>
      <c r="B192" s="3790" t="s">
        <v>25</v>
      </c>
      <c r="C192" s="3786"/>
      <c r="D192" s="4077">
        <v>0</v>
      </c>
      <c r="E192" s="4077">
        <v>0</v>
      </c>
      <c r="F192" s="4077">
        <v>0</v>
      </c>
      <c r="G192" s="4077">
        <v>0</v>
      </c>
      <c r="H192" s="4077">
        <v>0</v>
      </c>
      <c r="I192" s="4077">
        <v>0</v>
      </c>
      <c r="J192" s="4077">
        <v>0</v>
      </c>
      <c r="K192" s="4077">
        <v>0</v>
      </c>
      <c r="L192" s="4077">
        <v>0</v>
      </c>
      <c r="M192" s="4077">
        <v>0</v>
      </c>
      <c r="N192" s="4077">
        <v>0</v>
      </c>
      <c r="O192" s="4077"/>
      <c r="P192" s="4077"/>
      <c r="Q192" s="4077"/>
      <c r="R192" s="4077"/>
      <c r="S192" s="4077"/>
      <c r="T192" s="4077"/>
      <c r="U192" s="4077"/>
      <c r="V192" s="4077"/>
      <c r="W192" s="4077"/>
      <c r="X192" s="4086"/>
      <c r="Y192" s="3769"/>
    </row>
    <row r="193" spans="1:25" ht="13.5" hidden="1" customHeight="1">
      <c r="A193" s="3784"/>
      <c r="B193" s="3785" t="s">
        <v>26</v>
      </c>
      <c r="C193" s="3786"/>
      <c r="D193" s="4077">
        <f>+D205+D221</f>
        <v>0</v>
      </c>
      <c r="E193" s="4077">
        <f t="shared" ref="E193:O193" si="102">+E205+E221</f>
        <v>0</v>
      </c>
      <c r="F193" s="4077">
        <f t="shared" si="102"/>
        <v>0</v>
      </c>
      <c r="G193" s="4077">
        <f t="shared" si="102"/>
        <v>0</v>
      </c>
      <c r="H193" s="4077">
        <f t="shared" si="102"/>
        <v>0</v>
      </c>
      <c r="I193" s="4077">
        <f t="shared" si="102"/>
        <v>0</v>
      </c>
      <c r="J193" s="4077">
        <f t="shared" si="102"/>
        <v>0</v>
      </c>
      <c r="K193" s="4077">
        <f>+K205+K221</f>
        <v>0</v>
      </c>
      <c r="L193" s="4077">
        <f>+L205+L221</f>
        <v>0</v>
      </c>
      <c r="M193" s="4077">
        <f>+M205+M221</f>
        <v>0</v>
      </c>
      <c r="N193" s="4077">
        <f t="shared" si="102"/>
        <v>0</v>
      </c>
      <c r="O193" s="4077">
        <f t="shared" si="102"/>
        <v>0</v>
      </c>
      <c r="P193" s="4077"/>
      <c r="Q193" s="4077"/>
      <c r="R193" s="4077"/>
      <c r="S193" s="4077"/>
      <c r="T193" s="4077"/>
      <c r="U193" s="4077"/>
      <c r="V193" s="4077"/>
      <c r="W193" s="4077"/>
      <c r="X193" s="4086"/>
      <c r="Y193" s="3769"/>
    </row>
    <row r="194" spans="1:25" ht="14.25" hidden="1" customHeight="1">
      <c r="A194" s="3784"/>
      <c r="B194" s="3785" t="s">
        <v>78</v>
      </c>
      <c r="C194" s="3786"/>
      <c r="D194" s="4077">
        <f>+D206+D213+D222</f>
        <v>0</v>
      </c>
      <c r="E194" s="4077">
        <f t="shared" ref="E194:O194" si="103">+E206+E213+E222</f>
        <v>0</v>
      </c>
      <c r="F194" s="4077">
        <f t="shared" si="103"/>
        <v>0</v>
      </c>
      <c r="G194" s="4077">
        <f t="shared" si="103"/>
        <v>0</v>
      </c>
      <c r="H194" s="4077">
        <f t="shared" si="103"/>
        <v>0</v>
      </c>
      <c r="I194" s="4077">
        <f t="shared" si="103"/>
        <v>0</v>
      </c>
      <c r="J194" s="4077">
        <f t="shared" si="103"/>
        <v>0</v>
      </c>
      <c r="K194" s="4077">
        <f>+K206+K213+K222</f>
        <v>0</v>
      </c>
      <c r="L194" s="4077">
        <f>+L206+L213+L222</f>
        <v>0</v>
      </c>
      <c r="M194" s="4077">
        <f>+M206+M213+M222</f>
        <v>0</v>
      </c>
      <c r="N194" s="4077"/>
      <c r="O194" s="4077">
        <f t="shared" si="103"/>
        <v>0</v>
      </c>
      <c r="P194" s="4077"/>
      <c r="Q194" s="4077"/>
      <c r="R194" s="4077"/>
      <c r="S194" s="4077"/>
      <c r="T194" s="4077"/>
      <c r="U194" s="4077"/>
      <c r="V194" s="4077"/>
      <c r="W194" s="4077"/>
      <c r="X194" s="4086"/>
      <c r="Y194" s="4087"/>
    </row>
    <row r="195" spans="1:25" s="3886" customFormat="1" ht="18.75" hidden="1" customHeight="1">
      <c r="A195" s="3878" t="s">
        <v>79</v>
      </c>
      <c r="B195" s="3879" t="s">
        <v>220</v>
      </c>
      <c r="C195" s="3880" t="s">
        <v>97</v>
      </c>
      <c r="D195" s="3880"/>
      <c r="E195" s="3881"/>
      <c r="F195" s="3881"/>
      <c r="G195" s="3881"/>
      <c r="H195" s="3881"/>
      <c r="I195" s="3882"/>
      <c r="J195" s="3882"/>
      <c r="K195" s="3882"/>
      <c r="L195" s="3882"/>
      <c r="M195" s="3882"/>
      <c r="N195" s="3882"/>
      <c r="O195" s="3883"/>
      <c r="P195" s="3883"/>
      <c r="Q195" s="3883"/>
      <c r="R195" s="3883"/>
      <c r="S195" s="3883"/>
      <c r="T195" s="3883"/>
      <c r="U195" s="3883"/>
      <c r="V195" s="3883"/>
      <c r="W195" s="3883"/>
      <c r="X195" s="3884"/>
      <c r="Y195" s="3819" t="s">
        <v>208</v>
      </c>
    </row>
    <row r="196" spans="1:25" s="3886" customFormat="1" ht="13.5" hidden="1" customHeight="1">
      <c r="A196" s="3878"/>
      <c r="B196" s="3181" t="s">
        <v>22</v>
      </c>
      <c r="C196" s="3936"/>
      <c r="D196" s="3821">
        <f t="shared" ref="D196:L196" si="104">+D197+D201</f>
        <v>0</v>
      </c>
      <c r="E196" s="4088">
        <f t="shared" si="104"/>
        <v>0</v>
      </c>
      <c r="F196" s="4088">
        <f t="shared" si="104"/>
        <v>0</v>
      </c>
      <c r="G196" s="4088">
        <f t="shared" si="104"/>
        <v>0</v>
      </c>
      <c r="H196" s="4088">
        <f t="shared" si="104"/>
        <v>0</v>
      </c>
      <c r="I196" s="4088">
        <f t="shared" si="104"/>
        <v>0</v>
      </c>
      <c r="J196" s="4088">
        <f t="shared" si="104"/>
        <v>0</v>
      </c>
      <c r="K196" s="3821">
        <f t="shared" si="104"/>
        <v>0</v>
      </c>
      <c r="L196" s="3821">
        <f t="shared" si="104"/>
        <v>0</v>
      </c>
      <c r="M196" s="3821"/>
      <c r="N196" s="3821"/>
      <c r="O196" s="3821"/>
      <c r="P196" s="3821"/>
      <c r="Q196" s="3821"/>
      <c r="R196" s="3821"/>
      <c r="S196" s="3821"/>
      <c r="T196" s="3821"/>
      <c r="U196" s="3821"/>
      <c r="V196" s="3821"/>
      <c r="W196" s="3821"/>
      <c r="X196" s="3891"/>
      <c r="Y196" s="3819"/>
    </row>
    <row r="197" spans="1:25" s="3886" customFormat="1" ht="13.5" hidden="1" customHeight="1">
      <c r="A197" s="3878"/>
      <c r="B197" s="3825" t="s">
        <v>23</v>
      </c>
      <c r="C197" s="3938" t="s">
        <v>209</v>
      </c>
      <c r="D197" s="3829">
        <f>+D198+D199+D200</f>
        <v>0</v>
      </c>
      <c r="E197" s="3867">
        <f t="shared" ref="E197:L197" si="105">+E198+E199+E200</f>
        <v>0</v>
      </c>
      <c r="F197" s="3867">
        <f t="shared" si="105"/>
        <v>0</v>
      </c>
      <c r="G197" s="3867">
        <f t="shared" si="105"/>
        <v>0</v>
      </c>
      <c r="H197" s="3867">
        <f t="shared" si="105"/>
        <v>0</v>
      </c>
      <c r="I197" s="3867">
        <f t="shared" si="105"/>
        <v>0</v>
      </c>
      <c r="J197" s="3867">
        <f t="shared" si="105"/>
        <v>0</v>
      </c>
      <c r="K197" s="3829">
        <f t="shared" si="105"/>
        <v>0</v>
      </c>
      <c r="L197" s="3829">
        <f t="shared" si="105"/>
        <v>0</v>
      </c>
      <c r="M197" s="3829"/>
      <c r="N197" s="3829"/>
      <c r="O197" s="3829"/>
      <c r="P197" s="3829"/>
      <c r="Q197" s="3829"/>
      <c r="R197" s="3829"/>
      <c r="S197" s="3829"/>
      <c r="T197" s="3829"/>
      <c r="U197" s="3829"/>
      <c r="V197" s="3829"/>
      <c r="W197" s="3829"/>
      <c r="X197" s="3895"/>
      <c r="Y197" s="3819"/>
    </row>
    <row r="198" spans="1:25" s="3886" customFormat="1" ht="13.5" hidden="1" customHeight="1">
      <c r="A198" s="3878"/>
      <c r="B198" s="3831" t="s">
        <v>24</v>
      </c>
      <c r="C198" s="4089"/>
      <c r="D198" s="3832">
        <f>+E198+I198+J198+K198+L198+N198</f>
        <v>0</v>
      </c>
      <c r="E198" s="3866"/>
      <c r="F198" s="3866"/>
      <c r="G198" s="3866"/>
      <c r="H198" s="3866"/>
      <c r="I198" s="3864"/>
      <c r="J198" s="3864"/>
      <c r="K198" s="3833"/>
      <c r="L198" s="3833"/>
      <c r="M198" s="3833"/>
      <c r="N198" s="3833"/>
      <c r="O198" s="3834"/>
      <c r="P198" s="3833"/>
      <c r="Q198" s="3834"/>
      <c r="R198" s="3834"/>
      <c r="S198" s="3834"/>
      <c r="T198" s="3834"/>
      <c r="U198" s="3834"/>
      <c r="V198" s="3834"/>
      <c r="W198" s="3834"/>
      <c r="X198" s="4090"/>
      <c r="Y198" s="3819"/>
    </row>
    <row r="199" spans="1:25" s="3886" customFormat="1" ht="14.25" hidden="1" customHeight="1">
      <c r="A199" s="3878"/>
      <c r="B199" s="3831" t="s">
        <v>26</v>
      </c>
      <c r="C199" s="4089"/>
      <c r="D199" s="3832">
        <f>+E199+I199+J199+K199+L199+N199</f>
        <v>0</v>
      </c>
      <c r="E199" s="3866">
        <v>0</v>
      </c>
      <c r="F199" s="3866"/>
      <c r="G199" s="3866"/>
      <c r="H199" s="3866"/>
      <c r="I199" s="3864">
        <v>0</v>
      </c>
      <c r="J199" s="3864">
        <v>0</v>
      </c>
      <c r="K199" s="3833"/>
      <c r="L199" s="3833"/>
      <c r="M199" s="3833"/>
      <c r="N199" s="3833"/>
      <c r="O199" s="3834"/>
      <c r="P199" s="3833"/>
      <c r="Q199" s="3833"/>
      <c r="R199" s="3833"/>
      <c r="S199" s="3833"/>
      <c r="T199" s="3833"/>
      <c r="U199" s="3833"/>
      <c r="V199" s="3833"/>
      <c r="W199" s="3833"/>
      <c r="X199" s="3835"/>
      <c r="Y199" s="3819"/>
    </row>
    <row r="200" spans="1:25" s="3886" customFormat="1" hidden="1">
      <c r="A200" s="3878"/>
      <c r="B200" s="3831" t="s">
        <v>28</v>
      </c>
      <c r="C200" s="4089"/>
      <c r="D200" s="3982">
        <f>+E200+I200+J200+K200+L200+N200+O200+P200</f>
        <v>0</v>
      </c>
      <c r="E200" s="3866">
        <v>0</v>
      </c>
      <c r="F200" s="3866"/>
      <c r="G200" s="3866"/>
      <c r="H200" s="3866"/>
      <c r="I200" s="3864">
        <v>0</v>
      </c>
      <c r="J200" s="3864">
        <v>0</v>
      </c>
      <c r="K200" s="3833"/>
      <c r="L200" s="3833"/>
      <c r="M200" s="3833"/>
      <c r="N200" s="3833"/>
      <c r="O200" s="3834"/>
      <c r="P200" s="3833"/>
      <c r="Q200" s="3833"/>
      <c r="R200" s="3833"/>
      <c r="S200" s="3833"/>
      <c r="T200" s="3833"/>
      <c r="U200" s="3833"/>
      <c r="V200" s="3833"/>
      <c r="W200" s="3833"/>
      <c r="X200" s="3835"/>
      <c r="Y200" s="3819"/>
    </row>
    <row r="201" spans="1:25" s="3886" customFormat="1" ht="13.5" hidden="1" customHeight="1">
      <c r="A201" s="3878"/>
      <c r="B201" s="3905" t="s">
        <v>30</v>
      </c>
      <c r="C201" s="4089"/>
      <c r="D201" s="3827">
        <f t="shared" ref="D201:P201" si="106">+D202</f>
        <v>0</v>
      </c>
      <c r="E201" s="3862">
        <f t="shared" si="106"/>
        <v>0</v>
      </c>
      <c r="F201" s="3862"/>
      <c r="G201" s="3862"/>
      <c r="H201" s="3862">
        <f t="shared" si="106"/>
        <v>0</v>
      </c>
      <c r="I201" s="3867">
        <f t="shared" si="106"/>
        <v>0</v>
      </c>
      <c r="J201" s="3867">
        <f t="shared" si="106"/>
        <v>0</v>
      </c>
      <c r="K201" s="3829">
        <f t="shared" si="106"/>
        <v>0</v>
      </c>
      <c r="L201" s="3829">
        <f t="shared" si="106"/>
        <v>0</v>
      </c>
      <c r="M201" s="3829"/>
      <c r="N201" s="3829">
        <f t="shared" si="106"/>
        <v>0</v>
      </c>
      <c r="O201" s="3829">
        <f t="shared" si="106"/>
        <v>0</v>
      </c>
      <c r="P201" s="3829">
        <f t="shared" si="106"/>
        <v>0</v>
      </c>
      <c r="Q201" s="3846"/>
      <c r="R201" s="3846"/>
      <c r="S201" s="3846"/>
      <c r="T201" s="3846"/>
      <c r="U201" s="3846"/>
      <c r="V201" s="3846"/>
      <c r="W201" s="3846"/>
      <c r="X201" s="4091"/>
      <c r="Y201" s="3819"/>
    </row>
    <row r="202" spans="1:25" s="3886" customFormat="1" ht="13.5" hidden="1" customHeight="1">
      <c r="A202" s="3878"/>
      <c r="B202" s="3831" t="s">
        <v>26</v>
      </c>
      <c r="C202" s="4089"/>
      <c r="D202" s="3982">
        <f>+E202+I202+J202+K202+L202+N202</f>
        <v>0</v>
      </c>
      <c r="E202" s="3866"/>
      <c r="F202" s="3866"/>
      <c r="G202" s="3866"/>
      <c r="H202" s="3866"/>
      <c r="I202" s="3864"/>
      <c r="J202" s="3864"/>
      <c r="K202" s="3833"/>
      <c r="L202" s="3833"/>
      <c r="M202" s="3833"/>
      <c r="N202" s="3833"/>
      <c r="O202" s="3834"/>
      <c r="P202" s="3833"/>
      <c r="Q202" s="3834"/>
      <c r="R202" s="3834"/>
      <c r="S202" s="3834"/>
      <c r="T202" s="3834"/>
      <c r="U202" s="3834"/>
      <c r="V202" s="3834"/>
      <c r="W202" s="3834"/>
      <c r="X202" s="4090"/>
      <c r="Y202" s="3819"/>
    </row>
    <row r="203" spans="1:25" s="3886" customFormat="1" ht="13.5" hidden="1" customHeight="1">
      <c r="A203" s="3878"/>
      <c r="B203" s="3181" t="s">
        <v>34</v>
      </c>
      <c r="C203" s="3936"/>
      <c r="D203" s="3821">
        <f>+D204</f>
        <v>0</v>
      </c>
      <c r="E203" s="4088">
        <f t="shared" ref="E203:L203" si="107">+E204</f>
        <v>0</v>
      </c>
      <c r="F203" s="4088">
        <f t="shared" si="107"/>
        <v>0</v>
      </c>
      <c r="G203" s="4088">
        <f t="shared" si="107"/>
        <v>0</v>
      </c>
      <c r="H203" s="4088">
        <f t="shared" si="107"/>
        <v>0</v>
      </c>
      <c r="I203" s="4088">
        <f t="shared" si="107"/>
        <v>0</v>
      </c>
      <c r="J203" s="4088">
        <f t="shared" si="107"/>
        <v>0</v>
      </c>
      <c r="K203" s="3821">
        <f t="shared" si="107"/>
        <v>0</v>
      </c>
      <c r="L203" s="3821">
        <f t="shared" si="107"/>
        <v>0</v>
      </c>
      <c r="M203" s="3821"/>
      <c r="N203" s="3821"/>
      <c r="O203" s="3821"/>
      <c r="P203" s="3821"/>
      <c r="Q203" s="3821"/>
      <c r="R203" s="3821"/>
      <c r="S203" s="3821"/>
      <c r="T203" s="3821"/>
      <c r="U203" s="3821"/>
      <c r="V203" s="3821"/>
      <c r="W203" s="3821"/>
      <c r="X203" s="4092"/>
      <c r="Y203" s="3819"/>
    </row>
    <row r="204" spans="1:25" s="3886" customFormat="1" ht="13.5" hidden="1" customHeight="1">
      <c r="A204" s="3878"/>
      <c r="B204" s="3825" t="s">
        <v>23</v>
      </c>
      <c r="C204" s="3938" t="s">
        <v>209</v>
      </c>
      <c r="D204" s="3829">
        <f>+D205+D206</f>
        <v>0</v>
      </c>
      <c r="E204" s="3867">
        <f t="shared" ref="E204:L204" si="108">+E205+E206</f>
        <v>0</v>
      </c>
      <c r="F204" s="3867">
        <f t="shared" si="108"/>
        <v>0</v>
      </c>
      <c r="G204" s="3867">
        <f t="shared" si="108"/>
        <v>0</v>
      </c>
      <c r="H204" s="3867">
        <f t="shared" si="108"/>
        <v>0</v>
      </c>
      <c r="I204" s="3867">
        <f t="shared" si="108"/>
        <v>0</v>
      </c>
      <c r="J204" s="3867">
        <f t="shared" si="108"/>
        <v>0</v>
      </c>
      <c r="K204" s="3829">
        <f t="shared" si="108"/>
        <v>0</v>
      </c>
      <c r="L204" s="3829">
        <f t="shared" si="108"/>
        <v>0</v>
      </c>
      <c r="M204" s="3829"/>
      <c r="N204" s="3829"/>
      <c r="O204" s="3829"/>
      <c r="P204" s="3829"/>
      <c r="Q204" s="3829"/>
      <c r="R204" s="3829"/>
      <c r="S204" s="3829"/>
      <c r="T204" s="3829"/>
      <c r="U204" s="3829"/>
      <c r="V204" s="3829"/>
      <c r="W204" s="3829"/>
      <c r="X204" s="4092"/>
      <c r="Y204" s="3819"/>
    </row>
    <row r="205" spans="1:25" s="3886" customFormat="1" ht="12" hidden="1" customHeight="1">
      <c r="A205" s="3878"/>
      <c r="B205" s="3831" t="s">
        <v>26</v>
      </c>
      <c r="C205" s="3938"/>
      <c r="D205" s="3832">
        <f>+E205+I205+J205+K205+L205+N205</f>
        <v>0</v>
      </c>
      <c r="E205" s="3866">
        <v>0</v>
      </c>
      <c r="F205" s="3866"/>
      <c r="G205" s="3866"/>
      <c r="H205" s="3866"/>
      <c r="I205" s="3864">
        <v>0</v>
      </c>
      <c r="J205" s="3864">
        <v>0</v>
      </c>
      <c r="K205" s="3833"/>
      <c r="L205" s="3833"/>
      <c r="M205" s="3833"/>
      <c r="N205" s="3833"/>
      <c r="O205" s="3834"/>
      <c r="P205" s="3833"/>
      <c r="Q205" s="3833"/>
      <c r="R205" s="3833"/>
      <c r="S205" s="3833"/>
      <c r="T205" s="3833"/>
      <c r="U205" s="3833"/>
      <c r="V205" s="3833"/>
      <c r="W205" s="3833"/>
      <c r="X205" s="4092"/>
      <c r="Y205" s="3819"/>
    </row>
    <row r="206" spans="1:25" s="3886" customFormat="1" ht="12.75" hidden="1" customHeight="1" thickBot="1">
      <c r="A206" s="3878"/>
      <c r="B206" s="3831" t="s">
        <v>28</v>
      </c>
      <c r="C206" s="3938"/>
      <c r="D206" s="3832">
        <f>+E206+I206+J206+K206+L206+N206+O206+P206</f>
        <v>0</v>
      </c>
      <c r="E206" s="3866">
        <v>0</v>
      </c>
      <c r="F206" s="3866"/>
      <c r="G206" s="3866"/>
      <c r="H206" s="3866"/>
      <c r="I206" s="3864">
        <v>0</v>
      </c>
      <c r="J206" s="3864">
        <v>0</v>
      </c>
      <c r="K206" s="3833"/>
      <c r="L206" s="3833"/>
      <c r="M206" s="3833"/>
      <c r="N206" s="3833"/>
      <c r="O206" s="3834"/>
      <c r="P206" s="3834"/>
      <c r="Q206" s="3834"/>
      <c r="R206" s="3834"/>
      <c r="S206" s="4093"/>
      <c r="T206" s="4093"/>
      <c r="U206" s="4093"/>
      <c r="V206" s="4093"/>
      <c r="W206" s="4093"/>
      <c r="X206" s="4094"/>
      <c r="Y206" s="3819"/>
    </row>
    <row r="207" spans="1:25" hidden="1">
      <c r="A207" s="3878"/>
      <c r="B207" s="3879"/>
      <c r="C207" s="3880" t="s">
        <v>97</v>
      </c>
      <c r="D207" s="4095"/>
      <c r="E207" s="3881"/>
      <c r="F207" s="3881"/>
      <c r="G207" s="3881"/>
      <c r="H207" s="3881"/>
      <c r="I207" s="3882"/>
      <c r="J207" s="3882"/>
      <c r="K207" s="3882"/>
      <c r="L207" s="3882"/>
      <c r="M207" s="3882"/>
      <c r="N207" s="3882"/>
      <c r="O207" s="3883"/>
      <c r="P207" s="3883"/>
      <c r="Q207" s="3882"/>
      <c r="R207" s="3883"/>
      <c r="S207" s="3883"/>
      <c r="T207" s="3883"/>
      <c r="U207" s="3883"/>
      <c r="V207" s="3883"/>
      <c r="W207" s="3883"/>
      <c r="X207" s="3884"/>
      <c r="Y207" s="3819"/>
    </row>
    <row r="208" spans="1:25" ht="12.75" hidden="1" customHeight="1">
      <c r="A208" s="3878"/>
      <c r="B208" s="3181" t="s">
        <v>22</v>
      </c>
      <c r="C208" s="3936"/>
      <c r="D208" s="4074">
        <f>+D209</f>
        <v>0</v>
      </c>
      <c r="E208" s="4096">
        <f t="shared" ref="E208:N209" si="109">+E209</f>
        <v>0</v>
      </c>
      <c r="F208" s="4097">
        <f t="shared" si="109"/>
        <v>0</v>
      </c>
      <c r="G208" s="4097">
        <f t="shared" si="109"/>
        <v>0</v>
      </c>
      <c r="H208" s="4097">
        <f t="shared" si="109"/>
        <v>0</v>
      </c>
      <c r="I208" s="3888">
        <f t="shared" si="109"/>
        <v>0</v>
      </c>
      <c r="J208" s="3888">
        <f t="shared" si="109"/>
        <v>0</v>
      </c>
      <c r="K208" s="4096">
        <f t="shared" si="109"/>
        <v>0</v>
      </c>
      <c r="L208" s="4075">
        <f t="shared" si="109"/>
        <v>0</v>
      </c>
      <c r="M208" s="4075">
        <f t="shared" si="109"/>
        <v>0</v>
      </c>
      <c r="N208" s="3510">
        <f t="shared" si="109"/>
        <v>0</v>
      </c>
      <c r="O208" s="3510"/>
      <c r="P208" s="4075"/>
      <c r="Q208" s="3822"/>
      <c r="R208" s="3821"/>
      <c r="S208" s="3821"/>
      <c r="T208" s="3821"/>
      <c r="U208" s="3821"/>
      <c r="V208" s="3821"/>
      <c r="W208" s="3821"/>
      <c r="X208" s="3891"/>
      <c r="Y208" s="3819"/>
    </row>
    <row r="209" spans="1:25" ht="13.5" hidden="1" customHeight="1">
      <c r="A209" s="3878"/>
      <c r="B209" s="3825" t="s">
        <v>23</v>
      </c>
      <c r="C209" s="3938" t="s">
        <v>209</v>
      </c>
      <c r="D209" s="3829">
        <f>+D210</f>
        <v>0</v>
      </c>
      <c r="E209" s="3867">
        <f t="shared" si="109"/>
        <v>0</v>
      </c>
      <c r="F209" s="3867">
        <f t="shared" si="109"/>
        <v>0</v>
      </c>
      <c r="G209" s="3867">
        <f t="shared" si="109"/>
        <v>0</v>
      </c>
      <c r="H209" s="3867">
        <f t="shared" si="109"/>
        <v>0</v>
      </c>
      <c r="I209" s="3867">
        <f t="shared" si="109"/>
        <v>0</v>
      </c>
      <c r="J209" s="3867">
        <f t="shared" si="109"/>
        <v>0</v>
      </c>
      <c r="K209" s="3867">
        <f t="shared" si="109"/>
        <v>0</v>
      </c>
      <c r="L209" s="3829">
        <f t="shared" si="109"/>
        <v>0</v>
      </c>
      <c r="M209" s="3829">
        <f t="shared" si="109"/>
        <v>0</v>
      </c>
      <c r="N209" s="3829">
        <f t="shared" si="109"/>
        <v>0</v>
      </c>
      <c r="O209" s="3829"/>
      <c r="P209" s="3829"/>
      <c r="Q209" s="3829"/>
      <c r="R209" s="3829"/>
      <c r="S209" s="3829"/>
      <c r="T209" s="3829"/>
      <c r="U209" s="3829"/>
      <c r="V209" s="3829"/>
      <c r="W209" s="3829"/>
      <c r="X209" s="3895"/>
      <c r="Y209" s="3819"/>
    </row>
    <row r="210" spans="1:25" ht="13.5" hidden="1" customHeight="1">
      <c r="A210" s="3878"/>
      <c r="B210" s="3831" t="s">
        <v>28</v>
      </c>
      <c r="C210" s="4089"/>
      <c r="D210" s="3832">
        <f>M210+N210+O210+P210+Q210+R210</f>
        <v>0</v>
      </c>
      <c r="E210" s="3866">
        <v>0</v>
      </c>
      <c r="F210" s="3866"/>
      <c r="G210" s="3866"/>
      <c r="H210" s="3866"/>
      <c r="I210" s="3864">
        <v>0</v>
      </c>
      <c r="J210" s="3864">
        <v>0</v>
      </c>
      <c r="K210" s="3864">
        <v>0</v>
      </c>
      <c r="L210" s="3833"/>
      <c r="M210" s="3833">
        <f>E210+I210+J210+K210+L210</f>
        <v>0</v>
      </c>
      <c r="N210" s="3833"/>
      <c r="O210" s="4098"/>
      <c r="P210" s="3833"/>
      <c r="Q210" s="3833"/>
      <c r="R210" s="3833"/>
      <c r="S210" s="3833"/>
      <c r="T210" s="3833"/>
      <c r="U210" s="3833"/>
      <c r="V210" s="3833"/>
      <c r="W210" s="3833"/>
      <c r="X210" s="3835"/>
      <c r="Y210" s="3819"/>
    </row>
    <row r="211" spans="1:25" ht="13.5" hidden="1" customHeight="1">
      <c r="A211" s="3878"/>
      <c r="B211" s="3181" t="s">
        <v>34</v>
      </c>
      <c r="C211" s="3936"/>
      <c r="D211" s="3889">
        <f>+D212</f>
        <v>0</v>
      </c>
      <c r="E211" s="3888">
        <f t="shared" ref="E211:N212" si="110">+E212</f>
        <v>0</v>
      </c>
      <c r="F211" s="3888">
        <f t="shared" si="110"/>
        <v>0</v>
      </c>
      <c r="G211" s="3888">
        <f t="shared" si="110"/>
        <v>0</v>
      </c>
      <c r="H211" s="3888">
        <f t="shared" si="110"/>
        <v>0</v>
      </c>
      <c r="I211" s="3888">
        <f t="shared" si="110"/>
        <v>0</v>
      </c>
      <c r="J211" s="3888">
        <f t="shared" si="110"/>
        <v>0</v>
      </c>
      <c r="K211" s="3888">
        <f t="shared" si="110"/>
        <v>0</v>
      </c>
      <c r="L211" s="3889">
        <f t="shared" si="110"/>
        <v>0</v>
      </c>
      <c r="M211" s="3889">
        <f t="shared" si="110"/>
        <v>0</v>
      </c>
      <c r="N211" s="3889">
        <f t="shared" si="110"/>
        <v>0</v>
      </c>
      <c r="O211" s="3889"/>
      <c r="P211" s="3821"/>
      <c r="Q211" s="3821"/>
      <c r="R211" s="3821"/>
      <c r="S211" s="3821"/>
      <c r="T211" s="3821"/>
      <c r="U211" s="3821"/>
      <c r="V211" s="3821"/>
      <c r="W211" s="3821"/>
      <c r="X211" s="4092"/>
      <c r="Y211" s="3819"/>
    </row>
    <row r="212" spans="1:25" ht="13.5" hidden="1" customHeight="1">
      <c r="A212" s="3878"/>
      <c r="B212" s="3825" t="s">
        <v>23</v>
      </c>
      <c r="C212" s="3938" t="s">
        <v>209</v>
      </c>
      <c r="D212" s="3829">
        <f>+D213</f>
        <v>0</v>
      </c>
      <c r="E212" s="3867">
        <f t="shared" si="110"/>
        <v>0</v>
      </c>
      <c r="F212" s="3867">
        <f t="shared" si="110"/>
        <v>0</v>
      </c>
      <c r="G212" s="3867">
        <f t="shared" si="110"/>
        <v>0</v>
      </c>
      <c r="H212" s="3867">
        <f t="shared" si="110"/>
        <v>0</v>
      </c>
      <c r="I212" s="3867">
        <f t="shared" si="110"/>
        <v>0</v>
      </c>
      <c r="J212" s="3867">
        <f t="shared" si="110"/>
        <v>0</v>
      </c>
      <c r="K212" s="3867">
        <f t="shared" si="110"/>
        <v>0</v>
      </c>
      <c r="L212" s="3829">
        <f t="shared" si="110"/>
        <v>0</v>
      </c>
      <c r="M212" s="3829">
        <f t="shared" si="110"/>
        <v>0</v>
      </c>
      <c r="N212" s="3829">
        <f t="shared" si="110"/>
        <v>0</v>
      </c>
      <c r="O212" s="3829"/>
      <c r="P212" s="3829"/>
      <c r="Q212" s="3829"/>
      <c r="R212" s="3829"/>
      <c r="S212" s="3829"/>
      <c r="T212" s="3829"/>
      <c r="U212" s="3829"/>
      <c r="V212" s="3829"/>
      <c r="W212" s="3829"/>
      <c r="X212" s="4092"/>
      <c r="Y212" s="3819"/>
    </row>
    <row r="213" spans="1:25" ht="14.25" hidden="1" customHeight="1" thickBot="1">
      <c r="A213" s="3878"/>
      <c r="B213" s="3831" t="s">
        <v>28</v>
      </c>
      <c r="C213" s="4099"/>
      <c r="D213" s="3832">
        <f>M213+N213+O213+P213+Q213+R213</f>
        <v>0</v>
      </c>
      <c r="E213" s="4100">
        <v>0</v>
      </c>
      <c r="F213" s="4100"/>
      <c r="G213" s="4100"/>
      <c r="H213" s="4100"/>
      <c r="I213" s="3864">
        <v>0</v>
      </c>
      <c r="J213" s="3864">
        <v>0</v>
      </c>
      <c r="K213" s="3864">
        <v>0</v>
      </c>
      <c r="L213" s="3843"/>
      <c r="M213" s="3833"/>
      <c r="N213" s="3843"/>
      <c r="O213" s="3834"/>
      <c r="P213" s="3834"/>
      <c r="Q213" s="3834"/>
      <c r="R213" s="3834"/>
      <c r="S213" s="3834"/>
      <c r="T213" s="3834"/>
      <c r="U213" s="3834"/>
      <c r="V213" s="3834"/>
      <c r="W213" s="3834"/>
      <c r="X213" s="4092"/>
      <c r="Y213" s="3819"/>
    </row>
    <row r="214" spans="1:25" ht="29.25" hidden="1" customHeight="1">
      <c r="A214" s="3878" t="s">
        <v>79</v>
      </c>
      <c r="B214" s="3879"/>
      <c r="C214" s="3880" t="s">
        <v>97</v>
      </c>
      <c r="D214" s="3880"/>
      <c r="E214" s="3881"/>
      <c r="F214" s="3881"/>
      <c r="G214" s="3881"/>
      <c r="H214" s="3881"/>
      <c r="I214" s="3882"/>
      <c r="J214" s="3882"/>
      <c r="K214" s="3882"/>
      <c r="L214" s="3882"/>
      <c r="M214" s="3882"/>
      <c r="N214" s="3882"/>
      <c r="O214" s="3883"/>
      <c r="P214" s="3883"/>
      <c r="Q214" s="3883"/>
      <c r="R214" s="3883"/>
      <c r="S214" s="3883"/>
      <c r="T214" s="3883"/>
      <c r="U214" s="3883"/>
      <c r="V214" s="3883"/>
      <c r="W214" s="3883"/>
      <c r="X214" s="3884"/>
      <c r="Y214" s="3819" t="s">
        <v>208</v>
      </c>
    </row>
    <row r="215" spans="1:25" ht="12.75" hidden="1" customHeight="1">
      <c r="A215" s="3878"/>
      <c r="B215" s="3181" t="s">
        <v>22</v>
      </c>
      <c r="C215" s="3936"/>
      <c r="D215" s="3889">
        <f>+D216</f>
        <v>0</v>
      </c>
      <c r="E215" s="3888">
        <f t="shared" ref="E215:O215" si="111">+E216</f>
        <v>0</v>
      </c>
      <c r="F215" s="3888">
        <f t="shared" si="111"/>
        <v>0</v>
      </c>
      <c r="G215" s="3888">
        <f t="shared" si="111"/>
        <v>0</v>
      </c>
      <c r="H215" s="3888">
        <f t="shared" si="111"/>
        <v>0</v>
      </c>
      <c r="I215" s="3888">
        <f t="shared" si="111"/>
        <v>0</v>
      </c>
      <c r="J215" s="3888">
        <f t="shared" si="111"/>
        <v>0</v>
      </c>
      <c r="K215" s="3889">
        <f t="shared" si="111"/>
        <v>0</v>
      </c>
      <c r="L215" s="3888">
        <f t="shared" si="111"/>
        <v>0</v>
      </c>
      <c r="M215" s="3889">
        <f t="shared" si="111"/>
        <v>0</v>
      </c>
      <c r="N215" s="3889">
        <f t="shared" si="111"/>
        <v>0</v>
      </c>
      <c r="O215" s="3889">
        <f t="shared" si="111"/>
        <v>0</v>
      </c>
      <c r="P215" s="3821"/>
      <c r="Q215" s="3821"/>
      <c r="R215" s="3821"/>
      <c r="S215" s="3821"/>
      <c r="T215" s="3821"/>
      <c r="U215" s="3821"/>
      <c r="V215" s="3821"/>
      <c r="W215" s="3821"/>
      <c r="X215" s="3891">
        <f>+X216</f>
        <v>0</v>
      </c>
      <c r="Y215" s="3819"/>
    </row>
    <row r="216" spans="1:25" ht="13.5" hidden="1" customHeight="1">
      <c r="A216" s="3878"/>
      <c r="B216" s="3825" t="s">
        <v>23</v>
      </c>
      <c r="C216" s="3938" t="s">
        <v>209</v>
      </c>
      <c r="D216" s="3914">
        <f>+D218+D217</f>
        <v>0</v>
      </c>
      <c r="E216" s="3867">
        <f t="shared" ref="E216:O216" si="112">+E218+E217</f>
        <v>0</v>
      </c>
      <c r="F216" s="3867">
        <f t="shared" si="112"/>
        <v>0</v>
      </c>
      <c r="G216" s="3867">
        <f t="shared" si="112"/>
        <v>0</v>
      </c>
      <c r="H216" s="3867">
        <f t="shared" si="112"/>
        <v>0</v>
      </c>
      <c r="I216" s="3867">
        <f t="shared" si="112"/>
        <v>0</v>
      </c>
      <c r="J216" s="3867">
        <f t="shared" si="112"/>
        <v>0</v>
      </c>
      <c r="K216" s="3829">
        <f t="shared" si="112"/>
        <v>0</v>
      </c>
      <c r="L216" s="3867">
        <f t="shared" si="112"/>
        <v>0</v>
      </c>
      <c r="M216" s="3829">
        <f>+M218+M217</f>
        <v>0</v>
      </c>
      <c r="N216" s="3914">
        <f t="shared" si="112"/>
        <v>0</v>
      </c>
      <c r="O216" s="3914">
        <f t="shared" si="112"/>
        <v>0</v>
      </c>
      <c r="P216" s="3829"/>
      <c r="Q216" s="3829"/>
      <c r="R216" s="3829"/>
      <c r="S216" s="3829"/>
      <c r="T216" s="3829"/>
      <c r="U216" s="3829"/>
      <c r="V216" s="3829"/>
      <c r="W216" s="3829"/>
      <c r="X216" s="3895">
        <f>X218</f>
        <v>0</v>
      </c>
      <c r="Y216" s="3819"/>
    </row>
    <row r="217" spans="1:25" ht="13.5" hidden="1" customHeight="1">
      <c r="A217" s="3878"/>
      <c r="B217" s="3831" t="s">
        <v>26</v>
      </c>
      <c r="C217" s="4099"/>
      <c r="D217" s="3832">
        <f>M217+O217+P217+Q217+R217+S217+T217</f>
        <v>0</v>
      </c>
      <c r="E217" s="3862"/>
      <c r="F217" s="3862"/>
      <c r="G217" s="3862"/>
      <c r="H217" s="3862"/>
      <c r="I217" s="3867"/>
      <c r="J217" s="3867"/>
      <c r="K217" s="3833"/>
      <c r="L217" s="3864">
        <v>0</v>
      </c>
      <c r="M217" s="3833"/>
      <c r="N217" s="3433">
        <v>0</v>
      </c>
      <c r="O217" s="3433">
        <v>0</v>
      </c>
      <c r="P217" s="3829"/>
      <c r="Q217" s="3829"/>
      <c r="R217" s="3829"/>
      <c r="S217" s="3829"/>
      <c r="T217" s="3829"/>
      <c r="U217" s="3829"/>
      <c r="V217" s="3829"/>
      <c r="W217" s="3829"/>
      <c r="X217" s="3835">
        <f>SUM(P217:T217)</f>
        <v>0</v>
      </c>
      <c r="Y217" s="3819"/>
    </row>
    <row r="218" spans="1:25" ht="13.5" hidden="1" customHeight="1">
      <c r="A218" s="3878"/>
      <c r="B218" s="3831" t="s">
        <v>28</v>
      </c>
      <c r="C218" s="4089"/>
      <c r="D218" s="3832">
        <f>M218+O218+P218+Q218+R218+S218+T218</f>
        <v>0</v>
      </c>
      <c r="E218" s="3866">
        <v>0</v>
      </c>
      <c r="F218" s="3866"/>
      <c r="G218" s="3866"/>
      <c r="H218" s="3866"/>
      <c r="I218" s="3864">
        <v>0</v>
      </c>
      <c r="J218" s="3864">
        <v>0</v>
      </c>
      <c r="K218" s="3833"/>
      <c r="L218" s="3864">
        <v>0</v>
      </c>
      <c r="M218" s="3833"/>
      <c r="N218" s="3847"/>
      <c r="O218" s="3847"/>
      <c r="P218" s="3833"/>
      <c r="Q218" s="3833"/>
      <c r="R218" s="3833"/>
      <c r="S218" s="3833"/>
      <c r="T218" s="3833"/>
      <c r="U218" s="3833"/>
      <c r="V218" s="3833"/>
      <c r="W218" s="3833"/>
      <c r="X218" s="3835">
        <f>SUM(P218:T218)</f>
        <v>0</v>
      </c>
      <c r="Y218" s="3819"/>
    </row>
    <row r="219" spans="1:25" ht="12.75" hidden="1" customHeight="1">
      <c r="A219" s="3878"/>
      <c r="B219" s="3181" t="s">
        <v>34</v>
      </c>
      <c r="C219" s="3936"/>
      <c r="D219" s="3889">
        <f>+D220</f>
        <v>0</v>
      </c>
      <c r="E219" s="3888">
        <f t="shared" ref="E219:O219" si="113">+E220</f>
        <v>0</v>
      </c>
      <c r="F219" s="3888">
        <f t="shared" si="113"/>
        <v>0</v>
      </c>
      <c r="G219" s="3888">
        <f t="shared" si="113"/>
        <v>0</v>
      </c>
      <c r="H219" s="3888">
        <f t="shared" si="113"/>
        <v>0</v>
      </c>
      <c r="I219" s="3888">
        <f t="shared" si="113"/>
        <v>0</v>
      </c>
      <c r="J219" s="3888">
        <f t="shared" si="113"/>
        <v>0</v>
      </c>
      <c r="K219" s="3889">
        <f t="shared" si="113"/>
        <v>0</v>
      </c>
      <c r="L219" s="3888">
        <f t="shared" si="113"/>
        <v>0</v>
      </c>
      <c r="M219" s="3889">
        <f t="shared" si="113"/>
        <v>0</v>
      </c>
      <c r="N219" s="3889">
        <f t="shared" si="113"/>
        <v>0</v>
      </c>
      <c r="O219" s="3889">
        <f t="shared" si="113"/>
        <v>0</v>
      </c>
      <c r="P219" s="3889"/>
      <c r="Q219" s="3821"/>
      <c r="R219" s="3821"/>
      <c r="S219" s="3821"/>
      <c r="T219" s="3821"/>
      <c r="U219" s="3821"/>
      <c r="V219" s="3821"/>
      <c r="W219" s="3821"/>
      <c r="X219" s="3904" t="s">
        <v>77</v>
      </c>
      <c r="Y219" s="3819"/>
    </row>
    <row r="220" spans="1:25" ht="13.5" hidden="1" customHeight="1">
      <c r="A220" s="3878"/>
      <c r="B220" s="3825" t="s">
        <v>23</v>
      </c>
      <c r="C220" s="3938" t="s">
        <v>209</v>
      </c>
      <c r="D220" s="3914">
        <f>+D222+D221</f>
        <v>0</v>
      </c>
      <c r="E220" s="3867">
        <f t="shared" ref="E220:J220" si="114">+E222</f>
        <v>0</v>
      </c>
      <c r="F220" s="3867">
        <f t="shared" si="114"/>
        <v>0</v>
      </c>
      <c r="G220" s="3867">
        <f t="shared" si="114"/>
        <v>0</v>
      </c>
      <c r="H220" s="3867">
        <f t="shared" si="114"/>
        <v>0</v>
      </c>
      <c r="I220" s="3867">
        <f t="shared" si="114"/>
        <v>0</v>
      </c>
      <c r="J220" s="3867">
        <f t="shared" si="114"/>
        <v>0</v>
      </c>
      <c r="K220" s="3829">
        <f>+K222+K221</f>
        <v>0</v>
      </c>
      <c r="L220" s="3867">
        <f>+L222</f>
        <v>0</v>
      </c>
      <c r="M220" s="3829">
        <f>+M222+M221</f>
        <v>0</v>
      </c>
      <c r="N220" s="3914">
        <f>+N222</f>
        <v>0</v>
      </c>
      <c r="O220" s="3914">
        <f>+O222</f>
        <v>0</v>
      </c>
      <c r="P220" s="3829"/>
      <c r="Q220" s="3829"/>
      <c r="R220" s="3829"/>
      <c r="S220" s="3829"/>
      <c r="T220" s="3829"/>
      <c r="U220" s="3829"/>
      <c r="V220" s="3829"/>
      <c r="W220" s="3829"/>
      <c r="X220" s="3904"/>
      <c r="Y220" s="3819"/>
    </row>
    <row r="221" spans="1:25" ht="13.5" hidden="1" customHeight="1">
      <c r="A221" s="3878"/>
      <c r="B221" s="3831" t="s">
        <v>26</v>
      </c>
      <c r="C221" s="4099"/>
      <c r="D221" s="3832">
        <f>M221+O221+P221+Q221+R221+S221+T221</f>
        <v>0</v>
      </c>
      <c r="E221" s="3867"/>
      <c r="F221" s="4100"/>
      <c r="G221" s="4100"/>
      <c r="H221" s="4100"/>
      <c r="I221" s="3867"/>
      <c r="J221" s="3867"/>
      <c r="K221" s="3833"/>
      <c r="L221" s="3867">
        <v>0</v>
      </c>
      <c r="M221" s="3833"/>
      <c r="N221" s="3433">
        <v>0</v>
      </c>
      <c r="O221" s="3433">
        <v>0</v>
      </c>
      <c r="P221" s="3829"/>
      <c r="Q221" s="3829"/>
      <c r="R221" s="3829"/>
      <c r="S221" s="3829"/>
      <c r="T221" s="3829"/>
      <c r="U221" s="3829"/>
      <c r="V221" s="3829"/>
      <c r="W221" s="3829"/>
      <c r="X221" s="3904"/>
      <c r="Y221" s="3819"/>
    </row>
    <row r="222" spans="1:25" ht="12.75" hidden="1">
      <c r="A222" s="4101"/>
      <c r="B222" s="3831" t="s">
        <v>28</v>
      </c>
      <c r="C222" s="4099"/>
      <c r="D222" s="3832">
        <f>M222+O222+P222+Q222+R222+S222+T222</f>
        <v>0</v>
      </c>
      <c r="E222" s="3867">
        <v>0</v>
      </c>
      <c r="F222" s="4100"/>
      <c r="G222" s="4100"/>
      <c r="H222" s="4100"/>
      <c r="I222" s="3864">
        <v>0</v>
      </c>
      <c r="J222" s="3864">
        <v>0</v>
      </c>
      <c r="K222" s="3843"/>
      <c r="L222" s="3864">
        <v>0</v>
      </c>
      <c r="M222" s="3833"/>
      <c r="N222" s="3847"/>
      <c r="O222" s="3847"/>
      <c r="P222" s="3829"/>
      <c r="Q222" s="3829"/>
      <c r="R222" s="3834"/>
      <c r="S222" s="3834"/>
      <c r="T222" s="3834"/>
      <c r="U222" s="3834"/>
      <c r="V222" s="3834"/>
      <c r="W222" s="3834"/>
      <c r="X222" s="3904"/>
      <c r="Y222" s="3877"/>
    </row>
    <row r="223" spans="1:25">
      <c r="N223" s="1144"/>
    </row>
    <row r="224" spans="1:25">
      <c r="N224" s="1144"/>
    </row>
    <row r="225" spans="14:14">
      <c r="N225" s="1144"/>
    </row>
    <row r="226" spans="14:14">
      <c r="N226" s="1144"/>
    </row>
    <row r="227" spans="14:14">
      <c r="N227" s="1144"/>
    </row>
    <row r="228" spans="14:14">
      <c r="N228" s="1144"/>
    </row>
    <row r="229" spans="14:14">
      <c r="N229" s="1144"/>
    </row>
    <row r="230" spans="14:14">
      <c r="N230" s="1144"/>
    </row>
    <row r="231" spans="14:14">
      <c r="N231" s="1144"/>
    </row>
    <row r="232" spans="14:14">
      <c r="N232" s="1144"/>
    </row>
    <row r="233" spans="14:14">
      <c r="N233" s="1144"/>
    </row>
    <row r="234" spans="14:14">
      <c r="N234" s="1144"/>
    </row>
    <row r="235" spans="14:14">
      <c r="N235" s="1144"/>
    </row>
    <row r="236" spans="14:14">
      <c r="N236" s="1144"/>
    </row>
    <row r="237" spans="14:14">
      <c r="N237" s="1144"/>
    </row>
    <row r="238" spans="14:14">
      <c r="N238" s="1144"/>
    </row>
    <row r="239" spans="14:14">
      <c r="N239" s="1144"/>
    </row>
    <row r="240" spans="14:14">
      <c r="N240" s="1144"/>
    </row>
    <row r="241" spans="14:14">
      <c r="N241" s="1144"/>
    </row>
    <row r="242" spans="14:14">
      <c r="N242" s="1144"/>
    </row>
    <row r="243" spans="14:14">
      <c r="N243" s="1144"/>
    </row>
    <row r="244" spans="14:14">
      <c r="N244" s="1144"/>
    </row>
    <row r="245" spans="14:14">
      <c r="N245" s="1144"/>
    </row>
    <row r="246" spans="14:14">
      <c r="N246" s="1144"/>
    </row>
    <row r="247" spans="14:14">
      <c r="N247" s="1144"/>
    </row>
    <row r="248" spans="14:14">
      <c r="N248" s="1144"/>
    </row>
    <row r="249" spans="14:14">
      <c r="N249" s="1144"/>
    </row>
    <row r="250" spans="14:14">
      <c r="N250" s="1144"/>
    </row>
    <row r="251" spans="14:14">
      <c r="N251" s="1144"/>
    </row>
    <row r="252" spans="14:14">
      <c r="N252" s="1144"/>
    </row>
    <row r="253" spans="14:14">
      <c r="N253" s="1144"/>
    </row>
    <row r="254" spans="14:14">
      <c r="N254" s="1144"/>
    </row>
  </sheetData>
  <mergeCells count="79">
    <mergeCell ref="A214:A222"/>
    <mergeCell ref="Y214:Y222"/>
    <mergeCell ref="C216:C218"/>
    <mergeCell ref="C220:C222"/>
    <mergeCell ref="X219:X222"/>
    <mergeCell ref="A207:A213"/>
    <mergeCell ref="Y207:Y213"/>
    <mergeCell ref="C209:C210"/>
    <mergeCell ref="C212:C213"/>
    <mergeCell ref="A195:A206"/>
    <mergeCell ref="Y195:Y206"/>
    <mergeCell ref="C197:C202"/>
    <mergeCell ref="C204:C206"/>
    <mergeCell ref="A164:A177"/>
    <mergeCell ref="Y164:Y177"/>
    <mergeCell ref="C166:C170"/>
    <mergeCell ref="C172:C177"/>
    <mergeCell ref="A151:A163"/>
    <mergeCell ref="Y151:Y163"/>
    <mergeCell ref="C153:C157"/>
    <mergeCell ref="C159:C163"/>
    <mergeCell ref="X158:X163"/>
    <mergeCell ref="A137:A149"/>
    <mergeCell ref="Y137:Y149"/>
    <mergeCell ref="C139:C143"/>
    <mergeCell ref="C145:C149"/>
    <mergeCell ref="X144:X149"/>
    <mergeCell ref="A130:A136"/>
    <mergeCell ref="Y130:Y136"/>
    <mergeCell ref="C132:C133"/>
    <mergeCell ref="C135:C136"/>
    <mergeCell ref="X134:X136"/>
    <mergeCell ref="A118:A129"/>
    <mergeCell ref="Y118:Y129"/>
    <mergeCell ref="C120:C124"/>
    <mergeCell ref="C126:C129"/>
    <mergeCell ref="X125:X129"/>
    <mergeCell ref="A103:A117"/>
    <mergeCell ref="Y103:Y117"/>
    <mergeCell ref="C105:C110"/>
    <mergeCell ref="C112:C117"/>
    <mergeCell ref="X111:X117"/>
    <mergeCell ref="A90:A102"/>
    <mergeCell ref="Y90:Y102"/>
    <mergeCell ref="C92:C96"/>
    <mergeCell ref="C98:C102"/>
    <mergeCell ref="X97:X102"/>
    <mergeCell ref="A79:A89"/>
    <mergeCell ref="Y79:Y89"/>
    <mergeCell ref="C81:C84"/>
    <mergeCell ref="C86:C89"/>
    <mergeCell ref="X85:X89"/>
    <mergeCell ref="Y53:Y67"/>
    <mergeCell ref="A68:A78"/>
    <mergeCell ref="Y68:Y78"/>
    <mergeCell ref="C70:C73"/>
    <mergeCell ref="C75:C78"/>
    <mergeCell ref="X74:X78"/>
    <mergeCell ref="X44:X51"/>
    <mergeCell ref="A53:A66"/>
    <mergeCell ref="C55:C59"/>
    <mergeCell ref="C62:C66"/>
    <mergeCell ref="X61:X66"/>
    <mergeCell ref="Y34:Y52"/>
    <mergeCell ref="P1:R1"/>
    <mergeCell ref="A4:Y4"/>
    <mergeCell ref="B5:B7"/>
    <mergeCell ref="C5:C7"/>
    <mergeCell ref="D5:D7"/>
    <mergeCell ref="Y5:Y7"/>
    <mergeCell ref="E5:K5"/>
    <mergeCell ref="X5:X7"/>
    <mergeCell ref="M5:M6"/>
    <mergeCell ref="O5:O6"/>
    <mergeCell ref="P5:W6"/>
    <mergeCell ref="A34:A52"/>
    <mergeCell ref="C36:C43"/>
    <mergeCell ref="C45:C52"/>
    <mergeCell ref="X23:X33"/>
  </mergeCells>
  <printOptions horizontalCentered="1"/>
  <pageMargins left="0.23622047244094491" right="0.23622047244094491" top="0.51181102362204722" bottom="0.35433070866141736" header="0.15748031496062992" footer="0.15748031496062992"/>
  <pageSetup paperSize="9" scale="69" firstPageNumber="45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136" max="2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547"/>
  <sheetViews>
    <sheetView showGridLines="0" view="pageBreakPreview" zoomScaleNormal="100" zoomScaleSheetLayoutView="100" workbookViewId="0">
      <pane ySplit="7" topLeftCell="A8" activePane="bottomLeft" state="frozen"/>
      <selection activeCell="U30" sqref="U30"/>
      <selection pane="bottomLeft" activeCell="B1" sqref="B1"/>
    </sheetView>
  </sheetViews>
  <sheetFormatPr defaultColWidth="9.140625" defaultRowHeight="11.25"/>
  <cols>
    <col min="1" max="1" width="2.85546875" style="646" customWidth="1"/>
    <col min="2" max="2" width="56.28515625" style="647" customWidth="1"/>
    <col min="3" max="3" width="11" style="647" customWidth="1"/>
    <col min="4" max="4" width="12.7109375" style="647" customWidth="1"/>
    <col min="5" max="5" width="7.42578125" style="647" hidden="1" customWidth="1"/>
    <col min="6" max="8" width="11.5703125" style="647" hidden="1" customWidth="1"/>
    <col min="9" max="9" width="6" style="647" hidden="1" customWidth="1"/>
    <col min="10" max="10" width="8.5703125" style="647" hidden="1" customWidth="1"/>
    <col min="11" max="11" width="7.42578125" style="647" hidden="1" customWidth="1"/>
    <col min="12" max="12" width="9.7109375" style="647" hidden="1" customWidth="1"/>
    <col min="13" max="13" width="13.140625" style="647" customWidth="1"/>
    <col min="14" max="14" width="10.140625" style="647" hidden="1" customWidth="1"/>
    <col min="15" max="15" width="10.85546875" style="647" customWidth="1"/>
    <col min="16" max="16" width="10.42578125" style="703" customWidth="1"/>
    <col min="17" max="17" width="10.42578125" style="701" customWidth="1"/>
    <col min="18" max="18" width="10.5703125" style="701" customWidth="1"/>
    <col min="19" max="19" width="9.42578125" style="701" bestFit="1" customWidth="1"/>
    <col min="20" max="23" width="6.7109375" style="701" bestFit="1" customWidth="1"/>
    <col min="24" max="24" width="12.5703125" style="701" customWidth="1"/>
    <col min="25" max="25" width="15.85546875" style="700" customWidth="1"/>
    <col min="26" max="26" width="11.85546875" style="647" hidden="1" customWidth="1"/>
    <col min="27" max="28" width="0" style="647" hidden="1" customWidth="1"/>
    <col min="29" max="16384" width="9.140625" style="647"/>
  </cols>
  <sheetData>
    <row r="1" spans="1:27" ht="22.5" customHeight="1">
      <c r="O1" s="641"/>
      <c r="P1" s="647"/>
      <c r="R1" s="855" t="s">
        <v>221</v>
      </c>
      <c r="S1" s="647"/>
      <c r="T1" s="310"/>
      <c r="U1" s="310"/>
      <c r="V1" s="310"/>
      <c r="W1" s="310"/>
      <c r="X1" s="310"/>
      <c r="Y1" s="311"/>
    </row>
    <row r="2" spans="1:27" ht="9.75" customHeight="1">
      <c r="N2" s="312"/>
      <c r="O2" s="648"/>
      <c r="P2" s="647"/>
      <c r="Q2" s="647"/>
      <c r="R2" s="647"/>
      <c r="S2" s="647"/>
      <c r="T2" s="310"/>
      <c r="U2" s="310"/>
      <c r="V2" s="310"/>
      <c r="W2" s="310"/>
      <c r="X2" s="310"/>
      <c r="Y2" s="311"/>
    </row>
    <row r="3" spans="1:27" ht="55.5" customHeight="1" thickBot="1">
      <c r="A3" s="2950" t="s">
        <v>222</v>
      </c>
      <c r="B3" s="2950"/>
      <c r="C3" s="2950"/>
      <c r="D3" s="2950"/>
      <c r="E3" s="2950"/>
      <c r="F3" s="2950"/>
      <c r="G3" s="2950"/>
      <c r="H3" s="2950"/>
      <c r="I3" s="2950"/>
      <c r="J3" s="2950"/>
      <c r="K3" s="2950"/>
      <c r="L3" s="2950"/>
      <c r="M3" s="2950"/>
      <c r="N3" s="2950"/>
      <c r="O3" s="2950"/>
      <c r="P3" s="2950"/>
      <c r="Q3" s="2950"/>
      <c r="R3" s="2950"/>
      <c r="S3" s="2950"/>
      <c r="T3" s="2950"/>
      <c r="U3" s="2950"/>
      <c r="V3" s="2950"/>
      <c r="W3" s="2950"/>
      <c r="X3" s="2950"/>
      <c r="Y3" s="2950"/>
    </row>
    <row r="4" spans="1:27" ht="29.25" customHeight="1">
      <c r="A4" s="649"/>
      <c r="B4" s="2951" t="s">
        <v>91</v>
      </c>
      <c r="C4" s="2670" t="s">
        <v>87</v>
      </c>
      <c r="D4" s="2673" t="s">
        <v>139</v>
      </c>
      <c r="E4" s="2957" t="s">
        <v>3</v>
      </c>
      <c r="F4" s="2958"/>
      <c r="G4" s="2958"/>
      <c r="H4" s="2958"/>
      <c r="I4" s="2958"/>
      <c r="J4" s="2958"/>
      <c r="K4" s="2958"/>
      <c r="L4" s="2959"/>
      <c r="M4" s="2957" t="s">
        <v>364</v>
      </c>
      <c r="N4" s="1088"/>
      <c r="O4" s="2690" t="s">
        <v>375</v>
      </c>
      <c r="P4" s="2692" t="s">
        <v>370</v>
      </c>
      <c r="Q4" s="2693"/>
      <c r="R4" s="2693"/>
      <c r="S4" s="2693"/>
      <c r="T4" s="2693"/>
      <c r="U4" s="2693"/>
      <c r="V4" s="2693"/>
      <c r="W4" s="2694"/>
      <c r="X4" s="2682" t="s">
        <v>343</v>
      </c>
      <c r="Y4" s="2874" t="s">
        <v>89</v>
      </c>
    </row>
    <row r="5" spans="1:27" ht="29.25" customHeight="1">
      <c r="A5" s="650" t="s">
        <v>90</v>
      </c>
      <c r="B5" s="2952"/>
      <c r="C5" s="2954"/>
      <c r="D5" s="2955"/>
      <c r="E5" s="2960"/>
      <c r="F5" s="2961"/>
      <c r="G5" s="2961"/>
      <c r="H5" s="2961"/>
      <c r="I5" s="2961"/>
      <c r="J5" s="2961"/>
      <c r="K5" s="2961"/>
      <c r="L5" s="2962"/>
      <c r="M5" s="2960"/>
      <c r="N5" s="825"/>
      <c r="O5" s="2691"/>
      <c r="P5" s="2695"/>
      <c r="Q5" s="2696"/>
      <c r="R5" s="2696"/>
      <c r="S5" s="2696"/>
      <c r="T5" s="2696"/>
      <c r="U5" s="2696"/>
      <c r="V5" s="2696"/>
      <c r="W5" s="2697"/>
      <c r="X5" s="2683"/>
      <c r="Y5" s="2875"/>
    </row>
    <row r="6" spans="1:27" ht="31.5" customHeight="1" thickBot="1">
      <c r="A6" s="650"/>
      <c r="B6" s="2953"/>
      <c r="C6" s="2954"/>
      <c r="D6" s="2956"/>
      <c r="E6" s="1832" t="s">
        <v>6</v>
      </c>
      <c r="F6" s="318" t="s">
        <v>7</v>
      </c>
      <c r="G6" s="318" t="s">
        <v>8</v>
      </c>
      <c r="H6" s="318" t="s">
        <v>9</v>
      </c>
      <c r="I6" s="1830" t="s">
        <v>10</v>
      </c>
      <c r="J6" s="1830" t="s">
        <v>11</v>
      </c>
      <c r="K6" s="1830" t="s">
        <v>12</v>
      </c>
      <c r="L6" s="1830" t="s">
        <v>13</v>
      </c>
      <c r="M6" s="1054" t="s">
        <v>338</v>
      </c>
      <c r="N6" s="1830" t="s">
        <v>14</v>
      </c>
      <c r="O6" s="1830" t="s">
        <v>15</v>
      </c>
      <c r="P6" s="1830" t="s">
        <v>16</v>
      </c>
      <c r="Q6" s="1830" t="s">
        <v>17</v>
      </c>
      <c r="R6" s="1830" t="s">
        <v>18</v>
      </c>
      <c r="S6" s="816" t="s">
        <v>271</v>
      </c>
      <c r="T6" s="816" t="s">
        <v>276</v>
      </c>
      <c r="U6" s="816" t="s">
        <v>340</v>
      </c>
      <c r="V6" s="816" t="s">
        <v>341</v>
      </c>
      <c r="W6" s="816" t="s">
        <v>339</v>
      </c>
      <c r="X6" s="2684"/>
      <c r="Y6" s="2876"/>
    </row>
    <row r="7" spans="1:27" ht="15" customHeight="1">
      <c r="A7" s="716">
        <v>1</v>
      </c>
      <c r="B7" s="717">
        <v>2</v>
      </c>
      <c r="C7" s="718" t="s">
        <v>140</v>
      </c>
      <c r="D7" s="719" t="s">
        <v>141</v>
      </c>
      <c r="E7" s="719" t="s">
        <v>142</v>
      </c>
      <c r="F7" s="719">
        <v>8</v>
      </c>
      <c r="G7" s="719">
        <v>9</v>
      </c>
      <c r="H7" s="719">
        <v>10</v>
      </c>
      <c r="I7" s="719" t="s">
        <v>143</v>
      </c>
      <c r="J7" s="719" t="s">
        <v>144</v>
      </c>
      <c r="K7" s="719" t="s">
        <v>145</v>
      </c>
      <c r="L7" s="719" t="s">
        <v>146</v>
      </c>
      <c r="M7" s="820">
        <v>5</v>
      </c>
      <c r="N7" s="821" t="s">
        <v>342</v>
      </c>
      <c r="O7" s="821">
        <v>6</v>
      </c>
      <c r="P7" s="821">
        <v>7</v>
      </c>
      <c r="Q7" s="821">
        <v>8</v>
      </c>
      <c r="R7" s="820">
        <v>9</v>
      </c>
      <c r="S7" s="820">
        <v>10</v>
      </c>
      <c r="T7" s="820">
        <v>11</v>
      </c>
      <c r="U7" s="820">
        <v>12</v>
      </c>
      <c r="V7" s="820">
        <v>13</v>
      </c>
      <c r="W7" s="820">
        <v>14</v>
      </c>
      <c r="X7" s="822">
        <v>15</v>
      </c>
      <c r="Y7" s="823">
        <v>16</v>
      </c>
    </row>
    <row r="8" spans="1:27" s="1118" customFormat="1" ht="16.5" customHeight="1">
      <c r="A8" s="644"/>
      <c r="B8" s="2453" t="s">
        <v>92</v>
      </c>
      <c r="C8" s="2454"/>
      <c r="D8" s="767">
        <f>+D9+D10</f>
        <v>91843382</v>
      </c>
      <c r="E8" s="767">
        <f t="shared" ref="E8:T8" si="0">+E9+E10</f>
        <v>0</v>
      </c>
      <c r="F8" s="767">
        <f t="shared" si="0"/>
        <v>0</v>
      </c>
      <c r="G8" s="767">
        <f t="shared" si="0"/>
        <v>0</v>
      </c>
      <c r="H8" s="767">
        <f t="shared" si="0"/>
        <v>0</v>
      </c>
      <c r="I8" s="767">
        <f t="shared" si="0"/>
        <v>0</v>
      </c>
      <c r="J8" s="767">
        <f t="shared" si="0"/>
        <v>0</v>
      </c>
      <c r="K8" s="767">
        <f t="shared" si="0"/>
        <v>9565</v>
      </c>
      <c r="L8" s="767">
        <f t="shared" si="0"/>
        <v>52827</v>
      </c>
      <c r="M8" s="767">
        <f t="shared" si="0"/>
        <v>133659</v>
      </c>
      <c r="N8" s="767">
        <f t="shared" si="0"/>
        <v>71267</v>
      </c>
      <c r="O8" s="767">
        <f>+O9+O10</f>
        <v>255435</v>
      </c>
      <c r="P8" s="767">
        <f t="shared" si="0"/>
        <v>837874</v>
      </c>
      <c r="Q8" s="767">
        <f t="shared" si="0"/>
        <v>35584727</v>
      </c>
      <c r="R8" s="767">
        <f t="shared" si="0"/>
        <v>55031687</v>
      </c>
      <c r="S8" s="767">
        <f t="shared" si="0"/>
        <v>0</v>
      </c>
      <c r="T8" s="767">
        <f t="shared" si="0"/>
        <v>0</v>
      </c>
      <c r="U8" s="767">
        <f>+U9+U10</f>
        <v>0</v>
      </c>
      <c r="V8" s="767">
        <f>+V9+V10</f>
        <v>0</v>
      </c>
      <c r="W8" s="767">
        <f>+W9+W10</f>
        <v>0</v>
      </c>
      <c r="X8" s="652">
        <f>+X9+X10</f>
        <v>91454288</v>
      </c>
      <c r="Y8" s="331"/>
      <c r="Z8" s="778"/>
    </row>
    <row r="9" spans="1:27" s="1118" customFormat="1" ht="13.5" customHeight="1">
      <c r="A9" s="644"/>
      <c r="B9" s="2455" t="s">
        <v>93</v>
      </c>
      <c r="C9" s="2456"/>
      <c r="D9" s="759">
        <f>+D22+D40+D49+D56+D72+D79+D124</f>
        <v>270293</v>
      </c>
      <c r="E9" s="759">
        <f t="shared" ref="E9:T9" si="1">+E22+E40+E49+E56+E72+E79+E97+E106</f>
        <v>0</v>
      </c>
      <c r="F9" s="759">
        <f t="shared" si="1"/>
        <v>0</v>
      </c>
      <c r="G9" s="759">
        <f t="shared" si="1"/>
        <v>0</v>
      </c>
      <c r="H9" s="759">
        <f t="shared" si="1"/>
        <v>0</v>
      </c>
      <c r="I9" s="759">
        <f t="shared" si="1"/>
        <v>0</v>
      </c>
      <c r="J9" s="759">
        <f t="shared" si="1"/>
        <v>0</v>
      </c>
      <c r="K9" s="759">
        <f t="shared" si="1"/>
        <v>9565</v>
      </c>
      <c r="L9" s="759">
        <f t="shared" si="1"/>
        <v>52827</v>
      </c>
      <c r="M9" s="759">
        <f>+M22+M40+M49+M56+M72+M79</f>
        <v>133659</v>
      </c>
      <c r="N9" s="759">
        <f>+N22+N40+N49+N56+N72+N79+N97+N106</f>
        <v>71267</v>
      </c>
      <c r="O9" s="759">
        <f>+O22+O40+O49+O56+O72+O79</f>
        <v>17034</v>
      </c>
      <c r="P9" s="759">
        <f>+P22+P40+P49+P56+P72+P79</f>
        <v>0</v>
      </c>
      <c r="Q9" s="759">
        <f>+Q22+Q40+Q49+Q56+Q72+Q79</f>
        <v>0</v>
      </c>
      <c r="R9" s="759">
        <f>R124</f>
        <v>119600</v>
      </c>
      <c r="S9" s="759">
        <f>+S22+S40+S49+S56+S72+S79</f>
        <v>0</v>
      </c>
      <c r="T9" s="759">
        <f t="shared" si="1"/>
        <v>0</v>
      </c>
      <c r="U9" s="759">
        <f>+U22+U40+U49+U56+U72+U79+U97+U106</f>
        <v>0</v>
      </c>
      <c r="V9" s="759">
        <f>+V22+V40+V49+V56+V72+V79+V97+V106</f>
        <v>0</v>
      </c>
      <c r="W9" s="759">
        <f>+W22+W40+W49+W56+W72+W79+W97+W106</f>
        <v>0</v>
      </c>
      <c r="X9" s="332">
        <f>SUM(P9:S9)</f>
        <v>119600</v>
      </c>
      <c r="Y9" s="331"/>
      <c r="Z9" s="778"/>
    </row>
    <row r="10" spans="1:27" s="1118" customFormat="1" ht="13.5" customHeight="1" thickBot="1">
      <c r="A10" s="644"/>
      <c r="B10" s="2457" t="s">
        <v>21</v>
      </c>
      <c r="C10" s="2458"/>
      <c r="D10" s="769">
        <f>D31+D65+D88+D115+D97+D106+D133</f>
        <v>91573089</v>
      </c>
      <c r="E10" s="769">
        <f t="shared" ref="E10:T10" si="2">E31+E65+E88+E115</f>
        <v>0</v>
      </c>
      <c r="F10" s="769">
        <f t="shared" si="2"/>
        <v>0</v>
      </c>
      <c r="G10" s="769">
        <f t="shared" si="2"/>
        <v>0</v>
      </c>
      <c r="H10" s="769">
        <f t="shared" si="2"/>
        <v>0</v>
      </c>
      <c r="I10" s="769">
        <f t="shared" si="2"/>
        <v>0</v>
      </c>
      <c r="J10" s="769">
        <f t="shared" si="2"/>
        <v>0</v>
      </c>
      <c r="K10" s="769">
        <f t="shared" si="2"/>
        <v>0</v>
      </c>
      <c r="L10" s="769">
        <f t="shared" si="2"/>
        <v>0</v>
      </c>
      <c r="M10" s="769">
        <f>M31+M65+M88+M115+M97+M106</f>
        <v>0</v>
      </c>
      <c r="N10" s="769">
        <f>N31+N65+N88+N115</f>
        <v>0</v>
      </c>
      <c r="O10" s="769">
        <f>O31+O65+O88+O115+O97+O106</f>
        <v>238401</v>
      </c>
      <c r="P10" s="769">
        <f>P31+P65+P88+P115+P97+P106+P133</f>
        <v>837874</v>
      </c>
      <c r="Q10" s="769">
        <f>Q31+Q65+Q88+Q115+Q97+Q106+Q133</f>
        <v>35584727</v>
      </c>
      <c r="R10" s="769">
        <f>R31+R65+R88+R115+R97+R106+R133</f>
        <v>54912087</v>
      </c>
      <c r="S10" s="769">
        <f>S31+S65+S88+S115+S97+S106</f>
        <v>0</v>
      </c>
      <c r="T10" s="769">
        <f t="shared" si="2"/>
        <v>0</v>
      </c>
      <c r="U10" s="769">
        <f>U31+U65+U88+U115</f>
        <v>0</v>
      </c>
      <c r="V10" s="769">
        <f>V31+V65+V88+V115</f>
        <v>0</v>
      </c>
      <c r="W10" s="769">
        <f>W31+W65+W88+W115</f>
        <v>0</v>
      </c>
      <c r="X10" s="654">
        <f>SUM(P10:S10)</f>
        <v>91334688</v>
      </c>
      <c r="Y10" s="331"/>
      <c r="Z10" s="778"/>
    </row>
    <row r="11" spans="1:27" ht="17.25" customHeight="1">
      <c r="A11" s="644"/>
      <c r="B11" s="720" t="s">
        <v>22</v>
      </c>
      <c r="C11" s="522"/>
      <c r="D11" s="721">
        <f>D12+D14</f>
        <v>91843382</v>
      </c>
      <c r="E11" s="722">
        <f t="shared" ref="E11:N11" si="3">E12+E14</f>
        <v>0</v>
      </c>
      <c r="F11" s="722">
        <f t="shared" si="3"/>
        <v>0</v>
      </c>
      <c r="G11" s="722">
        <f t="shared" si="3"/>
        <v>0</v>
      </c>
      <c r="H11" s="722">
        <f t="shared" si="3"/>
        <v>0</v>
      </c>
      <c r="I11" s="722">
        <f t="shared" si="3"/>
        <v>0</v>
      </c>
      <c r="J11" s="722">
        <f t="shared" si="3"/>
        <v>0</v>
      </c>
      <c r="K11" s="722">
        <f t="shared" si="3"/>
        <v>9565</v>
      </c>
      <c r="L11" s="722">
        <f t="shared" si="3"/>
        <v>52827</v>
      </c>
      <c r="M11" s="722">
        <f t="shared" si="3"/>
        <v>133659</v>
      </c>
      <c r="N11" s="722">
        <f t="shared" si="3"/>
        <v>71267</v>
      </c>
      <c r="O11" s="722">
        <f t="shared" ref="O11:W11" si="4">O12+O14</f>
        <v>255435</v>
      </c>
      <c r="P11" s="722">
        <f t="shared" si="4"/>
        <v>837874</v>
      </c>
      <c r="Q11" s="722">
        <f t="shared" si="4"/>
        <v>35584727</v>
      </c>
      <c r="R11" s="722">
        <f t="shared" si="4"/>
        <v>55031687</v>
      </c>
      <c r="S11" s="722">
        <f t="shared" si="4"/>
        <v>0</v>
      </c>
      <c r="T11" s="722">
        <f t="shared" si="4"/>
        <v>0</v>
      </c>
      <c r="U11" s="722">
        <f t="shared" si="4"/>
        <v>0</v>
      </c>
      <c r="V11" s="722">
        <f t="shared" si="4"/>
        <v>0</v>
      </c>
      <c r="W11" s="722">
        <f t="shared" si="4"/>
        <v>0</v>
      </c>
      <c r="X11" s="464">
        <f>P11+Q11+R11+S11</f>
        <v>91454288</v>
      </c>
      <c r="Y11" s="2325"/>
      <c r="Z11" s="723"/>
      <c r="AA11" s="723"/>
    </row>
    <row r="12" spans="1:27" ht="13.5" customHeight="1">
      <c r="A12" s="644"/>
      <c r="B12" s="724" t="s">
        <v>36</v>
      </c>
      <c r="C12" s="2459"/>
      <c r="D12" s="2460">
        <f>D13</f>
        <v>14117822</v>
      </c>
      <c r="E12" s="2461">
        <f t="shared" ref="E12:X12" si="5">+E13</f>
        <v>0</v>
      </c>
      <c r="F12" s="2461">
        <f t="shared" si="5"/>
        <v>0</v>
      </c>
      <c r="G12" s="2461">
        <f t="shared" si="5"/>
        <v>0</v>
      </c>
      <c r="H12" s="2461">
        <f t="shared" si="5"/>
        <v>0</v>
      </c>
      <c r="I12" s="2461">
        <f t="shared" si="5"/>
        <v>0</v>
      </c>
      <c r="J12" s="2461">
        <f t="shared" si="5"/>
        <v>0</v>
      </c>
      <c r="K12" s="2461">
        <f t="shared" si="5"/>
        <v>901</v>
      </c>
      <c r="L12" s="2461">
        <f t="shared" si="5"/>
        <v>5252</v>
      </c>
      <c r="M12" s="2460">
        <f t="shared" si="5"/>
        <v>18046</v>
      </c>
      <c r="N12" s="2460">
        <f t="shared" si="5"/>
        <v>11893</v>
      </c>
      <c r="O12" s="2460">
        <f>+O13</f>
        <v>5503</v>
      </c>
      <c r="P12" s="2460">
        <f t="shared" si="5"/>
        <v>302062</v>
      </c>
      <c r="Q12" s="2461">
        <f t="shared" si="5"/>
        <v>5537459</v>
      </c>
      <c r="R12" s="2460">
        <f t="shared" si="5"/>
        <v>8254752</v>
      </c>
      <c r="S12" s="2461">
        <f t="shared" si="5"/>
        <v>0</v>
      </c>
      <c r="T12" s="2461">
        <f t="shared" si="5"/>
        <v>0</v>
      </c>
      <c r="U12" s="2461">
        <f t="shared" si="5"/>
        <v>0</v>
      </c>
      <c r="V12" s="2461">
        <f t="shared" si="5"/>
        <v>0</v>
      </c>
      <c r="W12" s="2461">
        <f t="shared" si="5"/>
        <v>0</v>
      </c>
      <c r="X12" s="2462">
        <f t="shared" si="5"/>
        <v>14094273</v>
      </c>
      <c r="Y12" s="2330"/>
    </row>
    <row r="13" spans="1:27" ht="13.5" customHeight="1">
      <c r="A13" s="644"/>
      <c r="B13" s="2463" t="s">
        <v>24</v>
      </c>
      <c r="C13" s="2464"/>
      <c r="D13" s="2465">
        <f>D24+D42+D33+D58+D99+D117+D81+D108+D90+D126+D135</f>
        <v>14117822</v>
      </c>
      <c r="E13" s="2465">
        <f t="shared" ref="E13:W13" si="6">E24+E42+E33+E58+E99+E117+E81+E108</f>
        <v>0</v>
      </c>
      <c r="F13" s="2465">
        <f t="shared" si="6"/>
        <v>0</v>
      </c>
      <c r="G13" s="2465">
        <f t="shared" si="6"/>
        <v>0</v>
      </c>
      <c r="H13" s="2465">
        <f t="shared" si="6"/>
        <v>0</v>
      </c>
      <c r="I13" s="2465">
        <f t="shared" si="6"/>
        <v>0</v>
      </c>
      <c r="J13" s="2465">
        <f t="shared" si="6"/>
        <v>0</v>
      </c>
      <c r="K13" s="2465">
        <f t="shared" si="6"/>
        <v>901</v>
      </c>
      <c r="L13" s="2465">
        <f t="shared" si="6"/>
        <v>5252</v>
      </c>
      <c r="M13" s="2465">
        <f t="shared" si="6"/>
        <v>18046</v>
      </c>
      <c r="N13" s="2465">
        <f t="shared" si="6"/>
        <v>11893</v>
      </c>
      <c r="O13" s="2465">
        <f t="shared" si="6"/>
        <v>5503</v>
      </c>
      <c r="P13" s="2465">
        <f>P24+P42+P33+P58+P99+P117+P81+P108+P90+P135</f>
        <v>302062</v>
      </c>
      <c r="Q13" s="2465">
        <f>Q24+Q42+Q33+Q58+Q99+Q117+Q81+Q108+Q135</f>
        <v>5537459</v>
      </c>
      <c r="R13" s="2465">
        <f>R24+R42+R33+R58+R99+R117+R81+R108+R126+R135</f>
        <v>8254752</v>
      </c>
      <c r="S13" s="2465">
        <f t="shared" si="6"/>
        <v>0</v>
      </c>
      <c r="T13" s="2465">
        <f t="shared" si="6"/>
        <v>0</v>
      </c>
      <c r="U13" s="2465">
        <f t="shared" si="6"/>
        <v>0</v>
      </c>
      <c r="V13" s="2465">
        <f t="shared" si="6"/>
        <v>0</v>
      </c>
      <c r="W13" s="2465">
        <f t="shared" si="6"/>
        <v>0</v>
      </c>
      <c r="X13" s="2466">
        <f>+P13+Q13+R13+S13</f>
        <v>14094273</v>
      </c>
      <c r="Y13" s="2330"/>
      <c r="Z13" s="723"/>
    </row>
    <row r="14" spans="1:27" ht="13.5" customHeight="1">
      <c r="A14" s="644"/>
      <c r="B14" s="724" t="s">
        <v>30</v>
      </c>
      <c r="C14" s="2459"/>
      <c r="D14" s="2460">
        <f>+D15+D16</f>
        <v>77725560</v>
      </c>
      <c r="E14" s="2461">
        <f t="shared" ref="E14:T14" si="7">+E15+E16</f>
        <v>0</v>
      </c>
      <c r="F14" s="2461">
        <f t="shared" si="7"/>
        <v>0</v>
      </c>
      <c r="G14" s="2461">
        <f t="shared" si="7"/>
        <v>0</v>
      </c>
      <c r="H14" s="2461">
        <f t="shared" si="7"/>
        <v>0</v>
      </c>
      <c r="I14" s="2461">
        <f t="shared" si="7"/>
        <v>0</v>
      </c>
      <c r="J14" s="2461">
        <f t="shared" si="7"/>
        <v>0</v>
      </c>
      <c r="K14" s="2461">
        <f t="shared" si="7"/>
        <v>8664</v>
      </c>
      <c r="L14" s="2461">
        <f t="shared" si="7"/>
        <v>47575</v>
      </c>
      <c r="M14" s="2460">
        <f t="shared" si="7"/>
        <v>115613</v>
      </c>
      <c r="N14" s="2460">
        <f>+N15+N16</f>
        <v>59374</v>
      </c>
      <c r="O14" s="2460">
        <f>+O15+O16</f>
        <v>249932</v>
      </c>
      <c r="P14" s="2461">
        <f t="shared" si="7"/>
        <v>535812</v>
      </c>
      <c r="Q14" s="2461">
        <f t="shared" si="7"/>
        <v>30047268</v>
      </c>
      <c r="R14" s="2460">
        <f t="shared" si="7"/>
        <v>46776935</v>
      </c>
      <c r="S14" s="2461">
        <f t="shared" si="7"/>
        <v>0</v>
      </c>
      <c r="T14" s="2461">
        <f t="shared" si="7"/>
        <v>0</v>
      </c>
      <c r="U14" s="2461">
        <f>+U15+U16</f>
        <v>0</v>
      </c>
      <c r="V14" s="2461">
        <f>+V15+V16</f>
        <v>0</v>
      </c>
      <c r="W14" s="2461">
        <f>+W15+W16</f>
        <v>0</v>
      </c>
      <c r="X14" s="2462">
        <f>+X15</f>
        <v>77360015</v>
      </c>
      <c r="Y14" s="2330"/>
    </row>
    <row r="15" spans="1:27" ht="13.5" customHeight="1">
      <c r="A15" s="644"/>
      <c r="B15" s="2463" t="s">
        <v>33</v>
      </c>
      <c r="C15" s="725"/>
      <c r="D15" s="645">
        <f>D44+D60+D67+D74+D83+D92+D101+D119+D110+D128+D137</f>
        <v>77725560</v>
      </c>
      <c r="E15" s="645">
        <f t="shared" ref="E15:W15" si="8">E44+E60+E67+E74+E83+E92+E101+E119+E110</f>
        <v>0</v>
      </c>
      <c r="F15" s="645">
        <f t="shared" si="8"/>
        <v>0</v>
      </c>
      <c r="G15" s="645">
        <f t="shared" si="8"/>
        <v>0</v>
      </c>
      <c r="H15" s="645">
        <f t="shared" si="8"/>
        <v>0</v>
      </c>
      <c r="I15" s="645">
        <f t="shared" si="8"/>
        <v>0</v>
      </c>
      <c r="J15" s="645">
        <f t="shared" si="8"/>
        <v>0</v>
      </c>
      <c r="K15" s="645">
        <f t="shared" si="8"/>
        <v>8664</v>
      </c>
      <c r="L15" s="645">
        <f t="shared" si="8"/>
        <v>47575</v>
      </c>
      <c r="M15" s="645">
        <f t="shared" si="8"/>
        <v>115613</v>
      </c>
      <c r="N15" s="645">
        <f t="shared" si="8"/>
        <v>59374</v>
      </c>
      <c r="O15" s="645">
        <f t="shared" si="8"/>
        <v>249932</v>
      </c>
      <c r="P15" s="645">
        <f>P44+P60+P67+P74+P83+P92+P101+P119+P110+P137</f>
        <v>535812</v>
      </c>
      <c r="Q15" s="645">
        <f>Q44+Q60+Q67+Q74+Q83+Q92+Q101+Q119+Q110+Q137</f>
        <v>30047268</v>
      </c>
      <c r="R15" s="645">
        <f>R44+R60+R67+R74+R83+R92+R101+R119+R110+R128+R137</f>
        <v>46776935</v>
      </c>
      <c r="S15" s="645">
        <f t="shared" si="8"/>
        <v>0</v>
      </c>
      <c r="T15" s="645">
        <f t="shared" si="8"/>
        <v>0</v>
      </c>
      <c r="U15" s="645">
        <f t="shared" si="8"/>
        <v>0</v>
      </c>
      <c r="V15" s="645">
        <f t="shared" si="8"/>
        <v>0</v>
      </c>
      <c r="W15" s="645">
        <f t="shared" si="8"/>
        <v>0</v>
      </c>
      <c r="X15" s="2466">
        <f>+P15+Q15+R15+S15</f>
        <v>77360015</v>
      </c>
      <c r="Y15" s="2330"/>
      <c r="Z15" s="723"/>
    </row>
    <row r="16" spans="1:27" ht="13.5" hidden="1" customHeight="1">
      <c r="A16" s="644"/>
      <c r="B16" s="1987" t="s">
        <v>32</v>
      </c>
      <c r="C16" s="2544"/>
      <c r="D16" s="645"/>
      <c r="E16" s="645"/>
      <c r="F16" s="645"/>
      <c r="G16" s="645"/>
      <c r="H16" s="645"/>
      <c r="I16" s="645"/>
      <c r="J16" s="645"/>
      <c r="K16" s="645"/>
      <c r="L16" s="645"/>
      <c r="M16" s="645"/>
      <c r="N16" s="645"/>
      <c r="O16" s="645"/>
      <c r="P16" s="645"/>
      <c r="Q16" s="645"/>
      <c r="R16" s="645"/>
      <c r="S16" s="645"/>
      <c r="T16" s="645"/>
      <c r="U16" s="645"/>
      <c r="V16" s="645"/>
      <c r="W16" s="645"/>
      <c r="X16" s="2467"/>
      <c r="Y16" s="2330"/>
    </row>
    <row r="17" spans="1:28" ht="18.75" customHeight="1">
      <c r="A17" s="644"/>
      <c r="B17" s="720" t="s">
        <v>34</v>
      </c>
      <c r="C17" s="359"/>
      <c r="D17" s="721">
        <f t="shared" ref="D17:S18" si="9">D18</f>
        <v>77725560</v>
      </c>
      <c r="E17" s="722">
        <f t="shared" si="9"/>
        <v>0</v>
      </c>
      <c r="F17" s="722">
        <f t="shared" si="9"/>
        <v>0</v>
      </c>
      <c r="G17" s="722">
        <f t="shared" si="9"/>
        <v>0</v>
      </c>
      <c r="H17" s="722">
        <f t="shared" si="9"/>
        <v>0</v>
      </c>
      <c r="I17" s="722">
        <f t="shared" si="9"/>
        <v>0</v>
      </c>
      <c r="J17" s="722">
        <f t="shared" si="9"/>
        <v>0</v>
      </c>
      <c r="K17" s="722">
        <f t="shared" si="9"/>
        <v>0</v>
      </c>
      <c r="L17" s="722">
        <f t="shared" si="9"/>
        <v>0</v>
      </c>
      <c r="M17" s="722">
        <f t="shared" si="9"/>
        <v>0</v>
      </c>
      <c r="N17" s="722">
        <f t="shared" si="9"/>
        <v>0</v>
      </c>
      <c r="O17" s="722">
        <f t="shared" si="9"/>
        <v>365545</v>
      </c>
      <c r="P17" s="722">
        <f t="shared" si="9"/>
        <v>535812</v>
      </c>
      <c r="Q17" s="722">
        <f t="shared" si="9"/>
        <v>28364261</v>
      </c>
      <c r="R17" s="722">
        <f t="shared" si="9"/>
        <v>46959942</v>
      </c>
      <c r="S17" s="722">
        <f t="shared" si="9"/>
        <v>1500000</v>
      </c>
      <c r="T17" s="722">
        <f t="shared" ref="T17:W18" si="10">T18</f>
        <v>0</v>
      </c>
      <c r="U17" s="722">
        <f t="shared" si="10"/>
        <v>0</v>
      </c>
      <c r="V17" s="722">
        <f t="shared" si="10"/>
        <v>0</v>
      </c>
      <c r="W17" s="722">
        <f t="shared" si="10"/>
        <v>0</v>
      </c>
      <c r="X17" s="2659" t="s">
        <v>77</v>
      </c>
      <c r="Y17" s="2330"/>
      <c r="Z17" s="723"/>
    </row>
    <row r="18" spans="1:28" ht="13.5" customHeight="1">
      <c r="A18" s="644"/>
      <c r="B18" s="724" t="s">
        <v>30</v>
      </c>
      <c r="C18" s="725"/>
      <c r="D18" s="781">
        <f>+D19+D20</f>
        <v>77725560</v>
      </c>
      <c r="E18" s="781">
        <f t="shared" si="9"/>
        <v>0</v>
      </c>
      <c r="F18" s="781">
        <f t="shared" si="9"/>
        <v>0</v>
      </c>
      <c r="G18" s="781">
        <f t="shared" si="9"/>
        <v>0</v>
      </c>
      <c r="H18" s="781">
        <f t="shared" si="9"/>
        <v>0</v>
      </c>
      <c r="I18" s="781">
        <f t="shared" si="9"/>
        <v>0</v>
      </c>
      <c r="J18" s="781">
        <f t="shared" si="9"/>
        <v>0</v>
      </c>
      <c r="K18" s="781">
        <f t="shared" si="9"/>
        <v>0</v>
      </c>
      <c r="L18" s="781">
        <f t="shared" si="9"/>
        <v>0</v>
      </c>
      <c r="M18" s="781">
        <f t="shared" si="9"/>
        <v>0</v>
      </c>
      <c r="N18" s="781">
        <f t="shared" si="9"/>
        <v>0</v>
      </c>
      <c r="O18" s="781">
        <f t="shared" si="9"/>
        <v>365545</v>
      </c>
      <c r="P18" s="781">
        <f t="shared" si="9"/>
        <v>535812</v>
      </c>
      <c r="Q18" s="781">
        <f t="shared" si="9"/>
        <v>28364261</v>
      </c>
      <c r="R18" s="781">
        <f t="shared" si="9"/>
        <v>46959942</v>
      </c>
      <c r="S18" s="781">
        <f t="shared" si="9"/>
        <v>1500000</v>
      </c>
      <c r="T18" s="781">
        <f t="shared" si="10"/>
        <v>0</v>
      </c>
      <c r="U18" s="781">
        <f t="shared" si="10"/>
        <v>0</v>
      </c>
      <c r="V18" s="781">
        <f t="shared" si="10"/>
        <v>0</v>
      </c>
      <c r="W18" s="781">
        <f t="shared" si="10"/>
        <v>0</v>
      </c>
      <c r="X18" s="2646"/>
      <c r="Y18" s="2330"/>
    </row>
    <row r="19" spans="1:28" ht="13.5" customHeight="1" thickBot="1">
      <c r="A19" s="726"/>
      <c r="B19" s="2463" t="s">
        <v>33</v>
      </c>
      <c r="C19" s="725"/>
      <c r="D19" s="645">
        <f>D29+D47+D54+D63+D70+D38+D77+D86+D104+D113+D95+D122+D131+D140</f>
        <v>77725560</v>
      </c>
      <c r="E19" s="645">
        <f t="shared" ref="E19:W19" si="11">E29+E47+E54+E63+E70+E38+E77+E86+E104+E113+E95+E122</f>
        <v>0</v>
      </c>
      <c r="F19" s="645">
        <f t="shared" si="11"/>
        <v>0</v>
      </c>
      <c r="G19" s="645">
        <f t="shared" si="11"/>
        <v>0</v>
      </c>
      <c r="H19" s="645">
        <f t="shared" si="11"/>
        <v>0</v>
      </c>
      <c r="I19" s="645">
        <f t="shared" si="11"/>
        <v>0</v>
      </c>
      <c r="J19" s="645">
        <f t="shared" si="11"/>
        <v>0</v>
      </c>
      <c r="K19" s="645">
        <f t="shared" si="11"/>
        <v>0</v>
      </c>
      <c r="L19" s="645">
        <f t="shared" si="11"/>
        <v>0</v>
      </c>
      <c r="M19" s="645">
        <f t="shared" si="11"/>
        <v>0</v>
      </c>
      <c r="N19" s="645">
        <f t="shared" si="11"/>
        <v>0</v>
      </c>
      <c r="O19" s="645">
        <f t="shared" si="11"/>
        <v>365545</v>
      </c>
      <c r="P19" s="645">
        <f>P29+P47+P54+P63+P70+P38+P77+P86+P104+P113+P95+P122+P131+P140</f>
        <v>535812</v>
      </c>
      <c r="Q19" s="645">
        <f>Q29+Q47+Q54+Q63+Q70+Q38+Q77+Q86+Q104+Q113+Q95+Q122+Q140</f>
        <v>28364261</v>
      </c>
      <c r="R19" s="645">
        <f>R29+R47+R54+R63+R70+R38+R77+R86+R104+R113+R95+R122+R140+R131</f>
        <v>46959942</v>
      </c>
      <c r="S19" s="645">
        <f t="shared" si="11"/>
        <v>1500000</v>
      </c>
      <c r="T19" s="645">
        <f t="shared" si="11"/>
        <v>0</v>
      </c>
      <c r="U19" s="645">
        <f t="shared" si="11"/>
        <v>0</v>
      </c>
      <c r="V19" s="645">
        <f t="shared" si="11"/>
        <v>0</v>
      </c>
      <c r="W19" s="645">
        <f t="shared" si="11"/>
        <v>0</v>
      </c>
      <c r="X19" s="2646"/>
      <c r="Y19" s="2330"/>
      <c r="Z19" s="723">
        <f>D19-D15</f>
        <v>0</v>
      </c>
    </row>
    <row r="20" spans="1:28" ht="13.5" hidden="1" customHeight="1" thickBot="1">
      <c r="A20" s="726"/>
      <c r="B20" s="1056" t="s">
        <v>32</v>
      </c>
      <c r="C20" s="1056"/>
      <c r="D20" s="1056"/>
      <c r="E20" s="1056"/>
      <c r="F20" s="1056"/>
      <c r="G20" s="1056"/>
      <c r="H20" s="1056"/>
      <c r="I20" s="1056"/>
      <c r="J20" s="1056"/>
      <c r="K20" s="1056"/>
      <c r="L20" s="1056"/>
      <c r="M20" s="1056"/>
      <c r="N20" s="1056"/>
      <c r="O20" s="1056"/>
      <c r="P20" s="1056"/>
      <c r="Q20" s="1056"/>
      <c r="R20" s="1056"/>
      <c r="S20" s="1056"/>
      <c r="T20" s="1056"/>
      <c r="U20" s="1056"/>
      <c r="V20" s="1056"/>
      <c r="W20" s="819"/>
      <c r="X20" s="2647"/>
      <c r="Y20" s="2330"/>
    </row>
    <row r="21" spans="1:28" ht="42" hidden="1" customHeight="1">
      <c r="A21" s="2937" t="s">
        <v>79</v>
      </c>
      <c r="B21" s="2468"/>
      <c r="C21" s="2469" t="s">
        <v>128</v>
      </c>
      <c r="D21" s="699"/>
      <c r="E21" s="673"/>
      <c r="F21" s="673"/>
      <c r="G21" s="673"/>
      <c r="H21" s="673"/>
      <c r="I21" s="673"/>
      <c r="J21" s="673"/>
      <c r="K21" s="673"/>
      <c r="L21" s="692"/>
      <c r="M21" s="692"/>
      <c r="N21" s="692"/>
      <c r="O21" s="692"/>
      <c r="P21" s="693"/>
      <c r="Q21" s="693"/>
      <c r="R21" s="693"/>
      <c r="S21" s="693"/>
      <c r="T21" s="692"/>
      <c r="U21" s="692"/>
      <c r="V21" s="692"/>
      <c r="W21" s="692"/>
      <c r="X21" s="694"/>
      <c r="Y21" s="2963" t="s">
        <v>296</v>
      </c>
    </row>
    <row r="22" spans="1:28" ht="17.25" hidden="1" customHeight="1">
      <c r="A22" s="2926"/>
      <c r="B22" s="383" t="s">
        <v>22</v>
      </c>
      <c r="C22" s="359"/>
      <c r="D22" s="448">
        <f t="shared" ref="D22:M22" si="12">+D23+D25</f>
        <v>0</v>
      </c>
      <c r="E22" s="427">
        <f t="shared" si="12"/>
        <v>0</v>
      </c>
      <c r="F22" s="427">
        <f t="shared" si="12"/>
        <v>0</v>
      </c>
      <c r="G22" s="427">
        <f t="shared" si="12"/>
        <v>0</v>
      </c>
      <c r="H22" s="427">
        <f t="shared" si="12"/>
        <v>0</v>
      </c>
      <c r="I22" s="427">
        <f t="shared" si="12"/>
        <v>0</v>
      </c>
      <c r="J22" s="427">
        <f t="shared" si="12"/>
        <v>0</v>
      </c>
      <c r="K22" s="427">
        <f t="shared" si="12"/>
        <v>0</v>
      </c>
      <c r="L22" s="427">
        <f t="shared" si="12"/>
        <v>0</v>
      </c>
      <c r="M22" s="427">
        <f t="shared" si="12"/>
        <v>0</v>
      </c>
      <c r="N22" s="427">
        <f t="shared" ref="N22:T22" si="13">+N23+N25</f>
        <v>0</v>
      </c>
      <c r="O22" s="427">
        <f t="shared" si="13"/>
        <v>0</v>
      </c>
      <c r="P22" s="427">
        <f t="shared" si="13"/>
        <v>0</v>
      </c>
      <c r="Q22" s="427">
        <f t="shared" si="13"/>
        <v>0</v>
      </c>
      <c r="R22" s="427">
        <f t="shared" si="13"/>
        <v>0</v>
      </c>
      <c r="S22" s="427">
        <f t="shared" si="13"/>
        <v>0</v>
      </c>
      <c r="T22" s="427">
        <f t="shared" si="13"/>
        <v>0</v>
      </c>
      <c r="U22" s="427">
        <f>U23+U25</f>
        <v>0</v>
      </c>
      <c r="V22" s="427">
        <f>V23+V25</f>
        <v>0</v>
      </c>
      <c r="W22" s="427">
        <f>W23+W25</f>
        <v>0</v>
      </c>
      <c r="X22" s="464">
        <f>+X23+X25</f>
        <v>0</v>
      </c>
      <c r="Y22" s="2928"/>
      <c r="Z22" s="723"/>
      <c r="AA22" s="723"/>
    </row>
    <row r="23" spans="1:28" ht="14.25" hidden="1" customHeight="1">
      <c r="A23" s="2926"/>
      <c r="B23" s="429" t="s">
        <v>36</v>
      </c>
      <c r="C23" s="2602" t="s">
        <v>223</v>
      </c>
      <c r="D23" s="495">
        <f>+D24</f>
        <v>0</v>
      </c>
      <c r="E23" s="495">
        <f t="shared" ref="E23:J23" si="14">+E24</f>
        <v>0</v>
      </c>
      <c r="F23" s="495">
        <f t="shared" si="14"/>
        <v>0</v>
      </c>
      <c r="G23" s="495">
        <f t="shared" si="14"/>
        <v>0</v>
      </c>
      <c r="H23" s="495">
        <f t="shared" si="14"/>
        <v>0</v>
      </c>
      <c r="I23" s="495">
        <f t="shared" si="14"/>
        <v>0</v>
      </c>
      <c r="J23" s="495">
        <f t="shared" si="14"/>
        <v>0</v>
      </c>
      <c r="K23" s="727">
        <f>+K24</f>
        <v>0</v>
      </c>
      <c r="L23" s="2470">
        <f>+L24</f>
        <v>0</v>
      </c>
      <c r="M23" s="2470">
        <f>+M24</f>
        <v>0</v>
      </c>
      <c r="N23" s="2470">
        <f>+N24</f>
        <v>0</v>
      </c>
      <c r="O23" s="495">
        <f t="shared" ref="O23:W23" si="15">+O24</f>
        <v>0</v>
      </c>
      <c r="P23" s="495">
        <f t="shared" si="15"/>
        <v>0</v>
      </c>
      <c r="Q23" s="495">
        <f t="shared" si="15"/>
        <v>0</v>
      </c>
      <c r="R23" s="495">
        <f t="shared" si="15"/>
        <v>0</v>
      </c>
      <c r="S23" s="495">
        <f t="shared" si="15"/>
        <v>0</v>
      </c>
      <c r="T23" s="495">
        <f t="shared" si="15"/>
        <v>0</v>
      </c>
      <c r="U23" s="495">
        <f t="shared" si="15"/>
        <v>0</v>
      </c>
      <c r="V23" s="495">
        <f t="shared" si="15"/>
        <v>0</v>
      </c>
      <c r="W23" s="495">
        <f t="shared" si="15"/>
        <v>0</v>
      </c>
      <c r="X23" s="350">
        <f>+X24</f>
        <v>0</v>
      </c>
      <c r="Y23" s="2929"/>
      <c r="AA23" s="723"/>
      <c r="AB23" s="723"/>
    </row>
    <row r="24" spans="1:28" ht="13.5" hidden="1" customHeight="1">
      <c r="A24" s="2926"/>
      <c r="B24" s="468" t="s">
        <v>24</v>
      </c>
      <c r="C24" s="2643"/>
      <c r="D24" s="450">
        <f>+M24+O24+P24+Q24+R24+S24+T24+U24+V24+W24</f>
        <v>0</v>
      </c>
      <c r="E24" s="440">
        <v>0</v>
      </c>
      <c r="F24" s="441"/>
      <c r="G24" s="441"/>
      <c r="H24" s="440"/>
      <c r="I24" s="440">
        <v>0</v>
      </c>
      <c r="J24" s="440">
        <v>0</v>
      </c>
      <c r="K24" s="440">
        <v>0</v>
      </c>
      <c r="L24" s="440">
        <v>0</v>
      </c>
      <c r="M24" s="440">
        <v>0</v>
      </c>
      <c r="N24" s="440"/>
      <c r="O24" s="440">
        <v>0</v>
      </c>
      <c r="P24" s="440">
        <v>0</v>
      </c>
      <c r="Q24" s="440">
        <v>0</v>
      </c>
      <c r="R24" s="440">
        <v>0</v>
      </c>
      <c r="S24" s="440">
        <v>0</v>
      </c>
      <c r="T24" s="440">
        <v>0</v>
      </c>
      <c r="U24" s="440">
        <v>0</v>
      </c>
      <c r="V24" s="440">
        <v>0</v>
      </c>
      <c r="W24" s="440">
        <v>0</v>
      </c>
      <c r="X24" s="2467">
        <f>+P24+Q24+R24+S24</f>
        <v>0</v>
      </c>
      <c r="Y24" s="2929"/>
    </row>
    <row r="25" spans="1:28" ht="14.25" hidden="1" customHeight="1">
      <c r="A25" s="2926"/>
      <c r="B25" s="442" t="s">
        <v>30</v>
      </c>
      <c r="C25" s="2643"/>
      <c r="D25" s="443">
        <f t="shared" ref="D25:X25" si="16">+D26</f>
        <v>0</v>
      </c>
      <c r="E25" s="444">
        <f t="shared" si="16"/>
        <v>0</v>
      </c>
      <c r="F25" s="444">
        <f t="shared" si="16"/>
        <v>0</v>
      </c>
      <c r="G25" s="444">
        <f t="shared" si="16"/>
        <v>0</v>
      </c>
      <c r="H25" s="444">
        <f t="shared" si="16"/>
        <v>0</v>
      </c>
      <c r="I25" s="547">
        <f t="shared" si="16"/>
        <v>0</v>
      </c>
      <c r="J25" s="547">
        <f t="shared" si="16"/>
        <v>0</v>
      </c>
      <c r="K25" s="547">
        <f t="shared" si="16"/>
        <v>0</v>
      </c>
      <c r="L25" s="2471">
        <f t="shared" si="16"/>
        <v>0</v>
      </c>
      <c r="M25" s="2471">
        <f t="shared" si="16"/>
        <v>0</v>
      </c>
      <c r="N25" s="2471">
        <f t="shared" si="16"/>
        <v>0</v>
      </c>
      <c r="O25" s="547">
        <f t="shared" ref="O25:W25" si="17">+O26</f>
        <v>0</v>
      </c>
      <c r="P25" s="547">
        <f t="shared" si="17"/>
        <v>0</v>
      </c>
      <c r="Q25" s="547">
        <f t="shared" si="17"/>
        <v>0</v>
      </c>
      <c r="R25" s="547">
        <f t="shared" si="17"/>
        <v>0</v>
      </c>
      <c r="S25" s="547">
        <f t="shared" si="17"/>
        <v>0</v>
      </c>
      <c r="T25" s="547">
        <f t="shared" si="17"/>
        <v>0</v>
      </c>
      <c r="U25" s="547">
        <f t="shared" si="17"/>
        <v>0</v>
      </c>
      <c r="V25" s="547">
        <f t="shared" si="17"/>
        <v>0</v>
      </c>
      <c r="W25" s="547">
        <f t="shared" si="17"/>
        <v>0</v>
      </c>
      <c r="X25" s="486">
        <f t="shared" si="16"/>
        <v>0</v>
      </c>
      <c r="Y25" s="2929"/>
    </row>
    <row r="26" spans="1:28" ht="12" hidden="1" customHeight="1">
      <c r="A26" s="2926"/>
      <c r="B26" s="2472" t="s">
        <v>33</v>
      </c>
      <c r="C26" s="2964"/>
      <c r="D26" s="450">
        <f>+M26+O26+P26+Q26+R26+S26+T26+U26+V26+W26</f>
        <v>0</v>
      </c>
      <c r="E26" s="438">
        <v>0</v>
      </c>
      <c r="F26" s="1987">
        <v>0</v>
      </c>
      <c r="G26" s="1987"/>
      <c r="H26" s="438"/>
      <c r="I26" s="438">
        <v>0</v>
      </c>
      <c r="J26" s="438">
        <v>0</v>
      </c>
      <c r="K26" s="438">
        <v>0</v>
      </c>
      <c r="L26" s="438">
        <v>0</v>
      </c>
      <c r="M26" s="440">
        <v>0</v>
      </c>
      <c r="N26" s="438"/>
      <c r="O26" s="438">
        <v>0</v>
      </c>
      <c r="P26" s="438">
        <v>0</v>
      </c>
      <c r="Q26" s="438">
        <v>0</v>
      </c>
      <c r="R26" s="438">
        <v>0</v>
      </c>
      <c r="S26" s="438">
        <v>0</v>
      </c>
      <c r="T26" s="438">
        <v>0</v>
      </c>
      <c r="U26" s="438">
        <v>0</v>
      </c>
      <c r="V26" s="438">
        <v>0</v>
      </c>
      <c r="W26" s="438">
        <v>0</v>
      </c>
      <c r="X26" s="2467">
        <f>+P26+Q26+R26+S26</f>
        <v>0</v>
      </c>
      <c r="Y26" s="2929"/>
    </row>
    <row r="27" spans="1:28" ht="14.25" hidden="1" customHeight="1">
      <c r="A27" s="2926"/>
      <c r="B27" s="358" t="s">
        <v>34</v>
      </c>
      <c r="C27" s="2473"/>
      <c r="D27" s="448">
        <f>+D28</f>
        <v>0</v>
      </c>
      <c r="E27" s="427">
        <f t="shared" ref="E27:U28" si="18">+E28</f>
        <v>0</v>
      </c>
      <c r="F27" s="427">
        <f t="shared" si="18"/>
        <v>0</v>
      </c>
      <c r="G27" s="427">
        <f t="shared" si="18"/>
        <v>0</v>
      </c>
      <c r="H27" s="427">
        <f t="shared" si="18"/>
        <v>0</v>
      </c>
      <c r="I27" s="427">
        <f t="shared" si="18"/>
        <v>0</v>
      </c>
      <c r="J27" s="427">
        <f t="shared" si="18"/>
        <v>0</v>
      </c>
      <c r="K27" s="427">
        <f t="shared" si="18"/>
        <v>0</v>
      </c>
      <c r="L27" s="427">
        <f t="shared" si="18"/>
        <v>0</v>
      </c>
      <c r="M27" s="427">
        <f t="shared" si="18"/>
        <v>0</v>
      </c>
      <c r="N27" s="427">
        <f t="shared" si="18"/>
        <v>0</v>
      </c>
      <c r="O27" s="427">
        <f t="shared" si="18"/>
        <v>0</v>
      </c>
      <c r="P27" s="427">
        <f t="shared" si="18"/>
        <v>0</v>
      </c>
      <c r="Q27" s="427">
        <f t="shared" si="18"/>
        <v>0</v>
      </c>
      <c r="R27" s="427">
        <f t="shared" si="18"/>
        <v>0</v>
      </c>
      <c r="S27" s="427">
        <f t="shared" si="18"/>
        <v>0</v>
      </c>
      <c r="T27" s="427">
        <f t="shared" si="18"/>
        <v>0</v>
      </c>
      <c r="U27" s="427">
        <f t="shared" si="18"/>
        <v>0</v>
      </c>
      <c r="V27" s="427">
        <f>+V28</f>
        <v>0</v>
      </c>
      <c r="W27" s="427">
        <f>+W28</f>
        <v>0</v>
      </c>
      <c r="X27" s="2659" t="s">
        <v>77</v>
      </c>
      <c r="Y27" s="2929"/>
    </row>
    <row r="28" spans="1:28" ht="14.25" hidden="1" customHeight="1">
      <c r="A28" s="2926"/>
      <c r="B28" s="502" t="s">
        <v>30</v>
      </c>
      <c r="C28" s="2965" t="s">
        <v>224</v>
      </c>
      <c r="D28" s="443">
        <f>+D29</f>
        <v>0</v>
      </c>
      <c r="E28" s="444">
        <f t="shared" si="18"/>
        <v>0</v>
      </c>
      <c r="F28" s="444">
        <f t="shared" si="18"/>
        <v>0</v>
      </c>
      <c r="G28" s="444">
        <f t="shared" si="18"/>
        <v>0</v>
      </c>
      <c r="H28" s="444">
        <f t="shared" si="18"/>
        <v>0</v>
      </c>
      <c r="I28" s="444">
        <f t="shared" si="18"/>
        <v>0</v>
      </c>
      <c r="J28" s="444">
        <f t="shared" si="18"/>
        <v>0</v>
      </c>
      <c r="K28" s="444">
        <f t="shared" si="18"/>
        <v>0</v>
      </c>
      <c r="L28" s="444">
        <f t="shared" si="18"/>
        <v>0</v>
      </c>
      <c r="M28" s="444">
        <f t="shared" si="18"/>
        <v>0</v>
      </c>
      <c r="N28" s="444">
        <f t="shared" si="18"/>
        <v>0</v>
      </c>
      <c r="O28" s="444">
        <f t="shared" si="18"/>
        <v>0</v>
      </c>
      <c r="P28" s="444">
        <f t="shared" si="18"/>
        <v>0</v>
      </c>
      <c r="Q28" s="444">
        <f t="shared" si="18"/>
        <v>0</v>
      </c>
      <c r="R28" s="444">
        <f t="shared" si="18"/>
        <v>0</v>
      </c>
      <c r="S28" s="444">
        <f t="shared" si="18"/>
        <v>0</v>
      </c>
      <c r="T28" s="444">
        <f t="shared" si="18"/>
        <v>0</v>
      </c>
      <c r="U28" s="444">
        <f t="shared" si="18"/>
        <v>0</v>
      </c>
      <c r="V28" s="444">
        <f>+V29</f>
        <v>0</v>
      </c>
      <c r="W28" s="444">
        <f>+W29</f>
        <v>0</v>
      </c>
      <c r="X28" s="2646"/>
      <c r="Y28" s="2929"/>
    </row>
    <row r="29" spans="1:28" s="728" customFormat="1" ht="15.75" hidden="1" customHeight="1" thickBot="1">
      <c r="A29" s="2927"/>
      <c r="B29" s="1072" t="s">
        <v>33</v>
      </c>
      <c r="C29" s="2966"/>
      <c r="D29" s="450">
        <f>+M29+O29+P29+Q29+R29+S29+T29+U29+V29+W29</f>
        <v>0</v>
      </c>
      <c r="E29" s="438"/>
      <c r="F29" s="922"/>
      <c r="G29" s="922"/>
      <c r="H29" s="438"/>
      <c r="I29" s="438">
        <v>0</v>
      </c>
      <c r="J29" s="438">
        <v>0</v>
      </c>
      <c r="K29" s="438">
        <v>0</v>
      </c>
      <c r="L29" s="438">
        <v>0</v>
      </c>
      <c r="M29" s="440">
        <v>0</v>
      </c>
      <c r="N29" s="438"/>
      <c r="O29" s="438">
        <v>0</v>
      </c>
      <c r="P29" s="475">
        <v>0</v>
      </c>
      <c r="Q29" s="475">
        <v>0</v>
      </c>
      <c r="R29" s="475">
        <v>0</v>
      </c>
      <c r="S29" s="475">
        <v>0</v>
      </c>
      <c r="T29" s="475">
        <v>0</v>
      </c>
      <c r="U29" s="475">
        <v>0</v>
      </c>
      <c r="V29" s="475">
        <v>0</v>
      </c>
      <c r="W29" s="475">
        <v>0</v>
      </c>
      <c r="X29" s="2646"/>
      <c r="Y29" s="2930"/>
      <c r="AA29" s="729"/>
    </row>
    <row r="30" spans="1:28" ht="42.75" hidden="1" customHeight="1">
      <c r="A30" s="2967" t="s">
        <v>80</v>
      </c>
      <c r="B30" s="690"/>
      <c r="C30" s="1831" t="s">
        <v>97</v>
      </c>
      <c r="D30" s="699"/>
      <c r="E30" s="673"/>
      <c r="F30" s="673"/>
      <c r="G30" s="673"/>
      <c r="H30" s="673"/>
      <c r="I30" s="673"/>
      <c r="J30" s="673"/>
      <c r="K30" s="673"/>
      <c r="L30" s="692"/>
      <c r="M30" s="692"/>
      <c r="N30" s="692"/>
      <c r="O30" s="692"/>
      <c r="P30" s="693"/>
      <c r="Q30" s="693"/>
      <c r="R30" s="693"/>
      <c r="S30" s="693"/>
      <c r="T30" s="692"/>
      <c r="U30" s="692"/>
      <c r="V30" s="692"/>
      <c r="W30" s="692"/>
      <c r="X30" s="694"/>
      <c r="Y30" s="2963" t="s">
        <v>296</v>
      </c>
    </row>
    <row r="31" spans="1:28" ht="15.75" hidden="1" customHeight="1">
      <c r="A31" s="2968"/>
      <c r="B31" s="383" t="s">
        <v>22</v>
      </c>
      <c r="C31" s="359"/>
      <c r="D31" s="448">
        <f t="shared" ref="D31:M31" si="19">+D32+D34</f>
        <v>0</v>
      </c>
      <c r="E31" s="427">
        <f t="shared" si="19"/>
        <v>0</v>
      </c>
      <c r="F31" s="427">
        <f t="shared" si="19"/>
        <v>0</v>
      </c>
      <c r="G31" s="427">
        <f t="shared" si="19"/>
        <v>0</v>
      </c>
      <c r="H31" s="427">
        <f t="shared" si="19"/>
        <v>0</v>
      </c>
      <c r="I31" s="427">
        <f t="shared" si="19"/>
        <v>0</v>
      </c>
      <c r="J31" s="427">
        <f t="shared" si="19"/>
        <v>0</v>
      </c>
      <c r="K31" s="427">
        <f t="shared" si="19"/>
        <v>0</v>
      </c>
      <c r="L31" s="427">
        <f t="shared" si="19"/>
        <v>0</v>
      </c>
      <c r="M31" s="427">
        <f t="shared" si="19"/>
        <v>0</v>
      </c>
      <c r="N31" s="427">
        <f>+N32+N34</f>
        <v>0</v>
      </c>
      <c r="O31" s="427">
        <f>+O32+O34</f>
        <v>0</v>
      </c>
      <c r="P31" s="427">
        <f t="shared" ref="P31:W31" si="20">+P32+P34</f>
        <v>0</v>
      </c>
      <c r="Q31" s="427">
        <f t="shared" si="20"/>
        <v>0</v>
      </c>
      <c r="R31" s="427">
        <f t="shared" si="20"/>
        <v>0</v>
      </c>
      <c r="S31" s="427">
        <f t="shared" si="20"/>
        <v>0</v>
      </c>
      <c r="T31" s="427">
        <f t="shared" si="20"/>
        <v>0</v>
      </c>
      <c r="U31" s="427">
        <f t="shared" si="20"/>
        <v>0</v>
      </c>
      <c r="V31" s="427">
        <f t="shared" si="20"/>
        <v>0</v>
      </c>
      <c r="W31" s="427">
        <f t="shared" si="20"/>
        <v>0</v>
      </c>
      <c r="X31" s="464">
        <f>+X32+X34</f>
        <v>0</v>
      </c>
      <c r="Y31" s="2928"/>
    </row>
    <row r="32" spans="1:28" ht="15.75" hidden="1" customHeight="1">
      <c r="A32" s="2968"/>
      <c r="B32" s="429" t="s">
        <v>36</v>
      </c>
      <c r="C32" s="2602" t="s">
        <v>223</v>
      </c>
      <c r="D32" s="495">
        <f>+D33</f>
        <v>0</v>
      </c>
      <c r="E32" s="495">
        <f t="shared" ref="E32:J32" si="21">+E33</f>
        <v>0</v>
      </c>
      <c r="F32" s="495">
        <f t="shared" si="21"/>
        <v>0</v>
      </c>
      <c r="G32" s="495">
        <f t="shared" si="21"/>
        <v>0</v>
      </c>
      <c r="H32" s="495">
        <f t="shared" si="21"/>
        <v>0</v>
      </c>
      <c r="I32" s="495">
        <f t="shared" si="21"/>
        <v>0</v>
      </c>
      <c r="J32" s="495">
        <f t="shared" si="21"/>
        <v>0</v>
      </c>
      <c r="K32" s="727">
        <f>+K33</f>
        <v>0</v>
      </c>
      <c r="L32" s="2470">
        <f>+L33</f>
        <v>0</v>
      </c>
      <c r="M32" s="2470">
        <f>+M33</f>
        <v>0</v>
      </c>
      <c r="N32" s="2470">
        <f>+N33</f>
        <v>0</v>
      </c>
      <c r="O32" s="495">
        <f t="shared" ref="O32:W32" si="22">+O33</f>
        <v>0</v>
      </c>
      <c r="P32" s="495">
        <f t="shared" si="22"/>
        <v>0</v>
      </c>
      <c r="Q32" s="495">
        <f t="shared" si="22"/>
        <v>0</v>
      </c>
      <c r="R32" s="495">
        <f t="shared" si="22"/>
        <v>0</v>
      </c>
      <c r="S32" s="495">
        <f t="shared" si="22"/>
        <v>0</v>
      </c>
      <c r="T32" s="495">
        <f t="shared" si="22"/>
        <v>0</v>
      </c>
      <c r="U32" s="495">
        <f t="shared" si="22"/>
        <v>0</v>
      </c>
      <c r="V32" s="495">
        <f t="shared" si="22"/>
        <v>0</v>
      </c>
      <c r="W32" s="495">
        <f t="shared" si="22"/>
        <v>0</v>
      </c>
      <c r="X32" s="350">
        <f>+X33</f>
        <v>0</v>
      </c>
      <c r="Y32" s="2929"/>
    </row>
    <row r="33" spans="1:26" ht="15.75" hidden="1" customHeight="1">
      <c r="A33" s="2968"/>
      <c r="B33" s="468" t="s">
        <v>24</v>
      </c>
      <c r="C33" s="2643"/>
      <c r="D33" s="450">
        <f>+M33+O33+P33+Q33+R33+S33+T33+U33+V33+W33</f>
        <v>0</v>
      </c>
      <c r="E33" s="440">
        <v>0</v>
      </c>
      <c r="F33" s="441"/>
      <c r="G33" s="441"/>
      <c r="H33" s="440"/>
      <c r="I33" s="440">
        <v>0</v>
      </c>
      <c r="J33" s="440">
        <v>0</v>
      </c>
      <c r="K33" s="440">
        <v>0</v>
      </c>
      <c r="L33" s="440">
        <v>0</v>
      </c>
      <c r="M33" s="440">
        <v>0</v>
      </c>
      <c r="N33" s="440"/>
      <c r="O33" s="440">
        <v>0</v>
      </c>
      <c r="P33" s="440">
        <v>0</v>
      </c>
      <c r="Q33" s="440">
        <v>0</v>
      </c>
      <c r="R33" s="440">
        <v>0</v>
      </c>
      <c r="S33" s="440">
        <v>0</v>
      </c>
      <c r="T33" s="440">
        <v>0</v>
      </c>
      <c r="U33" s="440">
        <v>0</v>
      </c>
      <c r="V33" s="440">
        <v>0</v>
      </c>
      <c r="W33" s="440">
        <v>0</v>
      </c>
      <c r="X33" s="2467">
        <f>+P33+Q33+R33+S33</f>
        <v>0</v>
      </c>
      <c r="Y33" s="2929"/>
    </row>
    <row r="34" spans="1:26" ht="12" hidden="1">
      <c r="A34" s="2968"/>
      <c r="B34" s="468" t="s">
        <v>30</v>
      </c>
      <c r="C34" s="2643"/>
      <c r="D34" s="443">
        <f t="shared" ref="D34:X34" si="23">+D35</f>
        <v>0</v>
      </c>
      <c r="E34" s="444">
        <f t="shared" si="23"/>
        <v>0</v>
      </c>
      <c r="F34" s="444">
        <f t="shared" si="23"/>
        <v>0</v>
      </c>
      <c r="G34" s="444">
        <f t="shared" si="23"/>
        <v>0</v>
      </c>
      <c r="H34" s="444">
        <f t="shared" si="23"/>
        <v>0</v>
      </c>
      <c r="I34" s="547">
        <f t="shared" si="23"/>
        <v>0</v>
      </c>
      <c r="J34" s="547">
        <f t="shared" si="23"/>
        <v>0</v>
      </c>
      <c r="K34" s="547">
        <f t="shared" si="23"/>
        <v>0</v>
      </c>
      <c r="L34" s="2471">
        <f t="shared" si="23"/>
        <v>0</v>
      </c>
      <c r="M34" s="2471">
        <f t="shared" si="23"/>
        <v>0</v>
      </c>
      <c r="N34" s="2471">
        <f t="shared" si="23"/>
        <v>0</v>
      </c>
      <c r="O34" s="547">
        <f t="shared" si="23"/>
        <v>0</v>
      </c>
      <c r="P34" s="547">
        <f t="shared" si="23"/>
        <v>0</v>
      </c>
      <c r="Q34" s="547">
        <f t="shared" si="23"/>
        <v>0</v>
      </c>
      <c r="R34" s="547">
        <f t="shared" si="23"/>
        <v>0</v>
      </c>
      <c r="S34" s="547">
        <f t="shared" si="23"/>
        <v>0</v>
      </c>
      <c r="T34" s="547">
        <f t="shared" si="23"/>
        <v>0</v>
      </c>
      <c r="U34" s="547">
        <f t="shared" si="23"/>
        <v>0</v>
      </c>
      <c r="V34" s="547">
        <f t="shared" si="23"/>
        <v>0</v>
      </c>
      <c r="W34" s="547">
        <f t="shared" si="23"/>
        <v>0</v>
      </c>
      <c r="X34" s="486">
        <f t="shared" si="23"/>
        <v>0</v>
      </c>
      <c r="Y34" s="2929"/>
    </row>
    <row r="35" spans="1:26" ht="12.75" hidden="1" customHeight="1">
      <c r="A35" s="2968"/>
      <c r="B35" s="468" t="s">
        <v>33</v>
      </c>
      <c r="C35" s="2643"/>
      <c r="D35" s="450">
        <f>+M35+O35+P35+Q35+R35+S35+T35+U35+V35+W35</f>
        <v>0</v>
      </c>
      <c r="E35" s="438">
        <v>0</v>
      </c>
      <c r="F35" s="1987">
        <v>0</v>
      </c>
      <c r="G35" s="1987"/>
      <c r="H35" s="438"/>
      <c r="I35" s="438">
        <v>0</v>
      </c>
      <c r="J35" s="438">
        <v>0</v>
      </c>
      <c r="K35" s="438">
        <v>0</v>
      </c>
      <c r="L35" s="438">
        <v>0</v>
      </c>
      <c r="M35" s="440">
        <v>0</v>
      </c>
      <c r="N35" s="438"/>
      <c r="O35" s="438">
        <v>0</v>
      </c>
      <c r="P35" s="438">
        <v>0</v>
      </c>
      <c r="Q35" s="438">
        <v>0</v>
      </c>
      <c r="R35" s="438">
        <v>0</v>
      </c>
      <c r="S35" s="438">
        <v>0</v>
      </c>
      <c r="T35" s="438">
        <v>0</v>
      </c>
      <c r="U35" s="438">
        <v>0</v>
      </c>
      <c r="V35" s="438">
        <v>0</v>
      </c>
      <c r="W35" s="438">
        <v>0</v>
      </c>
      <c r="X35" s="2467">
        <f>+P35+Q35+R35+S35</f>
        <v>0</v>
      </c>
      <c r="Y35" s="2929"/>
    </row>
    <row r="36" spans="1:26" ht="13.5" hidden="1" customHeight="1">
      <c r="A36" s="2968"/>
      <c r="B36" s="383" t="s">
        <v>34</v>
      </c>
      <c r="C36" s="359"/>
      <c r="D36" s="448">
        <f>+D37</f>
        <v>0</v>
      </c>
      <c r="E36" s="427">
        <f t="shared" ref="E36:U37" si="24">+E37</f>
        <v>0</v>
      </c>
      <c r="F36" s="427">
        <f t="shared" si="24"/>
        <v>0</v>
      </c>
      <c r="G36" s="427">
        <f t="shared" si="24"/>
        <v>0</v>
      </c>
      <c r="H36" s="427">
        <f t="shared" si="24"/>
        <v>0</v>
      </c>
      <c r="I36" s="427">
        <f t="shared" si="24"/>
        <v>0</v>
      </c>
      <c r="J36" s="427">
        <f t="shared" si="24"/>
        <v>0</v>
      </c>
      <c r="K36" s="427">
        <f t="shared" si="24"/>
        <v>0</v>
      </c>
      <c r="L36" s="448">
        <f t="shared" si="24"/>
        <v>0</v>
      </c>
      <c r="M36" s="448">
        <f t="shared" si="24"/>
        <v>0</v>
      </c>
      <c r="N36" s="448">
        <f t="shared" si="24"/>
        <v>0</v>
      </c>
      <c r="O36" s="448">
        <f t="shared" si="24"/>
        <v>0</v>
      </c>
      <c r="P36" s="427">
        <f t="shared" si="24"/>
        <v>0</v>
      </c>
      <c r="Q36" s="427">
        <f t="shared" si="24"/>
        <v>0</v>
      </c>
      <c r="R36" s="427">
        <f t="shared" si="24"/>
        <v>0</v>
      </c>
      <c r="S36" s="427">
        <f t="shared" si="24"/>
        <v>0</v>
      </c>
      <c r="T36" s="427">
        <f t="shared" si="24"/>
        <v>0</v>
      </c>
      <c r="U36" s="427">
        <f t="shared" si="24"/>
        <v>0</v>
      </c>
      <c r="V36" s="427">
        <f>+V37</f>
        <v>0</v>
      </c>
      <c r="W36" s="427">
        <f>+W37</f>
        <v>0</v>
      </c>
      <c r="X36" s="2659" t="s">
        <v>77</v>
      </c>
      <c r="Y36" s="2929"/>
    </row>
    <row r="37" spans="1:26" ht="13.5" hidden="1" customHeight="1">
      <c r="A37" s="2968"/>
      <c r="B37" s="2474" t="s">
        <v>30</v>
      </c>
      <c r="C37" s="2595" t="s">
        <v>224</v>
      </c>
      <c r="D37" s="443">
        <f>+D38</f>
        <v>0</v>
      </c>
      <c r="E37" s="444">
        <f t="shared" si="24"/>
        <v>0</v>
      </c>
      <c r="F37" s="444">
        <f t="shared" si="24"/>
        <v>0</v>
      </c>
      <c r="G37" s="444">
        <f t="shared" si="24"/>
        <v>0</v>
      </c>
      <c r="H37" s="444">
        <f t="shared" si="24"/>
        <v>0</v>
      </c>
      <c r="I37" s="444">
        <f t="shared" si="24"/>
        <v>0</v>
      </c>
      <c r="J37" s="444">
        <f t="shared" si="24"/>
        <v>0</v>
      </c>
      <c r="K37" s="444">
        <f t="shared" si="24"/>
        <v>0</v>
      </c>
      <c r="L37" s="444">
        <f t="shared" si="24"/>
        <v>0</v>
      </c>
      <c r="M37" s="444">
        <f t="shared" si="24"/>
        <v>0</v>
      </c>
      <c r="N37" s="444">
        <f t="shared" si="24"/>
        <v>0</v>
      </c>
      <c r="O37" s="444">
        <f t="shared" si="24"/>
        <v>0</v>
      </c>
      <c r="P37" s="444">
        <f t="shared" si="24"/>
        <v>0</v>
      </c>
      <c r="Q37" s="444">
        <f t="shared" si="24"/>
        <v>0</v>
      </c>
      <c r="R37" s="444">
        <f t="shared" si="24"/>
        <v>0</v>
      </c>
      <c r="S37" s="444">
        <f t="shared" si="24"/>
        <v>0</v>
      </c>
      <c r="T37" s="444">
        <f t="shared" si="24"/>
        <v>0</v>
      </c>
      <c r="U37" s="444">
        <f t="shared" si="24"/>
        <v>0</v>
      </c>
      <c r="V37" s="444">
        <f>+V38</f>
        <v>0</v>
      </c>
      <c r="W37" s="444">
        <f>+W38</f>
        <v>0</v>
      </c>
      <c r="X37" s="2646"/>
      <c r="Y37" s="2929"/>
    </row>
    <row r="38" spans="1:26" ht="13.5" hidden="1" customHeight="1" thickBot="1">
      <c r="A38" s="2969"/>
      <c r="B38" s="2475" t="s">
        <v>33</v>
      </c>
      <c r="C38" s="2916"/>
      <c r="D38" s="518">
        <f>+M38+O38+P38+Q38+R38+S38+T38+U38+V38+W38</f>
        <v>0</v>
      </c>
      <c r="E38" s="475"/>
      <c r="F38" s="2475"/>
      <c r="G38" s="2475"/>
      <c r="H38" s="475"/>
      <c r="I38" s="475">
        <v>0</v>
      </c>
      <c r="J38" s="475">
        <v>0</v>
      </c>
      <c r="K38" s="475">
        <v>0</v>
      </c>
      <c r="L38" s="475">
        <v>0</v>
      </c>
      <c r="M38" s="475">
        <v>0</v>
      </c>
      <c r="N38" s="475"/>
      <c r="O38" s="475">
        <v>0</v>
      </c>
      <c r="P38" s="475">
        <v>0</v>
      </c>
      <c r="Q38" s="475">
        <v>0</v>
      </c>
      <c r="R38" s="475">
        <v>0</v>
      </c>
      <c r="S38" s="475">
        <v>0</v>
      </c>
      <c r="T38" s="475">
        <v>0</v>
      </c>
      <c r="U38" s="475">
        <v>0</v>
      </c>
      <c r="V38" s="475">
        <v>0</v>
      </c>
      <c r="W38" s="475">
        <v>0</v>
      </c>
      <c r="X38" s="2647"/>
      <c r="Y38" s="2918"/>
    </row>
    <row r="39" spans="1:26" s="1118" customFormat="1" ht="45" hidden="1" customHeight="1">
      <c r="A39" s="2937" t="s">
        <v>79</v>
      </c>
      <c r="B39" s="2476"/>
      <c r="C39" s="1831" t="s">
        <v>128</v>
      </c>
      <c r="D39" s="692"/>
      <c r="E39" s="692"/>
      <c r="F39" s="692"/>
      <c r="G39" s="692"/>
      <c r="H39" s="692"/>
      <c r="I39" s="692"/>
      <c r="J39" s="692"/>
      <c r="K39" s="692"/>
      <c r="L39" s="692"/>
      <c r="M39" s="692"/>
      <c r="N39" s="692"/>
      <c r="O39" s="692"/>
      <c r="P39" s="693"/>
      <c r="Q39" s="693"/>
      <c r="R39" s="693"/>
      <c r="S39" s="693"/>
      <c r="T39" s="692"/>
      <c r="U39" s="692"/>
      <c r="V39" s="692"/>
      <c r="W39" s="692"/>
      <c r="X39" s="694"/>
      <c r="Y39" s="2963" t="s">
        <v>296</v>
      </c>
    </row>
    <row r="40" spans="1:26" s="1118" customFormat="1" ht="16.5" hidden="1" customHeight="1">
      <c r="A40" s="2925"/>
      <c r="B40" s="383" t="s">
        <v>22</v>
      </c>
      <c r="C40" s="359"/>
      <c r="D40" s="427">
        <f t="shared" ref="D40:M40" si="25">+D41+D43</f>
        <v>0</v>
      </c>
      <c r="E40" s="427">
        <f t="shared" si="25"/>
        <v>0</v>
      </c>
      <c r="F40" s="427">
        <f t="shared" si="25"/>
        <v>0</v>
      </c>
      <c r="G40" s="427">
        <f t="shared" si="25"/>
        <v>0</v>
      </c>
      <c r="H40" s="427">
        <f t="shared" si="25"/>
        <v>0</v>
      </c>
      <c r="I40" s="427">
        <f t="shared" si="25"/>
        <v>0</v>
      </c>
      <c r="J40" s="427">
        <f t="shared" si="25"/>
        <v>0</v>
      </c>
      <c r="K40" s="427">
        <f t="shared" si="25"/>
        <v>0</v>
      </c>
      <c r="L40" s="427">
        <f t="shared" si="25"/>
        <v>0</v>
      </c>
      <c r="M40" s="427">
        <f t="shared" si="25"/>
        <v>0</v>
      </c>
      <c r="N40" s="427">
        <f>N41+N43</f>
        <v>0</v>
      </c>
      <c r="O40" s="427">
        <f>O41+O43</f>
        <v>0</v>
      </c>
      <c r="P40" s="427">
        <f>P41+P43</f>
        <v>0</v>
      </c>
      <c r="Q40" s="427">
        <f>Q41+Q43</f>
        <v>0</v>
      </c>
      <c r="R40" s="427">
        <f t="shared" ref="R40:W40" si="26">R41+R43</f>
        <v>0</v>
      </c>
      <c r="S40" s="427">
        <f t="shared" si="26"/>
        <v>0</v>
      </c>
      <c r="T40" s="427">
        <f t="shared" si="26"/>
        <v>0</v>
      </c>
      <c r="U40" s="427">
        <f t="shared" si="26"/>
        <v>0</v>
      </c>
      <c r="V40" s="427">
        <f t="shared" si="26"/>
        <v>0</v>
      </c>
      <c r="W40" s="427">
        <f t="shared" si="26"/>
        <v>0</v>
      </c>
      <c r="X40" s="464">
        <f>+X41+X43</f>
        <v>0</v>
      </c>
      <c r="Y40" s="2928"/>
    </row>
    <row r="41" spans="1:26" s="1118" customFormat="1" ht="14.25" hidden="1" customHeight="1">
      <c r="A41" s="2925"/>
      <c r="B41" s="2474" t="s">
        <v>36</v>
      </c>
      <c r="C41" s="2970" t="s">
        <v>223</v>
      </c>
      <c r="D41" s="503">
        <f>+D42</f>
        <v>0</v>
      </c>
      <c r="E41" s="495">
        <f t="shared" ref="E41:J41" si="27">+E42</f>
        <v>0</v>
      </c>
      <c r="F41" s="495">
        <f t="shared" si="27"/>
        <v>0</v>
      </c>
      <c r="G41" s="495">
        <f t="shared" si="27"/>
        <v>0</v>
      </c>
      <c r="H41" s="495">
        <f t="shared" si="27"/>
        <v>0</v>
      </c>
      <c r="I41" s="495">
        <f t="shared" si="27"/>
        <v>0</v>
      </c>
      <c r="J41" s="495">
        <f t="shared" si="27"/>
        <v>0</v>
      </c>
      <c r="K41" s="727">
        <f>+K42</f>
        <v>0</v>
      </c>
      <c r="L41" s="2470">
        <f>+L42</f>
        <v>0</v>
      </c>
      <c r="M41" s="2470">
        <f>+M42</f>
        <v>0</v>
      </c>
      <c r="N41" s="2470">
        <f>N42</f>
        <v>0</v>
      </c>
      <c r="O41" s="2470">
        <f>O42</f>
        <v>0</v>
      </c>
      <c r="P41" s="2470">
        <f>P42</f>
        <v>0</v>
      </c>
      <c r="Q41" s="2470">
        <f>Q42</f>
        <v>0</v>
      </c>
      <c r="R41" s="2470">
        <f t="shared" ref="R41:W41" si="28">R42</f>
        <v>0</v>
      </c>
      <c r="S41" s="2470">
        <f t="shared" si="28"/>
        <v>0</v>
      </c>
      <c r="T41" s="2470">
        <f t="shared" si="28"/>
        <v>0</v>
      </c>
      <c r="U41" s="2470">
        <f t="shared" si="28"/>
        <v>0</v>
      </c>
      <c r="V41" s="2470">
        <f t="shared" si="28"/>
        <v>0</v>
      </c>
      <c r="W41" s="2470">
        <f t="shared" si="28"/>
        <v>0</v>
      </c>
      <c r="X41" s="350">
        <f>+X42</f>
        <v>0</v>
      </c>
      <c r="Y41" s="2929"/>
    </row>
    <row r="42" spans="1:26" s="1118" customFormat="1" ht="12.75" hidden="1" customHeight="1">
      <c r="A42" s="2925"/>
      <c r="B42" s="521" t="s">
        <v>24</v>
      </c>
      <c r="C42" s="2954"/>
      <c r="D42" s="450">
        <f>+M42+O42+P42+Q42+R42+S42+T42+U42+V42+W42</f>
        <v>0</v>
      </c>
      <c r="E42" s="440">
        <v>0</v>
      </c>
      <c r="F42" s="441"/>
      <c r="G42" s="441"/>
      <c r="H42" s="440"/>
      <c r="I42" s="440">
        <v>0</v>
      </c>
      <c r="J42" s="440">
        <v>0</v>
      </c>
      <c r="K42" s="440">
        <v>0</v>
      </c>
      <c r="L42" s="440">
        <v>0</v>
      </c>
      <c r="M42" s="440">
        <v>0</v>
      </c>
      <c r="N42" s="440"/>
      <c r="O42" s="440">
        <v>0</v>
      </c>
      <c r="P42" s="440">
        <v>0</v>
      </c>
      <c r="Q42" s="440">
        <v>0</v>
      </c>
      <c r="R42" s="440">
        <v>0</v>
      </c>
      <c r="S42" s="440">
        <v>0</v>
      </c>
      <c r="T42" s="440">
        <v>0</v>
      </c>
      <c r="U42" s="440">
        <v>0</v>
      </c>
      <c r="V42" s="440">
        <v>0</v>
      </c>
      <c r="W42" s="440">
        <v>0</v>
      </c>
      <c r="X42" s="2467">
        <f>+P42+Q42+R42+S42</f>
        <v>0</v>
      </c>
      <c r="Y42" s="2929"/>
    </row>
    <row r="43" spans="1:26" s="1118" customFormat="1" ht="14.25" hidden="1" customHeight="1">
      <c r="A43" s="2925"/>
      <c r="B43" s="2477" t="s">
        <v>30</v>
      </c>
      <c r="C43" s="2954"/>
      <c r="D43" s="444">
        <f t="shared" ref="D43:M43" si="29">+D44</f>
        <v>0</v>
      </c>
      <c r="E43" s="444">
        <f t="shared" si="29"/>
        <v>0</v>
      </c>
      <c r="F43" s="444">
        <f t="shared" si="29"/>
        <v>0</v>
      </c>
      <c r="G43" s="444">
        <f t="shared" si="29"/>
        <v>0</v>
      </c>
      <c r="H43" s="444">
        <f t="shared" si="29"/>
        <v>0</v>
      </c>
      <c r="I43" s="547">
        <f t="shared" si="29"/>
        <v>0</v>
      </c>
      <c r="J43" s="547">
        <f t="shared" si="29"/>
        <v>0</v>
      </c>
      <c r="K43" s="547">
        <f t="shared" si="29"/>
        <v>0</v>
      </c>
      <c r="L43" s="2471">
        <f t="shared" si="29"/>
        <v>0</v>
      </c>
      <c r="M43" s="2471">
        <f t="shared" si="29"/>
        <v>0</v>
      </c>
      <c r="N43" s="2471">
        <f>N44</f>
        <v>0</v>
      </c>
      <c r="O43" s="2471">
        <f>O44</f>
        <v>0</v>
      </c>
      <c r="P43" s="2471">
        <f>P44</f>
        <v>0</v>
      </c>
      <c r="Q43" s="2471">
        <f>Q44</f>
        <v>0</v>
      </c>
      <c r="R43" s="2471">
        <f t="shared" ref="R43:W43" si="30">R44</f>
        <v>0</v>
      </c>
      <c r="S43" s="2471">
        <f t="shared" si="30"/>
        <v>0</v>
      </c>
      <c r="T43" s="2471">
        <f t="shared" si="30"/>
        <v>0</v>
      </c>
      <c r="U43" s="2471">
        <f t="shared" si="30"/>
        <v>0</v>
      </c>
      <c r="V43" s="2471">
        <f t="shared" si="30"/>
        <v>0</v>
      </c>
      <c r="W43" s="2471">
        <f t="shared" si="30"/>
        <v>0</v>
      </c>
      <c r="X43" s="486">
        <f>+X44</f>
        <v>0</v>
      </c>
      <c r="Y43" s="2929"/>
    </row>
    <row r="44" spans="1:26" s="1118" customFormat="1" ht="13.5" hidden="1" customHeight="1">
      <c r="A44" s="2925"/>
      <c r="B44" s="1987" t="s">
        <v>33</v>
      </c>
      <c r="C44" s="2971"/>
      <c r="D44" s="450">
        <f>+M44+O44+P44+Q44+R44+S44+T44+U44+V44+W44</f>
        <v>0</v>
      </c>
      <c r="E44" s="438">
        <v>0</v>
      </c>
      <c r="F44" s="1987">
        <v>0</v>
      </c>
      <c r="G44" s="1987"/>
      <c r="H44" s="438"/>
      <c r="I44" s="438">
        <v>0</v>
      </c>
      <c r="J44" s="438">
        <v>0</v>
      </c>
      <c r="K44" s="438">
        <v>0</v>
      </c>
      <c r="L44" s="438">
        <v>0</v>
      </c>
      <c r="M44" s="440">
        <v>0</v>
      </c>
      <c r="N44" s="438"/>
      <c r="O44" s="438">
        <v>0</v>
      </c>
      <c r="P44" s="438">
        <v>0</v>
      </c>
      <c r="Q44" s="438">
        <v>0</v>
      </c>
      <c r="R44" s="438">
        <v>0</v>
      </c>
      <c r="S44" s="438">
        <v>0</v>
      </c>
      <c r="T44" s="438">
        <v>0</v>
      </c>
      <c r="U44" s="438">
        <v>0</v>
      </c>
      <c r="V44" s="438">
        <v>0</v>
      </c>
      <c r="W44" s="438">
        <v>0</v>
      </c>
      <c r="X44" s="2467">
        <f>+P44+Q44+R44+S44</f>
        <v>0</v>
      </c>
      <c r="Y44" s="2929"/>
    </row>
    <row r="45" spans="1:26" s="1118" customFormat="1" ht="15.75" hidden="1" customHeight="1">
      <c r="A45" s="2925"/>
      <c r="B45" s="383" t="s">
        <v>34</v>
      </c>
      <c r="C45" s="629"/>
      <c r="D45" s="427">
        <f>+D46</f>
        <v>0</v>
      </c>
      <c r="E45" s="427">
        <f t="shared" ref="E45:N46" si="31">+E46</f>
        <v>0</v>
      </c>
      <c r="F45" s="427">
        <f t="shared" si="31"/>
        <v>0</v>
      </c>
      <c r="G45" s="427">
        <f t="shared" si="31"/>
        <v>0</v>
      </c>
      <c r="H45" s="427">
        <f t="shared" si="31"/>
        <v>0</v>
      </c>
      <c r="I45" s="427">
        <f t="shared" si="31"/>
        <v>0</v>
      </c>
      <c r="J45" s="427">
        <f t="shared" si="31"/>
        <v>0</v>
      </c>
      <c r="K45" s="427">
        <f t="shared" si="31"/>
        <v>0</v>
      </c>
      <c r="L45" s="427">
        <f t="shared" si="31"/>
        <v>0</v>
      </c>
      <c r="M45" s="427">
        <f t="shared" si="31"/>
        <v>0</v>
      </c>
      <c r="N45" s="448">
        <f t="shared" si="31"/>
        <v>0</v>
      </c>
      <c r="O45" s="448">
        <f t="shared" ref="O45:W46" si="32">O46</f>
        <v>0</v>
      </c>
      <c r="P45" s="448">
        <f t="shared" si="32"/>
        <v>0</v>
      </c>
      <c r="Q45" s="448">
        <f t="shared" si="32"/>
        <v>0</v>
      </c>
      <c r="R45" s="448">
        <f t="shared" si="32"/>
        <v>0</v>
      </c>
      <c r="S45" s="448">
        <f t="shared" si="32"/>
        <v>0</v>
      </c>
      <c r="T45" s="448">
        <f t="shared" si="32"/>
        <v>0</v>
      </c>
      <c r="U45" s="448">
        <f t="shared" si="32"/>
        <v>0</v>
      </c>
      <c r="V45" s="448">
        <f t="shared" si="32"/>
        <v>0</v>
      </c>
      <c r="W45" s="448">
        <f t="shared" si="32"/>
        <v>0</v>
      </c>
      <c r="X45" s="2659" t="s">
        <v>77</v>
      </c>
      <c r="Y45" s="2929"/>
    </row>
    <row r="46" spans="1:26" s="1118" customFormat="1" ht="12.75" hidden="1" customHeight="1">
      <c r="A46" s="2925"/>
      <c r="B46" s="442" t="s">
        <v>30</v>
      </c>
      <c r="C46" s="2972" t="s">
        <v>223</v>
      </c>
      <c r="D46" s="444">
        <f>+D47</f>
        <v>0</v>
      </c>
      <c r="E46" s="444">
        <f t="shared" si="31"/>
        <v>0</v>
      </c>
      <c r="F46" s="444">
        <f t="shared" si="31"/>
        <v>0</v>
      </c>
      <c r="G46" s="444">
        <f t="shared" si="31"/>
        <v>0</v>
      </c>
      <c r="H46" s="444">
        <f t="shared" si="31"/>
        <v>0</v>
      </c>
      <c r="I46" s="444">
        <f t="shared" si="31"/>
        <v>0</v>
      </c>
      <c r="J46" s="444">
        <f t="shared" si="31"/>
        <v>0</v>
      </c>
      <c r="K46" s="444">
        <f t="shared" si="31"/>
        <v>0</v>
      </c>
      <c r="L46" s="444">
        <f t="shared" si="31"/>
        <v>0</v>
      </c>
      <c r="M46" s="444">
        <f t="shared" si="31"/>
        <v>0</v>
      </c>
      <c r="N46" s="444">
        <f t="shared" si="31"/>
        <v>0</v>
      </c>
      <c r="O46" s="444">
        <f t="shared" si="32"/>
        <v>0</v>
      </c>
      <c r="P46" s="444">
        <f t="shared" si="32"/>
        <v>0</v>
      </c>
      <c r="Q46" s="444">
        <f t="shared" si="32"/>
        <v>0</v>
      </c>
      <c r="R46" s="444">
        <f t="shared" si="32"/>
        <v>0</v>
      </c>
      <c r="S46" s="444">
        <f t="shared" si="32"/>
        <v>0</v>
      </c>
      <c r="T46" s="444">
        <f t="shared" si="32"/>
        <v>0</v>
      </c>
      <c r="U46" s="444">
        <f t="shared" si="32"/>
        <v>0</v>
      </c>
      <c r="V46" s="444">
        <f t="shared" si="32"/>
        <v>0</v>
      </c>
      <c r="W46" s="444">
        <f t="shared" si="32"/>
        <v>0</v>
      </c>
      <c r="X46" s="2646"/>
      <c r="Y46" s="2929"/>
    </row>
    <row r="47" spans="1:26" s="1118" customFormat="1" ht="12.75" hidden="1" customHeight="1" thickBot="1">
      <c r="A47" s="2946"/>
      <c r="B47" s="2475" t="s">
        <v>33</v>
      </c>
      <c r="C47" s="2973"/>
      <c r="D47" s="517">
        <f>+M47+O47+P47+Q47+R47+S47+T47+U47+V47+W47</f>
        <v>0</v>
      </c>
      <c r="E47" s="475">
        <v>0</v>
      </c>
      <c r="F47" s="475"/>
      <c r="G47" s="475"/>
      <c r="H47" s="475"/>
      <c r="I47" s="475">
        <v>0</v>
      </c>
      <c r="J47" s="475">
        <v>0</v>
      </c>
      <c r="K47" s="475">
        <f>20000-2100-17900</f>
        <v>0</v>
      </c>
      <c r="L47" s="475">
        <v>0</v>
      </c>
      <c r="M47" s="475">
        <v>0</v>
      </c>
      <c r="N47" s="475"/>
      <c r="O47" s="475">
        <v>0</v>
      </c>
      <c r="P47" s="475">
        <v>0</v>
      </c>
      <c r="Q47" s="475">
        <v>0</v>
      </c>
      <c r="R47" s="475">
        <v>0</v>
      </c>
      <c r="S47" s="475">
        <v>0</v>
      </c>
      <c r="T47" s="475">
        <v>0</v>
      </c>
      <c r="U47" s="475">
        <v>0</v>
      </c>
      <c r="V47" s="475">
        <v>0</v>
      </c>
      <c r="W47" s="475">
        <v>0</v>
      </c>
      <c r="X47" s="2647"/>
      <c r="Y47" s="2918"/>
      <c r="Z47" s="778">
        <f>D44-D47</f>
        <v>0</v>
      </c>
    </row>
    <row r="48" spans="1:26" ht="30.75" hidden="1" customHeight="1">
      <c r="A48" s="2937" t="s">
        <v>82</v>
      </c>
      <c r="B48" s="690"/>
      <c r="C48" s="1831" t="s">
        <v>128</v>
      </c>
      <c r="D48" s="699"/>
      <c r="E48" s="673"/>
      <c r="F48" s="673"/>
      <c r="G48" s="673"/>
      <c r="H48" s="673"/>
      <c r="I48" s="673"/>
      <c r="J48" s="673"/>
      <c r="K48" s="673"/>
      <c r="L48" s="692"/>
      <c r="M48" s="692"/>
      <c r="N48" s="692"/>
      <c r="O48" s="692"/>
      <c r="P48" s="693"/>
      <c r="Q48" s="693"/>
      <c r="R48" s="693"/>
      <c r="S48" s="693"/>
      <c r="T48" s="692"/>
      <c r="U48" s="692"/>
      <c r="V48" s="692"/>
      <c r="W48" s="692"/>
      <c r="X48" s="694"/>
      <c r="Y48" s="2963" t="s">
        <v>296</v>
      </c>
    </row>
    <row r="49" spans="1:29" ht="15.75" hidden="1" customHeight="1">
      <c r="A49" s="2926"/>
      <c r="B49" s="383" t="s">
        <v>22</v>
      </c>
      <c r="C49" s="359"/>
      <c r="D49" s="448">
        <f>+D50</f>
        <v>0</v>
      </c>
      <c r="E49" s="448">
        <f t="shared" ref="E49:U50" si="33">+E50</f>
        <v>0</v>
      </c>
      <c r="F49" s="448">
        <f t="shared" si="33"/>
        <v>0</v>
      </c>
      <c r="G49" s="448">
        <f t="shared" si="33"/>
        <v>0</v>
      </c>
      <c r="H49" s="448">
        <f t="shared" si="33"/>
        <v>0</v>
      </c>
      <c r="I49" s="448">
        <f t="shared" si="33"/>
        <v>0</v>
      </c>
      <c r="J49" s="448">
        <f t="shared" si="33"/>
        <v>0</v>
      </c>
      <c r="K49" s="448">
        <f t="shared" si="33"/>
        <v>0</v>
      </c>
      <c r="L49" s="448">
        <f t="shared" si="33"/>
        <v>0</v>
      </c>
      <c r="M49" s="448">
        <f t="shared" si="33"/>
        <v>0</v>
      </c>
      <c r="N49" s="448">
        <f t="shared" si="33"/>
        <v>0</v>
      </c>
      <c r="O49" s="448">
        <f t="shared" si="33"/>
        <v>0</v>
      </c>
      <c r="P49" s="448">
        <f t="shared" si="33"/>
        <v>0</v>
      </c>
      <c r="Q49" s="448">
        <f t="shared" si="33"/>
        <v>0</v>
      </c>
      <c r="R49" s="448">
        <f t="shared" si="33"/>
        <v>0</v>
      </c>
      <c r="S49" s="448">
        <f t="shared" si="33"/>
        <v>0</v>
      </c>
      <c r="T49" s="448">
        <f t="shared" si="33"/>
        <v>0</v>
      </c>
      <c r="U49" s="448">
        <f t="shared" si="33"/>
        <v>0</v>
      </c>
      <c r="V49" s="448">
        <f>+V50</f>
        <v>0</v>
      </c>
      <c r="W49" s="448">
        <f>+W50</f>
        <v>0</v>
      </c>
      <c r="X49" s="464" t="str">
        <f>+X50</f>
        <v>x</v>
      </c>
      <c r="Y49" s="2928"/>
      <c r="Z49" s="723"/>
      <c r="AA49" s="723"/>
      <c r="AB49" s="723"/>
      <c r="AC49" s="723"/>
    </row>
    <row r="50" spans="1:29" s="728" customFormat="1" ht="14.25" hidden="1" customHeight="1">
      <c r="A50" s="2926"/>
      <c r="B50" s="2478" t="s">
        <v>30</v>
      </c>
      <c r="C50" s="2602" t="s">
        <v>223</v>
      </c>
      <c r="D50" s="443">
        <f>+D51</f>
        <v>0</v>
      </c>
      <c r="E50" s="444">
        <f t="shared" si="33"/>
        <v>0</v>
      </c>
      <c r="F50" s="444">
        <f t="shared" si="33"/>
        <v>0</v>
      </c>
      <c r="G50" s="444">
        <f t="shared" si="33"/>
        <v>0</v>
      </c>
      <c r="H50" s="444">
        <f t="shared" si="33"/>
        <v>0</v>
      </c>
      <c r="I50" s="547">
        <f t="shared" si="33"/>
        <v>0</v>
      </c>
      <c r="J50" s="547">
        <f t="shared" si="33"/>
        <v>0</v>
      </c>
      <c r="K50" s="547">
        <f t="shared" si="33"/>
        <v>0</v>
      </c>
      <c r="L50" s="547">
        <f t="shared" si="33"/>
        <v>0</v>
      </c>
      <c r="M50" s="547">
        <f t="shared" si="33"/>
        <v>0</v>
      </c>
      <c r="N50" s="553">
        <f t="shared" ref="N50:T50" si="34">N51</f>
        <v>0</v>
      </c>
      <c r="O50" s="553">
        <f t="shared" si="34"/>
        <v>0</v>
      </c>
      <c r="P50" s="553">
        <f t="shared" si="34"/>
        <v>0</v>
      </c>
      <c r="Q50" s="553">
        <f t="shared" si="34"/>
        <v>0</v>
      </c>
      <c r="R50" s="553">
        <f t="shared" si="34"/>
        <v>0</v>
      </c>
      <c r="S50" s="553">
        <f t="shared" si="34"/>
        <v>0</v>
      </c>
      <c r="T50" s="553">
        <f t="shared" si="34"/>
        <v>0</v>
      </c>
      <c r="U50" s="553"/>
      <c r="V50" s="553"/>
      <c r="W50" s="553"/>
      <c r="X50" s="486" t="str">
        <f>+X51</f>
        <v>x</v>
      </c>
      <c r="Y50" s="2929"/>
      <c r="AA50" s="729"/>
      <c r="AB50" s="729"/>
      <c r="AC50" s="729"/>
    </row>
    <row r="51" spans="1:29" ht="12.75" hidden="1">
      <c r="A51" s="2926"/>
      <c r="B51" s="922" t="s">
        <v>33</v>
      </c>
      <c r="C51" s="2643"/>
      <c r="D51" s="450">
        <f>+M51+O51+P51+Q51+R51+S51+T51+U51+V51+W51</f>
        <v>0</v>
      </c>
      <c r="E51" s="438">
        <v>0</v>
      </c>
      <c r="F51" s="446">
        <v>0</v>
      </c>
      <c r="G51" s="446"/>
      <c r="H51" s="438"/>
      <c r="I51" s="438">
        <v>0</v>
      </c>
      <c r="J51" s="438">
        <v>0</v>
      </c>
      <c r="K51" s="438">
        <v>0</v>
      </c>
      <c r="L51" s="438">
        <v>0</v>
      </c>
      <c r="M51" s="440">
        <v>0</v>
      </c>
      <c r="N51" s="446"/>
      <c r="O51" s="446">
        <v>0</v>
      </c>
      <c r="P51" s="446">
        <v>0</v>
      </c>
      <c r="Q51" s="446">
        <v>0</v>
      </c>
      <c r="R51" s="446">
        <v>0</v>
      </c>
      <c r="S51" s="446">
        <v>0</v>
      </c>
      <c r="T51" s="446">
        <v>0</v>
      </c>
      <c r="U51" s="446">
        <v>0</v>
      </c>
      <c r="V51" s="446">
        <v>0</v>
      </c>
      <c r="W51" s="446">
        <v>0</v>
      </c>
      <c r="X51" s="2479" t="str">
        <f>+X52</f>
        <v>x</v>
      </c>
      <c r="Y51" s="2929"/>
    </row>
    <row r="52" spans="1:29" ht="15.75" hidden="1" customHeight="1">
      <c r="A52" s="2926"/>
      <c r="B52" s="358" t="s">
        <v>34</v>
      </c>
      <c r="C52" s="359"/>
      <c r="D52" s="448">
        <f>+D53</f>
        <v>0</v>
      </c>
      <c r="E52" s="448">
        <f t="shared" ref="E52:N53" si="35">+E53</f>
        <v>0</v>
      </c>
      <c r="F52" s="448">
        <f t="shared" si="35"/>
        <v>0</v>
      </c>
      <c r="G52" s="448">
        <f t="shared" si="35"/>
        <v>0</v>
      </c>
      <c r="H52" s="448">
        <f t="shared" si="35"/>
        <v>0</v>
      </c>
      <c r="I52" s="448">
        <f t="shared" si="35"/>
        <v>0</v>
      </c>
      <c r="J52" s="448">
        <f t="shared" si="35"/>
        <v>0</v>
      </c>
      <c r="K52" s="448">
        <f t="shared" si="35"/>
        <v>0</v>
      </c>
      <c r="L52" s="448">
        <f t="shared" si="35"/>
        <v>0</v>
      </c>
      <c r="M52" s="448">
        <f t="shared" si="35"/>
        <v>0</v>
      </c>
      <c r="N52" s="448">
        <f t="shared" si="35"/>
        <v>0</v>
      </c>
      <c r="O52" s="448">
        <f>O53</f>
        <v>0</v>
      </c>
      <c r="P52" s="448">
        <f t="shared" ref="P52:W53" si="36">P53</f>
        <v>0</v>
      </c>
      <c r="Q52" s="448">
        <f t="shared" si="36"/>
        <v>0</v>
      </c>
      <c r="R52" s="448">
        <f t="shared" si="36"/>
        <v>0</v>
      </c>
      <c r="S52" s="448">
        <f t="shared" si="36"/>
        <v>0</v>
      </c>
      <c r="T52" s="448">
        <f t="shared" si="36"/>
        <v>0</v>
      </c>
      <c r="U52" s="448">
        <f t="shared" si="36"/>
        <v>0</v>
      </c>
      <c r="V52" s="448">
        <f t="shared" si="36"/>
        <v>0</v>
      </c>
      <c r="W52" s="448">
        <f t="shared" si="36"/>
        <v>0</v>
      </c>
      <c r="X52" s="2659" t="s">
        <v>77</v>
      </c>
      <c r="Y52" s="2929"/>
    </row>
    <row r="53" spans="1:29" s="728" customFormat="1" ht="15" hidden="1" customHeight="1">
      <c r="A53" s="2926"/>
      <c r="B53" s="674" t="s">
        <v>30</v>
      </c>
      <c r="C53" s="2661" t="s">
        <v>101</v>
      </c>
      <c r="D53" s="443">
        <f>+D54</f>
        <v>0</v>
      </c>
      <c r="E53" s="444">
        <f t="shared" si="35"/>
        <v>0</v>
      </c>
      <c r="F53" s="444">
        <f t="shared" si="35"/>
        <v>0</v>
      </c>
      <c r="G53" s="444">
        <f t="shared" si="35"/>
        <v>0</v>
      </c>
      <c r="H53" s="444">
        <f t="shared" si="35"/>
        <v>0</v>
      </c>
      <c r="I53" s="444">
        <f t="shared" si="35"/>
        <v>0</v>
      </c>
      <c r="J53" s="444">
        <f t="shared" si="35"/>
        <v>0</v>
      </c>
      <c r="K53" s="444">
        <f t="shared" si="35"/>
        <v>0</v>
      </c>
      <c r="L53" s="444">
        <f t="shared" si="35"/>
        <v>0</v>
      </c>
      <c r="M53" s="444">
        <f t="shared" si="35"/>
        <v>0</v>
      </c>
      <c r="N53" s="444">
        <f t="shared" si="35"/>
        <v>0</v>
      </c>
      <c r="O53" s="444">
        <f>O54</f>
        <v>0</v>
      </c>
      <c r="P53" s="444">
        <f t="shared" si="36"/>
        <v>0</v>
      </c>
      <c r="Q53" s="444">
        <f t="shared" si="36"/>
        <v>0</v>
      </c>
      <c r="R53" s="444">
        <f t="shared" si="36"/>
        <v>0</v>
      </c>
      <c r="S53" s="444">
        <f t="shared" si="36"/>
        <v>0</v>
      </c>
      <c r="T53" s="444">
        <f t="shared" si="36"/>
        <v>0</v>
      </c>
      <c r="U53" s="444">
        <f t="shared" si="36"/>
        <v>0</v>
      </c>
      <c r="V53" s="444">
        <f t="shared" si="36"/>
        <v>0</v>
      </c>
      <c r="W53" s="444">
        <f t="shared" si="36"/>
        <v>0</v>
      </c>
      <c r="X53" s="2646"/>
      <c r="Y53" s="2929"/>
    </row>
    <row r="54" spans="1:29" ht="13.5" hidden="1" customHeight="1" thickBot="1">
      <c r="A54" s="2927"/>
      <c r="B54" s="2542" t="s">
        <v>33</v>
      </c>
      <c r="C54" s="2608"/>
      <c r="D54" s="450">
        <f>+M54+O54+P54+Q54+R54+S54+T54+U54+V54+W54</f>
        <v>0</v>
      </c>
      <c r="E54" s="475">
        <v>0</v>
      </c>
      <c r="F54" s="476"/>
      <c r="G54" s="475"/>
      <c r="H54" s="475"/>
      <c r="I54" s="475">
        <v>0</v>
      </c>
      <c r="J54" s="475">
        <v>0</v>
      </c>
      <c r="K54" s="475">
        <f>42390-42390</f>
        <v>0</v>
      </c>
      <c r="L54" s="475">
        <v>0</v>
      </c>
      <c r="M54" s="440">
        <v>0</v>
      </c>
      <c r="N54" s="476"/>
      <c r="O54" s="475">
        <v>0</v>
      </c>
      <c r="P54" s="475">
        <v>0</v>
      </c>
      <c r="Q54" s="475">
        <v>0</v>
      </c>
      <c r="R54" s="475">
        <v>0</v>
      </c>
      <c r="S54" s="475">
        <v>0</v>
      </c>
      <c r="T54" s="475">
        <v>0</v>
      </c>
      <c r="U54" s="475">
        <v>0</v>
      </c>
      <c r="V54" s="475">
        <v>0</v>
      </c>
      <c r="W54" s="475">
        <v>0</v>
      </c>
      <c r="X54" s="2647"/>
      <c r="Y54" s="2974"/>
    </row>
    <row r="55" spans="1:29" s="1118" customFormat="1" ht="38.25" hidden="1" customHeight="1">
      <c r="A55" s="2937" t="s">
        <v>80</v>
      </c>
      <c r="B55" s="690"/>
      <c r="C55" s="1831" t="s">
        <v>225</v>
      </c>
      <c r="D55" s="699"/>
      <c r="E55" s="673"/>
      <c r="F55" s="673"/>
      <c r="G55" s="673"/>
      <c r="H55" s="673"/>
      <c r="I55" s="673"/>
      <c r="J55" s="673"/>
      <c r="K55" s="673"/>
      <c r="L55" s="692"/>
      <c r="M55" s="692"/>
      <c r="N55" s="692"/>
      <c r="O55" s="692"/>
      <c r="P55" s="693"/>
      <c r="Q55" s="693"/>
      <c r="R55" s="693"/>
      <c r="S55" s="693"/>
      <c r="T55" s="692"/>
      <c r="U55" s="692"/>
      <c r="V55" s="692"/>
      <c r="W55" s="692"/>
      <c r="X55" s="694"/>
      <c r="Y55" s="2963" t="s">
        <v>296</v>
      </c>
    </row>
    <row r="56" spans="1:29" s="782" customFormat="1" ht="15.75" hidden="1" customHeight="1">
      <c r="A56" s="2926"/>
      <c r="B56" s="383" t="s">
        <v>22</v>
      </c>
      <c r="C56" s="359"/>
      <c r="D56" s="721">
        <f>+D59+D57</f>
        <v>0</v>
      </c>
      <c r="E56" s="721">
        <f t="shared" ref="E56:N56" si="37">+E59</f>
        <v>0</v>
      </c>
      <c r="F56" s="721">
        <f t="shared" si="37"/>
        <v>0</v>
      </c>
      <c r="G56" s="721">
        <f t="shared" si="37"/>
        <v>0</v>
      </c>
      <c r="H56" s="721">
        <f t="shared" si="37"/>
        <v>0</v>
      </c>
      <c r="I56" s="721">
        <f t="shared" si="37"/>
        <v>0</v>
      </c>
      <c r="J56" s="721">
        <f t="shared" si="37"/>
        <v>0</v>
      </c>
      <c r="K56" s="721">
        <f t="shared" si="37"/>
        <v>0</v>
      </c>
      <c r="L56" s="721">
        <f t="shared" si="37"/>
        <v>0</v>
      </c>
      <c r="M56" s="721">
        <f t="shared" si="37"/>
        <v>0</v>
      </c>
      <c r="N56" s="721">
        <f t="shared" si="37"/>
        <v>0</v>
      </c>
      <c r="O56" s="721">
        <f>+O59+O57</f>
        <v>0</v>
      </c>
      <c r="P56" s="721">
        <f t="shared" ref="P56:W56" si="38">+P59</f>
        <v>0</v>
      </c>
      <c r="Q56" s="721">
        <f t="shared" si="38"/>
        <v>0</v>
      </c>
      <c r="R56" s="721">
        <f t="shared" si="38"/>
        <v>0</v>
      </c>
      <c r="S56" s="721">
        <f t="shared" si="38"/>
        <v>0</v>
      </c>
      <c r="T56" s="721">
        <f t="shared" si="38"/>
        <v>0</v>
      </c>
      <c r="U56" s="721">
        <f t="shared" si="38"/>
        <v>0</v>
      </c>
      <c r="V56" s="721">
        <f t="shared" si="38"/>
        <v>0</v>
      </c>
      <c r="W56" s="721">
        <f t="shared" si="38"/>
        <v>0</v>
      </c>
      <c r="X56" s="464">
        <f>+X59</f>
        <v>0</v>
      </c>
      <c r="Y56" s="2928"/>
    </row>
    <row r="57" spans="1:29" s="1118" customFormat="1" ht="15.75" hidden="1" customHeight="1">
      <c r="A57" s="2926"/>
      <c r="B57" s="2474" t="s">
        <v>36</v>
      </c>
      <c r="C57" s="2602" t="s">
        <v>223</v>
      </c>
      <c r="D57" s="443">
        <f>D58</f>
        <v>0</v>
      </c>
      <c r="E57" s="444"/>
      <c r="F57" s="444"/>
      <c r="G57" s="444"/>
      <c r="H57" s="444"/>
      <c r="I57" s="547"/>
      <c r="J57" s="547"/>
      <c r="K57" s="547"/>
      <c r="L57" s="547"/>
      <c r="M57" s="547">
        <f>M58</f>
        <v>0</v>
      </c>
      <c r="N57" s="553">
        <f>N58</f>
        <v>0</v>
      </c>
      <c r="O57" s="553">
        <f>O58</f>
        <v>0</v>
      </c>
      <c r="P57" s="553"/>
      <c r="Q57" s="553"/>
      <c r="R57" s="553"/>
      <c r="S57" s="553"/>
      <c r="T57" s="553"/>
      <c r="U57" s="553"/>
      <c r="V57" s="553"/>
      <c r="W57" s="553"/>
      <c r="X57" s="486"/>
      <c r="Y57" s="2928"/>
    </row>
    <row r="58" spans="1:29" s="1118" customFormat="1" ht="15.75" hidden="1" customHeight="1">
      <c r="A58" s="2926"/>
      <c r="B58" s="521" t="s">
        <v>24</v>
      </c>
      <c r="C58" s="2595"/>
      <c r="D58" s="437">
        <f>M58+N58+O58</f>
        <v>0</v>
      </c>
      <c r="E58" s="438"/>
      <c r="F58" s="446"/>
      <c r="G58" s="446"/>
      <c r="H58" s="438"/>
      <c r="I58" s="438"/>
      <c r="J58" s="438"/>
      <c r="K58" s="438"/>
      <c r="L58" s="438"/>
      <c r="M58" s="446">
        <v>0</v>
      </c>
      <c r="N58" s="446">
        <v>0</v>
      </c>
      <c r="O58" s="446">
        <v>0</v>
      </c>
      <c r="P58" s="446"/>
      <c r="Q58" s="446"/>
      <c r="R58" s="446"/>
      <c r="S58" s="446"/>
      <c r="T58" s="446"/>
      <c r="U58" s="446"/>
      <c r="V58" s="446"/>
      <c r="W58" s="446"/>
      <c r="X58" s="2467"/>
      <c r="Y58" s="2928"/>
    </row>
    <row r="59" spans="1:29" s="1118" customFormat="1" ht="14.25" hidden="1" customHeight="1">
      <c r="A59" s="2926"/>
      <c r="B59" s="2478" t="s">
        <v>30</v>
      </c>
      <c r="C59" s="2595"/>
      <c r="D59" s="443">
        <f>+D60</f>
        <v>0</v>
      </c>
      <c r="E59" s="444">
        <f t="shared" ref="E59:M59" si="39">+E60</f>
        <v>0</v>
      </c>
      <c r="F59" s="444">
        <f t="shared" si="39"/>
        <v>0</v>
      </c>
      <c r="G59" s="444">
        <f t="shared" si="39"/>
        <v>0</v>
      </c>
      <c r="H59" s="444">
        <f t="shared" si="39"/>
        <v>0</v>
      </c>
      <c r="I59" s="547">
        <f t="shared" si="39"/>
        <v>0</v>
      </c>
      <c r="J59" s="547">
        <f t="shared" si="39"/>
        <v>0</v>
      </c>
      <c r="K59" s="547">
        <f t="shared" si="39"/>
        <v>0</v>
      </c>
      <c r="L59" s="547">
        <f t="shared" si="39"/>
        <v>0</v>
      </c>
      <c r="M59" s="547">
        <f t="shared" si="39"/>
        <v>0</v>
      </c>
      <c r="N59" s="553">
        <f>N60</f>
        <v>0</v>
      </c>
      <c r="O59" s="553">
        <f>O60</f>
        <v>0</v>
      </c>
      <c r="P59" s="553">
        <f>P60</f>
        <v>0</v>
      </c>
      <c r="Q59" s="553">
        <f>Q60</f>
        <v>0</v>
      </c>
      <c r="R59" s="553">
        <f t="shared" ref="R59:W59" si="40">R60</f>
        <v>0</v>
      </c>
      <c r="S59" s="553">
        <f t="shared" si="40"/>
        <v>0</v>
      </c>
      <c r="T59" s="553">
        <f t="shared" si="40"/>
        <v>0</v>
      </c>
      <c r="U59" s="553">
        <f t="shared" si="40"/>
        <v>0</v>
      </c>
      <c r="V59" s="553">
        <f t="shared" si="40"/>
        <v>0</v>
      </c>
      <c r="W59" s="553">
        <f t="shared" si="40"/>
        <v>0</v>
      </c>
      <c r="X59" s="486">
        <f>+P59+Q59+R59+S59</f>
        <v>0</v>
      </c>
      <c r="Y59" s="2929"/>
    </row>
    <row r="60" spans="1:29" s="1118" customFormat="1" ht="11.25" hidden="1" customHeight="1">
      <c r="A60" s="2926"/>
      <c r="B60" s="922" t="s">
        <v>33</v>
      </c>
      <c r="C60" s="2662"/>
      <c r="D60" s="450">
        <f>+M60+O60+P60+Q60+R60+S60+T60+U60+V60+W60</f>
        <v>0</v>
      </c>
      <c r="E60" s="438">
        <v>0</v>
      </c>
      <c r="F60" s="446">
        <v>0</v>
      </c>
      <c r="G60" s="446"/>
      <c r="H60" s="438"/>
      <c r="I60" s="438">
        <v>0</v>
      </c>
      <c r="J60" s="438">
        <v>0</v>
      </c>
      <c r="K60" s="438">
        <v>0</v>
      </c>
      <c r="L60" s="438">
        <v>0</v>
      </c>
      <c r="M60" s="440">
        <v>0</v>
      </c>
      <c r="N60" s="446"/>
      <c r="O60" s="446">
        <v>0</v>
      </c>
      <c r="P60" s="446">
        <v>0</v>
      </c>
      <c r="Q60" s="446">
        <v>0</v>
      </c>
      <c r="R60" s="446">
        <v>0</v>
      </c>
      <c r="S60" s="446">
        <v>0</v>
      </c>
      <c r="T60" s="446">
        <v>0</v>
      </c>
      <c r="U60" s="446">
        <v>0</v>
      </c>
      <c r="V60" s="446">
        <v>0</v>
      </c>
      <c r="W60" s="446">
        <v>0</v>
      </c>
      <c r="X60" s="2467">
        <f>P60+Q60+R60</f>
        <v>0</v>
      </c>
      <c r="Y60" s="2929"/>
    </row>
    <row r="61" spans="1:29" s="1118" customFormat="1" ht="15.75" hidden="1" customHeight="1">
      <c r="A61" s="2926"/>
      <c r="B61" s="358" t="s">
        <v>34</v>
      </c>
      <c r="C61" s="359"/>
      <c r="D61" s="448">
        <f>+D62</f>
        <v>0</v>
      </c>
      <c r="E61" s="448">
        <f t="shared" ref="E61:N62" si="41">+E62</f>
        <v>0</v>
      </c>
      <c r="F61" s="448">
        <f t="shared" si="41"/>
        <v>0</v>
      </c>
      <c r="G61" s="448">
        <f t="shared" si="41"/>
        <v>0</v>
      </c>
      <c r="H61" s="448">
        <f t="shared" si="41"/>
        <v>0</v>
      </c>
      <c r="I61" s="448">
        <f t="shared" si="41"/>
        <v>0</v>
      </c>
      <c r="J61" s="448">
        <f t="shared" si="41"/>
        <v>0</v>
      </c>
      <c r="K61" s="448">
        <f t="shared" si="41"/>
        <v>0</v>
      </c>
      <c r="L61" s="448">
        <f t="shared" si="41"/>
        <v>0</v>
      </c>
      <c r="M61" s="448">
        <f t="shared" si="41"/>
        <v>0</v>
      </c>
      <c r="N61" s="448">
        <f t="shared" si="41"/>
        <v>0</v>
      </c>
      <c r="O61" s="448">
        <f t="shared" ref="O61:W62" si="42">O62</f>
        <v>0</v>
      </c>
      <c r="P61" s="448">
        <f t="shared" si="42"/>
        <v>0</v>
      </c>
      <c r="Q61" s="448">
        <f t="shared" si="42"/>
        <v>0</v>
      </c>
      <c r="R61" s="448">
        <f t="shared" si="42"/>
        <v>0</v>
      </c>
      <c r="S61" s="448">
        <f t="shared" si="42"/>
        <v>0</v>
      </c>
      <c r="T61" s="448">
        <f t="shared" si="42"/>
        <v>0</v>
      </c>
      <c r="U61" s="448">
        <f t="shared" si="42"/>
        <v>0</v>
      </c>
      <c r="V61" s="448">
        <f t="shared" si="42"/>
        <v>0</v>
      </c>
      <c r="W61" s="448">
        <f t="shared" si="42"/>
        <v>0</v>
      </c>
      <c r="X61" s="2659" t="s">
        <v>77</v>
      </c>
      <c r="Y61" s="2929"/>
      <c r="Z61" s="778">
        <f>'[5]Tab. 6H - Kultura fiz. i turyst'!$D$59-D61</f>
        <v>2842867</v>
      </c>
    </row>
    <row r="62" spans="1:29" s="1118" customFormat="1" ht="12.75" hidden="1">
      <c r="A62" s="2926"/>
      <c r="B62" s="674" t="s">
        <v>30</v>
      </c>
      <c r="C62" s="2661" t="s">
        <v>101</v>
      </c>
      <c r="D62" s="443">
        <f>+D63</f>
        <v>0</v>
      </c>
      <c r="E62" s="444">
        <f t="shared" si="41"/>
        <v>0</v>
      </c>
      <c r="F62" s="444">
        <f t="shared" si="41"/>
        <v>0</v>
      </c>
      <c r="G62" s="444">
        <f t="shared" si="41"/>
        <v>0</v>
      </c>
      <c r="H62" s="444">
        <f t="shared" si="41"/>
        <v>0</v>
      </c>
      <c r="I62" s="444">
        <f t="shared" si="41"/>
        <v>0</v>
      </c>
      <c r="J62" s="444">
        <f t="shared" si="41"/>
        <v>0</v>
      </c>
      <c r="K62" s="444">
        <f t="shared" si="41"/>
        <v>0</v>
      </c>
      <c r="L62" s="444">
        <f t="shared" si="41"/>
        <v>0</v>
      </c>
      <c r="M62" s="444">
        <f t="shared" si="41"/>
        <v>0</v>
      </c>
      <c r="N62" s="444">
        <f t="shared" si="41"/>
        <v>0</v>
      </c>
      <c r="O62" s="444">
        <f t="shared" si="42"/>
        <v>0</v>
      </c>
      <c r="P62" s="444">
        <f t="shared" si="42"/>
        <v>0</v>
      </c>
      <c r="Q62" s="444">
        <f t="shared" si="42"/>
        <v>0</v>
      </c>
      <c r="R62" s="444">
        <f t="shared" si="42"/>
        <v>0</v>
      </c>
      <c r="S62" s="444">
        <f t="shared" si="42"/>
        <v>0</v>
      </c>
      <c r="T62" s="444">
        <f t="shared" si="42"/>
        <v>0</v>
      </c>
      <c r="U62" s="444">
        <f t="shared" si="42"/>
        <v>0</v>
      </c>
      <c r="V62" s="444">
        <f t="shared" si="42"/>
        <v>0</v>
      </c>
      <c r="W62" s="444">
        <f t="shared" si="42"/>
        <v>0</v>
      </c>
      <c r="X62" s="2646"/>
      <c r="Y62" s="2929"/>
    </row>
    <row r="63" spans="1:29" s="1118" customFormat="1" ht="12" hidden="1" customHeight="1" thickBot="1">
      <c r="A63" s="2927"/>
      <c r="B63" s="2542" t="s">
        <v>33</v>
      </c>
      <c r="C63" s="2608"/>
      <c r="D63" s="450">
        <f>+M63+O63+P63+Q63+R63+S63+T63+U63+V63+W63</f>
        <v>0</v>
      </c>
      <c r="E63" s="475">
        <v>0</v>
      </c>
      <c r="F63" s="476"/>
      <c r="G63" s="475"/>
      <c r="H63" s="475"/>
      <c r="I63" s="475">
        <v>0</v>
      </c>
      <c r="J63" s="475">
        <v>0</v>
      </c>
      <c r="K63" s="475">
        <v>0</v>
      </c>
      <c r="L63" s="475">
        <v>0</v>
      </c>
      <c r="M63" s="440">
        <v>0</v>
      </c>
      <c r="N63" s="476"/>
      <c r="O63" s="475">
        <v>0</v>
      </c>
      <c r="P63" s="475">
        <v>0</v>
      </c>
      <c r="Q63" s="475">
        <v>0</v>
      </c>
      <c r="R63" s="475">
        <v>0</v>
      </c>
      <c r="S63" s="475">
        <v>0</v>
      </c>
      <c r="T63" s="475">
        <v>0</v>
      </c>
      <c r="U63" s="475">
        <v>0</v>
      </c>
      <c r="V63" s="475">
        <v>0</v>
      </c>
      <c r="W63" s="475">
        <v>0</v>
      </c>
      <c r="X63" s="2647"/>
      <c r="Y63" s="2930"/>
    </row>
    <row r="64" spans="1:29" s="1118" customFormat="1" ht="39.75" hidden="1" customHeight="1">
      <c r="A64" s="2937" t="s">
        <v>81</v>
      </c>
      <c r="B64" s="690"/>
      <c r="C64" s="1831" t="s">
        <v>97</v>
      </c>
      <c r="D64" s="699"/>
      <c r="E64" s="673"/>
      <c r="F64" s="673"/>
      <c r="G64" s="673"/>
      <c r="H64" s="673"/>
      <c r="I64" s="673"/>
      <c r="J64" s="673"/>
      <c r="K64" s="673"/>
      <c r="L64" s="692"/>
      <c r="M64" s="692"/>
      <c r="N64" s="692"/>
      <c r="O64" s="692"/>
      <c r="P64" s="693"/>
      <c r="Q64" s="693"/>
      <c r="R64" s="693"/>
      <c r="S64" s="693"/>
      <c r="T64" s="692"/>
      <c r="U64" s="692"/>
      <c r="V64" s="692"/>
      <c r="W64" s="692"/>
      <c r="X64" s="694"/>
      <c r="Y64" s="2963" t="s">
        <v>296</v>
      </c>
    </row>
    <row r="65" spans="1:26" s="1118" customFormat="1" ht="14.25" hidden="1" customHeight="1">
      <c r="A65" s="2926"/>
      <c r="B65" s="1114" t="s">
        <v>22</v>
      </c>
      <c r="C65" s="359"/>
      <c r="D65" s="1112">
        <f t="shared" ref="D65:X66" si="43">+D66</f>
        <v>0</v>
      </c>
      <c r="E65" s="1112">
        <f t="shared" si="43"/>
        <v>0</v>
      </c>
      <c r="F65" s="1112">
        <f t="shared" si="43"/>
        <v>0</v>
      </c>
      <c r="G65" s="1112">
        <f t="shared" si="43"/>
        <v>0</v>
      </c>
      <c r="H65" s="1112">
        <f t="shared" si="43"/>
        <v>0</v>
      </c>
      <c r="I65" s="1112">
        <f t="shared" si="43"/>
        <v>0</v>
      </c>
      <c r="J65" s="1112">
        <f t="shared" si="43"/>
        <v>0</v>
      </c>
      <c r="K65" s="1112">
        <f t="shared" si="43"/>
        <v>0</v>
      </c>
      <c r="L65" s="1112">
        <f t="shared" si="43"/>
        <v>0</v>
      </c>
      <c r="M65" s="1112">
        <f t="shared" si="43"/>
        <v>0</v>
      </c>
      <c r="N65" s="1112">
        <f t="shared" si="43"/>
        <v>0</v>
      </c>
      <c r="O65" s="1112">
        <f t="shared" si="43"/>
        <v>0</v>
      </c>
      <c r="P65" s="1112">
        <f t="shared" si="43"/>
        <v>0</v>
      </c>
      <c r="Q65" s="1112">
        <f t="shared" si="43"/>
        <v>0</v>
      </c>
      <c r="R65" s="1112">
        <f t="shared" si="43"/>
        <v>0</v>
      </c>
      <c r="S65" s="1112">
        <f t="shared" si="43"/>
        <v>0</v>
      </c>
      <c r="T65" s="1112">
        <f t="shared" si="43"/>
        <v>0</v>
      </c>
      <c r="U65" s="1112">
        <f t="shared" si="43"/>
        <v>0</v>
      </c>
      <c r="V65" s="1112">
        <f t="shared" si="43"/>
        <v>0</v>
      </c>
      <c r="W65" s="1112">
        <f t="shared" si="43"/>
        <v>0</v>
      </c>
      <c r="X65" s="1108">
        <f t="shared" si="43"/>
        <v>0</v>
      </c>
      <c r="Y65" s="2928"/>
    </row>
    <row r="66" spans="1:26" s="1118" customFormat="1" ht="14.25" hidden="1" customHeight="1">
      <c r="A66" s="2926"/>
      <c r="B66" s="1115" t="s">
        <v>30</v>
      </c>
      <c r="C66" s="2732" t="s">
        <v>223</v>
      </c>
      <c r="D66" s="1110">
        <f t="shared" si="43"/>
        <v>0</v>
      </c>
      <c r="E66" s="1111">
        <f t="shared" si="43"/>
        <v>0</v>
      </c>
      <c r="F66" s="1111">
        <f t="shared" si="43"/>
        <v>0</v>
      </c>
      <c r="G66" s="1111">
        <f t="shared" si="43"/>
        <v>0</v>
      </c>
      <c r="H66" s="1111">
        <f t="shared" si="43"/>
        <v>0</v>
      </c>
      <c r="I66" s="1116">
        <f t="shared" si="43"/>
        <v>0</v>
      </c>
      <c r="J66" s="1116">
        <f t="shared" si="43"/>
        <v>0</v>
      </c>
      <c r="K66" s="1116">
        <f t="shared" si="43"/>
        <v>0</v>
      </c>
      <c r="L66" s="1116">
        <f t="shared" si="43"/>
        <v>0</v>
      </c>
      <c r="M66" s="1116">
        <f t="shared" si="43"/>
        <v>0</v>
      </c>
      <c r="N66" s="1117">
        <f>N67</f>
        <v>0</v>
      </c>
      <c r="O66" s="1117">
        <v>0</v>
      </c>
      <c r="P66" s="1117">
        <v>0</v>
      </c>
      <c r="Q66" s="1117">
        <v>0</v>
      </c>
      <c r="R66" s="1117">
        <v>0</v>
      </c>
      <c r="S66" s="1117">
        <v>0</v>
      </c>
      <c r="T66" s="1117">
        <v>0</v>
      </c>
      <c r="U66" s="1117">
        <v>0</v>
      </c>
      <c r="V66" s="1117">
        <v>0</v>
      </c>
      <c r="W66" s="1117">
        <v>0</v>
      </c>
      <c r="X66" s="1092">
        <f t="shared" si="43"/>
        <v>0</v>
      </c>
      <c r="Y66" s="2929"/>
    </row>
    <row r="67" spans="1:26" s="1118" customFormat="1" ht="11.25" hidden="1" customHeight="1">
      <c r="A67" s="2926"/>
      <c r="B67" s="922" t="s">
        <v>33</v>
      </c>
      <c r="C67" s="2643"/>
      <c r="D67" s="1107">
        <f>+M67+O67+P67+Q67+R67+S67+T67+U67+V67+W67</f>
        <v>0</v>
      </c>
      <c r="E67" s="1099">
        <v>0</v>
      </c>
      <c r="F67" s="1109">
        <v>0</v>
      </c>
      <c r="G67" s="1109"/>
      <c r="H67" s="1099"/>
      <c r="I67" s="1099">
        <v>0</v>
      </c>
      <c r="J67" s="1099">
        <v>0</v>
      </c>
      <c r="K67" s="1099">
        <v>0</v>
      </c>
      <c r="L67" s="1099">
        <v>0</v>
      </c>
      <c r="M67" s="1095">
        <v>0</v>
      </c>
      <c r="N67" s="1109">
        <f>14000-14000</f>
        <v>0</v>
      </c>
      <c r="O67" s="1109">
        <v>0</v>
      </c>
      <c r="P67" s="1109">
        <v>0</v>
      </c>
      <c r="Q67" s="1109">
        <v>0</v>
      </c>
      <c r="R67" s="1109">
        <v>0</v>
      </c>
      <c r="S67" s="1109">
        <v>0</v>
      </c>
      <c r="T67" s="1109">
        <v>0</v>
      </c>
      <c r="U67" s="1109">
        <v>0</v>
      </c>
      <c r="V67" s="1109">
        <v>0</v>
      </c>
      <c r="W67" s="1109">
        <v>0</v>
      </c>
      <c r="X67" s="1113">
        <f>+P67+Q67+R67+S67</f>
        <v>0</v>
      </c>
      <c r="Y67" s="2929"/>
    </row>
    <row r="68" spans="1:26" s="1118" customFormat="1" ht="13.5" hidden="1" customHeight="1">
      <c r="A68" s="2926"/>
      <c r="B68" s="358" t="s">
        <v>34</v>
      </c>
      <c r="C68" s="359"/>
      <c r="D68" s="1112">
        <f>+D69</f>
        <v>0</v>
      </c>
      <c r="E68" s="1112">
        <f t="shared" ref="E68:N69" si="44">+E69</f>
        <v>0</v>
      </c>
      <c r="F68" s="1112">
        <f t="shared" si="44"/>
        <v>0</v>
      </c>
      <c r="G68" s="1112">
        <f t="shared" si="44"/>
        <v>0</v>
      </c>
      <c r="H68" s="1112">
        <f t="shared" si="44"/>
        <v>0</v>
      </c>
      <c r="I68" s="1112">
        <f t="shared" si="44"/>
        <v>0</v>
      </c>
      <c r="J68" s="1112">
        <f t="shared" si="44"/>
        <v>0</v>
      </c>
      <c r="K68" s="1112">
        <f t="shared" si="44"/>
        <v>0</v>
      </c>
      <c r="L68" s="1112">
        <f t="shared" si="44"/>
        <v>0</v>
      </c>
      <c r="M68" s="1112">
        <f t="shared" si="44"/>
        <v>0</v>
      </c>
      <c r="N68" s="1112">
        <f t="shared" si="44"/>
        <v>0</v>
      </c>
      <c r="O68" s="1112">
        <f t="shared" ref="O68:W69" si="45">O69</f>
        <v>0</v>
      </c>
      <c r="P68" s="1112">
        <f t="shared" si="45"/>
        <v>0</v>
      </c>
      <c r="Q68" s="1112">
        <f t="shared" si="45"/>
        <v>0</v>
      </c>
      <c r="R68" s="1112">
        <f t="shared" si="45"/>
        <v>0</v>
      </c>
      <c r="S68" s="1112">
        <f t="shared" si="45"/>
        <v>0</v>
      </c>
      <c r="T68" s="1112">
        <f t="shared" si="45"/>
        <v>0</v>
      </c>
      <c r="U68" s="1112">
        <f t="shared" si="45"/>
        <v>0</v>
      </c>
      <c r="V68" s="1112">
        <f t="shared" si="45"/>
        <v>0</v>
      </c>
      <c r="W68" s="1112">
        <f t="shared" si="45"/>
        <v>0</v>
      </c>
      <c r="X68" s="2938" t="s">
        <v>77</v>
      </c>
      <c r="Y68" s="2929"/>
    </row>
    <row r="69" spans="1:26" s="1118" customFormat="1" ht="12" hidden="1" customHeight="1">
      <c r="A69" s="2926"/>
      <c r="B69" s="674" t="s">
        <v>30</v>
      </c>
      <c r="C69" s="2933" t="s">
        <v>101</v>
      </c>
      <c r="D69" s="1110">
        <f>+D70</f>
        <v>0</v>
      </c>
      <c r="E69" s="1111">
        <f t="shared" si="44"/>
        <v>0</v>
      </c>
      <c r="F69" s="1111">
        <f t="shared" si="44"/>
        <v>0</v>
      </c>
      <c r="G69" s="1111">
        <f t="shared" si="44"/>
        <v>0</v>
      </c>
      <c r="H69" s="1111">
        <f t="shared" si="44"/>
        <v>0</v>
      </c>
      <c r="I69" s="1111">
        <f t="shared" si="44"/>
        <v>0</v>
      </c>
      <c r="J69" s="1111">
        <f t="shared" si="44"/>
        <v>0</v>
      </c>
      <c r="K69" s="1111">
        <f t="shared" si="44"/>
        <v>0</v>
      </c>
      <c r="L69" s="1111">
        <f t="shared" si="44"/>
        <v>0</v>
      </c>
      <c r="M69" s="1111">
        <f t="shared" si="44"/>
        <v>0</v>
      </c>
      <c r="N69" s="1111">
        <f t="shared" si="44"/>
        <v>0</v>
      </c>
      <c r="O69" s="1111">
        <f t="shared" si="45"/>
        <v>0</v>
      </c>
      <c r="P69" s="1111">
        <f t="shared" si="45"/>
        <v>0</v>
      </c>
      <c r="Q69" s="1111">
        <f t="shared" si="45"/>
        <v>0</v>
      </c>
      <c r="R69" s="1111">
        <f t="shared" si="45"/>
        <v>0</v>
      </c>
      <c r="S69" s="1111">
        <f t="shared" si="45"/>
        <v>0</v>
      </c>
      <c r="T69" s="1111">
        <f t="shared" si="45"/>
        <v>0</v>
      </c>
      <c r="U69" s="1111">
        <f t="shared" si="45"/>
        <v>0</v>
      </c>
      <c r="V69" s="1111">
        <f t="shared" si="45"/>
        <v>0</v>
      </c>
      <c r="W69" s="1111">
        <f t="shared" si="45"/>
        <v>0</v>
      </c>
      <c r="X69" s="2646"/>
      <c r="Y69" s="2929"/>
    </row>
    <row r="70" spans="1:26" s="1118" customFormat="1" ht="13.5" hidden="1" thickBot="1">
      <c r="A70" s="2927"/>
      <c r="B70" s="2542" t="s">
        <v>33</v>
      </c>
      <c r="C70" s="2608"/>
      <c r="D70" s="517">
        <f>+M70+O70+P70+Q70+R70+S70+T70+U70+V70+W70</f>
        <v>0</v>
      </c>
      <c r="E70" s="475">
        <v>0</v>
      </c>
      <c r="F70" s="476"/>
      <c r="G70" s="475"/>
      <c r="H70" s="475"/>
      <c r="I70" s="475">
        <v>0</v>
      </c>
      <c r="J70" s="475">
        <v>0</v>
      </c>
      <c r="K70" s="475">
        <v>0</v>
      </c>
      <c r="L70" s="475">
        <v>0</v>
      </c>
      <c r="M70" s="475">
        <v>0</v>
      </c>
      <c r="N70" s="476">
        <v>0</v>
      </c>
      <c r="O70" s="475">
        <f>14000-14000</f>
        <v>0</v>
      </c>
      <c r="P70" s="475">
        <v>0</v>
      </c>
      <c r="Q70" s="475">
        <v>0</v>
      </c>
      <c r="R70" s="475">
        <v>0</v>
      </c>
      <c r="S70" s="475">
        <v>0</v>
      </c>
      <c r="T70" s="475">
        <v>0</v>
      </c>
      <c r="U70" s="475">
        <v>0</v>
      </c>
      <c r="V70" s="475">
        <v>0</v>
      </c>
      <c r="W70" s="475">
        <v>0</v>
      </c>
      <c r="X70" s="2647"/>
      <c r="Y70" s="2918"/>
    </row>
    <row r="71" spans="1:26" s="1118" customFormat="1" ht="30" hidden="1" customHeight="1">
      <c r="A71" s="2937" t="s">
        <v>82</v>
      </c>
      <c r="B71" s="690"/>
      <c r="C71" s="1831" t="s">
        <v>225</v>
      </c>
      <c r="D71" s="699"/>
      <c r="E71" s="673"/>
      <c r="F71" s="673"/>
      <c r="G71" s="673"/>
      <c r="H71" s="673"/>
      <c r="I71" s="673"/>
      <c r="J71" s="673"/>
      <c r="K71" s="673"/>
      <c r="L71" s="692"/>
      <c r="M71" s="692"/>
      <c r="N71" s="692"/>
      <c r="O71" s="692"/>
      <c r="P71" s="693"/>
      <c r="Q71" s="693"/>
      <c r="R71" s="693"/>
      <c r="S71" s="693"/>
      <c r="T71" s="692"/>
      <c r="U71" s="692"/>
      <c r="V71" s="692"/>
      <c r="W71" s="692"/>
      <c r="X71" s="694"/>
      <c r="Y71" s="2963" t="s">
        <v>296</v>
      </c>
    </row>
    <row r="72" spans="1:26" s="1118" customFormat="1" ht="12.75" hidden="1">
      <c r="A72" s="2926"/>
      <c r="B72" s="383" t="s">
        <v>22</v>
      </c>
      <c r="C72" s="359"/>
      <c r="D72" s="448">
        <f t="shared" ref="D72:X73" si="46">+D73</f>
        <v>0</v>
      </c>
      <c r="E72" s="448">
        <f t="shared" si="46"/>
        <v>0</v>
      </c>
      <c r="F72" s="448">
        <f t="shared" si="46"/>
        <v>0</v>
      </c>
      <c r="G72" s="448">
        <f t="shared" si="46"/>
        <v>0</v>
      </c>
      <c r="H72" s="448">
        <f t="shared" si="46"/>
        <v>0</v>
      </c>
      <c r="I72" s="448">
        <f t="shared" si="46"/>
        <v>0</v>
      </c>
      <c r="J72" s="448">
        <f t="shared" si="46"/>
        <v>0</v>
      </c>
      <c r="K72" s="448">
        <f t="shared" si="46"/>
        <v>0</v>
      </c>
      <c r="L72" s="448">
        <f t="shared" si="46"/>
        <v>0</v>
      </c>
      <c r="M72" s="448">
        <f t="shared" si="46"/>
        <v>0</v>
      </c>
      <c r="N72" s="448">
        <f t="shared" si="46"/>
        <v>0</v>
      </c>
      <c r="O72" s="448">
        <f t="shared" si="46"/>
        <v>0</v>
      </c>
      <c r="P72" s="448">
        <f t="shared" si="46"/>
        <v>0</v>
      </c>
      <c r="Q72" s="448">
        <f t="shared" si="46"/>
        <v>0</v>
      </c>
      <c r="R72" s="448">
        <f t="shared" si="46"/>
        <v>0</v>
      </c>
      <c r="S72" s="448">
        <f t="shared" si="46"/>
        <v>0</v>
      </c>
      <c r="T72" s="448">
        <f t="shared" si="46"/>
        <v>0</v>
      </c>
      <c r="U72" s="448">
        <f t="shared" si="46"/>
        <v>0</v>
      </c>
      <c r="V72" s="448">
        <f t="shared" si="46"/>
        <v>0</v>
      </c>
      <c r="W72" s="448">
        <f t="shared" si="46"/>
        <v>0</v>
      </c>
      <c r="X72" s="464">
        <f t="shared" si="46"/>
        <v>0</v>
      </c>
      <c r="Y72" s="2928"/>
    </row>
    <row r="73" spans="1:26" s="1118" customFormat="1" ht="12.75" hidden="1" customHeight="1">
      <c r="A73" s="2926"/>
      <c r="B73" s="2478" t="s">
        <v>30</v>
      </c>
      <c r="C73" s="2602" t="s">
        <v>223</v>
      </c>
      <c r="D73" s="443">
        <f t="shared" si="46"/>
        <v>0</v>
      </c>
      <c r="E73" s="444">
        <f t="shared" si="46"/>
        <v>0</v>
      </c>
      <c r="F73" s="444">
        <f t="shared" si="46"/>
        <v>0</v>
      </c>
      <c r="G73" s="444">
        <f t="shared" si="46"/>
        <v>0</v>
      </c>
      <c r="H73" s="444">
        <f t="shared" si="46"/>
        <v>0</v>
      </c>
      <c r="I73" s="547">
        <f t="shared" si="46"/>
        <v>0</v>
      </c>
      <c r="J73" s="547">
        <f t="shared" si="46"/>
        <v>0</v>
      </c>
      <c r="K73" s="547">
        <f t="shared" si="46"/>
        <v>0</v>
      </c>
      <c r="L73" s="547">
        <f t="shared" si="46"/>
        <v>0</v>
      </c>
      <c r="M73" s="547">
        <f t="shared" si="46"/>
        <v>0</v>
      </c>
      <c r="N73" s="553">
        <f>N74</f>
        <v>0</v>
      </c>
      <c r="O73" s="553">
        <f>O74</f>
        <v>0</v>
      </c>
      <c r="P73" s="553">
        <v>0</v>
      </c>
      <c r="Q73" s="553">
        <v>0</v>
      </c>
      <c r="R73" s="553">
        <v>0</v>
      </c>
      <c r="S73" s="553">
        <v>0</v>
      </c>
      <c r="T73" s="553">
        <v>0</v>
      </c>
      <c r="U73" s="553">
        <v>0</v>
      </c>
      <c r="V73" s="553">
        <v>0</v>
      </c>
      <c r="W73" s="553">
        <v>0</v>
      </c>
      <c r="X73" s="486">
        <f t="shared" si="46"/>
        <v>0</v>
      </c>
      <c r="Y73" s="2929"/>
    </row>
    <row r="74" spans="1:26" s="1118" customFormat="1" ht="12.75" hidden="1">
      <c r="A74" s="2926"/>
      <c r="B74" s="922" t="s">
        <v>33</v>
      </c>
      <c r="C74" s="2643"/>
      <c r="D74" s="450">
        <f>+M74+O74+P74+Q74+R74+S74+T74+U74+V74+W74</f>
        <v>0</v>
      </c>
      <c r="E74" s="438">
        <v>0</v>
      </c>
      <c r="F74" s="446">
        <v>0</v>
      </c>
      <c r="G74" s="446"/>
      <c r="H74" s="438"/>
      <c r="I74" s="438">
        <v>0</v>
      </c>
      <c r="J74" s="438">
        <v>0</v>
      </c>
      <c r="K74" s="438">
        <v>0</v>
      </c>
      <c r="L74" s="438">
        <v>0</v>
      </c>
      <c r="M74" s="440">
        <v>0</v>
      </c>
      <c r="N74" s="446"/>
      <c r="O74" s="446">
        <v>0</v>
      </c>
      <c r="P74" s="446">
        <v>0</v>
      </c>
      <c r="Q74" s="446">
        <v>0</v>
      </c>
      <c r="R74" s="446">
        <v>0</v>
      </c>
      <c r="S74" s="446">
        <v>0</v>
      </c>
      <c r="T74" s="446">
        <v>0</v>
      </c>
      <c r="U74" s="446">
        <v>0</v>
      </c>
      <c r="V74" s="446">
        <v>0</v>
      </c>
      <c r="W74" s="446">
        <v>0</v>
      </c>
      <c r="X74" s="2467">
        <f>+P74+Q74+R74+S74</f>
        <v>0</v>
      </c>
      <c r="Y74" s="2929"/>
    </row>
    <row r="75" spans="1:26" s="1118" customFormat="1" ht="12.75" hidden="1">
      <c r="A75" s="2926"/>
      <c r="B75" s="358" t="s">
        <v>34</v>
      </c>
      <c r="C75" s="359"/>
      <c r="D75" s="448">
        <f>+D76</f>
        <v>0</v>
      </c>
      <c r="E75" s="448">
        <f t="shared" ref="E75:N76" si="47">+E76</f>
        <v>0</v>
      </c>
      <c r="F75" s="448">
        <f t="shared" si="47"/>
        <v>0</v>
      </c>
      <c r="G75" s="448">
        <f t="shared" si="47"/>
        <v>0</v>
      </c>
      <c r="H75" s="448">
        <f t="shared" si="47"/>
        <v>0</v>
      </c>
      <c r="I75" s="448">
        <f t="shared" si="47"/>
        <v>0</v>
      </c>
      <c r="J75" s="448">
        <f t="shared" si="47"/>
        <v>0</v>
      </c>
      <c r="K75" s="448">
        <f t="shared" si="47"/>
        <v>0</v>
      </c>
      <c r="L75" s="448">
        <f t="shared" si="47"/>
        <v>0</v>
      </c>
      <c r="M75" s="448">
        <f t="shared" si="47"/>
        <v>0</v>
      </c>
      <c r="N75" s="448">
        <f t="shared" si="47"/>
        <v>0</v>
      </c>
      <c r="O75" s="448">
        <f t="shared" ref="O75:W76" si="48">O76</f>
        <v>0</v>
      </c>
      <c r="P75" s="448">
        <f t="shared" si="48"/>
        <v>0</v>
      </c>
      <c r="Q75" s="448">
        <f t="shared" si="48"/>
        <v>0</v>
      </c>
      <c r="R75" s="448">
        <f t="shared" si="48"/>
        <v>0</v>
      </c>
      <c r="S75" s="448">
        <f t="shared" si="48"/>
        <v>0</v>
      </c>
      <c r="T75" s="448">
        <f t="shared" si="48"/>
        <v>0</v>
      </c>
      <c r="U75" s="448">
        <f t="shared" si="48"/>
        <v>0</v>
      </c>
      <c r="V75" s="448">
        <f t="shared" si="48"/>
        <v>0</v>
      </c>
      <c r="W75" s="448">
        <f t="shared" si="48"/>
        <v>0</v>
      </c>
      <c r="X75" s="2659" t="s">
        <v>77</v>
      </c>
      <c r="Y75" s="2929"/>
      <c r="Z75" s="778">
        <f>'[5]Tab. 6H - Kultura fiz. i turyst'!$D$73-D75</f>
        <v>6000000</v>
      </c>
    </row>
    <row r="76" spans="1:26" s="1118" customFormat="1" ht="12" hidden="1" customHeight="1">
      <c r="A76" s="2926"/>
      <c r="B76" s="674" t="s">
        <v>30</v>
      </c>
      <c r="C76" s="2661" t="s">
        <v>101</v>
      </c>
      <c r="D76" s="443">
        <f>+D77</f>
        <v>0</v>
      </c>
      <c r="E76" s="444">
        <f t="shared" si="47"/>
        <v>0</v>
      </c>
      <c r="F76" s="444">
        <f t="shared" si="47"/>
        <v>0</v>
      </c>
      <c r="G76" s="444">
        <f t="shared" si="47"/>
        <v>0</v>
      </c>
      <c r="H76" s="444">
        <f t="shared" si="47"/>
        <v>0</v>
      </c>
      <c r="I76" s="444">
        <f t="shared" si="47"/>
        <v>0</v>
      </c>
      <c r="J76" s="444">
        <f t="shared" si="47"/>
        <v>0</v>
      </c>
      <c r="K76" s="444">
        <f t="shared" si="47"/>
        <v>0</v>
      </c>
      <c r="L76" s="444">
        <f t="shared" si="47"/>
        <v>0</v>
      </c>
      <c r="M76" s="444">
        <f t="shared" si="47"/>
        <v>0</v>
      </c>
      <c r="N76" s="444">
        <f t="shared" si="47"/>
        <v>0</v>
      </c>
      <c r="O76" s="444">
        <f t="shared" si="48"/>
        <v>0</v>
      </c>
      <c r="P76" s="444">
        <f t="shared" si="48"/>
        <v>0</v>
      </c>
      <c r="Q76" s="444">
        <f t="shared" si="48"/>
        <v>0</v>
      </c>
      <c r="R76" s="444">
        <f t="shared" si="48"/>
        <v>0</v>
      </c>
      <c r="S76" s="444">
        <f t="shared" si="48"/>
        <v>0</v>
      </c>
      <c r="T76" s="444">
        <f t="shared" si="48"/>
        <v>0</v>
      </c>
      <c r="U76" s="444">
        <f t="shared" si="48"/>
        <v>0</v>
      </c>
      <c r="V76" s="444">
        <f t="shared" si="48"/>
        <v>0</v>
      </c>
      <c r="W76" s="444">
        <f t="shared" si="48"/>
        <v>0</v>
      </c>
      <c r="X76" s="2646"/>
      <c r="Y76" s="2929"/>
    </row>
    <row r="77" spans="1:26" s="1118" customFormat="1" ht="13.5" hidden="1" thickBot="1">
      <c r="A77" s="2927"/>
      <c r="B77" s="2542" t="s">
        <v>33</v>
      </c>
      <c r="C77" s="2608"/>
      <c r="D77" s="517">
        <f>+M77+O77+P77+Q77+R77+S77+T77+U77+V77+W77</f>
        <v>0</v>
      </c>
      <c r="E77" s="475">
        <v>0</v>
      </c>
      <c r="F77" s="476"/>
      <c r="G77" s="475"/>
      <c r="H77" s="475"/>
      <c r="I77" s="475">
        <v>0</v>
      </c>
      <c r="J77" s="475">
        <v>0</v>
      </c>
      <c r="K77" s="475">
        <v>0</v>
      </c>
      <c r="L77" s="475">
        <v>0</v>
      </c>
      <c r="M77" s="475">
        <v>0</v>
      </c>
      <c r="N77" s="476"/>
      <c r="O77" s="475">
        <v>0</v>
      </c>
      <c r="P77" s="475">
        <v>0</v>
      </c>
      <c r="Q77" s="475">
        <v>0</v>
      </c>
      <c r="R77" s="475">
        <v>0</v>
      </c>
      <c r="S77" s="475">
        <v>0</v>
      </c>
      <c r="T77" s="475">
        <v>0</v>
      </c>
      <c r="U77" s="475">
        <v>0</v>
      </c>
      <c r="V77" s="475">
        <v>0</v>
      </c>
      <c r="W77" s="475">
        <v>0</v>
      </c>
      <c r="X77" s="2647"/>
      <c r="Y77" s="2918"/>
    </row>
    <row r="78" spans="1:26" s="1118" customFormat="1" ht="27.75" customHeight="1">
      <c r="A78" s="2925" t="s">
        <v>79</v>
      </c>
      <c r="B78" s="690" t="s">
        <v>546</v>
      </c>
      <c r="C78" s="1831" t="s">
        <v>225</v>
      </c>
      <c r="D78" s="699"/>
      <c r="E78" s="673"/>
      <c r="F78" s="673"/>
      <c r="G78" s="673"/>
      <c r="H78" s="673"/>
      <c r="I78" s="673"/>
      <c r="J78" s="673"/>
      <c r="K78" s="673"/>
      <c r="L78" s="692"/>
      <c r="M78" s="692"/>
      <c r="N78" s="692"/>
      <c r="O78" s="692"/>
      <c r="P78" s="693"/>
      <c r="Q78" s="693"/>
      <c r="R78" s="693"/>
      <c r="S78" s="693"/>
      <c r="T78" s="692"/>
      <c r="U78" s="692"/>
      <c r="V78" s="692"/>
      <c r="W78" s="692"/>
      <c r="X78" s="694"/>
      <c r="Y78" s="2720" t="s">
        <v>296</v>
      </c>
    </row>
    <row r="79" spans="1:26" s="1118" customFormat="1" ht="12.75">
      <c r="A79" s="2926"/>
      <c r="B79" s="383" t="s">
        <v>22</v>
      </c>
      <c r="C79" s="359"/>
      <c r="D79" s="448">
        <f>I79+J79+K79+L79+N79+O79+P79+Q79+R79</f>
        <v>150693</v>
      </c>
      <c r="E79" s="448">
        <f t="shared" ref="E79:J79" si="49">+E82</f>
        <v>0</v>
      </c>
      <c r="F79" s="448">
        <f t="shared" si="49"/>
        <v>0</v>
      </c>
      <c r="G79" s="448">
        <f t="shared" si="49"/>
        <v>0</v>
      </c>
      <c r="H79" s="448">
        <f t="shared" si="49"/>
        <v>0</v>
      </c>
      <c r="I79" s="448">
        <f>+I82</f>
        <v>0</v>
      </c>
      <c r="J79" s="448">
        <f t="shared" si="49"/>
        <v>0</v>
      </c>
      <c r="K79" s="448">
        <f t="shared" ref="K79:P79" si="50">K80+K82</f>
        <v>9565</v>
      </c>
      <c r="L79" s="448">
        <f t="shared" si="50"/>
        <v>52827</v>
      </c>
      <c r="M79" s="448">
        <f t="shared" si="50"/>
        <v>133659</v>
      </c>
      <c r="N79" s="448">
        <f t="shared" si="50"/>
        <v>71267</v>
      </c>
      <c r="O79" s="448">
        <f t="shared" si="50"/>
        <v>17034</v>
      </c>
      <c r="P79" s="448">
        <f t="shared" si="50"/>
        <v>0</v>
      </c>
      <c r="Q79" s="448">
        <f t="shared" ref="Q79:W79" si="51">+Q82</f>
        <v>0</v>
      </c>
      <c r="R79" s="448">
        <f t="shared" si="51"/>
        <v>0</v>
      </c>
      <c r="S79" s="448">
        <f t="shared" si="51"/>
        <v>0</v>
      </c>
      <c r="T79" s="448">
        <f t="shared" si="51"/>
        <v>0</v>
      </c>
      <c r="U79" s="448">
        <f t="shared" si="51"/>
        <v>0</v>
      </c>
      <c r="V79" s="448">
        <f t="shared" si="51"/>
        <v>0</v>
      </c>
      <c r="W79" s="448">
        <f t="shared" si="51"/>
        <v>0</v>
      </c>
      <c r="X79" s="464">
        <f>+X82+X80</f>
        <v>0</v>
      </c>
      <c r="Y79" s="2721"/>
    </row>
    <row r="80" spans="1:26" s="1118" customFormat="1" ht="14.25" customHeight="1">
      <c r="A80" s="2926"/>
      <c r="B80" s="1120" t="s">
        <v>36</v>
      </c>
      <c r="C80" s="2732" t="s">
        <v>223</v>
      </c>
      <c r="D80" s="1110">
        <f>D81</f>
        <v>23549</v>
      </c>
      <c r="E80" s="1111"/>
      <c r="F80" s="1111"/>
      <c r="G80" s="1111"/>
      <c r="H80" s="1111"/>
      <c r="I80" s="1116"/>
      <c r="J80" s="1116"/>
      <c r="K80" s="1116">
        <f t="shared" ref="K80:P80" si="52">K81</f>
        <v>901</v>
      </c>
      <c r="L80" s="1116">
        <f t="shared" si="52"/>
        <v>5252</v>
      </c>
      <c r="M80" s="1116">
        <f t="shared" si="52"/>
        <v>18046</v>
      </c>
      <c r="N80" s="1117">
        <f t="shared" si="52"/>
        <v>11893</v>
      </c>
      <c r="O80" s="1117">
        <f t="shared" si="52"/>
        <v>5503</v>
      </c>
      <c r="P80" s="1117">
        <f t="shared" si="52"/>
        <v>0</v>
      </c>
      <c r="Q80" s="1117">
        <v>0</v>
      </c>
      <c r="R80" s="1117">
        <v>0</v>
      </c>
      <c r="S80" s="1117">
        <v>0</v>
      </c>
      <c r="T80" s="1117">
        <v>0</v>
      </c>
      <c r="U80" s="1117">
        <v>0</v>
      </c>
      <c r="V80" s="1117">
        <v>0</v>
      </c>
      <c r="W80" s="1117">
        <v>0</v>
      </c>
      <c r="X80" s="1092">
        <f>X81</f>
        <v>0</v>
      </c>
      <c r="Y80" s="2721"/>
    </row>
    <row r="81" spans="1:26" s="1118" customFormat="1" ht="14.25" customHeight="1">
      <c r="A81" s="2926"/>
      <c r="B81" s="1121" t="s">
        <v>24</v>
      </c>
      <c r="C81" s="2595"/>
      <c r="D81" s="1107">
        <f>+M81+O81+P81+Q81+R81+S81+T81+U81+V81+W81</f>
        <v>23549</v>
      </c>
      <c r="E81" s="1099"/>
      <c r="F81" s="1109"/>
      <c r="G81" s="1109"/>
      <c r="H81" s="1099"/>
      <c r="I81" s="1099"/>
      <c r="J81" s="1099"/>
      <c r="K81" s="1099">
        <f>900+1</f>
        <v>901</v>
      </c>
      <c r="L81" s="1099">
        <v>5252</v>
      </c>
      <c r="M81" s="1095">
        <f>+L81+K81+J81+I81+N81</f>
        <v>18046</v>
      </c>
      <c r="N81" s="1109">
        <v>11893</v>
      </c>
      <c r="O81" s="1109">
        <v>5503</v>
      </c>
      <c r="P81" s="1109">
        <v>0</v>
      </c>
      <c r="Q81" s="1109">
        <v>0</v>
      </c>
      <c r="R81" s="1109">
        <v>0</v>
      </c>
      <c r="S81" s="1109">
        <v>0</v>
      </c>
      <c r="T81" s="1109">
        <v>0</v>
      </c>
      <c r="U81" s="1109">
        <v>0</v>
      </c>
      <c r="V81" s="1109">
        <v>0</v>
      </c>
      <c r="W81" s="1109">
        <v>0</v>
      </c>
      <c r="X81" s="1113">
        <f>+P81+Q81+R81+S81</f>
        <v>0</v>
      </c>
      <c r="Y81" s="2721"/>
    </row>
    <row r="82" spans="1:26" s="1118" customFormat="1" ht="12.75" customHeight="1">
      <c r="A82" s="2926"/>
      <c r="B82" s="2478" t="s">
        <v>30</v>
      </c>
      <c r="C82" s="2595"/>
      <c r="D82" s="443">
        <f>I82+J82+K82+L82+N82+O82+P82+Q82+R82</f>
        <v>127144</v>
      </c>
      <c r="E82" s="444">
        <f t="shared" ref="E82:X82" si="53">+E83</f>
        <v>0</v>
      </c>
      <c r="F82" s="444">
        <f t="shared" si="53"/>
        <v>0</v>
      </c>
      <c r="G82" s="444">
        <f t="shared" si="53"/>
        <v>0</v>
      </c>
      <c r="H82" s="444">
        <f t="shared" si="53"/>
        <v>0</v>
      </c>
      <c r="I82" s="547">
        <f t="shared" si="53"/>
        <v>0</v>
      </c>
      <c r="J82" s="547">
        <f t="shared" si="53"/>
        <v>0</v>
      </c>
      <c r="K82" s="547">
        <f t="shared" si="53"/>
        <v>8664</v>
      </c>
      <c r="L82" s="547">
        <f t="shared" si="53"/>
        <v>47575</v>
      </c>
      <c r="M82" s="547">
        <f t="shared" si="53"/>
        <v>115613</v>
      </c>
      <c r="N82" s="553">
        <f>N83</f>
        <v>59374</v>
      </c>
      <c r="O82" s="553">
        <f>O83</f>
        <v>11531</v>
      </c>
      <c r="P82" s="553">
        <v>0</v>
      </c>
      <c r="Q82" s="553">
        <v>0</v>
      </c>
      <c r="R82" s="553">
        <v>0</v>
      </c>
      <c r="S82" s="553">
        <v>0</v>
      </c>
      <c r="T82" s="553">
        <v>0</v>
      </c>
      <c r="U82" s="553">
        <v>0</v>
      </c>
      <c r="V82" s="553">
        <v>0</v>
      </c>
      <c r="W82" s="553">
        <v>0</v>
      </c>
      <c r="X82" s="486">
        <f t="shared" si="53"/>
        <v>0</v>
      </c>
      <c r="Y82" s="2699"/>
    </row>
    <row r="83" spans="1:26" s="1118" customFormat="1" ht="12.75">
      <c r="A83" s="2926"/>
      <c r="B83" s="922" t="s">
        <v>33</v>
      </c>
      <c r="C83" s="2662"/>
      <c r="D83" s="450">
        <f>+M83+O83+P83+Q83+R83+S83+T83+U83+V83+W83</f>
        <v>127144</v>
      </c>
      <c r="E83" s="438"/>
      <c r="F83" s="446">
        <v>0</v>
      </c>
      <c r="G83" s="446"/>
      <c r="H83" s="438"/>
      <c r="I83" s="438"/>
      <c r="J83" s="438"/>
      <c r="K83" s="438">
        <f>8664</f>
        <v>8664</v>
      </c>
      <c r="L83" s="438">
        <v>47575</v>
      </c>
      <c r="M83" s="440">
        <f>+L83+K83+J83+I83+N83</f>
        <v>115613</v>
      </c>
      <c r="N83" s="446">
        <f>621201-549933-11894</f>
        <v>59374</v>
      </c>
      <c r="O83" s="446">
        <f>549933-238401-300001</f>
        <v>11531</v>
      </c>
      <c r="P83" s="446">
        <v>0</v>
      </c>
      <c r="Q83" s="446">
        <v>0</v>
      </c>
      <c r="R83" s="446">
        <v>0</v>
      </c>
      <c r="S83" s="446">
        <v>0</v>
      </c>
      <c r="T83" s="446">
        <v>0</v>
      </c>
      <c r="U83" s="446">
        <v>0</v>
      </c>
      <c r="V83" s="446">
        <v>0</v>
      </c>
      <c r="W83" s="446">
        <v>0</v>
      </c>
      <c r="X83" s="2467">
        <f>+P83+Q83+R83+S83</f>
        <v>0</v>
      </c>
      <c r="Y83" s="2699"/>
    </row>
    <row r="84" spans="1:26" s="1118" customFormat="1" ht="12.75">
      <c r="A84" s="2926"/>
      <c r="B84" s="358" t="s">
        <v>34</v>
      </c>
      <c r="C84" s="359"/>
      <c r="D84" s="448">
        <f>I84+J84+K84+L84+N84+O84+P84+Q84+R84</f>
        <v>127144</v>
      </c>
      <c r="E84" s="448">
        <f t="shared" ref="E84:N85" si="54">+E85</f>
        <v>0</v>
      </c>
      <c r="F84" s="448">
        <f t="shared" si="54"/>
        <v>0</v>
      </c>
      <c r="G84" s="448">
        <f t="shared" si="54"/>
        <v>0</v>
      </c>
      <c r="H84" s="448">
        <f t="shared" si="54"/>
        <v>0</v>
      </c>
      <c r="I84" s="448">
        <f t="shared" si="54"/>
        <v>0</v>
      </c>
      <c r="J84" s="448">
        <f t="shared" si="54"/>
        <v>0</v>
      </c>
      <c r="K84" s="448">
        <f t="shared" si="54"/>
        <v>0</v>
      </c>
      <c r="L84" s="448">
        <f t="shared" si="54"/>
        <v>0</v>
      </c>
      <c r="M84" s="448">
        <f t="shared" si="54"/>
        <v>0</v>
      </c>
      <c r="N84" s="448">
        <f t="shared" si="54"/>
        <v>0</v>
      </c>
      <c r="O84" s="448">
        <f t="shared" ref="O84:W85" si="55">O85</f>
        <v>127144</v>
      </c>
      <c r="P84" s="448">
        <f t="shared" si="55"/>
        <v>0</v>
      </c>
      <c r="Q84" s="448">
        <f t="shared" si="55"/>
        <v>0</v>
      </c>
      <c r="R84" s="448">
        <f t="shared" si="55"/>
        <v>0</v>
      </c>
      <c r="S84" s="448">
        <f t="shared" si="55"/>
        <v>0</v>
      </c>
      <c r="T84" s="448">
        <f t="shared" si="55"/>
        <v>0</v>
      </c>
      <c r="U84" s="448">
        <f t="shared" si="55"/>
        <v>0</v>
      </c>
      <c r="V84" s="448">
        <f t="shared" si="55"/>
        <v>0</v>
      </c>
      <c r="W84" s="448">
        <f t="shared" si="55"/>
        <v>0</v>
      </c>
      <c r="X84" s="2659" t="s">
        <v>77</v>
      </c>
      <c r="Y84" s="2699"/>
      <c r="Z84" s="778">
        <f>'[5]Tab. 6H - Kultura fiz. i turyst'!$D$80-D84</f>
        <v>556448</v>
      </c>
    </row>
    <row r="85" spans="1:26" s="1118" customFormat="1" ht="12.75" customHeight="1">
      <c r="A85" s="2926"/>
      <c r="B85" s="674" t="s">
        <v>30</v>
      </c>
      <c r="C85" s="2661" t="s">
        <v>101</v>
      </c>
      <c r="D85" s="443">
        <f>I85+J85+K85+L85+N85+O85+P85+Q85+R85</f>
        <v>127144</v>
      </c>
      <c r="E85" s="444">
        <f t="shared" si="54"/>
        <v>0</v>
      </c>
      <c r="F85" s="444">
        <f t="shared" si="54"/>
        <v>0</v>
      </c>
      <c r="G85" s="444">
        <f t="shared" si="54"/>
        <v>0</v>
      </c>
      <c r="H85" s="444">
        <f t="shared" si="54"/>
        <v>0</v>
      </c>
      <c r="I85" s="444">
        <f t="shared" si="54"/>
        <v>0</v>
      </c>
      <c r="J85" s="444">
        <f t="shared" si="54"/>
        <v>0</v>
      </c>
      <c r="K85" s="444">
        <f t="shared" si="54"/>
        <v>0</v>
      </c>
      <c r="L85" s="444">
        <f t="shared" si="54"/>
        <v>0</v>
      </c>
      <c r="M85" s="444">
        <f t="shared" si="54"/>
        <v>0</v>
      </c>
      <c r="N85" s="444">
        <f t="shared" si="54"/>
        <v>0</v>
      </c>
      <c r="O85" s="444">
        <f t="shared" si="55"/>
        <v>127144</v>
      </c>
      <c r="P85" s="444">
        <f t="shared" si="55"/>
        <v>0</v>
      </c>
      <c r="Q85" s="444">
        <f t="shared" si="55"/>
        <v>0</v>
      </c>
      <c r="R85" s="444">
        <f t="shared" si="55"/>
        <v>0</v>
      </c>
      <c r="S85" s="444">
        <f t="shared" si="55"/>
        <v>0</v>
      </c>
      <c r="T85" s="444">
        <f t="shared" si="55"/>
        <v>0</v>
      </c>
      <c r="U85" s="444">
        <f t="shared" si="55"/>
        <v>0</v>
      </c>
      <c r="V85" s="444">
        <f t="shared" si="55"/>
        <v>0</v>
      </c>
      <c r="W85" s="444">
        <f t="shared" si="55"/>
        <v>0</v>
      </c>
      <c r="X85" s="2646"/>
      <c r="Y85" s="2699"/>
    </row>
    <row r="86" spans="1:26" s="1118" customFormat="1" ht="13.5" thickBot="1">
      <c r="A86" s="2927"/>
      <c r="B86" s="2542" t="s">
        <v>33</v>
      </c>
      <c r="C86" s="2608"/>
      <c r="D86" s="450">
        <f>+M86+O86+P86+Q86+R86+S86+T86+U86+V86+W86</f>
        <v>127144</v>
      </c>
      <c r="E86" s="475"/>
      <c r="F86" s="476"/>
      <c r="G86" s="475"/>
      <c r="H86" s="475"/>
      <c r="I86" s="475">
        <v>0</v>
      </c>
      <c r="J86" s="475">
        <v>0</v>
      </c>
      <c r="K86" s="475">
        <v>0</v>
      </c>
      <c r="L86" s="475">
        <v>0</v>
      </c>
      <c r="M86" s="440">
        <f>+L86+K86+J86+I86+N86</f>
        <v>0</v>
      </c>
      <c r="N86" s="476">
        <v>0</v>
      </c>
      <c r="O86" s="475">
        <f>683592-238401-318047</f>
        <v>127144</v>
      </c>
      <c r="P86" s="475">
        <v>0</v>
      </c>
      <c r="Q86" s="475">
        <v>0</v>
      </c>
      <c r="R86" s="475">
        <v>0</v>
      </c>
      <c r="S86" s="475">
        <v>0</v>
      </c>
      <c r="T86" s="475">
        <v>0</v>
      </c>
      <c r="U86" s="475">
        <v>0</v>
      </c>
      <c r="V86" s="475">
        <v>0</v>
      </c>
      <c r="W86" s="475">
        <v>0</v>
      </c>
      <c r="X86" s="2647"/>
      <c r="Y86" s="2931"/>
    </row>
    <row r="87" spans="1:26" s="1118" customFormat="1" ht="27.75" customHeight="1">
      <c r="A87" s="2925" t="s">
        <v>80</v>
      </c>
      <c r="B87" s="690" t="s">
        <v>547</v>
      </c>
      <c r="C87" s="1831" t="s">
        <v>97</v>
      </c>
      <c r="D87" s="699"/>
      <c r="E87" s="673"/>
      <c r="F87" s="673"/>
      <c r="G87" s="673"/>
      <c r="H87" s="673"/>
      <c r="I87" s="673"/>
      <c r="J87" s="673"/>
      <c r="K87" s="673"/>
      <c r="L87" s="692"/>
      <c r="M87" s="692"/>
      <c r="N87" s="692"/>
      <c r="O87" s="692"/>
      <c r="P87" s="693"/>
      <c r="Q87" s="693"/>
      <c r="R87" s="693"/>
      <c r="S87" s="693"/>
      <c r="T87" s="692"/>
      <c r="U87" s="692"/>
      <c r="V87" s="692"/>
      <c r="W87" s="692"/>
      <c r="X87" s="694"/>
      <c r="Y87" s="2928" t="s">
        <v>296</v>
      </c>
    </row>
    <row r="88" spans="1:26" s="1118" customFormat="1" ht="12.75">
      <c r="A88" s="2926"/>
      <c r="B88" s="383" t="s">
        <v>22</v>
      </c>
      <c r="C88" s="359"/>
      <c r="D88" s="448">
        <f>D89+D91</f>
        <v>246642</v>
      </c>
      <c r="E88" s="448">
        <f t="shared" ref="E88:O88" si="56">+E91</f>
        <v>0</v>
      </c>
      <c r="F88" s="448">
        <f t="shared" si="56"/>
        <v>0</v>
      </c>
      <c r="G88" s="448">
        <f t="shared" si="56"/>
        <v>0</v>
      </c>
      <c r="H88" s="448">
        <f t="shared" si="56"/>
        <v>0</v>
      </c>
      <c r="I88" s="448">
        <f t="shared" si="56"/>
        <v>0</v>
      </c>
      <c r="J88" s="448">
        <f t="shared" si="56"/>
        <v>0</v>
      </c>
      <c r="K88" s="448">
        <f t="shared" si="56"/>
        <v>0</v>
      </c>
      <c r="L88" s="448">
        <f t="shared" si="56"/>
        <v>0</v>
      </c>
      <c r="M88" s="448">
        <f t="shared" si="56"/>
        <v>0</v>
      </c>
      <c r="N88" s="448">
        <f t="shared" si="56"/>
        <v>0</v>
      </c>
      <c r="O88" s="448">
        <f t="shared" si="56"/>
        <v>238401</v>
      </c>
      <c r="P88" s="448">
        <f>P89</f>
        <v>8241</v>
      </c>
      <c r="Q88" s="448">
        <f t="shared" ref="Q88:W88" si="57">+Q91</f>
        <v>0</v>
      </c>
      <c r="R88" s="448">
        <f t="shared" si="57"/>
        <v>0</v>
      </c>
      <c r="S88" s="448">
        <f t="shared" si="57"/>
        <v>0</v>
      </c>
      <c r="T88" s="448">
        <f t="shared" si="57"/>
        <v>0</v>
      </c>
      <c r="U88" s="448">
        <f t="shared" si="57"/>
        <v>0</v>
      </c>
      <c r="V88" s="448">
        <f t="shared" si="57"/>
        <v>0</v>
      </c>
      <c r="W88" s="448">
        <f t="shared" si="57"/>
        <v>0</v>
      </c>
      <c r="X88" s="464">
        <f>X89</f>
        <v>8241</v>
      </c>
      <c r="Y88" s="2928"/>
    </row>
    <row r="89" spans="1:26" s="1118" customFormat="1" ht="14.25" customHeight="1">
      <c r="A89" s="2926"/>
      <c r="B89" s="1120" t="s">
        <v>36</v>
      </c>
      <c r="C89" s="2701" t="s">
        <v>223</v>
      </c>
      <c r="D89" s="1110">
        <f>D90</f>
        <v>8241</v>
      </c>
      <c r="E89" s="1111"/>
      <c r="F89" s="1111"/>
      <c r="G89" s="1111"/>
      <c r="H89" s="1111"/>
      <c r="I89" s="1116"/>
      <c r="J89" s="1116"/>
      <c r="K89" s="1116">
        <f>K90</f>
        <v>901</v>
      </c>
      <c r="L89" s="1116">
        <f>L90</f>
        <v>5252</v>
      </c>
      <c r="M89" s="1116">
        <f>M90</f>
        <v>0</v>
      </c>
      <c r="N89" s="1117">
        <f>N90</f>
        <v>11893</v>
      </c>
      <c r="O89" s="1117">
        <f>O90</f>
        <v>0</v>
      </c>
      <c r="P89" s="1117">
        <f>P90</f>
        <v>8241</v>
      </c>
      <c r="Q89" s="1117">
        <v>0</v>
      </c>
      <c r="R89" s="1117">
        <v>0</v>
      </c>
      <c r="S89" s="1117">
        <v>0</v>
      </c>
      <c r="T89" s="1117">
        <v>0</v>
      </c>
      <c r="U89" s="1117">
        <v>0</v>
      </c>
      <c r="V89" s="1117">
        <v>0</v>
      </c>
      <c r="W89" s="1117">
        <v>0</v>
      </c>
      <c r="X89" s="1092">
        <f>X90</f>
        <v>8241</v>
      </c>
      <c r="Y89" s="2928"/>
    </row>
    <row r="90" spans="1:26" s="1118" customFormat="1" ht="14.25" customHeight="1">
      <c r="A90" s="2926"/>
      <c r="B90" s="1121" t="s">
        <v>24</v>
      </c>
      <c r="C90" s="2595"/>
      <c r="D90" s="1107">
        <f>P90</f>
        <v>8241</v>
      </c>
      <c r="E90" s="1099"/>
      <c r="F90" s="1109"/>
      <c r="G90" s="1109"/>
      <c r="H90" s="1099"/>
      <c r="I90" s="1099"/>
      <c r="J90" s="1099"/>
      <c r="K90" s="1099">
        <f>900+1</f>
        <v>901</v>
      </c>
      <c r="L90" s="1099">
        <v>5252</v>
      </c>
      <c r="M90" s="1095">
        <v>0</v>
      </c>
      <c r="N90" s="1109">
        <v>11893</v>
      </c>
      <c r="O90" s="1109">
        <v>0</v>
      </c>
      <c r="P90" s="1109">
        <v>8241</v>
      </c>
      <c r="Q90" s="1109">
        <v>0</v>
      </c>
      <c r="R90" s="1109">
        <v>0</v>
      </c>
      <c r="S90" s="1109">
        <v>0</v>
      </c>
      <c r="T90" s="1109">
        <v>0</v>
      </c>
      <c r="U90" s="1109">
        <v>0</v>
      </c>
      <c r="V90" s="1109">
        <v>0</v>
      </c>
      <c r="W90" s="1109">
        <v>0</v>
      </c>
      <c r="X90" s="1113">
        <f>+P90+Q90+R90+S90</f>
        <v>8241</v>
      </c>
      <c r="Y90" s="2928"/>
    </row>
    <row r="91" spans="1:26" s="1118" customFormat="1" ht="12.75" customHeight="1">
      <c r="A91" s="2926"/>
      <c r="B91" s="2478" t="s">
        <v>30</v>
      </c>
      <c r="C91" s="2595"/>
      <c r="D91" s="443">
        <f>D92</f>
        <v>238401</v>
      </c>
      <c r="E91" s="444">
        <f t="shared" ref="E91:X91" si="58">+E92</f>
        <v>0</v>
      </c>
      <c r="F91" s="444">
        <f t="shared" si="58"/>
        <v>0</v>
      </c>
      <c r="G91" s="444">
        <f t="shared" si="58"/>
        <v>0</v>
      </c>
      <c r="H91" s="444">
        <f t="shared" si="58"/>
        <v>0</v>
      </c>
      <c r="I91" s="547">
        <f t="shared" si="58"/>
        <v>0</v>
      </c>
      <c r="J91" s="547">
        <f t="shared" si="58"/>
        <v>0</v>
      </c>
      <c r="K91" s="547">
        <f t="shared" si="58"/>
        <v>0</v>
      </c>
      <c r="L91" s="547">
        <f t="shared" si="58"/>
        <v>0</v>
      </c>
      <c r="M91" s="547">
        <f t="shared" si="58"/>
        <v>0</v>
      </c>
      <c r="N91" s="553">
        <f>N92</f>
        <v>0</v>
      </c>
      <c r="O91" s="553">
        <f>O92</f>
        <v>238401</v>
      </c>
      <c r="P91" s="553">
        <v>0</v>
      </c>
      <c r="Q91" s="553">
        <v>0</v>
      </c>
      <c r="R91" s="553">
        <v>0</v>
      </c>
      <c r="S91" s="553">
        <v>0</v>
      </c>
      <c r="T91" s="553">
        <v>0</v>
      </c>
      <c r="U91" s="553">
        <v>0</v>
      </c>
      <c r="V91" s="553">
        <v>0</v>
      </c>
      <c r="W91" s="553">
        <v>0</v>
      </c>
      <c r="X91" s="486">
        <f t="shared" si="58"/>
        <v>0</v>
      </c>
      <c r="Y91" s="2929"/>
    </row>
    <row r="92" spans="1:26" s="1118" customFormat="1" ht="12.75">
      <c r="A92" s="2926"/>
      <c r="B92" s="922" t="s">
        <v>33</v>
      </c>
      <c r="C92" s="2662"/>
      <c r="D92" s="450">
        <f>+M92+O92+P92+Q92+R92+S92+T92+U92+V92+W92</f>
        <v>238401</v>
      </c>
      <c r="E92" s="438"/>
      <c r="F92" s="446">
        <v>0</v>
      </c>
      <c r="G92" s="446"/>
      <c r="H92" s="438"/>
      <c r="I92" s="438"/>
      <c r="J92" s="438"/>
      <c r="K92" s="438"/>
      <c r="L92" s="438"/>
      <c r="M92" s="440">
        <f>+L92+K92+J92+I92+N92</f>
        <v>0</v>
      </c>
      <c r="N92" s="446">
        <v>0</v>
      </c>
      <c r="O92" s="446">
        <v>238401</v>
      </c>
      <c r="P92" s="446">
        <v>0</v>
      </c>
      <c r="Q92" s="446">
        <v>0</v>
      </c>
      <c r="R92" s="446">
        <v>0</v>
      </c>
      <c r="S92" s="446">
        <v>0</v>
      </c>
      <c r="T92" s="446">
        <v>0</v>
      </c>
      <c r="U92" s="446">
        <v>0</v>
      </c>
      <c r="V92" s="446">
        <v>0</v>
      </c>
      <c r="W92" s="446">
        <v>0</v>
      </c>
      <c r="X92" s="2467">
        <f>+P92+Q92+R92+S92</f>
        <v>0</v>
      </c>
      <c r="Y92" s="2929"/>
    </row>
    <row r="93" spans="1:26" s="1118" customFormat="1" ht="12.75">
      <c r="A93" s="2926"/>
      <c r="B93" s="358" t="s">
        <v>34</v>
      </c>
      <c r="C93" s="359"/>
      <c r="D93" s="448">
        <f>I93+J93+K93+L93+N93+O93+P93+Q93+R93</f>
        <v>238401</v>
      </c>
      <c r="E93" s="448">
        <f t="shared" ref="E93:N94" si="59">+E94</f>
        <v>0</v>
      </c>
      <c r="F93" s="448">
        <f t="shared" si="59"/>
        <v>0</v>
      </c>
      <c r="G93" s="448">
        <f t="shared" si="59"/>
        <v>0</v>
      </c>
      <c r="H93" s="448">
        <f t="shared" si="59"/>
        <v>0</v>
      </c>
      <c r="I93" s="448">
        <f t="shared" si="59"/>
        <v>0</v>
      </c>
      <c r="J93" s="448">
        <f t="shared" si="59"/>
        <v>0</v>
      </c>
      <c r="K93" s="448">
        <f t="shared" si="59"/>
        <v>0</v>
      </c>
      <c r="L93" s="448">
        <f t="shared" si="59"/>
        <v>0</v>
      </c>
      <c r="M93" s="448">
        <f t="shared" si="59"/>
        <v>0</v>
      </c>
      <c r="N93" s="448">
        <f t="shared" si="59"/>
        <v>0</v>
      </c>
      <c r="O93" s="448">
        <f t="shared" ref="O93:W94" si="60">O94</f>
        <v>238401</v>
      </c>
      <c r="P93" s="448">
        <f t="shared" si="60"/>
        <v>0</v>
      </c>
      <c r="Q93" s="448">
        <f t="shared" si="60"/>
        <v>0</v>
      </c>
      <c r="R93" s="448">
        <f t="shared" si="60"/>
        <v>0</v>
      </c>
      <c r="S93" s="448">
        <f t="shared" si="60"/>
        <v>0</v>
      </c>
      <c r="T93" s="448">
        <f t="shared" si="60"/>
        <v>0</v>
      </c>
      <c r="U93" s="448">
        <f t="shared" si="60"/>
        <v>0</v>
      </c>
      <c r="V93" s="448">
        <f t="shared" si="60"/>
        <v>0</v>
      </c>
      <c r="W93" s="448">
        <f t="shared" si="60"/>
        <v>0</v>
      </c>
      <c r="X93" s="2659" t="s">
        <v>77</v>
      </c>
      <c r="Y93" s="2929"/>
    </row>
    <row r="94" spans="1:26" s="1118" customFormat="1" ht="12.75" customHeight="1">
      <c r="A94" s="2926"/>
      <c r="B94" s="674" t="s">
        <v>30</v>
      </c>
      <c r="C94" s="2661" t="s">
        <v>101</v>
      </c>
      <c r="D94" s="443">
        <f>I94+J94+K94+L94+N94+O94+P94+Q94+R94</f>
        <v>238401</v>
      </c>
      <c r="E94" s="444">
        <f t="shared" si="59"/>
        <v>0</v>
      </c>
      <c r="F94" s="444">
        <f t="shared" si="59"/>
        <v>0</v>
      </c>
      <c r="G94" s="444">
        <f t="shared" si="59"/>
        <v>0</v>
      </c>
      <c r="H94" s="444">
        <f t="shared" si="59"/>
        <v>0</v>
      </c>
      <c r="I94" s="444">
        <f t="shared" si="59"/>
        <v>0</v>
      </c>
      <c r="J94" s="444">
        <f t="shared" si="59"/>
        <v>0</v>
      </c>
      <c r="K94" s="444">
        <f t="shared" si="59"/>
        <v>0</v>
      </c>
      <c r="L94" s="444">
        <f t="shared" si="59"/>
        <v>0</v>
      </c>
      <c r="M94" s="444">
        <f t="shared" si="59"/>
        <v>0</v>
      </c>
      <c r="N94" s="444">
        <f t="shared" si="59"/>
        <v>0</v>
      </c>
      <c r="O94" s="444">
        <f t="shared" si="60"/>
        <v>238401</v>
      </c>
      <c r="P94" s="444">
        <f t="shared" si="60"/>
        <v>0</v>
      </c>
      <c r="Q94" s="444">
        <f t="shared" si="60"/>
        <v>0</v>
      </c>
      <c r="R94" s="444">
        <f t="shared" si="60"/>
        <v>0</v>
      </c>
      <c r="S94" s="444">
        <f t="shared" si="60"/>
        <v>0</v>
      </c>
      <c r="T94" s="444">
        <f t="shared" si="60"/>
        <v>0</v>
      </c>
      <c r="U94" s="444">
        <f t="shared" si="60"/>
        <v>0</v>
      </c>
      <c r="V94" s="444">
        <f t="shared" si="60"/>
        <v>0</v>
      </c>
      <c r="W94" s="444">
        <f t="shared" si="60"/>
        <v>0</v>
      </c>
      <c r="X94" s="2646"/>
      <c r="Y94" s="2929"/>
    </row>
    <row r="95" spans="1:26" s="1118" customFormat="1" ht="13.5" thickBot="1">
      <c r="A95" s="2927"/>
      <c r="B95" s="2542" t="s">
        <v>33</v>
      </c>
      <c r="C95" s="2608"/>
      <c r="D95" s="450">
        <f>+M95+O95+P95+Q95+R95+S95+T95+U95+V95+W95</f>
        <v>238401</v>
      </c>
      <c r="E95" s="475"/>
      <c r="F95" s="476"/>
      <c r="G95" s="475"/>
      <c r="H95" s="475"/>
      <c r="I95" s="475">
        <v>0</v>
      </c>
      <c r="J95" s="475">
        <v>0</v>
      </c>
      <c r="K95" s="475">
        <v>0</v>
      </c>
      <c r="L95" s="475">
        <v>0</v>
      </c>
      <c r="M95" s="440">
        <f>+L95+K95+J95+I95+N95</f>
        <v>0</v>
      </c>
      <c r="N95" s="476">
        <v>0</v>
      </c>
      <c r="O95" s="475">
        <v>238401</v>
      </c>
      <c r="P95" s="475">
        <v>0</v>
      </c>
      <c r="Q95" s="475">
        <v>0</v>
      </c>
      <c r="R95" s="475">
        <v>0</v>
      </c>
      <c r="S95" s="475">
        <v>0</v>
      </c>
      <c r="T95" s="475">
        <v>0</v>
      </c>
      <c r="U95" s="475">
        <v>0</v>
      </c>
      <c r="V95" s="475">
        <v>0</v>
      </c>
      <c r="W95" s="475">
        <v>0</v>
      </c>
      <c r="X95" s="2647"/>
      <c r="Y95" s="2930"/>
    </row>
    <row r="96" spans="1:26" s="1118" customFormat="1" ht="29.25" customHeight="1">
      <c r="A96" s="2937" t="s">
        <v>81</v>
      </c>
      <c r="B96" s="690" t="s">
        <v>499</v>
      </c>
      <c r="C96" s="1831" t="s">
        <v>97</v>
      </c>
      <c r="D96" s="699"/>
      <c r="E96" s="673"/>
      <c r="F96" s="673"/>
      <c r="G96" s="673"/>
      <c r="H96" s="673"/>
      <c r="I96" s="673"/>
      <c r="J96" s="673"/>
      <c r="K96" s="673"/>
      <c r="L96" s="692"/>
      <c r="M96" s="692"/>
      <c r="N96" s="692"/>
      <c r="O96" s="692"/>
      <c r="P96" s="693"/>
      <c r="Q96" s="693">
        <f>+Q97+Q106+Q115-Q120-Q111-Q102</f>
        <v>6790354</v>
      </c>
      <c r="R96" s="693"/>
      <c r="S96" s="693"/>
      <c r="T96" s="692"/>
      <c r="U96" s="692"/>
      <c r="V96" s="692"/>
      <c r="W96" s="692"/>
      <c r="X96" s="694"/>
      <c r="Y96" s="2720" t="s">
        <v>103</v>
      </c>
    </row>
    <row r="97" spans="1:27" s="1118" customFormat="1" ht="14.25" customHeight="1">
      <c r="A97" s="2926"/>
      <c r="B97" s="1901" t="s">
        <v>22</v>
      </c>
      <c r="C97" s="359"/>
      <c r="D97" s="1822">
        <f>D98+D100</f>
        <v>45474581</v>
      </c>
      <c r="E97" s="1822">
        <f t="shared" ref="E97:S97" si="61">+E100</f>
        <v>0</v>
      </c>
      <c r="F97" s="1822">
        <f t="shared" si="61"/>
        <v>0</v>
      </c>
      <c r="G97" s="1822">
        <f t="shared" si="61"/>
        <v>0</v>
      </c>
      <c r="H97" s="1822">
        <f t="shared" si="61"/>
        <v>0</v>
      </c>
      <c r="I97" s="1822">
        <f t="shared" si="61"/>
        <v>0</v>
      </c>
      <c r="J97" s="1822">
        <f t="shared" si="61"/>
        <v>0</v>
      </c>
      <c r="K97" s="1822">
        <f t="shared" si="61"/>
        <v>0</v>
      </c>
      <c r="L97" s="1822">
        <f t="shared" si="61"/>
        <v>0</v>
      </c>
      <c r="M97" s="1822">
        <f>+M100+M98</f>
        <v>0</v>
      </c>
      <c r="N97" s="1822">
        <f>+N100+N98</f>
        <v>0</v>
      </c>
      <c r="O97" s="1822">
        <f>+O100+O98</f>
        <v>0</v>
      </c>
      <c r="P97" s="1822">
        <f>+P100+P98</f>
        <v>146960</v>
      </c>
      <c r="Q97" s="1822">
        <f>+Q100+Q98</f>
        <v>18385116</v>
      </c>
      <c r="R97" s="1822">
        <f>+R98+R100</f>
        <v>26942505</v>
      </c>
      <c r="S97" s="1822">
        <f t="shared" si="61"/>
        <v>0</v>
      </c>
      <c r="T97" s="1822"/>
      <c r="U97" s="1822"/>
      <c r="V97" s="1822"/>
      <c r="W97" s="1822"/>
      <c r="X97" s="1811">
        <f>+X100+X98</f>
        <v>45474581</v>
      </c>
      <c r="Y97" s="2721"/>
    </row>
    <row r="98" spans="1:27" s="1118" customFormat="1" ht="14.25" customHeight="1">
      <c r="A98" s="2926"/>
      <c r="B98" s="1902" t="s">
        <v>36</v>
      </c>
      <c r="C98" s="2668" t="s">
        <v>223</v>
      </c>
      <c r="D98" s="1820">
        <f>D99</f>
        <v>7090603</v>
      </c>
      <c r="E98" s="1892"/>
      <c r="F98" s="1892"/>
      <c r="G98" s="1892"/>
      <c r="H98" s="1892"/>
      <c r="I98" s="1903"/>
      <c r="J98" s="1903"/>
      <c r="K98" s="1903"/>
      <c r="L98" s="1903">
        <f t="shared" ref="L98:S98" si="62">L99</f>
        <v>0</v>
      </c>
      <c r="M98" s="1903">
        <f t="shared" si="62"/>
        <v>0</v>
      </c>
      <c r="N98" s="1904">
        <f t="shared" si="62"/>
        <v>0</v>
      </c>
      <c r="O98" s="1904">
        <f t="shared" si="62"/>
        <v>0</v>
      </c>
      <c r="P98" s="3273">
        <f t="shared" si="62"/>
        <v>146960</v>
      </c>
      <c r="Q98" s="3273">
        <f t="shared" si="62"/>
        <v>2902267</v>
      </c>
      <c r="R98" s="1904">
        <f t="shared" si="62"/>
        <v>4041376</v>
      </c>
      <c r="S98" s="1904">
        <f t="shared" si="62"/>
        <v>0</v>
      </c>
      <c r="T98" s="1904"/>
      <c r="U98" s="1904"/>
      <c r="V98" s="1904"/>
      <c r="W98" s="1904"/>
      <c r="X98" s="1905">
        <f>X99</f>
        <v>7090603</v>
      </c>
      <c r="Y98" s="2721"/>
    </row>
    <row r="99" spans="1:27" s="1118" customFormat="1" ht="14.25" customHeight="1">
      <c r="A99" s="2926"/>
      <c r="B99" s="1906" t="s">
        <v>24</v>
      </c>
      <c r="C99" s="2595"/>
      <c r="D99" s="1907">
        <f>+M99+O99+P99+Q99+R99+S99+T99+U99+V99+W99</f>
        <v>7090603</v>
      </c>
      <c r="E99" s="1908"/>
      <c r="F99" s="1909"/>
      <c r="G99" s="1909"/>
      <c r="H99" s="1908"/>
      <c r="I99" s="1908"/>
      <c r="J99" s="1908"/>
      <c r="K99" s="1908"/>
      <c r="L99" s="1908"/>
      <c r="M99" s="1815">
        <v>0</v>
      </c>
      <c r="N99" s="1909">
        <v>0</v>
      </c>
      <c r="O99" s="1909">
        <f>1010-1010</f>
        <v>0</v>
      </c>
      <c r="P99" s="1909">
        <f>1101580-954620</f>
        <v>146960</v>
      </c>
      <c r="Q99" s="1909">
        <f>2732267+170000</f>
        <v>2902267</v>
      </c>
      <c r="R99" s="1909">
        <v>4041376</v>
      </c>
      <c r="S99" s="1909">
        <v>0</v>
      </c>
      <c r="T99" s="1909"/>
      <c r="U99" s="1909"/>
      <c r="V99" s="1909"/>
      <c r="W99" s="1909"/>
      <c r="X99" s="1910">
        <f>+P99+Q99+R99+S99</f>
        <v>7090603</v>
      </c>
      <c r="Y99" s="2721"/>
    </row>
    <row r="100" spans="1:27" s="1118" customFormat="1" ht="14.25" customHeight="1">
      <c r="A100" s="2926"/>
      <c r="B100" s="1911" t="s">
        <v>30</v>
      </c>
      <c r="C100" s="2595"/>
      <c r="D100" s="1820">
        <f>D101</f>
        <v>38383978</v>
      </c>
      <c r="E100" s="1892">
        <f t="shared" ref="E100:M100" si="63">+E101</f>
        <v>0</v>
      </c>
      <c r="F100" s="1892">
        <f t="shared" si="63"/>
        <v>0</v>
      </c>
      <c r="G100" s="1892">
        <f t="shared" si="63"/>
        <v>0</v>
      </c>
      <c r="H100" s="1892">
        <f t="shared" si="63"/>
        <v>0</v>
      </c>
      <c r="I100" s="1903">
        <f t="shared" si="63"/>
        <v>0</v>
      </c>
      <c r="J100" s="1903">
        <f t="shared" si="63"/>
        <v>0</v>
      </c>
      <c r="K100" s="1903">
        <f t="shared" si="63"/>
        <v>0</v>
      </c>
      <c r="L100" s="1903">
        <f t="shared" si="63"/>
        <v>0</v>
      </c>
      <c r="M100" s="1903">
        <f t="shared" si="63"/>
        <v>0</v>
      </c>
      <c r="N100" s="1904">
        <f>N101</f>
        <v>0</v>
      </c>
      <c r="O100" s="1904">
        <f>O101</f>
        <v>0</v>
      </c>
      <c r="P100" s="1904">
        <v>0</v>
      </c>
      <c r="Q100" s="1904">
        <f>+Q101</f>
        <v>15482849</v>
      </c>
      <c r="R100" s="1904">
        <f>+R101</f>
        <v>22901129</v>
      </c>
      <c r="S100" s="1904">
        <v>0</v>
      </c>
      <c r="T100" s="1904"/>
      <c r="U100" s="1904"/>
      <c r="V100" s="1904"/>
      <c r="W100" s="1904"/>
      <c r="X100" s="1905">
        <f>+X101</f>
        <v>38383978</v>
      </c>
      <c r="Y100" s="2721"/>
    </row>
    <row r="101" spans="1:27" s="1118" customFormat="1" ht="15" customHeight="1">
      <c r="A101" s="2926"/>
      <c r="B101" s="922" t="s">
        <v>33</v>
      </c>
      <c r="C101" s="2662"/>
      <c r="D101" s="1907">
        <f>+M101+O101+P101+Q101+R101+S101+T101+U101+V101+W101</f>
        <v>38383978</v>
      </c>
      <c r="E101" s="1908"/>
      <c r="F101" s="1909">
        <v>0</v>
      </c>
      <c r="G101" s="1909"/>
      <c r="H101" s="1908"/>
      <c r="I101" s="1908"/>
      <c r="J101" s="1908"/>
      <c r="K101" s="1908"/>
      <c r="L101" s="1908"/>
      <c r="M101" s="1815">
        <v>0</v>
      </c>
      <c r="N101" s="1909">
        <v>0</v>
      </c>
      <c r="O101" s="1909">
        <v>0</v>
      </c>
      <c r="P101" s="1909">
        <v>0</v>
      </c>
      <c r="Q101" s="1909">
        <v>15482849</v>
      </c>
      <c r="R101" s="1909">
        <v>22901129</v>
      </c>
      <c r="S101" s="1909">
        <v>0</v>
      </c>
      <c r="T101" s="1909"/>
      <c r="U101" s="1909"/>
      <c r="V101" s="1909"/>
      <c r="W101" s="1909"/>
      <c r="X101" s="1910">
        <f>+P101+Q101+R101+S101</f>
        <v>38383978</v>
      </c>
      <c r="Y101" s="2932"/>
    </row>
    <row r="102" spans="1:27" s="1118" customFormat="1" ht="14.25" customHeight="1">
      <c r="A102" s="2926"/>
      <c r="B102" s="358" t="s">
        <v>34</v>
      </c>
      <c r="C102" s="359"/>
      <c r="D102" s="1822">
        <f>+D103</f>
        <v>38383978</v>
      </c>
      <c r="E102" s="1822">
        <f t="shared" ref="E102:N103" si="64">+E103</f>
        <v>0</v>
      </c>
      <c r="F102" s="1822">
        <f t="shared" si="64"/>
        <v>0</v>
      </c>
      <c r="G102" s="1822">
        <f t="shared" si="64"/>
        <v>0</v>
      </c>
      <c r="H102" s="1822">
        <f t="shared" si="64"/>
        <v>0</v>
      </c>
      <c r="I102" s="1822">
        <f t="shared" si="64"/>
        <v>0</v>
      </c>
      <c r="J102" s="1822">
        <f t="shared" si="64"/>
        <v>0</v>
      </c>
      <c r="K102" s="1822">
        <f t="shared" si="64"/>
        <v>0</v>
      </c>
      <c r="L102" s="1822">
        <f t="shared" si="64"/>
        <v>0</v>
      </c>
      <c r="M102" s="1822">
        <f t="shared" si="64"/>
        <v>0</v>
      </c>
      <c r="N102" s="1822">
        <f t="shared" si="64"/>
        <v>0</v>
      </c>
      <c r="O102" s="1822">
        <f t="shared" ref="O102:S103" si="65">O103</f>
        <v>0</v>
      </c>
      <c r="P102" s="1822">
        <f t="shared" si="65"/>
        <v>0</v>
      </c>
      <c r="Q102" s="1822">
        <f t="shared" si="65"/>
        <v>14000000</v>
      </c>
      <c r="R102" s="1822">
        <f t="shared" si="65"/>
        <v>23383978</v>
      </c>
      <c r="S102" s="1822">
        <f t="shared" si="65"/>
        <v>1000000</v>
      </c>
      <c r="T102" s="1822"/>
      <c r="U102" s="1822"/>
      <c r="V102" s="1822"/>
      <c r="W102" s="1822"/>
      <c r="X102" s="2945" t="s">
        <v>77</v>
      </c>
      <c r="Y102" s="2699" t="s">
        <v>120</v>
      </c>
      <c r="Z102" s="778"/>
    </row>
    <row r="103" spans="1:27" s="1118" customFormat="1" ht="14.25" customHeight="1">
      <c r="A103" s="2926"/>
      <c r="B103" s="674" t="s">
        <v>30</v>
      </c>
      <c r="C103" s="2944" t="s">
        <v>289</v>
      </c>
      <c r="D103" s="1820">
        <f>+D104</f>
        <v>38383978</v>
      </c>
      <c r="E103" s="1892">
        <f t="shared" si="64"/>
        <v>0</v>
      </c>
      <c r="F103" s="1892">
        <f t="shared" si="64"/>
        <v>0</v>
      </c>
      <c r="G103" s="1892">
        <f t="shared" si="64"/>
        <v>0</v>
      </c>
      <c r="H103" s="1892">
        <f t="shared" si="64"/>
        <v>0</v>
      </c>
      <c r="I103" s="1892">
        <f t="shared" si="64"/>
        <v>0</v>
      </c>
      <c r="J103" s="1892">
        <f t="shared" si="64"/>
        <v>0</v>
      </c>
      <c r="K103" s="1892">
        <f t="shared" si="64"/>
        <v>0</v>
      </c>
      <c r="L103" s="1892">
        <f t="shared" si="64"/>
        <v>0</v>
      </c>
      <c r="M103" s="1892">
        <f t="shared" si="64"/>
        <v>0</v>
      </c>
      <c r="N103" s="1892">
        <f t="shared" si="64"/>
        <v>0</v>
      </c>
      <c r="O103" s="1892">
        <f t="shared" si="65"/>
        <v>0</v>
      </c>
      <c r="P103" s="1892">
        <f t="shared" si="65"/>
        <v>0</v>
      </c>
      <c r="Q103" s="1892">
        <f t="shared" si="65"/>
        <v>14000000</v>
      </c>
      <c r="R103" s="1892">
        <f t="shared" si="65"/>
        <v>23383978</v>
      </c>
      <c r="S103" s="1892">
        <f t="shared" si="65"/>
        <v>1000000</v>
      </c>
      <c r="T103" s="1892"/>
      <c r="U103" s="1892"/>
      <c r="V103" s="1892"/>
      <c r="W103" s="1892"/>
      <c r="X103" s="2646"/>
      <c r="Y103" s="2699"/>
    </row>
    <row r="104" spans="1:27" s="1118" customFormat="1" ht="14.25" customHeight="1" thickBot="1">
      <c r="A104" s="2927"/>
      <c r="B104" s="2542" t="s">
        <v>33</v>
      </c>
      <c r="C104" s="2608"/>
      <c r="D104" s="517">
        <f>+M104+O104+P104+Q104+R104+S104+T104+U104+V104+W104</f>
        <v>38383978</v>
      </c>
      <c r="E104" s="475"/>
      <c r="F104" s="476"/>
      <c r="G104" s="475"/>
      <c r="H104" s="475"/>
      <c r="I104" s="475">
        <v>0</v>
      </c>
      <c r="J104" s="475">
        <v>0</v>
      </c>
      <c r="K104" s="475">
        <v>0</v>
      </c>
      <c r="L104" s="475">
        <v>0</v>
      </c>
      <c r="M104" s="475">
        <f>+L104+K104+J104+I104+N104</f>
        <v>0</v>
      </c>
      <c r="N104" s="476"/>
      <c r="O104" s="475">
        <v>0</v>
      </c>
      <c r="P104" s="475">
        <v>0</v>
      </c>
      <c r="Q104" s="475">
        <v>14000000</v>
      </c>
      <c r="R104" s="475">
        <v>23383978</v>
      </c>
      <c r="S104" s="475">
        <v>1000000</v>
      </c>
      <c r="T104" s="475"/>
      <c r="U104" s="475"/>
      <c r="V104" s="475"/>
      <c r="W104" s="475"/>
      <c r="X104" s="2647"/>
      <c r="Y104" s="2700"/>
    </row>
    <row r="105" spans="1:27" ht="33" customHeight="1">
      <c r="A105" s="2937" t="s">
        <v>82</v>
      </c>
      <c r="B105" s="690" t="s">
        <v>500</v>
      </c>
      <c r="C105" s="1831" t="s">
        <v>97</v>
      </c>
      <c r="D105" s="732"/>
      <c r="E105" s="733"/>
      <c r="F105" s="730"/>
      <c r="G105" s="731"/>
      <c r="H105" s="733"/>
      <c r="I105" s="733"/>
      <c r="J105" s="733"/>
      <c r="K105" s="733"/>
      <c r="L105" s="734"/>
      <c r="M105" s="734"/>
      <c r="N105" s="734"/>
      <c r="O105" s="734"/>
      <c r="P105" s="735"/>
      <c r="Q105" s="735"/>
      <c r="R105" s="735"/>
      <c r="S105" s="735"/>
      <c r="T105" s="734"/>
      <c r="U105" s="734"/>
      <c r="V105" s="734"/>
      <c r="W105" s="734"/>
      <c r="X105" s="736"/>
      <c r="Y105" s="2720" t="s">
        <v>103</v>
      </c>
    </row>
    <row r="106" spans="1:27" ht="16.5" customHeight="1">
      <c r="A106" s="2925"/>
      <c r="B106" s="1114" t="s">
        <v>22</v>
      </c>
      <c r="C106" s="639"/>
      <c r="D106" s="1112">
        <f>+D107+D109</f>
        <v>16691432</v>
      </c>
      <c r="E106" s="1112">
        <f t="shared" ref="E106:P106" si="66">+E107+E109</f>
        <v>0</v>
      </c>
      <c r="F106" s="1112">
        <f t="shared" si="66"/>
        <v>0</v>
      </c>
      <c r="G106" s="1112">
        <f t="shared" si="66"/>
        <v>0</v>
      </c>
      <c r="H106" s="1112">
        <f t="shared" si="66"/>
        <v>0</v>
      </c>
      <c r="I106" s="1112">
        <f t="shared" si="66"/>
        <v>0</v>
      </c>
      <c r="J106" s="1112">
        <f t="shared" si="66"/>
        <v>0</v>
      </c>
      <c r="K106" s="1112">
        <f t="shared" si="66"/>
        <v>0</v>
      </c>
      <c r="L106" s="1112">
        <f t="shared" si="66"/>
        <v>0</v>
      </c>
      <c r="M106" s="1112">
        <f t="shared" si="66"/>
        <v>0</v>
      </c>
      <c r="N106" s="1112">
        <f t="shared" si="66"/>
        <v>0</v>
      </c>
      <c r="O106" s="1112">
        <f t="shared" si="66"/>
        <v>0</v>
      </c>
      <c r="P106" s="1112">
        <f t="shared" si="66"/>
        <v>52306</v>
      </c>
      <c r="Q106" s="1112">
        <f>+Q107+Q109</f>
        <v>6729744</v>
      </c>
      <c r="R106" s="1112">
        <f>+R107+R109</f>
        <v>9909382</v>
      </c>
      <c r="S106" s="1112"/>
      <c r="T106" s="1112"/>
      <c r="U106" s="1112"/>
      <c r="V106" s="1112"/>
      <c r="W106" s="1112"/>
      <c r="X106" s="1811">
        <f>X107+X109</f>
        <v>16691432</v>
      </c>
      <c r="Y106" s="2721"/>
      <c r="Z106" s="723"/>
      <c r="AA106" s="723"/>
    </row>
    <row r="107" spans="1:27" s="1118" customFormat="1" ht="14.25" customHeight="1">
      <c r="A107" s="2925"/>
      <c r="B107" s="1120" t="s">
        <v>36</v>
      </c>
      <c r="C107" s="2732" t="s">
        <v>223</v>
      </c>
      <c r="D107" s="1110">
        <f>D108</f>
        <v>2603425</v>
      </c>
      <c r="E107" s="1111"/>
      <c r="F107" s="1111"/>
      <c r="G107" s="1111"/>
      <c r="H107" s="1111"/>
      <c r="I107" s="1116"/>
      <c r="J107" s="1116"/>
      <c r="K107" s="1116"/>
      <c r="L107" s="1116">
        <f t="shared" ref="L107:R107" si="67">L108</f>
        <v>0</v>
      </c>
      <c r="M107" s="1116">
        <f t="shared" si="67"/>
        <v>0</v>
      </c>
      <c r="N107" s="1117">
        <f t="shared" si="67"/>
        <v>0</v>
      </c>
      <c r="O107" s="1117">
        <f t="shared" si="67"/>
        <v>0</v>
      </c>
      <c r="P107" s="3274">
        <f t="shared" si="67"/>
        <v>52306</v>
      </c>
      <c r="Q107" s="3274">
        <f t="shared" si="67"/>
        <v>1064712</v>
      </c>
      <c r="R107" s="3274">
        <f t="shared" si="67"/>
        <v>1486407</v>
      </c>
      <c r="S107" s="1117"/>
      <c r="T107" s="1117"/>
      <c r="U107" s="1117"/>
      <c r="V107" s="1117"/>
      <c r="W107" s="1117"/>
      <c r="X107" s="1092">
        <f>X108</f>
        <v>2603425</v>
      </c>
      <c r="Y107" s="2721"/>
    </row>
    <row r="108" spans="1:27" s="1118" customFormat="1" ht="14.25" customHeight="1">
      <c r="A108" s="2925"/>
      <c r="B108" s="1121" t="s">
        <v>24</v>
      </c>
      <c r="C108" s="2595"/>
      <c r="D108" s="1107">
        <f>+M108+O108+P108+Q108+R108+S108+T108+U108+V108+W108</f>
        <v>2603425</v>
      </c>
      <c r="E108" s="1099"/>
      <c r="F108" s="1109"/>
      <c r="G108" s="1109"/>
      <c r="H108" s="1099"/>
      <c r="I108" s="1099"/>
      <c r="J108" s="1099"/>
      <c r="K108" s="1099"/>
      <c r="L108" s="1099"/>
      <c r="M108" s="1095">
        <v>0</v>
      </c>
      <c r="N108" s="1109">
        <v>0</v>
      </c>
      <c r="O108" s="1109">
        <f>1010-1010</f>
        <v>0</v>
      </c>
      <c r="P108" s="1109">
        <f>455580-403274</f>
        <v>52306</v>
      </c>
      <c r="Q108" s="1109">
        <f>1009016+55696</f>
        <v>1064712</v>
      </c>
      <c r="R108" s="1109">
        <f>1500949-14542</f>
        <v>1486407</v>
      </c>
      <c r="S108" s="1109"/>
      <c r="T108" s="1109"/>
      <c r="U108" s="1109"/>
      <c r="V108" s="1109"/>
      <c r="W108" s="1109"/>
      <c r="X108" s="1113">
        <f>+P108+Q108+R108+S108</f>
        <v>2603425</v>
      </c>
      <c r="Y108" s="2721"/>
    </row>
    <row r="109" spans="1:27" ht="14.25" customHeight="1">
      <c r="A109" s="2925"/>
      <c r="B109" s="1115" t="s">
        <v>30</v>
      </c>
      <c r="C109" s="2595"/>
      <c r="D109" s="1110">
        <f>+D110</f>
        <v>14088007</v>
      </c>
      <c r="E109" s="1111">
        <f t="shared" ref="E109:L109" si="68">+E110</f>
        <v>0</v>
      </c>
      <c r="F109" s="1111">
        <f t="shared" si="68"/>
        <v>0</v>
      </c>
      <c r="G109" s="1111">
        <f t="shared" si="68"/>
        <v>0</v>
      </c>
      <c r="H109" s="1111">
        <f t="shared" si="68"/>
        <v>0</v>
      </c>
      <c r="I109" s="1116">
        <f t="shared" si="68"/>
        <v>0</v>
      </c>
      <c r="J109" s="1116">
        <f t="shared" si="68"/>
        <v>0</v>
      </c>
      <c r="K109" s="1116">
        <f t="shared" si="68"/>
        <v>0</v>
      </c>
      <c r="L109" s="1116">
        <f t="shared" si="68"/>
        <v>0</v>
      </c>
      <c r="M109" s="1116">
        <f>+M110</f>
        <v>0</v>
      </c>
      <c r="N109" s="1116">
        <f>+N110</f>
        <v>0</v>
      </c>
      <c r="O109" s="1116">
        <f>+O110</f>
        <v>0</v>
      </c>
      <c r="P109" s="1116">
        <f>+P110</f>
        <v>0</v>
      </c>
      <c r="Q109" s="3274">
        <f>Q110</f>
        <v>5665032</v>
      </c>
      <c r="R109" s="3274">
        <f>R110</f>
        <v>8422975</v>
      </c>
      <c r="S109" s="1117"/>
      <c r="T109" s="1117"/>
      <c r="U109" s="1117"/>
      <c r="V109" s="1117"/>
      <c r="W109" s="1117"/>
      <c r="X109" s="2482">
        <f>+X110</f>
        <v>14088007</v>
      </c>
      <c r="Y109" s="2721"/>
    </row>
    <row r="110" spans="1:27" ht="13.5" customHeight="1">
      <c r="A110" s="2925"/>
      <c r="B110" s="922" t="s">
        <v>33</v>
      </c>
      <c r="C110" s="2662"/>
      <c r="D110" s="1107">
        <f>+M110+O110+P110+Q110+R110</f>
        <v>14088007</v>
      </c>
      <c r="E110" s="1099"/>
      <c r="F110" s="1109"/>
      <c r="G110" s="1109"/>
      <c r="H110" s="1099"/>
      <c r="I110" s="1099"/>
      <c r="J110" s="1099"/>
      <c r="K110" s="1099"/>
      <c r="L110" s="1099"/>
      <c r="M110" s="1095">
        <v>0</v>
      </c>
      <c r="N110" s="1109"/>
      <c r="O110" s="1109">
        <v>0</v>
      </c>
      <c r="P110" s="1109">
        <v>0</v>
      </c>
      <c r="Q110" s="1109">
        <f>5717756-52724</f>
        <v>5665032</v>
      </c>
      <c r="R110" s="1109">
        <f>8505377-82402</f>
        <v>8422975</v>
      </c>
      <c r="S110" s="1109"/>
      <c r="T110" s="1109"/>
      <c r="U110" s="1109"/>
      <c r="V110" s="1109"/>
      <c r="W110" s="1109"/>
      <c r="X110" s="1113">
        <f>+P110+Q110+R110+S110</f>
        <v>14088007</v>
      </c>
      <c r="Y110" s="2932"/>
    </row>
    <row r="111" spans="1:27" ht="15.75" customHeight="1">
      <c r="A111" s="2925"/>
      <c r="B111" s="358" t="s">
        <v>34</v>
      </c>
      <c r="C111" s="359"/>
      <c r="D111" s="1112">
        <f>+D112</f>
        <v>14088007</v>
      </c>
      <c r="E111" s="1112">
        <f t="shared" ref="E111:N112" si="69">+E112</f>
        <v>0</v>
      </c>
      <c r="F111" s="1112">
        <f t="shared" si="69"/>
        <v>0</v>
      </c>
      <c r="G111" s="1112">
        <f t="shared" si="69"/>
        <v>0</v>
      </c>
      <c r="H111" s="1112">
        <f t="shared" si="69"/>
        <v>0</v>
      </c>
      <c r="I111" s="1112">
        <f t="shared" si="69"/>
        <v>0</v>
      </c>
      <c r="J111" s="1112">
        <f t="shared" si="69"/>
        <v>0</v>
      </c>
      <c r="K111" s="1112">
        <f t="shared" si="69"/>
        <v>0</v>
      </c>
      <c r="L111" s="1112">
        <f t="shared" si="69"/>
        <v>0</v>
      </c>
      <c r="M111" s="1112">
        <f>+M112</f>
        <v>0</v>
      </c>
      <c r="N111" s="1112">
        <f t="shared" si="69"/>
        <v>0</v>
      </c>
      <c r="O111" s="1112">
        <f t="shared" ref="O111:S112" si="70">O112</f>
        <v>0</v>
      </c>
      <c r="P111" s="1112">
        <f t="shared" si="70"/>
        <v>0</v>
      </c>
      <c r="Q111" s="1112">
        <f t="shared" si="70"/>
        <v>5464874</v>
      </c>
      <c r="R111" s="1112">
        <f t="shared" si="70"/>
        <v>8123133</v>
      </c>
      <c r="S111" s="1112">
        <f t="shared" si="70"/>
        <v>500000</v>
      </c>
      <c r="T111" s="1112"/>
      <c r="U111" s="1112"/>
      <c r="V111" s="1112"/>
      <c r="W111" s="1112"/>
      <c r="X111" s="2934"/>
      <c r="Y111" s="2699" t="s">
        <v>120</v>
      </c>
    </row>
    <row r="112" spans="1:27" ht="12.75" customHeight="1">
      <c r="A112" s="2925"/>
      <c r="B112" s="674" t="s">
        <v>30</v>
      </c>
      <c r="C112" s="2933" t="s">
        <v>289</v>
      </c>
      <c r="D112" s="1110">
        <f>+D113</f>
        <v>14088007</v>
      </c>
      <c r="E112" s="1111">
        <f t="shared" si="69"/>
        <v>0</v>
      </c>
      <c r="F112" s="1111">
        <f t="shared" si="69"/>
        <v>0</v>
      </c>
      <c r="G112" s="1111">
        <f t="shared" si="69"/>
        <v>0</v>
      </c>
      <c r="H112" s="1111">
        <f t="shared" si="69"/>
        <v>0</v>
      </c>
      <c r="I112" s="1111">
        <f t="shared" si="69"/>
        <v>0</v>
      </c>
      <c r="J112" s="1111">
        <f t="shared" si="69"/>
        <v>0</v>
      </c>
      <c r="K112" s="1111">
        <f t="shared" si="69"/>
        <v>0</v>
      </c>
      <c r="L112" s="1111">
        <f t="shared" si="69"/>
        <v>0</v>
      </c>
      <c r="M112" s="1111">
        <f>+M113</f>
        <v>0</v>
      </c>
      <c r="N112" s="1111">
        <f t="shared" si="69"/>
        <v>0</v>
      </c>
      <c r="O112" s="1111">
        <f t="shared" si="70"/>
        <v>0</v>
      </c>
      <c r="P112" s="1111">
        <f t="shared" si="70"/>
        <v>0</v>
      </c>
      <c r="Q112" s="1111">
        <f t="shared" si="70"/>
        <v>5464874</v>
      </c>
      <c r="R112" s="1111">
        <f t="shared" si="70"/>
        <v>8123133</v>
      </c>
      <c r="S112" s="1111">
        <f t="shared" si="70"/>
        <v>500000</v>
      </c>
      <c r="T112" s="1111"/>
      <c r="U112" s="1111"/>
      <c r="V112" s="1111"/>
      <c r="W112" s="1111"/>
      <c r="X112" s="2935"/>
      <c r="Y112" s="2699"/>
    </row>
    <row r="113" spans="1:25" ht="17.25" customHeight="1" thickBot="1">
      <c r="A113" s="2946"/>
      <c r="B113" s="2542" t="s">
        <v>33</v>
      </c>
      <c r="C113" s="2608"/>
      <c r="D113" s="1107">
        <f>+M113+O113+P113+Q113+R113+S113</f>
        <v>14088007</v>
      </c>
      <c r="E113" s="475"/>
      <c r="F113" s="476"/>
      <c r="G113" s="475"/>
      <c r="H113" s="475"/>
      <c r="I113" s="475"/>
      <c r="J113" s="475"/>
      <c r="K113" s="475"/>
      <c r="L113" s="475"/>
      <c r="M113" s="1095">
        <v>0</v>
      </c>
      <c r="N113" s="476"/>
      <c r="O113" s="475">
        <v>0</v>
      </c>
      <c r="P113" s="475">
        <v>0</v>
      </c>
      <c r="Q113" s="475">
        <f>5600000-135126</f>
        <v>5464874</v>
      </c>
      <c r="R113" s="475">
        <v>8123133</v>
      </c>
      <c r="S113" s="475">
        <v>500000</v>
      </c>
      <c r="T113" s="475"/>
      <c r="U113" s="475"/>
      <c r="V113" s="475"/>
      <c r="W113" s="475"/>
      <c r="X113" s="2936"/>
      <c r="Y113" s="2700"/>
    </row>
    <row r="114" spans="1:25" s="1118" customFormat="1" ht="41.25" customHeight="1">
      <c r="A114" s="2937" t="s">
        <v>83</v>
      </c>
      <c r="B114" s="690" t="s">
        <v>463</v>
      </c>
      <c r="C114" s="1831" t="s">
        <v>97</v>
      </c>
      <c r="D114" s="699"/>
      <c r="E114" s="673"/>
      <c r="F114" s="673"/>
      <c r="G114" s="673"/>
      <c r="H114" s="673"/>
      <c r="I114" s="673"/>
      <c r="J114" s="673"/>
      <c r="K114" s="673"/>
      <c r="L114" s="692"/>
      <c r="M114" s="692"/>
      <c r="N114" s="692"/>
      <c r="O114" s="692"/>
      <c r="P114" s="693"/>
      <c r="Q114" s="693"/>
      <c r="R114" s="693"/>
      <c r="S114" s="693"/>
      <c r="T114" s="692"/>
      <c r="U114" s="692"/>
      <c r="V114" s="692"/>
      <c r="W114" s="692"/>
      <c r="X114" s="694"/>
      <c r="Y114" s="1912"/>
    </row>
    <row r="115" spans="1:25" s="1118" customFormat="1" ht="14.25" customHeight="1">
      <c r="A115" s="2926"/>
      <c r="B115" s="1114" t="s">
        <v>22</v>
      </c>
      <c r="C115" s="359"/>
      <c r="D115" s="1112">
        <f t="shared" ref="D115:P115" si="71">+D118+D116</f>
        <v>15204902</v>
      </c>
      <c r="E115" s="1112">
        <f t="shared" si="71"/>
        <v>0</v>
      </c>
      <c r="F115" s="1112">
        <f t="shared" si="71"/>
        <v>0</v>
      </c>
      <c r="G115" s="1112">
        <f t="shared" si="71"/>
        <v>0</v>
      </c>
      <c r="H115" s="1112">
        <f t="shared" si="71"/>
        <v>0</v>
      </c>
      <c r="I115" s="1112">
        <f t="shared" si="71"/>
        <v>0</v>
      </c>
      <c r="J115" s="1112">
        <f t="shared" si="71"/>
        <v>0</v>
      </c>
      <c r="K115" s="1112">
        <f t="shared" si="71"/>
        <v>0</v>
      </c>
      <c r="L115" s="1112">
        <f t="shared" si="71"/>
        <v>0</v>
      </c>
      <c r="M115" s="1112">
        <f t="shared" si="71"/>
        <v>0</v>
      </c>
      <c r="N115" s="1112">
        <f t="shared" si="71"/>
        <v>0</v>
      </c>
      <c r="O115" s="1112">
        <f t="shared" si="71"/>
        <v>0</v>
      </c>
      <c r="P115" s="1112">
        <f t="shared" si="71"/>
        <v>0</v>
      </c>
      <c r="Q115" s="1112">
        <f>+Q118+Q116</f>
        <v>7602451</v>
      </c>
      <c r="R115" s="1112">
        <f t="shared" ref="R115:W115" si="72">+R118+R116</f>
        <v>7602451</v>
      </c>
      <c r="S115" s="1112">
        <f t="shared" si="72"/>
        <v>0</v>
      </c>
      <c r="T115" s="1112">
        <f t="shared" si="72"/>
        <v>0</v>
      </c>
      <c r="U115" s="1112">
        <f t="shared" si="72"/>
        <v>0</v>
      </c>
      <c r="V115" s="1112">
        <f t="shared" si="72"/>
        <v>0</v>
      </c>
      <c r="W115" s="1112">
        <f t="shared" si="72"/>
        <v>0</v>
      </c>
      <c r="X115" s="1108">
        <f>+X118+X116</f>
        <v>15204902</v>
      </c>
      <c r="Y115" s="2721" t="s">
        <v>491</v>
      </c>
    </row>
    <row r="116" spans="1:25" s="1118" customFormat="1" ht="14.25" customHeight="1">
      <c r="A116" s="2926"/>
      <c r="B116" s="1120" t="s">
        <v>36</v>
      </c>
      <c r="C116" s="2732" t="s">
        <v>223</v>
      </c>
      <c r="D116" s="1110">
        <f>D117</f>
        <v>2280735</v>
      </c>
      <c r="E116" s="1111"/>
      <c r="F116" s="1111"/>
      <c r="G116" s="1111"/>
      <c r="H116" s="1111"/>
      <c r="I116" s="1116"/>
      <c r="J116" s="1116"/>
      <c r="K116" s="1116"/>
      <c r="L116" s="1116">
        <f t="shared" ref="L116:T116" si="73">L117</f>
        <v>0</v>
      </c>
      <c r="M116" s="1116">
        <f t="shared" si="73"/>
        <v>0</v>
      </c>
      <c r="N116" s="1117">
        <f t="shared" si="73"/>
        <v>0</v>
      </c>
      <c r="O116" s="1117">
        <f t="shared" si="73"/>
        <v>0</v>
      </c>
      <c r="P116" s="1117">
        <f t="shared" si="73"/>
        <v>0</v>
      </c>
      <c r="Q116" s="1117">
        <f t="shared" si="73"/>
        <v>1140368</v>
      </c>
      <c r="R116" s="1117">
        <f t="shared" si="73"/>
        <v>1140367</v>
      </c>
      <c r="S116" s="1117">
        <f t="shared" si="73"/>
        <v>0</v>
      </c>
      <c r="T116" s="1117">
        <f t="shared" si="73"/>
        <v>0</v>
      </c>
      <c r="U116" s="1117"/>
      <c r="V116" s="1117"/>
      <c r="W116" s="1117"/>
      <c r="X116" s="1092">
        <f>X117</f>
        <v>2280735</v>
      </c>
      <c r="Y116" s="2721"/>
    </row>
    <row r="117" spans="1:25" s="1118" customFormat="1" ht="14.25" customHeight="1">
      <c r="A117" s="2926"/>
      <c r="B117" s="1121" t="s">
        <v>24</v>
      </c>
      <c r="C117" s="2595"/>
      <c r="D117" s="1107">
        <f>+M117+O117+P117+Q117+R117+S117+T117+U117+V117+W117</f>
        <v>2280735</v>
      </c>
      <c r="E117" s="1099"/>
      <c r="F117" s="1109"/>
      <c r="G117" s="1109"/>
      <c r="H117" s="1099"/>
      <c r="I117" s="1099"/>
      <c r="J117" s="1099"/>
      <c r="K117" s="1099"/>
      <c r="L117" s="1099"/>
      <c r="M117" s="1095">
        <v>0</v>
      </c>
      <c r="N117" s="1109">
        <v>0</v>
      </c>
      <c r="O117" s="1109">
        <v>0</v>
      </c>
      <c r="P117" s="1109"/>
      <c r="Q117" s="1109">
        <v>1140368</v>
      </c>
      <c r="R117" s="1109">
        <v>1140367</v>
      </c>
      <c r="S117" s="1109"/>
      <c r="T117" s="1109"/>
      <c r="U117" s="1109"/>
      <c r="V117" s="1109"/>
      <c r="W117" s="1109"/>
      <c r="X117" s="1113">
        <f>+P117+Q117+R117+S117</f>
        <v>2280735</v>
      </c>
      <c r="Y117" s="2721"/>
    </row>
    <row r="118" spans="1:25" s="1118" customFormat="1" ht="14.25" customHeight="1">
      <c r="A118" s="2926"/>
      <c r="B118" s="1115" t="s">
        <v>30</v>
      </c>
      <c r="C118" s="2595"/>
      <c r="D118" s="1110">
        <f>D119</f>
        <v>12924167</v>
      </c>
      <c r="E118" s="1110">
        <f t="shared" ref="E118:W118" si="74">E119</f>
        <v>0</v>
      </c>
      <c r="F118" s="1110">
        <f t="shared" si="74"/>
        <v>0</v>
      </c>
      <c r="G118" s="1110">
        <f t="shared" si="74"/>
        <v>0</v>
      </c>
      <c r="H118" s="1110">
        <f t="shared" si="74"/>
        <v>0</v>
      </c>
      <c r="I118" s="1110">
        <f t="shared" si="74"/>
        <v>0</v>
      </c>
      <c r="J118" s="1110">
        <f t="shared" si="74"/>
        <v>0</v>
      </c>
      <c r="K118" s="1110">
        <f t="shared" si="74"/>
        <v>0</v>
      </c>
      <c r="L118" s="1110">
        <f t="shared" si="74"/>
        <v>0</v>
      </c>
      <c r="M118" s="1110">
        <f t="shared" si="74"/>
        <v>0</v>
      </c>
      <c r="N118" s="1110">
        <f t="shared" si="74"/>
        <v>0</v>
      </c>
      <c r="O118" s="1110">
        <f t="shared" si="74"/>
        <v>0</v>
      </c>
      <c r="P118" s="1110">
        <f t="shared" si="74"/>
        <v>0</v>
      </c>
      <c r="Q118" s="1110">
        <f t="shared" si="74"/>
        <v>6462083</v>
      </c>
      <c r="R118" s="1110">
        <f t="shared" si="74"/>
        <v>6462084</v>
      </c>
      <c r="S118" s="1110">
        <f t="shared" si="74"/>
        <v>0</v>
      </c>
      <c r="T118" s="1110">
        <f t="shared" si="74"/>
        <v>0</v>
      </c>
      <c r="U118" s="1110">
        <f t="shared" si="74"/>
        <v>0</v>
      </c>
      <c r="V118" s="1110">
        <f t="shared" si="74"/>
        <v>0</v>
      </c>
      <c r="W118" s="1110">
        <f t="shared" si="74"/>
        <v>0</v>
      </c>
      <c r="X118" s="1092">
        <f>+X119</f>
        <v>12924167</v>
      </c>
      <c r="Y118" s="2721"/>
    </row>
    <row r="119" spans="1:25" s="1118" customFormat="1" ht="15" customHeight="1">
      <c r="A119" s="2926"/>
      <c r="B119" s="922" t="s">
        <v>33</v>
      </c>
      <c r="C119" s="2662"/>
      <c r="D119" s="1107">
        <f>+M119+O119+P119+Q119+R119+S119+T119+U119+V119+W119</f>
        <v>12924167</v>
      </c>
      <c r="E119" s="1099"/>
      <c r="F119" s="1109">
        <v>0</v>
      </c>
      <c r="G119" s="1109"/>
      <c r="H119" s="1099"/>
      <c r="I119" s="1099"/>
      <c r="J119" s="1099"/>
      <c r="K119" s="1099"/>
      <c r="L119" s="1099"/>
      <c r="M119" s="1095">
        <f>+L119+K119+J119+I119+N119</f>
        <v>0</v>
      </c>
      <c r="N119" s="1109">
        <v>0</v>
      </c>
      <c r="O119" s="1109">
        <v>0</v>
      </c>
      <c r="P119" s="1109">
        <v>0</v>
      </c>
      <c r="Q119" s="1109">
        <f>6462083</f>
        <v>6462083</v>
      </c>
      <c r="R119" s="1109">
        <v>6462084</v>
      </c>
      <c r="S119" s="1109">
        <v>0</v>
      </c>
      <c r="T119" s="1109">
        <v>0</v>
      </c>
      <c r="U119" s="1109">
        <v>0</v>
      </c>
      <c r="V119" s="1109">
        <v>0</v>
      </c>
      <c r="W119" s="1109">
        <v>0</v>
      </c>
      <c r="X119" s="1113">
        <f>+P119+Q119+R119+S119</f>
        <v>12924167</v>
      </c>
      <c r="Y119" s="2932"/>
    </row>
    <row r="120" spans="1:25" s="1118" customFormat="1" ht="15.75" customHeight="1">
      <c r="A120" s="2926"/>
      <c r="B120" s="358" t="s">
        <v>34</v>
      </c>
      <c r="C120" s="359"/>
      <c r="D120" s="1112">
        <f>I120+J120+K120+L120+N120+O120+P120+Q120+R120</f>
        <v>12924167</v>
      </c>
      <c r="E120" s="1112">
        <f t="shared" ref="E120:N121" si="75">+E121</f>
        <v>0</v>
      </c>
      <c r="F120" s="1112">
        <f t="shared" si="75"/>
        <v>0</v>
      </c>
      <c r="G120" s="1112">
        <f t="shared" si="75"/>
        <v>0</v>
      </c>
      <c r="H120" s="1112">
        <f t="shared" si="75"/>
        <v>0</v>
      </c>
      <c r="I120" s="1112">
        <f t="shared" si="75"/>
        <v>0</v>
      </c>
      <c r="J120" s="1112">
        <f t="shared" si="75"/>
        <v>0</v>
      </c>
      <c r="K120" s="1112">
        <f t="shared" si="75"/>
        <v>0</v>
      </c>
      <c r="L120" s="1112">
        <f t="shared" si="75"/>
        <v>0</v>
      </c>
      <c r="M120" s="1112">
        <f t="shared" si="75"/>
        <v>0</v>
      </c>
      <c r="N120" s="1112">
        <f t="shared" si="75"/>
        <v>0</v>
      </c>
      <c r="O120" s="1112">
        <f t="shared" ref="O120:W121" si="76">O121</f>
        <v>0</v>
      </c>
      <c r="P120" s="1112">
        <f t="shared" si="76"/>
        <v>0</v>
      </c>
      <c r="Q120" s="1112">
        <f t="shared" si="76"/>
        <v>6462083</v>
      </c>
      <c r="R120" s="1112">
        <f t="shared" si="76"/>
        <v>6462084</v>
      </c>
      <c r="S120" s="1112">
        <f t="shared" si="76"/>
        <v>0</v>
      </c>
      <c r="T120" s="1112">
        <f t="shared" si="76"/>
        <v>0</v>
      </c>
      <c r="U120" s="1112">
        <f t="shared" si="76"/>
        <v>0</v>
      </c>
      <c r="V120" s="1112">
        <f t="shared" si="76"/>
        <v>0</v>
      </c>
      <c r="W120" s="1112">
        <f t="shared" si="76"/>
        <v>0</v>
      </c>
      <c r="X120" s="2938" t="s">
        <v>77</v>
      </c>
      <c r="Y120" s="2667" t="s">
        <v>462</v>
      </c>
    </row>
    <row r="121" spans="1:25" s="1118" customFormat="1" ht="15" customHeight="1">
      <c r="A121" s="2926"/>
      <c r="B121" s="674" t="s">
        <v>30</v>
      </c>
      <c r="C121" s="2933" t="s">
        <v>289</v>
      </c>
      <c r="D121" s="1110">
        <f>I121+J121+K121+L121+N121+O121+P121+Q121+R121</f>
        <v>12924167</v>
      </c>
      <c r="E121" s="1111">
        <f t="shared" si="75"/>
        <v>0</v>
      </c>
      <c r="F121" s="1111">
        <f t="shared" si="75"/>
        <v>0</v>
      </c>
      <c r="G121" s="1111">
        <f t="shared" si="75"/>
        <v>0</v>
      </c>
      <c r="H121" s="1111">
        <f t="shared" si="75"/>
        <v>0</v>
      </c>
      <c r="I121" s="1111">
        <f t="shared" si="75"/>
        <v>0</v>
      </c>
      <c r="J121" s="1111">
        <f t="shared" si="75"/>
        <v>0</v>
      </c>
      <c r="K121" s="1111">
        <f t="shared" si="75"/>
        <v>0</v>
      </c>
      <c r="L121" s="1111">
        <f t="shared" si="75"/>
        <v>0</v>
      </c>
      <c r="M121" s="1111">
        <f t="shared" si="75"/>
        <v>0</v>
      </c>
      <c r="N121" s="1111">
        <f t="shared" si="75"/>
        <v>0</v>
      </c>
      <c r="O121" s="1111">
        <f t="shared" si="76"/>
        <v>0</v>
      </c>
      <c r="P121" s="1111">
        <f t="shared" si="76"/>
        <v>0</v>
      </c>
      <c r="Q121" s="1111">
        <f t="shared" si="76"/>
        <v>6462083</v>
      </c>
      <c r="R121" s="1111">
        <f t="shared" si="76"/>
        <v>6462084</v>
      </c>
      <c r="S121" s="1111">
        <f t="shared" si="76"/>
        <v>0</v>
      </c>
      <c r="T121" s="1111">
        <f t="shared" si="76"/>
        <v>0</v>
      </c>
      <c r="U121" s="1111">
        <f t="shared" si="76"/>
        <v>0</v>
      </c>
      <c r="V121" s="1111">
        <f t="shared" si="76"/>
        <v>0</v>
      </c>
      <c r="W121" s="1111">
        <f t="shared" si="76"/>
        <v>0</v>
      </c>
      <c r="X121" s="2646"/>
      <c r="Y121" s="2606"/>
    </row>
    <row r="122" spans="1:25" s="1118" customFormat="1" ht="15" customHeight="1" thickBot="1">
      <c r="A122" s="2927"/>
      <c r="B122" s="2542" t="s">
        <v>33</v>
      </c>
      <c r="C122" s="2608"/>
      <c r="D122" s="517">
        <f>+M122+O122+P122+Q122+R122+S122+T122+U122+V122+W122</f>
        <v>12924167</v>
      </c>
      <c r="E122" s="475"/>
      <c r="F122" s="476"/>
      <c r="G122" s="475"/>
      <c r="H122" s="475"/>
      <c r="I122" s="475">
        <v>0</v>
      </c>
      <c r="J122" s="475">
        <v>0</v>
      </c>
      <c r="K122" s="475">
        <v>0</v>
      </c>
      <c r="L122" s="475">
        <v>0</v>
      </c>
      <c r="M122" s="475">
        <f>+L122+K122+J122+I122+N122</f>
        <v>0</v>
      </c>
      <c r="N122" s="476"/>
      <c r="O122" s="475">
        <v>0</v>
      </c>
      <c r="P122" s="475">
        <v>0</v>
      </c>
      <c r="Q122" s="475">
        <v>6462083</v>
      </c>
      <c r="R122" s="475">
        <v>6462084</v>
      </c>
      <c r="S122" s="475">
        <v>0</v>
      </c>
      <c r="T122" s="475">
        <v>0</v>
      </c>
      <c r="U122" s="475">
        <v>0</v>
      </c>
      <c r="V122" s="475">
        <v>0</v>
      </c>
      <c r="W122" s="475">
        <v>0</v>
      </c>
      <c r="X122" s="2647"/>
      <c r="Y122" s="2607"/>
    </row>
    <row r="123" spans="1:25" s="1118" customFormat="1" ht="36">
      <c r="A123" s="2925" t="s">
        <v>136</v>
      </c>
      <c r="B123" s="690" t="s">
        <v>548</v>
      </c>
      <c r="C123" s="1831" t="s">
        <v>225</v>
      </c>
      <c r="D123" s="699"/>
      <c r="E123" s="673"/>
      <c r="F123" s="673"/>
      <c r="G123" s="673"/>
      <c r="H123" s="673"/>
      <c r="I123" s="673"/>
      <c r="J123" s="673"/>
      <c r="K123" s="673"/>
      <c r="L123" s="692"/>
      <c r="M123" s="692"/>
      <c r="N123" s="692"/>
      <c r="O123" s="692"/>
      <c r="P123" s="693"/>
      <c r="Q123" s="693"/>
      <c r="R123" s="693"/>
      <c r="S123" s="693"/>
      <c r="T123" s="692"/>
      <c r="U123" s="692"/>
      <c r="V123" s="692"/>
      <c r="W123" s="692"/>
      <c r="X123" s="694"/>
      <c r="Y123" s="2720" t="s">
        <v>296</v>
      </c>
    </row>
    <row r="124" spans="1:25" s="1118" customFormat="1" ht="15" customHeight="1">
      <c r="A124" s="2926"/>
      <c r="B124" s="383" t="s">
        <v>22</v>
      </c>
      <c r="C124" s="359"/>
      <c r="D124" s="448">
        <f>D125+D127</f>
        <v>119600</v>
      </c>
      <c r="E124" s="448">
        <f t="shared" ref="E124:J124" si="77">+E127</f>
        <v>0</v>
      </c>
      <c r="F124" s="448">
        <f t="shared" si="77"/>
        <v>0</v>
      </c>
      <c r="G124" s="448">
        <f t="shared" si="77"/>
        <v>0</v>
      </c>
      <c r="H124" s="448">
        <f t="shared" si="77"/>
        <v>0</v>
      </c>
      <c r="I124" s="448">
        <f t="shared" si="77"/>
        <v>0</v>
      </c>
      <c r="J124" s="448">
        <f t="shared" si="77"/>
        <v>0</v>
      </c>
      <c r="K124" s="448">
        <f t="shared" ref="K124:P124" si="78">K125+K127</f>
        <v>0</v>
      </c>
      <c r="L124" s="448">
        <f t="shared" si="78"/>
        <v>0</v>
      </c>
      <c r="M124" s="448">
        <f t="shared" si="78"/>
        <v>0</v>
      </c>
      <c r="N124" s="448">
        <f t="shared" si="78"/>
        <v>71267</v>
      </c>
      <c r="O124" s="448">
        <f t="shared" si="78"/>
        <v>0</v>
      </c>
      <c r="P124" s="448">
        <f t="shared" si="78"/>
        <v>0</v>
      </c>
      <c r="Q124" s="448">
        <f t="shared" ref="Q124:W124" si="79">+Q127</f>
        <v>0</v>
      </c>
      <c r="R124" s="448">
        <f>R125+R129</f>
        <v>119600</v>
      </c>
      <c r="S124" s="448">
        <f t="shared" si="79"/>
        <v>0</v>
      </c>
      <c r="T124" s="448">
        <f t="shared" si="79"/>
        <v>0</v>
      </c>
      <c r="U124" s="448">
        <f t="shared" si="79"/>
        <v>0</v>
      </c>
      <c r="V124" s="448">
        <f t="shared" si="79"/>
        <v>0</v>
      </c>
      <c r="W124" s="448">
        <f t="shared" si="79"/>
        <v>0</v>
      </c>
      <c r="X124" s="464">
        <f>+X127+X125</f>
        <v>119600</v>
      </c>
      <c r="Y124" s="2721"/>
    </row>
    <row r="125" spans="1:25" s="1118" customFormat="1" ht="15" customHeight="1">
      <c r="A125" s="2926"/>
      <c r="B125" s="1120" t="s">
        <v>36</v>
      </c>
      <c r="C125" s="2732" t="s">
        <v>286</v>
      </c>
      <c r="D125" s="1110">
        <f>D126</f>
        <v>17940</v>
      </c>
      <c r="E125" s="1111"/>
      <c r="F125" s="1111"/>
      <c r="G125" s="1111"/>
      <c r="H125" s="1111"/>
      <c r="I125" s="1116"/>
      <c r="J125" s="1116"/>
      <c r="K125" s="1116">
        <f t="shared" ref="K125:P125" si="80">K126</f>
        <v>0</v>
      </c>
      <c r="L125" s="1116">
        <f t="shared" si="80"/>
        <v>0</v>
      </c>
      <c r="M125" s="1116">
        <f t="shared" si="80"/>
        <v>0</v>
      </c>
      <c r="N125" s="1117">
        <f t="shared" si="80"/>
        <v>11893</v>
      </c>
      <c r="O125" s="1117">
        <f t="shared" si="80"/>
        <v>0</v>
      </c>
      <c r="P125" s="1117">
        <f t="shared" si="80"/>
        <v>0</v>
      </c>
      <c r="Q125" s="1117">
        <v>0</v>
      </c>
      <c r="R125" s="1117">
        <f>R126</f>
        <v>17940</v>
      </c>
      <c r="S125" s="1117">
        <v>0</v>
      </c>
      <c r="T125" s="1117">
        <v>0</v>
      </c>
      <c r="U125" s="1117">
        <v>0</v>
      </c>
      <c r="V125" s="1117">
        <v>0</v>
      </c>
      <c r="W125" s="1117">
        <v>0</v>
      </c>
      <c r="X125" s="1092">
        <f>X126</f>
        <v>17940</v>
      </c>
      <c r="Y125" s="2721"/>
    </row>
    <row r="126" spans="1:25" s="1118" customFormat="1" ht="15" customHeight="1">
      <c r="A126" s="2926"/>
      <c r="B126" s="1121" t="s">
        <v>24</v>
      </c>
      <c r="C126" s="2595"/>
      <c r="D126" s="1107">
        <f>+M126+O126+P126+Q126+R126+S126+T126+U126+V126+W126</f>
        <v>17940</v>
      </c>
      <c r="E126" s="1099"/>
      <c r="F126" s="1109"/>
      <c r="G126" s="1109"/>
      <c r="H126" s="1099"/>
      <c r="I126" s="1099"/>
      <c r="J126" s="1099"/>
      <c r="K126" s="1099"/>
      <c r="L126" s="1099"/>
      <c r="M126" s="1095">
        <v>0</v>
      </c>
      <c r="N126" s="1109">
        <v>11893</v>
      </c>
      <c r="O126" s="1109">
        <v>0</v>
      </c>
      <c r="P126" s="1109">
        <v>0</v>
      </c>
      <c r="Q126" s="1109">
        <v>0</v>
      </c>
      <c r="R126" s="1109">
        <v>17940</v>
      </c>
      <c r="S126" s="1109">
        <v>0</v>
      </c>
      <c r="T126" s="1109">
        <v>0</v>
      </c>
      <c r="U126" s="1109">
        <v>0</v>
      </c>
      <c r="V126" s="1109">
        <v>0</v>
      </c>
      <c r="W126" s="1109">
        <v>0</v>
      </c>
      <c r="X126" s="1113">
        <f>+P126+Q126+R126+S126</f>
        <v>17940</v>
      </c>
      <c r="Y126" s="2721"/>
    </row>
    <row r="127" spans="1:25" s="1118" customFormat="1" ht="15" customHeight="1">
      <c r="A127" s="2926"/>
      <c r="B127" s="2478" t="s">
        <v>30</v>
      </c>
      <c r="C127" s="2595"/>
      <c r="D127" s="443">
        <f>D128</f>
        <v>101660</v>
      </c>
      <c r="E127" s="444">
        <f t="shared" ref="E127:X127" si="81">+E128</f>
        <v>0</v>
      </c>
      <c r="F127" s="444">
        <f t="shared" si="81"/>
        <v>0</v>
      </c>
      <c r="G127" s="444">
        <f t="shared" si="81"/>
        <v>0</v>
      </c>
      <c r="H127" s="444">
        <f t="shared" si="81"/>
        <v>0</v>
      </c>
      <c r="I127" s="547">
        <f t="shared" si="81"/>
        <v>0</v>
      </c>
      <c r="J127" s="547">
        <f t="shared" si="81"/>
        <v>0</v>
      </c>
      <c r="K127" s="547">
        <f t="shared" si="81"/>
        <v>0</v>
      </c>
      <c r="L127" s="547">
        <f t="shared" si="81"/>
        <v>0</v>
      </c>
      <c r="M127" s="547">
        <f t="shared" si="81"/>
        <v>0</v>
      </c>
      <c r="N127" s="553">
        <f>N128</f>
        <v>59374</v>
      </c>
      <c r="O127" s="553">
        <f>O128</f>
        <v>0</v>
      </c>
      <c r="P127" s="553">
        <v>0</v>
      </c>
      <c r="Q127" s="553">
        <v>0</v>
      </c>
      <c r="R127" s="553">
        <f>R128</f>
        <v>101660</v>
      </c>
      <c r="S127" s="553">
        <v>0</v>
      </c>
      <c r="T127" s="553">
        <v>0</v>
      </c>
      <c r="U127" s="553">
        <v>0</v>
      </c>
      <c r="V127" s="553">
        <v>0</v>
      </c>
      <c r="W127" s="553">
        <v>0</v>
      </c>
      <c r="X127" s="486">
        <f t="shared" si="81"/>
        <v>101660</v>
      </c>
      <c r="Y127" s="2699"/>
    </row>
    <row r="128" spans="1:25" s="1118" customFormat="1" ht="15" customHeight="1">
      <c r="A128" s="2926"/>
      <c r="B128" s="922" t="s">
        <v>33</v>
      </c>
      <c r="C128" s="2662"/>
      <c r="D128" s="450">
        <f>+M128+O128+P128+Q128+R128+S128+T128+U128+V128+W128</f>
        <v>101660</v>
      </c>
      <c r="E128" s="438"/>
      <c r="F128" s="446">
        <v>0</v>
      </c>
      <c r="G128" s="446"/>
      <c r="H128" s="438"/>
      <c r="I128" s="438"/>
      <c r="J128" s="438"/>
      <c r="K128" s="438"/>
      <c r="L128" s="438"/>
      <c r="M128" s="440">
        <v>0</v>
      </c>
      <c r="N128" s="446">
        <f>621201-549933-11894</f>
        <v>59374</v>
      </c>
      <c r="O128" s="446">
        <v>0</v>
      </c>
      <c r="P128" s="446">
        <v>0</v>
      </c>
      <c r="Q128" s="446">
        <v>0</v>
      </c>
      <c r="R128" s="446">
        <v>101660</v>
      </c>
      <c r="S128" s="446">
        <v>0</v>
      </c>
      <c r="T128" s="446">
        <v>0</v>
      </c>
      <c r="U128" s="446">
        <v>0</v>
      </c>
      <c r="V128" s="446">
        <v>0</v>
      </c>
      <c r="W128" s="446">
        <v>0</v>
      </c>
      <c r="X128" s="2467">
        <f>+P128+Q128+R128+S128</f>
        <v>101660</v>
      </c>
      <c r="Y128" s="2699"/>
    </row>
    <row r="129" spans="1:25" s="1118" customFormat="1" ht="15" customHeight="1">
      <c r="A129" s="2926"/>
      <c r="B129" s="358" t="s">
        <v>34</v>
      </c>
      <c r="C129" s="359"/>
      <c r="D129" s="448">
        <f>I129+J129+K129+L129+N129+O129+P129+Q129+R129</f>
        <v>101660</v>
      </c>
      <c r="E129" s="448">
        <f t="shared" ref="E129:N130" si="82">+E130</f>
        <v>0</v>
      </c>
      <c r="F129" s="448">
        <f t="shared" si="82"/>
        <v>0</v>
      </c>
      <c r="G129" s="448">
        <f t="shared" si="82"/>
        <v>0</v>
      </c>
      <c r="H129" s="448">
        <f t="shared" si="82"/>
        <v>0</v>
      </c>
      <c r="I129" s="448">
        <f t="shared" si="82"/>
        <v>0</v>
      </c>
      <c r="J129" s="448">
        <f t="shared" si="82"/>
        <v>0</v>
      </c>
      <c r="K129" s="448">
        <f t="shared" si="82"/>
        <v>0</v>
      </c>
      <c r="L129" s="448">
        <f t="shared" si="82"/>
        <v>0</v>
      </c>
      <c r="M129" s="448">
        <f t="shared" si="82"/>
        <v>0</v>
      </c>
      <c r="N129" s="448">
        <f t="shared" si="82"/>
        <v>0</v>
      </c>
      <c r="O129" s="448">
        <f t="shared" ref="O129:W130" si="83">O130</f>
        <v>0</v>
      </c>
      <c r="P129" s="448">
        <f t="shared" si="83"/>
        <v>0</v>
      </c>
      <c r="Q129" s="448">
        <f t="shared" si="83"/>
        <v>0</v>
      </c>
      <c r="R129" s="448">
        <f t="shared" si="83"/>
        <v>101660</v>
      </c>
      <c r="S129" s="448">
        <f t="shared" si="83"/>
        <v>0</v>
      </c>
      <c r="T129" s="448">
        <f t="shared" si="83"/>
        <v>0</v>
      </c>
      <c r="U129" s="448">
        <f t="shared" si="83"/>
        <v>0</v>
      </c>
      <c r="V129" s="448">
        <f t="shared" si="83"/>
        <v>0</v>
      </c>
      <c r="W129" s="448">
        <f t="shared" si="83"/>
        <v>0</v>
      </c>
      <c r="X129" s="2659" t="s">
        <v>77</v>
      </c>
      <c r="Y129" s="2699"/>
    </row>
    <row r="130" spans="1:25" s="1118" customFormat="1" ht="15" customHeight="1">
      <c r="A130" s="2926"/>
      <c r="B130" s="674" t="s">
        <v>30</v>
      </c>
      <c r="C130" s="2661" t="s">
        <v>289</v>
      </c>
      <c r="D130" s="443">
        <f>I130+J130+K130+L130+N130+O130+P130+Q130+R130</f>
        <v>101660</v>
      </c>
      <c r="E130" s="444">
        <f t="shared" si="82"/>
        <v>0</v>
      </c>
      <c r="F130" s="444">
        <f t="shared" si="82"/>
        <v>0</v>
      </c>
      <c r="G130" s="444">
        <f t="shared" si="82"/>
        <v>0</v>
      </c>
      <c r="H130" s="444">
        <f t="shared" si="82"/>
        <v>0</v>
      </c>
      <c r="I130" s="444">
        <f t="shared" si="82"/>
        <v>0</v>
      </c>
      <c r="J130" s="444">
        <f t="shared" si="82"/>
        <v>0</v>
      </c>
      <c r="K130" s="444">
        <f t="shared" si="82"/>
        <v>0</v>
      </c>
      <c r="L130" s="444">
        <f t="shared" si="82"/>
        <v>0</v>
      </c>
      <c r="M130" s="444">
        <f t="shared" si="82"/>
        <v>0</v>
      </c>
      <c r="N130" s="444">
        <f t="shared" si="82"/>
        <v>0</v>
      </c>
      <c r="O130" s="444">
        <f t="shared" si="83"/>
        <v>0</v>
      </c>
      <c r="P130" s="444">
        <f t="shared" si="83"/>
        <v>0</v>
      </c>
      <c r="Q130" s="444">
        <f t="shared" si="83"/>
        <v>0</v>
      </c>
      <c r="R130" s="444">
        <f t="shared" si="83"/>
        <v>101660</v>
      </c>
      <c r="S130" s="444">
        <f t="shared" si="83"/>
        <v>0</v>
      </c>
      <c r="T130" s="444">
        <f t="shared" si="83"/>
        <v>0</v>
      </c>
      <c r="U130" s="444">
        <f t="shared" si="83"/>
        <v>0</v>
      </c>
      <c r="V130" s="444">
        <f t="shared" si="83"/>
        <v>0</v>
      </c>
      <c r="W130" s="444">
        <f t="shared" si="83"/>
        <v>0</v>
      </c>
      <c r="X130" s="2646"/>
      <c r="Y130" s="2699"/>
    </row>
    <row r="131" spans="1:25" s="1118" customFormat="1" ht="15" customHeight="1" thickBot="1">
      <c r="A131" s="2927"/>
      <c r="B131" s="2542" t="s">
        <v>33</v>
      </c>
      <c r="C131" s="2608"/>
      <c r="D131" s="450">
        <f>+M131+O131+P131+Q131+R131+S131+T131+U131+V131+W131</f>
        <v>101660</v>
      </c>
      <c r="E131" s="475"/>
      <c r="F131" s="476"/>
      <c r="G131" s="475"/>
      <c r="H131" s="475"/>
      <c r="I131" s="475">
        <v>0</v>
      </c>
      <c r="J131" s="475">
        <v>0</v>
      </c>
      <c r="K131" s="475">
        <v>0</v>
      </c>
      <c r="L131" s="475">
        <v>0</v>
      </c>
      <c r="M131" s="440">
        <f>+L131+K131+J131+I131+N131</f>
        <v>0</v>
      </c>
      <c r="N131" s="476">
        <v>0</v>
      </c>
      <c r="O131" s="475">
        <v>0</v>
      </c>
      <c r="P131" s="475">
        <v>0</v>
      </c>
      <c r="Q131" s="475">
        <v>0</v>
      </c>
      <c r="R131" s="475">
        <v>101660</v>
      </c>
      <c r="S131" s="475">
        <v>0</v>
      </c>
      <c r="T131" s="475">
        <v>0</v>
      </c>
      <c r="U131" s="475">
        <v>0</v>
      </c>
      <c r="V131" s="475">
        <v>0</v>
      </c>
      <c r="W131" s="475">
        <v>0</v>
      </c>
      <c r="X131" s="2647"/>
      <c r="Y131" s="2931"/>
    </row>
    <row r="132" spans="1:25" s="1118" customFormat="1" ht="36">
      <c r="A132" s="2925" t="s">
        <v>104</v>
      </c>
      <c r="B132" s="690" t="s">
        <v>548</v>
      </c>
      <c r="C132" s="1831" t="s">
        <v>97</v>
      </c>
      <c r="D132" s="699"/>
      <c r="E132" s="673"/>
      <c r="F132" s="673"/>
      <c r="G132" s="673"/>
      <c r="H132" s="673"/>
      <c r="I132" s="673"/>
      <c r="J132" s="673"/>
      <c r="K132" s="673"/>
      <c r="L132" s="692"/>
      <c r="M132" s="692"/>
      <c r="N132" s="692"/>
      <c r="O132" s="692"/>
      <c r="P132" s="693"/>
      <c r="Q132" s="693"/>
      <c r="R132" s="693"/>
      <c r="S132" s="693"/>
      <c r="T132" s="692"/>
      <c r="U132" s="692"/>
      <c r="V132" s="692"/>
      <c r="W132" s="692"/>
      <c r="X132" s="694"/>
      <c r="Y132" s="2928" t="s">
        <v>296</v>
      </c>
    </row>
    <row r="133" spans="1:25" s="1118" customFormat="1" ht="15" customHeight="1">
      <c r="A133" s="2926"/>
      <c r="B133" s="383" t="s">
        <v>22</v>
      </c>
      <c r="C133" s="359"/>
      <c r="D133" s="448">
        <f>D134+D136</f>
        <v>13955532</v>
      </c>
      <c r="E133" s="448">
        <f t="shared" ref="E133:O133" si="84">+E136</f>
        <v>0</v>
      </c>
      <c r="F133" s="448">
        <f t="shared" si="84"/>
        <v>0</v>
      </c>
      <c r="G133" s="448">
        <f t="shared" si="84"/>
        <v>0</v>
      </c>
      <c r="H133" s="448">
        <f t="shared" si="84"/>
        <v>0</v>
      </c>
      <c r="I133" s="448">
        <f t="shared" si="84"/>
        <v>0</v>
      </c>
      <c r="J133" s="448">
        <f t="shared" si="84"/>
        <v>0</v>
      </c>
      <c r="K133" s="448">
        <f t="shared" si="84"/>
        <v>0</v>
      </c>
      <c r="L133" s="448">
        <f t="shared" si="84"/>
        <v>0</v>
      </c>
      <c r="M133" s="448">
        <f t="shared" si="84"/>
        <v>0</v>
      </c>
      <c r="N133" s="448">
        <f t="shared" si="84"/>
        <v>0</v>
      </c>
      <c r="O133" s="448">
        <f t="shared" si="84"/>
        <v>0</v>
      </c>
      <c r="P133" s="448">
        <f>P134+P136</f>
        <v>630367</v>
      </c>
      <c r="Q133" s="448">
        <f>Q134+Q136</f>
        <v>2867416</v>
      </c>
      <c r="R133" s="448">
        <f>R134+R136</f>
        <v>10457749</v>
      </c>
      <c r="S133" s="448">
        <f>+S136</f>
        <v>0</v>
      </c>
      <c r="T133" s="448">
        <f>+T136</f>
        <v>0</v>
      </c>
      <c r="U133" s="448">
        <f>+U136</f>
        <v>0</v>
      </c>
      <c r="V133" s="448">
        <f>+V136</f>
        <v>0</v>
      </c>
      <c r="W133" s="448">
        <f>+W136</f>
        <v>0</v>
      </c>
      <c r="X133" s="464">
        <f>X134+X136</f>
        <v>13955532</v>
      </c>
      <c r="Y133" s="2928"/>
    </row>
    <row r="134" spans="1:25" s="1118" customFormat="1" ht="15" customHeight="1">
      <c r="A134" s="2926"/>
      <c r="B134" s="1120" t="s">
        <v>36</v>
      </c>
      <c r="C134" s="2701" t="s">
        <v>286</v>
      </c>
      <c r="D134" s="1110">
        <f>D135</f>
        <v>2093329</v>
      </c>
      <c r="E134" s="1111"/>
      <c r="F134" s="1111"/>
      <c r="G134" s="1111"/>
      <c r="H134" s="1111"/>
      <c r="I134" s="1116"/>
      <c r="J134" s="1116"/>
      <c r="K134" s="1116">
        <f t="shared" ref="K134:R134" si="85">K135</f>
        <v>0</v>
      </c>
      <c r="L134" s="1116">
        <f t="shared" si="85"/>
        <v>0</v>
      </c>
      <c r="M134" s="1116">
        <f t="shared" si="85"/>
        <v>0</v>
      </c>
      <c r="N134" s="1117">
        <f t="shared" si="85"/>
        <v>11893</v>
      </c>
      <c r="O134" s="1117">
        <f t="shared" si="85"/>
        <v>0</v>
      </c>
      <c r="P134" s="1117">
        <f t="shared" si="85"/>
        <v>94555</v>
      </c>
      <c r="Q134" s="1117">
        <f t="shared" si="85"/>
        <v>430112</v>
      </c>
      <c r="R134" s="1117">
        <f t="shared" si="85"/>
        <v>1568662</v>
      </c>
      <c r="S134" s="1117">
        <v>0</v>
      </c>
      <c r="T134" s="1117">
        <v>0</v>
      </c>
      <c r="U134" s="1117">
        <v>0</v>
      </c>
      <c r="V134" s="1117">
        <v>0</v>
      </c>
      <c r="W134" s="1117">
        <v>0</v>
      </c>
      <c r="X134" s="1092">
        <f>X135</f>
        <v>2093329</v>
      </c>
      <c r="Y134" s="2928"/>
    </row>
    <row r="135" spans="1:25" s="1118" customFormat="1" ht="15" customHeight="1">
      <c r="A135" s="2926"/>
      <c r="B135" s="1121" t="s">
        <v>24</v>
      </c>
      <c r="C135" s="2595"/>
      <c r="D135" s="1107">
        <f>P135+Q135+R135</f>
        <v>2093329</v>
      </c>
      <c r="E135" s="1099"/>
      <c r="F135" s="1109"/>
      <c r="G135" s="1109"/>
      <c r="H135" s="1099"/>
      <c r="I135" s="1099"/>
      <c r="J135" s="1099"/>
      <c r="K135" s="1099"/>
      <c r="L135" s="1099"/>
      <c r="M135" s="1095">
        <v>0</v>
      </c>
      <c r="N135" s="1109">
        <v>11893</v>
      </c>
      <c r="O135" s="1109">
        <v>0</v>
      </c>
      <c r="P135" s="1109">
        <v>94555</v>
      </c>
      <c r="Q135" s="1109">
        <v>430112</v>
      </c>
      <c r="R135" s="1109">
        <v>1568662</v>
      </c>
      <c r="S135" s="1109">
        <v>0</v>
      </c>
      <c r="T135" s="1109">
        <v>0</v>
      </c>
      <c r="U135" s="1109">
        <v>0</v>
      </c>
      <c r="V135" s="1109">
        <v>0</v>
      </c>
      <c r="W135" s="1109">
        <v>0</v>
      </c>
      <c r="X135" s="1113">
        <f>+P135+Q135+R135+S135</f>
        <v>2093329</v>
      </c>
      <c r="Y135" s="2928"/>
    </row>
    <row r="136" spans="1:25" s="1118" customFormat="1" ht="15" customHeight="1">
      <c r="A136" s="2926"/>
      <c r="B136" s="2478" t="s">
        <v>30</v>
      </c>
      <c r="C136" s="2595"/>
      <c r="D136" s="443">
        <f>D137</f>
        <v>11862203</v>
      </c>
      <c r="E136" s="444">
        <f t="shared" ref="E136:X136" si="86">+E137</f>
        <v>0</v>
      </c>
      <c r="F136" s="444">
        <f t="shared" si="86"/>
        <v>0</v>
      </c>
      <c r="G136" s="444">
        <f t="shared" si="86"/>
        <v>0</v>
      </c>
      <c r="H136" s="444">
        <f t="shared" si="86"/>
        <v>0</v>
      </c>
      <c r="I136" s="547">
        <f t="shared" si="86"/>
        <v>0</v>
      </c>
      <c r="J136" s="547">
        <f t="shared" si="86"/>
        <v>0</v>
      </c>
      <c r="K136" s="547">
        <f t="shared" si="86"/>
        <v>0</v>
      </c>
      <c r="L136" s="547">
        <f t="shared" si="86"/>
        <v>0</v>
      </c>
      <c r="M136" s="547">
        <f t="shared" si="86"/>
        <v>0</v>
      </c>
      <c r="N136" s="553">
        <f>N137</f>
        <v>0</v>
      </c>
      <c r="O136" s="553">
        <f>O137</f>
        <v>0</v>
      </c>
      <c r="P136" s="553">
        <f>P137</f>
        <v>535812</v>
      </c>
      <c r="Q136" s="553">
        <f>Q137</f>
        <v>2437304</v>
      </c>
      <c r="R136" s="553">
        <f>R137</f>
        <v>8889087</v>
      </c>
      <c r="S136" s="553">
        <v>0</v>
      </c>
      <c r="T136" s="553">
        <v>0</v>
      </c>
      <c r="U136" s="553">
        <v>0</v>
      </c>
      <c r="V136" s="553">
        <v>0</v>
      </c>
      <c r="W136" s="553">
        <v>0</v>
      </c>
      <c r="X136" s="486">
        <f t="shared" si="86"/>
        <v>11862203</v>
      </c>
      <c r="Y136" s="2929"/>
    </row>
    <row r="137" spans="1:25" s="1118" customFormat="1" ht="15" customHeight="1">
      <c r="A137" s="2926"/>
      <c r="B137" s="922" t="s">
        <v>33</v>
      </c>
      <c r="C137" s="2662"/>
      <c r="D137" s="450">
        <f>P137+Q137+R137</f>
        <v>11862203</v>
      </c>
      <c r="E137" s="438"/>
      <c r="F137" s="446">
        <v>0</v>
      </c>
      <c r="G137" s="446"/>
      <c r="H137" s="438"/>
      <c r="I137" s="438"/>
      <c r="J137" s="438"/>
      <c r="K137" s="438"/>
      <c r="L137" s="438"/>
      <c r="M137" s="440">
        <f>+L137+K137+J137+I137+N137</f>
        <v>0</v>
      </c>
      <c r="N137" s="446">
        <v>0</v>
      </c>
      <c r="O137" s="446">
        <v>0</v>
      </c>
      <c r="P137" s="446">
        <v>535812</v>
      </c>
      <c r="Q137" s="446">
        <v>2437304</v>
      </c>
      <c r="R137" s="446">
        <v>8889087</v>
      </c>
      <c r="S137" s="446">
        <v>0</v>
      </c>
      <c r="T137" s="446">
        <v>0</v>
      </c>
      <c r="U137" s="446">
        <v>0</v>
      </c>
      <c r="V137" s="446">
        <v>0</v>
      </c>
      <c r="W137" s="446">
        <v>0</v>
      </c>
      <c r="X137" s="2467">
        <f>+P137+Q137+R137+S137</f>
        <v>11862203</v>
      </c>
      <c r="Y137" s="2929"/>
    </row>
    <row r="138" spans="1:25" s="1118" customFormat="1" ht="15" customHeight="1">
      <c r="A138" s="2926"/>
      <c r="B138" s="358" t="s">
        <v>34</v>
      </c>
      <c r="C138" s="359"/>
      <c r="D138" s="448">
        <f>I138+J138+K138+L138+N138+O138+P138+Q138+R138</f>
        <v>11862203</v>
      </c>
      <c r="E138" s="448">
        <f t="shared" ref="E138:N139" si="87">+E139</f>
        <v>0</v>
      </c>
      <c r="F138" s="448">
        <f t="shared" si="87"/>
        <v>0</v>
      </c>
      <c r="G138" s="448">
        <f t="shared" si="87"/>
        <v>0</v>
      </c>
      <c r="H138" s="448">
        <f t="shared" si="87"/>
        <v>0</v>
      </c>
      <c r="I138" s="448">
        <f t="shared" si="87"/>
        <v>0</v>
      </c>
      <c r="J138" s="448">
        <f t="shared" si="87"/>
        <v>0</v>
      </c>
      <c r="K138" s="448">
        <f t="shared" si="87"/>
        <v>0</v>
      </c>
      <c r="L138" s="448">
        <f t="shared" si="87"/>
        <v>0</v>
      </c>
      <c r="M138" s="448">
        <f t="shared" si="87"/>
        <v>0</v>
      </c>
      <c r="N138" s="448">
        <f t="shared" si="87"/>
        <v>0</v>
      </c>
      <c r="O138" s="448">
        <f t="shared" ref="O138:W139" si="88">O139</f>
        <v>0</v>
      </c>
      <c r="P138" s="448">
        <f t="shared" si="88"/>
        <v>535812</v>
      </c>
      <c r="Q138" s="448">
        <f t="shared" si="88"/>
        <v>2437304</v>
      </c>
      <c r="R138" s="448">
        <f t="shared" si="88"/>
        <v>8889087</v>
      </c>
      <c r="S138" s="448">
        <f t="shared" si="88"/>
        <v>0</v>
      </c>
      <c r="T138" s="448">
        <f t="shared" si="88"/>
        <v>0</v>
      </c>
      <c r="U138" s="448">
        <f t="shared" si="88"/>
        <v>0</v>
      </c>
      <c r="V138" s="448">
        <f t="shared" si="88"/>
        <v>0</v>
      </c>
      <c r="W138" s="448">
        <f t="shared" si="88"/>
        <v>0</v>
      </c>
      <c r="X138" s="2659" t="s">
        <v>77</v>
      </c>
      <c r="Y138" s="2929"/>
    </row>
    <row r="139" spans="1:25" s="1118" customFormat="1" ht="15" customHeight="1">
      <c r="A139" s="2926"/>
      <c r="B139" s="674" t="s">
        <v>30</v>
      </c>
      <c r="C139" s="2661" t="s">
        <v>289</v>
      </c>
      <c r="D139" s="443">
        <f>I139+J139+K139+L139+N139+O139+P139+Q139+R139</f>
        <v>11862203</v>
      </c>
      <c r="E139" s="444">
        <f t="shared" si="87"/>
        <v>0</v>
      </c>
      <c r="F139" s="444">
        <f t="shared" si="87"/>
        <v>0</v>
      </c>
      <c r="G139" s="444">
        <f t="shared" si="87"/>
        <v>0</v>
      </c>
      <c r="H139" s="444">
        <f t="shared" si="87"/>
        <v>0</v>
      </c>
      <c r="I139" s="444">
        <f t="shared" si="87"/>
        <v>0</v>
      </c>
      <c r="J139" s="444">
        <f t="shared" si="87"/>
        <v>0</v>
      </c>
      <c r="K139" s="444">
        <f t="shared" si="87"/>
        <v>0</v>
      </c>
      <c r="L139" s="444">
        <f t="shared" si="87"/>
        <v>0</v>
      </c>
      <c r="M139" s="444">
        <f t="shared" si="87"/>
        <v>0</v>
      </c>
      <c r="N139" s="444">
        <f t="shared" si="87"/>
        <v>0</v>
      </c>
      <c r="O139" s="444">
        <f t="shared" si="88"/>
        <v>0</v>
      </c>
      <c r="P139" s="444">
        <f t="shared" si="88"/>
        <v>535812</v>
      </c>
      <c r="Q139" s="444">
        <f t="shared" si="88"/>
        <v>2437304</v>
      </c>
      <c r="R139" s="444">
        <f t="shared" si="88"/>
        <v>8889087</v>
      </c>
      <c r="S139" s="444">
        <f t="shared" si="88"/>
        <v>0</v>
      </c>
      <c r="T139" s="444">
        <f t="shared" si="88"/>
        <v>0</v>
      </c>
      <c r="U139" s="444">
        <f t="shared" si="88"/>
        <v>0</v>
      </c>
      <c r="V139" s="444">
        <f t="shared" si="88"/>
        <v>0</v>
      </c>
      <c r="W139" s="444">
        <f t="shared" si="88"/>
        <v>0</v>
      </c>
      <c r="X139" s="2646"/>
      <c r="Y139" s="2929"/>
    </row>
    <row r="140" spans="1:25" s="1118" customFormat="1" ht="15" customHeight="1" thickBot="1">
      <c r="A140" s="2927"/>
      <c r="B140" s="2542" t="s">
        <v>33</v>
      </c>
      <c r="C140" s="2608"/>
      <c r="D140" s="450">
        <f>P140+Q140+R140</f>
        <v>11862203</v>
      </c>
      <c r="E140" s="475"/>
      <c r="F140" s="476"/>
      <c r="G140" s="475"/>
      <c r="H140" s="475"/>
      <c r="I140" s="475">
        <v>0</v>
      </c>
      <c r="J140" s="475">
        <v>0</v>
      </c>
      <c r="K140" s="475">
        <v>0</v>
      </c>
      <c r="L140" s="475">
        <v>0</v>
      </c>
      <c r="M140" s="440">
        <f>+L140+K140+J140+I140+N140</f>
        <v>0</v>
      </c>
      <c r="N140" s="476">
        <v>0</v>
      </c>
      <c r="O140" s="475">
        <v>0</v>
      </c>
      <c r="P140" s="475">
        <v>535812</v>
      </c>
      <c r="Q140" s="475">
        <v>2437304</v>
      </c>
      <c r="R140" s="475">
        <v>8889087</v>
      </c>
      <c r="S140" s="475">
        <v>0</v>
      </c>
      <c r="T140" s="475">
        <v>0</v>
      </c>
      <c r="U140" s="475">
        <v>0</v>
      </c>
      <c r="V140" s="475">
        <v>0</v>
      </c>
      <c r="W140" s="475">
        <v>0</v>
      </c>
      <c r="X140" s="2647"/>
      <c r="Y140" s="2930"/>
    </row>
    <row r="141" spans="1:25" ht="23.25" customHeight="1" thickBot="1">
      <c r="A141" s="706" t="s">
        <v>226</v>
      </c>
      <c r="B141" s="707"/>
      <c r="C141" s="707"/>
      <c r="D141" s="707"/>
      <c r="E141" s="708"/>
      <c r="F141" s="707"/>
      <c r="G141" s="707"/>
      <c r="H141" s="707"/>
      <c r="I141" s="707"/>
      <c r="J141" s="707"/>
      <c r="K141" s="707"/>
      <c r="L141" s="707"/>
      <c r="M141" s="707"/>
      <c r="N141" s="707"/>
      <c r="O141" s="707"/>
      <c r="P141" s="707"/>
      <c r="Q141" s="707"/>
      <c r="R141" s="707"/>
      <c r="S141" s="707"/>
      <c r="T141" s="707"/>
      <c r="U141" s="707"/>
      <c r="V141" s="707"/>
      <c r="W141" s="707"/>
      <c r="X141" s="709"/>
      <c r="Y141" s="710"/>
    </row>
    <row r="142" spans="1:25" ht="18.75" customHeight="1">
      <c r="A142" s="791"/>
      <c r="B142" s="754" t="s">
        <v>92</v>
      </c>
      <c r="C142" s="1913"/>
      <c r="D142" s="756">
        <f>+D143+D144</f>
        <v>15694800</v>
      </c>
      <c r="E142" s="756">
        <f t="shared" ref="E142:Q142" si="89">+E143+E144</f>
        <v>0</v>
      </c>
      <c r="F142" s="756">
        <f t="shared" si="89"/>
        <v>0</v>
      </c>
      <c r="G142" s="756">
        <f t="shared" si="89"/>
        <v>0</v>
      </c>
      <c r="H142" s="756">
        <f t="shared" si="89"/>
        <v>0</v>
      </c>
      <c r="I142" s="756">
        <f t="shared" si="89"/>
        <v>0</v>
      </c>
      <c r="J142" s="756">
        <f t="shared" si="89"/>
        <v>0</v>
      </c>
      <c r="K142" s="756">
        <f t="shared" si="89"/>
        <v>0</v>
      </c>
      <c r="L142" s="756">
        <f t="shared" si="89"/>
        <v>0</v>
      </c>
      <c r="M142" s="756">
        <f t="shared" si="89"/>
        <v>2798000</v>
      </c>
      <c r="N142" s="756">
        <f t="shared" si="89"/>
        <v>2798000</v>
      </c>
      <c r="O142" s="756">
        <f t="shared" si="89"/>
        <v>2378300</v>
      </c>
      <c r="P142" s="756">
        <f t="shared" si="89"/>
        <v>2566500</v>
      </c>
      <c r="Q142" s="756">
        <f t="shared" si="89"/>
        <v>2600000</v>
      </c>
      <c r="R142" s="756">
        <f t="shared" ref="R142:X142" si="90">+R143+R144</f>
        <v>2647000</v>
      </c>
      <c r="S142" s="756">
        <f t="shared" si="90"/>
        <v>2705000</v>
      </c>
      <c r="T142" s="756">
        <f t="shared" si="90"/>
        <v>0</v>
      </c>
      <c r="U142" s="756">
        <f t="shared" si="90"/>
        <v>0</v>
      </c>
      <c r="V142" s="756">
        <f t="shared" si="90"/>
        <v>0</v>
      </c>
      <c r="W142" s="756">
        <f t="shared" si="90"/>
        <v>0</v>
      </c>
      <c r="X142" s="330">
        <f t="shared" si="90"/>
        <v>10518500</v>
      </c>
      <c r="Y142" s="2849"/>
    </row>
    <row r="143" spans="1:25" ht="14.25" customHeight="1">
      <c r="A143" s="704"/>
      <c r="B143" s="757" t="s">
        <v>93</v>
      </c>
      <c r="C143" s="759"/>
      <c r="D143" s="759">
        <f>+N143+O143+P143+Q143+R143+S143+T143+U143+V143+W143</f>
        <v>15694800</v>
      </c>
      <c r="E143" s="759">
        <f>+E157</f>
        <v>0</v>
      </c>
      <c r="F143" s="759">
        <f>+F155</f>
        <v>0</v>
      </c>
      <c r="G143" s="759">
        <f>+G155</f>
        <v>0</v>
      </c>
      <c r="H143" s="759">
        <f>+H155</f>
        <v>0</v>
      </c>
      <c r="I143" s="759">
        <f>+I157</f>
        <v>0</v>
      </c>
      <c r="J143" s="759">
        <f>+J157</f>
        <v>0</v>
      </c>
      <c r="K143" s="759">
        <f>+K157</f>
        <v>0</v>
      </c>
      <c r="L143" s="759">
        <f>+L157</f>
        <v>0</v>
      </c>
      <c r="M143" s="759">
        <f>M153+M157</f>
        <v>2798000</v>
      </c>
      <c r="N143" s="759">
        <f>N153+N157</f>
        <v>2798000</v>
      </c>
      <c r="O143" s="759">
        <f t="shared" ref="O143:T143" si="91">O153+O157</f>
        <v>2378300</v>
      </c>
      <c r="P143" s="759">
        <f t="shared" si="91"/>
        <v>2566500</v>
      </c>
      <c r="Q143" s="759">
        <f t="shared" si="91"/>
        <v>2600000</v>
      </c>
      <c r="R143" s="759">
        <f t="shared" si="91"/>
        <v>2647000</v>
      </c>
      <c r="S143" s="759">
        <f t="shared" si="91"/>
        <v>2705000</v>
      </c>
      <c r="T143" s="759">
        <f t="shared" si="91"/>
        <v>0</v>
      </c>
      <c r="U143" s="759">
        <f>U153+U157</f>
        <v>0</v>
      </c>
      <c r="V143" s="759">
        <f>V153+V157</f>
        <v>0</v>
      </c>
      <c r="W143" s="759">
        <f>W153+W157</f>
        <v>0</v>
      </c>
      <c r="X143" s="332">
        <f>SUM(P143:S143)</f>
        <v>10518500</v>
      </c>
      <c r="Y143" s="2850"/>
    </row>
    <row r="144" spans="1:25" ht="14.25" customHeight="1" thickBot="1">
      <c r="A144" s="704"/>
      <c r="B144" s="772" t="s">
        <v>21</v>
      </c>
      <c r="C144" s="769"/>
      <c r="D144" s="769">
        <v>0</v>
      </c>
      <c r="E144" s="769">
        <f>+E153</f>
        <v>0</v>
      </c>
      <c r="F144" s="769">
        <v>0</v>
      </c>
      <c r="G144" s="769">
        <v>0</v>
      </c>
      <c r="H144" s="769">
        <v>0</v>
      </c>
      <c r="I144" s="769">
        <f>+I153</f>
        <v>0</v>
      </c>
      <c r="J144" s="769">
        <f>+J153</f>
        <v>0</v>
      </c>
      <c r="K144" s="769">
        <f>+K153</f>
        <v>0</v>
      </c>
      <c r="L144" s="769">
        <f>+L153</f>
        <v>0</v>
      </c>
      <c r="M144" s="769">
        <v>0</v>
      </c>
      <c r="N144" s="769">
        <v>0</v>
      </c>
      <c r="O144" s="769">
        <v>0</v>
      </c>
      <c r="P144" s="769">
        <v>0</v>
      </c>
      <c r="Q144" s="769">
        <v>0</v>
      </c>
      <c r="R144" s="769">
        <v>0</v>
      </c>
      <c r="S144" s="769">
        <v>0</v>
      </c>
      <c r="T144" s="769">
        <f>+T153</f>
        <v>0</v>
      </c>
      <c r="U144" s="769">
        <f>+U153</f>
        <v>0</v>
      </c>
      <c r="V144" s="769">
        <f>+V153</f>
        <v>0</v>
      </c>
      <c r="W144" s="769">
        <f>+W153</f>
        <v>0</v>
      </c>
      <c r="X144" s="654">
        <f>SUM(P144:T144)</f>
        <v>0</v>
      </c>
      <c r="Y144" s="2850"/>
    </row>
    <row r="145" spans="1:25" ht="16.5" customHeight="1">
      <c r="A145" s="655"/>
      <c r="B145" s="501" t="s">
        <v>22</v>
      </c>
      <c r="C145" s="696"/>
      <c r="D145" s="711">
        <f t="shared" ref="D145:W145" si="92">+D146</f>
        <v>15694800</v>
      </c>
      <c r="E145" s="711">
        <f t="shared" si="92"/>
        <v>0</v>
      </c>
      <c r="F145" s="711">
        <f t="shared" si="92"/>
        <v>0</v>
      </c>
      <c r="G145" s="711">
        <f t="shared" si="92"/>
        <v>0</v>
      </c>
      <c r="H145" s="711">
        <f t="shared" si="92"/>
        <v>0</v>
      </c>
      <c r="I145" s="711">
        <f t="shared" si="92"/>
        <v>0</v>
      </c>
      <c r="J145" s="711">
        <f t="shared" si="92"/>
        <v>0</v>
      </c>
      <c r="K145" s="711">
        <f t="shared" si="92"/>
        <v>0</v>
      </c>
      <c r="L145" s="711">
        <f t="shared" si="92"/>
        <v>0</v>
      </c>
      <c r="M145" s="711">
        <f t="shared" si="92"/>
        <v>2798000</v>
      </c>
      <c r="N145" s="711">
        <f t="shared" si="92"/>
        <v>2798000</v>
      </c>
      <c r="O145" s="711">
        <f t="shared" si="92"/>
        <v>2378300</v>
      </c>
      <c r="P145" s="711">
        <f t="shared" si="92"/>
        <v>2566500</v>
      </c>
      <c r="Q145" s="711">
        <f t="shared" si="92"/>
        <v>2600000</v>
      </c>
      <c r="R145" s="711">
        <f t="shared" si="92"/>
        <v>2647000</v>
      </c>
      <c r="S145" s="711">
        <f t="shared" si="92"/>
        <v>2705000</v>
      </c>
      <c r="T145" s="711">
        <f t="shared" si="92"/>
        <v>0</v>
      </c>
      <c r="U145" s="711">
        <f t="shared" si="92"/>
        <v>0</v>
      </c>
      <c r="V145" s="711">
        <f t="shared" si="92"/>
        <v>0</v>
      </c>
      <c r="W145" s="711">
        <f t="shared" si="92"/>
        <v>0</v>
      </c>
      <c r="X145" s="698">
        <f>+X146</f>
        <v>10518500</v>
      </c>
      <c r="Y145" s="2850"/>
    </row>
    <row r="146" spans="1:25" ht="15" customHeight="1">
      <c r="A146" s="712"/>
      <c r="B146" s="659" t="s">
        <v>23</v>
      </c>
      <c r="C146" s="2975" t="s">
        <v>77</v>
      </c>
      <c r="D146" s="713">
        <f t="shared" ref="D146:M146" si="93">+D148</f>
        <v>15694800</v>
      </c>
      <c r="E146" s="713">
        <f t="shared" si="93"/>
        <v>0</v>
      </c>
      <c r="F146" s="713">
        <f t="shared" si="93"/>
        <v>0</v>
      </c>
      <c r="G146" s="713">
        <f t="shared" si="93"/>
        <v>0</v>
      </c>
      <c r="H146" s="713">
        <f t="shared" si="93"/>
        <v>0</v>
      </c>
      <c r="I146" s="713">
        <f t="shared" si="93"/>
        <v>0</v>
      </c>
      <c r="J146" s="713">
        <f t="shared" si="93"/>
        <v>0</v>
      </c>
      <c r="K146" s="713">
        <f t="shared" si="93"/>
        <v>0</v>
      </c>
      <c r="L146" s="713">
        <f t="shared" si="93"/>
        <v>0</v>
      </c>
      <c r="M146" s="713">
        <f t="shared" si="93"/>
        <v>2798000</v>
      </c>
      <c r="N146" s="713">
        <f>+N147+N148</f>
        <v>2798000</v>
      </c>
      <c r="O146" s="713">
        <f t="shared" ref="O146:T146" si="94">+O147+O148</f>
        <v>2378300</v>
      </c>
      <c r="P146" s="713">
        <f t="shared" si="94"/>
        <v>2566500</v>
      </c>
      <c r="Q146" s="713">
        <f t="shared" si="94"/>
        <v>2600000</v>
      </c>
      <c r="R146" s="713">
        <f t="shared" si="94"/>
        <v>2647000</v>
      </c>
      <c r="S146" s="713">
        <f t="shared" si="94"/>
        <v>2705000</v>
      </c>
      <c r="T146" s="713">
        <f t="shared" si="94"/>
        <v>0</v>
      </c>
      <c r="U146" s="713">
        <f>+U147+U148</f>
        <v>0</v>
      </c>
      <c r="V146" s="713">
        <f>+V147+V148</f>
        <v>0</v>
      </c>
      <c r="W146" s="713">
        <f>+W147+W148</f>
        <v>0</v>
      </c>
      <c r="X146" s="486">
        <f>+X147+X148</f>
        <v>10518500</v>
      </c>
      <c r="Y146" s="2850"/>
    </row>
    <row r="147" spans="1:25" ht="13.5" hidden="1" customHeight="1">
      <c r="A147" s="712"/>
      <c r="B147" s="662" t="s">
        <v>78</v>
      </c>
      <c r="C147" s="2853"/>
      <c r="D147" s="645">
        <f>+M147+N147+O147+P147+Q147+R147+S147+T147</f>
        <v>0</v>
      </c>
      <c r="E147" s="713"/>
      <c r="F147" s="713"/>
      <c r="G147" s="713"/>
      <c r="H147" s="713"/>
      <c r="I147" s="713"/>
      <c r="J147" s="713"/>
      <c r="K147" s="713"/>
      <c r="L147" s="713"/>
      <c r="M147" s="645">
        <f t="shared" ref="M147:X147" si="95">M159</f>
        <v>0</v>
      </c>
      <c r="N147" s="645">
        <f t="shared" si="95"/>
        <v>0</v>
      </c>
      <c r="O147" s="645">
        <f t="shared" si="95"/>
        <v>0</v>
      </c>
      <c r="P147" s="645">
        <f t="shared" si="95"/>
        <v>0</v>
      </c>
      <c r="Q147" s="645">
        <f t="shared" si="95"/>
        <v>0</v>
      </c>
      <c r="R147" s="645">
        <f t="shared" si="95"/>
        <v>0</v>
      </c>
      <c r="S147" s="645">
        <f t="shared" si="95"/>
        <v>0</v>
      </c>
      <c r="T147" s="645">
        <f t="shared" si="95"/>
        <v>0</v>
      </c>
      <c r="U147" s="645">
        <f t="shared" si="95"/>
        <v>0</v>
      </c>
      <c r="V147" s="645">
        <f t="shared" si="95"/>
        <v>0</v>
      </c>
      <c r="W147" s="645">
        <f t="shared" si="95"/>
        <v>0</v>
      </c>
      <c r="X147" s="715">
        <f t="shared" si="95"/>
        <v>0</v>
      </c>
      <c r="Y147" s="2850"/>
    </row>
    <row r="148" spans="1:25" ht="15.75" customHeight="1" thickBot="1">
      <c r="A148" s="661"/>
      <c r="B148" s="662" t="s">
        <v>229</v>
      </c>
      <c r="C148" s="2853"/>
      <c r="D148" s="714">
        <f>+D155+D159</f>
        <v>15694800</v>
      </c>
      <c r="E148" s="714">
        <f t="shared" ref="E148:L148" si="96">+E155+E159</f>
        <v>0</v>
      </c>
      <c r="F148" s="714">
        <f t="shared" si="96"/>
        <v>0</v>
      </c>
      <c r="G148" s="714">
        <f t="shared" si="96"/>
        <v>0</v>
      </c>
      <c r="H148" s="714">
        <f t="shared" si="96"/>
        <v>0</v>
      </c>
      <c r="I148" s="714">
        <f t="shared" si="96"/>
        <v>0</v>
      </c>
      <c r="J148" s="714">
        <f t="shared" si="96"/>
        <v>0</v>
      </c>
      <c r="K148" s="714">
        <f t="shared" si="96"/>
        <v>0</v>
      </c>
      <c r="L148" s="714">
        <f t="shared" si="96"/>
        <v>0</v>
      </c>
      <c r="M148" s="714">
        <f>+M155+M159</f>
        <v>2798000</v>
      </c>
      <c r="N148" s="714">
        <f t="shared" ref="N148:T148" si="97">+N155</f>
        <v>2798000</v>
      </c>
      <c r="O148" s="714">
        <f t="shared" si="97"/>
        <v>2378300</v>
      </c>
      <c r="P148" s="714">
        <f t="shared" si="97"/>
        <v>2566500</v>
      </c>
      <c r="Q148" s="714">
        <f t="shared" si="97"/>
        <v>2600000</v>
      </c>
      <c r="R148" s="714">
        <f t="shared" si="97"/>
        <v>2647000</v>
      </c>
      <c r="S148" s="714">
        <f t="shared" si="97"/>
        <v>2705000</v>
      </c>
      <c r="T148" s="714">
        <f t="shared" si="97"/>
        <v>0</v>
      </c>
      <c r="U148" s="714">
        <f>+U155</f>
        <v>0</v>
      </c>
      <c r="V148" s="714">
        <f>+V155</f>
        <v>0</v>
      </c>
      <c r="W148" s="714">
        <f>+W155</f>
        <v>0</v>
      </c>
      <c r="X148" s="715">
        <f>X155</f>
        <v>10518500</v>
      </c>
      <c r="Y148" s="2850"/>
    </row>
    <row r="149" spans="1:25" ht="18.75" hidden="1" customHeight="1">
      <c r="A149" s="644"/>
      <c r="B149" s="720" t="s">
        <v>34</v>
      </c>
      <c r="C149" s="359"/>
      <c r="D149" s="721">
        <f>+M149+N149+O149+P149+Q149+R149+S149+T149</f>
        <v>0</v>
      </c>
      <c r="E149" s="722">
        <f t="shared" ref="E149:T150" si="98">E150</f>
        <v>0</v>
      </c>
      <c r="F149" s="722">
        <f t="shared" si="98"/>
        <v>0</v>
      </c>
      <c r="G149" s="722">
        <f t="shared" si="98"/>
        <v>0</v>
      </c>
      <c r="H149" s="722">
        <f t="shared" si="98"/>
        <v>0</v>
      </c>
      <c r="I149" s="722">
        <f t="shared" si="98"/>
        <v>0</v>
      </c>
      <c r="J149" s="722">
        <f t="shared" si="98"/>
        <v>0</v>
      </c>
      <c r="K149" s="722">
        <f t="shared" si="98"/>
        <v>0</v>
      </c>
      <c r="L149" s="722">
        <f t="shared" si="98"/>
        <v>0</v>
      </c>
      <c r="M149" s="722">
        <f t="shared" si="98"/>
        <v>0</v>
      </c>
      <c r="N149" s="722">
        <f t="shared" si="98"/>
        <v>0</v>
      </c>
      <c r="O149" s="722">
        <f>O160</f>
        <v>0</v>
      </c>
      <c r="P149" s="722">
        <f t="shared" si="98"/>
        <v>0</v>
      </c>
      <c r="Q149" s="722">
        <f t="shared" si="98"/>
        <v>0</v>
      </c>
      <c r="R149" s="722">
        <f t="shared" si="98"/>
        <v>0</v>
      </c>
      <c r="S149" s="722">
        <f t="shared" si="98"/>
        <v>0</v>
      </c>
      <c r="T149" s="722">
        <f t="shared" si="98"/>
        <v>0</v>
      </c>
      <c r="U149" s="722">
        <f t="shared" ref="U149:W150" si="99">U150</f>
        <v>0</v>
      </c>
      <c r="V149" s="722">
        <f t="shared" si="99"/>
        <v>0</v>
      </c>
      <c r="W149" s="722">
        <f t="shared" si="99"/>
        <v>0</v>
      </c>
      <c r="X149" s="2659" t="s">
        <v>77</v>
      </c>
      <c r="Y149" s="2850"/>
    </row>
    <row r="150" spans="1:25" ht="13.5" hidden="1" customHeight="1">
      <c r="A150" s="644"/>
      <c r="B150" s="724" t="s">
        <v>23</v>
      </c>
      <c r="C150" s="725"/>
      <c r="D150" s="781">
        <f>+M150+N150+O150+P150+Q150+R150+S150+T150</f>
        <v>0</v>
      </c>
      <c r="E150" s="781">
        <f t="shared" si="98"/>
        <v>0</v>
      </c>
      <c r="F150" s="781">
        <f t="shared" si="98"/>
        <v>0</v>
      </c>
      <c r="G150" s="781">
        <f t="shared" si="98"/>
        <v>0</v>
      </c>
      <c r="H150" s="781">
        <f t="shared" si="98"/>
        <v>0</v>
      </c>
      <c r="I150" s="781">
        <f t="shared" si="98"/>
        <v>0</v>
      </c>
      <c r="J150" s="781">
        <f t="shared" si="98"/>
        <v>0</v>
      </c>
      <c r="K150" s="781">
        <f t="shared" si="98"/>
        <v>0</v>
      </c>
      <c r="L150" s="781">
        <f t="shared" si="98"/>
        <v>0</v>
      </c>
      <c r="M150" s="781">
        <f t="shared" si="98"/>
        <v>0</v>
      </c>
      <c r="N150" s="781">
        <f t="shared" si="98"/>
        <v>0</v>
      </c>
      <c r="O150" s="781">
        <f>O161</f>
        <v>0</v>
      </c>
      <c r="P150" s="781">
        <f>P151</f>
        <v>0</v>
      </c>
      <c r="Q150" s="781">
        <f t="shared" si="98"/>
        <v>0</v>
      </c>
      <c r="R150" s="781">
        <f t="shared" si="98"/>
        <v>0</v>
      </c>
      <c r="S150" s="781">
        <f t="shared" si="98"/>
        <v>0</v>
      </c>
      <c r="T150" s="781">
        <f t="shared" si="98"/>
        <v>0</v>
      </c>
      <c r="U150" s="781">
        <f t="shared" si="99"/>
        <v>0</v>
      </c>
      <c r="V150" s="781">
        <f t="shared" si="99"/>
        <v>0</v>
      </c>
      <c r="W150" s="781">
        <f t="shared" si="99"/>
        <v>0</v>
      </c>
      <c r="X150" s="2646"/>
      <c r="Y150" s="2850"/>
    </row>
    <row r="151" spans="1:25" ht="13.5" hidden="1" customHeight="1" thickBot="1">
      <c r="A151" s="726"/>
      <c r="B151" s="1056" t="s">
        <v>78</v>
      </c>
      <c r="C151" s="1914"/>
      <c r="D151" s="819">
        <f>+M151+N151+O151+P151+Q151+R151+S151+T151</f>
        <v>0</v>
      </c>
      <c r="E151" s="819">
        <f t="shared" ref="E151:R151" si="100">E161+E179+E186+E193+E200+E170+E207+E214+E221+E228</f>
        <v>0</v>
      </c>
      <c r="F151" s="819">
        <f t="shared" si="100"/>
        <v>0</v>
      </c>
      <c r="G151" s="819">
        <f t="shared" si="100"/>
        <v>0</v>
      </c>
      <c r="H151" s="819">
        <f t="shared" si="100"/>
        <v>0</v>
      </c>
      <c r="I151" s="819">
        <f t="shared" si="100"/>
        <v>0</v>
      </c>
      <c r="J151" s="819">
        <f t="shared" si="100"/>
        <v>0</v>
      </c>
      <c r="K151" s="819">
        <f t="shared" si="100"/>
        <v>0</v>
      </c>
      <c r="L151" s="819">
        <f t="shared" si="100"/>
        <v>0</v>
      </c>
      <c r="M151" s="819">
        <f t="shared" si="100"/>
        <v>0</v>
      </c>
      <c r="N151" s="819">
        <f t="shared" si="100"/>
        <v>0</v>
      </c>
      <c r="O151" s="819">
        <f>O162</f>
        <v>0</v>
      </c>
      <c r="P151" s="819">
        <f>P162</f>
        <v>0</v>
      </c>
      <c r="Q151" s="819">
        <f t="shared" si="100"/>
        <v>0</v>
      </c>
      <c r="R151" s="819">
        <f t="shared" si="100"/>
        <v>0</v>
      </c>
      <c r="S151" s="819">
        <f>S162</f>
        <v>0</v>
      </c>
      <c r="T151" s="819">
        <f>T162</f>
        <v>0</v>
      </c>
      <c r="U151" s="819">
        <f>U162</f>
        <v>0</v>
      </c>
      <c r="V151" s="819">
        <f>V162</f>
        <v>0</v>
      </c>
      <c r="W151" s="819">
        <f>W162</f>
        <v>0</v>
      </c>
      <c r="X151" s="2647"/>
      <c r="Y151" s="2851"/>
    </row>
    <row r="152" spans="1:25" ht="39.75" customHeight="1">
      <c r="A152" s="2947" t="s">
        <v>79</v>
      </c>
      <c r="B152" s="690" t="s">
        <v>490</v>
      </c>
      <c r="C152" s="1831" t="s">
        <v>225</v>
      </c>
      <c r="D152" s="699"/>
      <c r="E152" s="673"/>
      <c r="F152" s="673"/>
      <c r="G152" s="673"/>
      <c r="H152" s="673"/>
      <c r="I152" s="673"/>
      <c r="J152" s="673"/>
      <c r="K152" s="673"/>
      <c r="L152" s="692"/>
      <c r="M152" s="692"/>
      <c r="N152" s="692"/>
      <c r="O152" s="692"/>
      <c r="P152" s="693"/>
      <c r="Q152" s="693"/>
      <c r="R152" s="693"/>
      <c r="S152" s="693"/>
      <c r="T152" s="692"/>
      <c r="U152" s="692"/>
      <c r="V152" s="692"/>
      <c r="W152" s="692"/>
      <c r="X152" s="694"/>
      <c r="Y152" s="2720" t="s">
        <v>227</v>
      </c>
    </row>
    <row r="153" spans="1:25" s="728" customFormat="1" ht="15.75" customHeight="1">
      <c r="A153" s="2948"/>
      <c r="B153" s="358" t="s">
        <v>22</v>
      </c>
      <c r="C153" s="359"/>
      <c r="D153" s="721">
        <f t="shared" ref="D153:X154" si="101">+D154</f>
        <v>15694800</v>
      </c>
      <c r="E153" s="721">
        <f t="shared" si="101"/>
        <v>0</v>
      </c>
      <c r="F153" s="721">
        <f t="shared" si="101"/>
        <v>0</v>
      </c>
      <c r="G153" s="721">
        <f t="shared" si="101"/>
        <v>0</v>
      </c>
      <c r="H153" s="721">
        <f t="shared" si="101"/>
        <v>0</v>
      </c>
      <c r="I153" s="721">
        <f t="shared" si="101"/>
        <v>0</v>
      </c>
      <c r="J153" s="721">
        <f t="shared" si="101"/>
        <v>0</v>
      </c>
      <c r="K153" s="721">
        <f t="shared" si="101"/>
        <v>0</v>
      </c>
      <c r="L153" s="721">
        <f t="shared" si="101"/>
        <v>0</v>
      </c>
      <c r="M153" s="721">
        <f t="shared" si="101"/>
        <v>2798000</v>
      </c>
      <c r="N153" s="721">
        <f t="shared" si="101"/>
        <v>2798000</v>
      </c>
      <c r="O153" s="721">
        <f t="shared" si="101"/>
        <v>2378300</v>
      </c>
      <c r="P153" s="721">
        <f t="shared" si="101"/>
        <v>2566500</v>
      </c>
      <c r="Q153" s="721">
        <f t="shared" si="101"/>
        <v>2600000</v>
      </c>
      <c r="R153" s="721">
        <f t="shared" si="101"/>
        <v>2647000</v>
      </c>
      <c r="S153" s="721">
        <f t="shared" si="101"/>
        <v>2705000</v>
      </c>
      <c r="T153" s="721">
        <f t="shared" si="101"/>
        <v>0</v>
      </c>
      <c r="U153" s="721">
        <f t="shared" si="101"/>
        <v>0</v>
      </c>
      <c r="V153" s="721">
        <f t="shared" si="101"/>
        <v>0</v>
      </c>
      <c r="W153" s="721">
        <f t="shared" si="101"/>
        <v>0</v>
      </c>
      <c r="X153" s="745">
        <f t="shared" si="101"/>
        <v>10518500</v>
      </c>
      <c r="Y153" s="2721"/>
    </row>
    <row r="154" spans="1:25" s="728" customFormat="1" ht="15" customHeight="1">
      <c r="A154" s="2948"/>
      <c r="B154" s="1915" t="s">
        <v>36</v>
      </c>
      <c r="C154" s="2602" t="s">
        <v>228</v>
      </c>
      <c r="D154" s="547">
        <f t="shared" si="101"/>
        <v>15694800</v>
      </c>
      <c r="E154" s="444">
        <f t="shared" si="101"/>
        <v>0</v>
      </c>
      <c r="F154" s="444">
        <f t="shared" si="101"/>
        <v>0</v>
      </c>
      <c r="G154" s="444">
        <f t="shared" si="101"/>
        <v>0</v>
      </c>
      <c r="H154" s="444">
        <f t="shared" si="101"/>
        <v>0</v>
      </c>
      <c r="I154" s="547">
        <f t="shared" si="101"/>
        <v>0</v>
      </c>
      <c r="J154" s="547">
        <f t="shared" si="101"/>
        <v>0</v>
      </c>
      <c r="K154" s="547">
        <f t="shared" si="101"/>
        <v>0</v>
      </c>
      <c r="L154" s="547">
        <f t="shared" si="101"/>
        <v>0</v>
      </c>
      <c r="M154" s="547">
        <f t="shared" si="101"/>
        <v>2798000</v>
      </c>
      <c r="N154" s="553">
        <f t="shared" ref="N154:S154" si="102">N155</f>
        <v>2798000</v>
      </c>
      <c r="O154" s="553">
        <f t="shared" si="102"/>
        <v>2378300</v>
      </c>
      <c r="P154" s="553">
        <f t="shared" si="102"/>
        <v>2566500</v>
      </c>
      <c r="Q154" s="553">
        <f t="shared" si="102"/>
        <v>2600000</v>
      </c>
      <c r="R154" s="553">
        <f t="shared" si="102"/>
        <v>2647000</v>
      </c>
      <c r="S154" s="553">
        <f t="shared" si="102"/>
        <v>2705000</v>
      </c>
      <c r="T154" s="553">
        <v>0</v>
      </c>
      <c r="U154" s="553">
        <v>0</v>
      </c>
      <c r="V154" s="553">
        <v>0</v>
      </c>
      <c r="W154" s="553">
        <v>0</v>
      </c>
      <c r="X154" s="486">
        <f t="shared" si="101"/>
        <v>10518500</v>
      </c>
      <c r="Y154" s="2721"/>
    </row>
    <row r="155" spans="1:25" s="728" customFormat="1" ht="15" customHeight="1" thickBot="1">
      <c r="A155" s="2949"/>
      <c r="B155" s="777" t="s">
        <v>229</v>
      </c>
      <c r="C155" s="2596"/>
      <c r="D155" s="518">
        <f>+M155+O155+P155+Q155+R155+S155+T155+U155+V155+W155</f>
        <v>15694800</v>
      </c>
      <c r="E155" s="475">
        <v>0</v>
      </c>
      <c r="F155" s="476">
        <v>0</v>
      </c>
      <c r="G155" s="476"/>
      <c r="H155" s="475"/>
      <c r="I155" s="475">
        <v>0</v>
      </c>
      <c r="J155" s="475">
        <v>0</v>
      </c>
      <c r="K155" s="475">
        <v>0</v>
      </c>
      <c r="L155" s="475">
        <v>0</v>
      </c>
      <c r="M155" s="475">
        <f>+L155+K155+J155+I155+N155</f>
        <v>2798000</v>
      </c>
      <c r="N155" s="476">
        <f>2758000+40000</f>
        <v>2798000</v>
      </c>
      <c r="O155" s="476">
        <f>1650000+728300</f>
        <v>2378300</v>
      </c>
      <c r="P155" s="476">
        <f>2828000-258000-3500</f>
        <v>2566500</v>
      </c>
      <c r="Q155" s="476">
        <v>2600000</v>
      </c>
      <c r="R155" s="476">
        <v>2647000</v>
      </c>
      <c r="S155" s="476">
        <v>2705000</v>
      </c>
      <c r="T155" s="476">
        <v>0</v>
      </c>
      <c r="U155" s="476">
        <v>0</v>
      </c>
      <c r="V155" s="476">
        <v>0</v>
      </c>
      <c r="W155" s="476">
        <v>0</v>
      </c>
      <c r="X155" s="1916">
        <f>+P155+Q155+R155+S155</f>
        <v>10518500</v>
      </c>
      <c r="Y155" s="2722"/>
    </row>
    <row r="156" spans="1:25" ht="40.5" hidden="1" customHeight="1">
      <c r="A156" s="2940" t="s">
        <v>80</v>
      </c>
      <c r="B156" s="899"/>
      <c r="C156" s="872" t="s">
        <v>225</v>
      </c>
      <c r="D156" s="900"/>
      <c r="E156" s="871"/>
      <c r="F156" s="871"/>
      <c r="G156" s="871"/>
      <c r="H156" s="871"/>
      <c r="I156" s="871"/>
      <c r="J156" s="871"/>
      <c r="K156" s="871"/>
      <c r="L156" s="873"/>
      <c r="M156" s="873"/>
      <c r="N156" s="873"/>
      <c r="O156" s="873"/>
      <c r="P156" s="874"/>
      <c r="Q156" s="874"/>
      <c r="R156" s="874"/>
      <c r="S156" s="874"/>
      <c r="T156" s="873"/>
      <c r="U156" s="873"/>
      <c r="V156" s="873"/>
      <c r="W156" s="873"/>
      <c r="X156" s="875"/>
      <c r="Y156" s="2941" t="s">
        <v>287</v>
      </c>
    </row>
    <row r="157" spans="1:25" ht="17.25" hidden="1" customHeight="1">
      <c r="A157" s="2940"/>
      <c r="B157" s="629" t="s">
        <v>22</v>
      </c>
      <c r="C157" s="629"/>
      <c r="D157" s="784">
        <f>M157+N157+O157+P157+Q157+R157</f>
        <v>0</v>
      </c>
      <c r="E157" s="901">
        <f t="shared" ref="E157:X158" si="103">+E158</f>
        <v>0</v>
      </c>
      <c r="F157" s="902">
        <f t="shared" si="103"/>
        <v>0</v>
      </c>
      <c r="G157" s="902">
        <f t="shared" si="103"/>
        <v>0</v>
      </c>
      <c r="H157" s="902">
        <f t="shared" si="103"/>
        <v>0</v>
      </c>
      <c r="I157" s="902">
        <f t="shared" si="103"/>
        <v>0</v>
      </c>
      <c r="J157" s="902">
        <f t="shared" si="103"/>
        <v>0</v>
      </c>
      <c r="K157" s="902">
        <f t="shared" si="103"/>
        <v>0</v>
      </c>
      <c r="L157" s="903">
        <f t="shared" si="103"/>
        <v>0</v>
      </c>
      <c r="M157" s="784">
        <f>+M158</f>
        <v>0</v>
      </c>
      <c r="N157" s="1073">
        <f t="shared" si="103"/>
        <v>0</v>
      </c>
      <c r="O157" s="904">
        <f t="shared" si="103"/>
        <v>0</v>
      </c>
      <c r="P157" s="784">
        <f>+P158</f>
        <v>0</v>
      </c>
      <c r="Q157" s="905">
        <f t="shared" si="103"/>
        <v>0</v>
      </c>
      <c r="R157" s="904">
        <f t="shared" si="103"/>
        <v>0</v>
      </c>
      <c r="S157" s="904">
        <f t="shared" si="103"/>
        <v>0</v>
      </c>
      <c r="T157" s="905">
        <f t="shared" si="103"/>
        <v>0</v>
      </c>
      <c r="U157" s="905"/>
      <c r="V157" s="905"/>
      <c r="W157" s="905"/>
      <c r="X157" s="464">
        <f t="shared" si="103"/>
        <v>0</v>
      </c>
      <c r="Y157" s="2941"/>
    </row>
    <row r="158" spans="1:25" ht="16.5" hidden="1" customHeight="1">
      <c r="A158" s="2940"/>
      <c r="B158" s="678" t="s">
        <v>288</v>
      </c>
      <c r="C158" s="2942" t="s">
        <v>286</v>
      </c>
      <c r="D158" s="906">
        <f>M158+N158+O158+P158+Q158+R158</f>
        <v>0</v>
      </c>
      <c r="E158" s="907">
        <f t="shared" si="103"/>
        <v>0</v>
      </c>
      <c r="F158" s="907">
        <f t="shared" si="103"/>
        <v>0</v>
      </c>
      <c r="G158" s="907">
        <f t="shared" si="103"/>
        <v>0</v>
      </c>
      <c r="H158" s="907">
        <f t="shared" si="103"/>
        <v>0</v>
      </c>
      <c r="I158" s="908">
        <f t="shared" si="103"/>
        <v>0</v>
      </c>
      <c r="J158" s="908">
        <f t="shared" si="103"/>
        <v>0</v>
      </c>
      <c r="K158" s="908">
        <f t="shared" si="103"/>
        <v>0</v>
      </c>
      <c r="L158" s="908">
        <f t="shared" si="103"/>
        <v>0</v>
      </c>
      <c r="M158" s="908">
        <f t="shared" si="103"/>
        <v>0</v>
      </c>
      <c r="N158" s="908">
        <f>N159</f>
        <v>0</v>
      </c>
      <c r="O158" s="908">
        <f>O159</f>
        <v>0</v>
      </c>
      <c r="P158" s="908">
        <f>+P159</f>
        <v>0</v>
      </c>
      <c r="Q158" s="908">
        <f>Q159</f>
        <v>0</v>
      </c>
      <c r="R158" s="908">
        <f>R159</f>
        <v>0</v>
      </c>
      <c r="S158" s="908">
        <f>S159</f>
        <v>0</v>
      </c>
      <c r="T158" s="909">
        <f>T159</f>
        <v>0</v>
      </c>
      <c r="U158" s="909"/>
      <c r="V158" s="909"/>
      <c r="W158" s="909"/>
      <c r="X158" s="486">
        <f>+X159</f>
        <v>0</v>
      </c>
      <c r="Y158" s="2941"/>
    </row>
    <row r="159" spans="1:25" ht="13.5" hidden="1" customHeight="1">
      <c r="A159" s="2940"/>
      <c r="B159" s="910" t="s">
        <v>78</v>
      </c>
      <c r="C159" s="2943"/>
      <c r="D159" s="911">
        <f>+M159+N159+O159+P159+Q159+R159+S159+T159</f>
        <v>0</v>
      </c>
      <c r="E159" s="912"/>
      <c r="F159" s="912">
        <v>0</v>
      </c>
      <c r="G159" s="912"/>
      <c r="H159" s="912"/>
      <c r="I159" s="912"/>
      <c r="J159" s="912"/>
      <c r="K159" s="912"/>
      <c r="L159" s="912"/>
      <c r="M159" s="912">
        <v>0</v>
      </c>
      <c r="N159" s="912">
        <v>0</v>
      </c>
      <c r="O159" s="912">
        <v>0</v>
      </c>
      <c r="P159" s="912">
        <v>0</v>
      </c>
      <c r="Q159" s="912">
        <v>0</v>
      </c>
      <c r="R159" s="912">
        <v>0</v>
      </c>
      <c r="S159" s="912">
        <v>0</v>
      </c>
      <c r="T159" s="912">
        <v>0</v>
      </c>
      <c r="U159" s="912"/>
      <c r="V159" s="912"/>
      <c r="W159" s="912"/>
      <c r="X159" s="913">
        <f>+P159+Q159+R159+S159</f>
        <v>0</v>
      </c>
      <c r="Y159" s="2941"/>
    </row>
    <row r="160" spans="1:25" ht="15.75" hidden="1" customHeight="1">
      <c r="A160" s="2940"/>
      <c r="B160" s="914" t="s">
        <v>34</v>
      </c>
      <c r="C160" s="359"/>
      <c r="D160" s="915">
        <f>MO160+N160+O160+P160+Q160+R160</f>
        <v>0</v>
      </c>
      <c r="E160" s="448">
        <f t="shared" ref="E160:N161" si="104">+E161</f>
        <v>0</v>
      </c>
      <c r="F160" s="448">
        <f t="shared" si="104"/>
        <v>0</v>
      </c>
      <c r="G160" s="448">
        <f t="shared" si="104"/>
        <v>0</v>
      </c>
      <c r="H160" s="448">
        <f t="shared" si="104"/>
        <v>0</v>
      </c>
      <c r="I160" s="448">
        <f t="shared" si="104"/>
        <v>0</v>
      </c>
      <c r="J160" s="448">
        <f t="shared" si="104"/>
        <v>0</v>
      </c>
      <c r="K160" s="448">
        <f t="shared" si="104"/>
        <v>0</v>
      </c>
      <c r="L160" s="448">
        <f t="shared" si="104"/>
        <v>0</v>
      </c>
      <c r="M160" s="448">
        <f t="shared" si="104"/>
        <v>0</v>
      </c>
      <c r="N160" s="448">
        <f t="shared" si="104"/>
        <v>0</v>
      </c>
      <c r="O160" s="448">
        <f t="shared" ref="O160:T161" si="105">O161</f>
        <v>0</v>
      </c>
      <c r="P160" s="448">
        <f t="shared" si="105"/>
        <v>0</v>
      </c>
      <c r="Q160" s="448">
        <f t="shared" si="105"/>
        <v>0</v>
      </c>
      <c r="R160" s="448"/>
      <c r="S160" s="448">
        <f t="shared" si="105"/>
        <v>0</v>
      </c>
      <c r="T160" s="448">
        <f t="shared" si="105"/>
        <v>0</v>
      </c>
      <c r="U160" s="1023"/>
      <c r="V160" s="1023"/>
      <c r="W160" s="1023"/>
      <c r="X160" s="2646" t="s">
        <v>77</v>
      </c>
      <c r="Y160" s="2941"/>
    </row>
    <row r="161" spans="1:25" ht="16.5" hidden="1" customHeight="1">
      <c r="A161" s="2940"/>
      <c r="B161" s="678" t="s">
        <v>23</v>
      </c>
      <c r="C161" s="2661" t="s">
        <v>286</v>
      </c>
      <c r="D161" s="598">
        <f>M161+N161+O161+P161+Q161+R161</f>
        <v>0</v>
      </c>
      <c r="E161" s="444">
        <f t="shared" si="104"/>
        <v>0</v>
      </c>
      <c r="F161" s="444">
        <f t="shared" si="104"/>
        <v>0</v>
      </c>
      <c r="G161" s="444">
        <f t="shared" si="104"/>
        <v>0</v>
      </c>
      <c r="H161" s="444">
        <f t="shared" si="104"/>
        <v>0</v>
      </c>
      <c r="I161" s="444">
        <f t="shared" si="104"/>
        <v>0</v>
      </c>
      <c r="J161" s="444">
        <f t="shared" si="104"/>
        <v>0</v>
      </c>
      <c r="K161" s="444">
        <f t="shared" si="104"/>
        <v>0</v>
      </c>
      <c r="L161" s="444">
        <f t="shared" si="104"/>
        <v>0</v>
      </c>
      <c r="M161" s="444">
        <f t="shared" si="104"/>
        <v>0</v>
      </c>
      <c r="N161" s="444">
        <f t="shared" si="104"/>
        <v>0</v>
      </c>
      <c r="O161" s="444">
        <f t="shared" si="105"/>
        <v>0</v>
      </c>
      <c r="P161" s="444">
        <f t="shared" si="105"/>
        <v>0</v>
      </c>
      <c r="Q161" s="444">
        <f t="shared" si="105"/>
        <v>0</v>
      </c>
      <c r="R161" s="444">
        <f t="shared" si="105"/>
        <v>0</v>
      </c>
      <c r="S161" s="444">
        <f t="shared" si="105"/>
        <v>0</v>
      </c>
      <c r="T161" s="444">
        <f t="shared" si="105"/>
        <v>0</v>
      </c>
      <c r="U161" s="1017"/>
      <c r="V161" s="1017"/>
      <c r="W161" s="1017"/>
      <c r="X161" s="2646"/>
      <c r="Y161" s="2941"/>
    </row>
    <row r="162" spans="1:25" ht="13.5" hidden="1" customHeight="1" thickBot="1">
      <c r="A162" s="2940"/>
      <c r="B162" s="2542" t="s">
        <v>78</v>
      </c>
      <c r="C162" s="2608"/>
      <c r="D162" s="916">
        <f>+M162+N162+O162+P162+Q162+R162+S162+T162</f>
        <v>0</v>
      </c>
      <c r="E162" s="475"/>
      <c r="F162" s="476"/>
      <c r="G162" s="475"/>
      <c r="H162" s="475"/>
      <c r="I162" s="475">
        <v>0</v>
      </c>
      <c r="J162" s="475">
        <v>0</v>
      </c>
      <c r="K162" s="475">
        <v>0</v>
      </c>
      <c r="L162" s="475">
        <v>0</v>
      </c>
      <c r="M162" s="476">
        <f>+L162+K162+J162+I162</f>
        <v>0</v>
      </c>
      <c r="N162" s="476"/>
      <c r="O162" s="475">
        <v>0</v>
      </c>
      <c r="P162" s="475">
        <v>0</v>
      </c>
      <c r="Q162" s="475">
        <v>0</v>
      </c>
      <c r="R162" s="475">
        <v>0</v>
      </c>
      <c r="S162" s="475">
        <v>0</v>
      </c>
      <c r="T162" s="475">
        <v>0</v>
      </c>
      <c r="U162" s="454"/>
      <c r="V162" s="454"/>
      <c r="W162" s="454"/>
      <c r="X162" s="2647"/>
      <c r="Y162" s="2941"/>
    </row>
    <row r="163" spans="1:25">
      <c r="E163" s="701"/>
      <c r="F163" s="701"/>
      <c r="G163" s="701"/>
      <c r="H163" s="701"/>
      <c r="I163" s="701"/>
      <c r="J163" s="701"/>
      <c r="K163" s="701"/>
      <c r="L163" s="701"/>
      <c r="M163" s="701"/>
      <c r="N163" s="701"/>
      <c r="O163" s="701"/>
      <c r="P163" s="701"/>
      <c r="Y163" s="702"/>
    </row>
    <row r="164" spans="1:25" ht="11.25" customHeight="1">
      <c r="A164" s="2939"/>
      <c r="B164" s="2939"/>
      <c r="C164" s="2939"/>
      <c r="D164" s="2939"/>
      <c r="E164" s="2939"/>
      <c r="F164" s="2939"/>
      <c r="G164" s="2939"/>
      <c r="H164" s="2939"/>
      <c r="I164" s="2939"/>
      <c r="J164" s="2939"/>
      <c r="K164" s="2939"/>
      <c r="L164" s="2939"/>
      <c r="M164" s="2939"/>
      <c r="N164" s="2939"/>
      <c r="O164" s="2939"/>
      <c r="P164" s="2939"/>
      <c r="Q164" s="2939"/>
      <c r="R164" s="2939"/>
      <c r="S164" s="2939"/>
      <c r="T164" s="2939"/>
      <c r="U164" s="2939"/>
      <c r="V164" s="2939"/>
      <c r="W164" s="2939"/>
      <c r="X164" s="2939"/>
      <c r="Y164" s="2939"/>
    </row>
    <row r="165" spans="1:25">
      <c r="A165" s="2939"/>
      <c r="B165" s="2939"/>
      <c r="C165" s="2939"/>
      <c r="D165" s="2939"/>
      <c r="E165" s="2939"/>
      <c r="F165" s="2939"/>
      <c r="G165" s="2939"/>
      <c r="H165" s="2939"/>
      <c r="I165" s="2939"/>
      <c r="J165" s="2939"/>
      <c r="K165" s="2939"/>
      <c r="L165" s="2939"/>
      <c r="M165" s="2939"/>
      <c r="N165" s="2939"/>
      <c r="O165" s="2939"/>
      <c r="P165" s="2939"/>
      <c r="Q165" s="2939"/>
      <c r="R165" s="2939"/>
      <c r="S165" s="2939"/>
      <c r="T165" s="2939"/>
      <c r="U165" s="2939"/>
      <c r="V165" s="2939"/>
      <c r="W165" s="2939"/>
      <c r="X165" s="2939"/>
      <c r="Y165" s="2939"/>
    </row>
    <row r="166" spans="1:25"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Y166" s="702"/>
    </row>
    <row r="167" spans="1:25"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Y167" s="702"/>
    </row>
    <row r="168" spans="1:25">
      <c r="E168" s="701"/>
      <c r="F168" s="701"/>
      <c r="G168" s="701"/>
      <c r="H168" s="701"/>
      <c r="I168" s="701"/>
      <c r="J168" s="701"/>
      <c r="K168" s="701"/>
      <c r="L168" s="701"/>
      <c r="M168" s="701"/>
      <c r="N168" s="701"/>
      <c r="O168" s="701"/>
      <c r="P168" s="701"/>
      <c r="Y168" s="702"/>
    </row>
    <row r="169" spans="1:25">
      <c r="E169" s="701"/>
      <c r="F169" s="701"/>
      <c r="G169" s="701"/>
      <c r="H169" s="701"/>
      <c r="I169" s="701"/>
      <c r="J169" s="701"/>
      <c r="K169" s="701"/>
      <c r="L169" s="701"/>
      <c r="M169" s="701"/>
      <c r="N169" s="701"/>
      <c r="O169" s="701"/>
      <c r="P169" s="701"/>
      <c r="Y169" s="702"/>
    </row>
    <row r="170" spans="1:25">
      <c r="E170" s="701"/>
      <c r="F170" s="701"/>
      <c r="G170" s="701"/>
      <c r="H170" s="701"/>
      <c r="I170" s="701"/>
      <c r="J170" s="701"/>
      <c r="K170" s="701"/>
      <c r="L170" s="701"/>
      <c r="M170" s="701"/>
      <c r="N170" s="701"/>
      <c r="O170" s="701"/>
      <c r="P170" s="701"/>
      <c r="Y170" s="702"/>
    </row>
    <row r="171" spans="1:25"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Y171" s="702"/>
    </row>
    <row r="172" spans="1:25">
      <c r="E172" s="701"/>
      <c r="F172" s="701"/>
      <c r="G172" s="701"/>
      <c r="H172" s="701"/>
      <c r="I172" s="701"/>
      <c r="J172" s="701"/>
      <c r="K172" s="701"/>
      <c r="L172" s="701"/>
      <c r="M172" s="701"/>
      <c r="N172" s="701"/>
      <c r="O172" s="701"/>
      <c r="P172" s="701"/>
      <c r="Y172" s="702"/>
    </row>
    <row r="173" spans="1:25">
      <c r="E173" s="701"/>
      <c r="F173" s="701"/>
      <c r="G173" s="701"/>
      <c r="H173" s="701"/>
      <c r="I173" s="701"/>
      <c r="J173" s="701"/>
      <c r="K173" s="701"/>
      <c r="L173" s="701"/>
      <c r="M173" s="701"/>
      <c r="N173" s="701"/>
      <c r="O173" s="701"/>
      <c r="P173" s="701"/>
      <c r="Y173" s="702"/>
    </row>
    <row r="174" spans="1:25"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Y174" s="702"/>
    </row>
    <row r="175" spans="1:25">
      <c r="E175" s="701"/>
      <c r="F175" s="701"/>
      <c r="G175" s="701"/>
      <c r="H175" s="701"/>
      <c r="I175" s="701"/>
      <c r="J175" s="701"/>
      <c r="K175" s="701"/>
      <c r="L175" s="701"/>
      <c r="M175" s="701"/>
      <c r="N175" s="701"/>
      <c r="O175" s="701"/>
      <c r="P175" s="701"/>
      <c r="Y175" s="702"/>
    </row>
    <row r="176" spans="1:25">
      <c r="E176" s="701"/>
      <c r="F176" s="701"/>
      <c r="G176" s="701"/>
      <c r="H176" s="701"/>
      <c r="I176" s="701"/>
      <c r="J176" s="701"/>
      <c r="K176" s="701"/>
      <c r="L176" s="701"/>
      <c r="M176" s="701"/>
      <c r="N176" s="701"/>
      <c r="O176" s="701"/>
      <c r="P176" s="701"/>
      <c r="Y176" s="702"/>
    </row>
    <row r="177" spans="5:25"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Y177" s="702"/>
    </row>
    <row r="178" spans="5:25">
      <c r="E178" s="701"/>
      <c r="F178" s="701"/>
      <c r="G178" s="701"/>
      <c r="H178" s="701"/>
      <c r="I178" s="701"/>
      <c r="J178" s="701"/>
      <c r="K178" s="701"/>
      <c r="L178" s="701"/>
      <c r="M178" s="701"/>
      <c r="N178" s="701"/>
      <c r="O178" s="701"/>
      <c r="P178" s="701"/>
      <c r="Y178" s="702"/>
    </row>
    <row r="179" spans="5:25">
      <c r="E179" s="701"/>
      <c r="F179" s="701"/>
      <c r="G179" s="701"/>
      <c r="H179" s="701"/>
      <c r="I179" s="701"/>
      <c r="J179" s="701"/>
      <c r="K179" s="701"/>
      <c r="L179" s="701"/>
      <c r="M179" s="701"/>
      <c r="N179" s="701"/>
      <c r="O179" s="701"/>
      <c r="P179" s="701"/>
      <c r="Y179" s="702"/>
    </row>
    <row r="180" spans="5:25"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Y180" s="702"/>
    </row>
    <row r="181" spans="5:25">
      <c r="E181" s="701"/>
      <c r="F181" s="701"/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Y181" s="702"/>
    </row>
    <row r="182" spans="5:25">
      <c r="E182" s="701"/>
      <c r="F182" s="701"/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Y182" s="702"/>
    </row>
    <row r="183" spans="5:25">
      <c r="E183" s="701"/>
      <c r="F183" s="701"/>
      <c r="G183" s="701"/>
      <c r="H183" s="701"/>
      <c r="I183" s="701"/>
      <c r="J183" s="701"/>
      <c r="K183" s="701"/>
      <c r="L183" s="701"/>
      <c r="M183" s="701"/>
      <c r="N183" s="701"/>
      <c r="O183" s="701"/>
      <c r="P183" s="701"/>
      <c r="Y183" s="702"/>
    </row>
    <row r="184" spans="5:25">
      <c r="E184" s="701"/>
      <c r="F184" s="701"/>
      <c r="G184" s="701"/>
      <c r="H184" s="701"/>
      <c r="I184" s="701"/>
      <c r="J184" s="701"/>
      <c r="K184" s="701"/>
      <c r="L184" s="701"/>
      <c r="M184" s="701"/>
      <c r="N184" s="701"/>
      <c r="O184" s="701"/>
      <c r="P184" s="701"/>
      <c r="Y184" s="702"/>
    </row>
    <row r="185" spans="5:25"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Y185" s="702"/>
    </row>
    <row r="186" spans="5:25"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Y186" s="702"/>
    </row>
    <row r="187" spans="5:25"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Y187" s="702"/>
    </row>
    <row r="188" spans="5:25"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Y188" s="702"/>
    </row>
    <row r="189" spans="5:25"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Y189" s="702"/>
    </row>
    <row r="190" spans="5:25"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Y190" s="702"/>
    </row>
    <row r="191" spans="5:25"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Y191" s="702"/>
    </row>
    <row r="192" spans="5:25"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Y192" s="702"/>
    </row>
    <row r="193" spans="5:25"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Y193" s="702"/>
    </row>
    <row r="194" spans="5:25"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Y194" s="702"/>
    </row>
    <row r="195" spans="5:25"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Y195" s="702"/>
    </row>
    <row r="196" spans="5:25"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Y196" s="702"/>
    </row>
    <row r="197" spans="5:25"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Y197" s="702"/>
    </row>
    <row r="198" spans="5:25"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Y198" s="702"/>
    </row>
    <row r="199" spans="5:25"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Y199" s="702"/>
    </row>
    <row r="200" spans="5:25"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Y200" s="702"/>
    </row>
    <row r="201" spans="5:25"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Y201" s="702"/>
    </row>
    <row r="202" spans="5:25"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Y202" s="702"/>
    </row>
    <row r="203" spans="5:25"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Y203" s="702"/>
    </row>
    <row r="204" spans="5:25"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Y204" s="702"/>
    </row>
    <row r="205" spans="5:25"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Y205" s="702"/>
    </row>
    <row r="206" spans="5:25"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Y206" s="702"/>
    </row>
    <row r="207" spans="5:25"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Y207" s="702"/>
    </row>
    <row r="208" spans="5:25"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Y208" s="702"/>
    </row>
    <row r="209" spans="5:25"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Y209" s="702"/>
    </row>
    <row r="210" spans="5:25"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Y210" s="702"/>
    </row>
    <row r="211" spans="5:25"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Y211" s="702"/>
    </row>
    <row r="212" spans="5:25"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Y212" s="702"/>
    </row>
    <row r="213" spans="5:25"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Y213" s="702"/>
    </row>
    <row r="214" spans="5:25"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Y214" s="702"/>
    </row>
    <row r="215" spans="5:25"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Y215" s="702"/>
    </row>
    <row r="216" spans="5:25"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Y216" s="702"/>
    </row>
    <row r="217" spans="5:25"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Y217" s="702"/>
    </row>
    <row r="218" spans="5:25"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Y218" s="702"/>
    </row>
    <row r="219" spans="5:25"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Y219" s="702"/>
    </row>
    <row r="220" spans="5:25"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Y220" s="702"/>
    </row>
    <row r="221" spans="5:25"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Y221" s="702"/>
    </row>
    <row r="222" spans="5:25"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Y222" s="702"/>
    </row>
    <row r="223" spans="5:25"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Y223" s="702"/>
    </row>
    <row r="224" spans="5:25"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Y224" s="702"/>
    </row>
    <row r="225" spans="5:25"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Y225" s="702"/>
    </row>
    <row r="226" spans="5:25"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Y226" s="702"/>
    </row>
    <row r="227" spans="5:25"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Y227" s="702"/>
    </row>
    <row r="228" spans="5:25"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Y228" s="702"/>
    </row>
    <row r="229" spans="5:25"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Y229" s="702"/>
    </row>
    <row r="230" spans="5:25"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Y230" s="702"/>
    </row>
    <row r="231" spans="5:25"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Y231" s="702"/>
    </row>
    <row r="232" spans="5:25"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Y232" s="702"/>
    </row>
    <row r="233" spans="5:25"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Y233" s="702"/>
    </row>
    <row r="234" spans="5:25"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Y234" s="702"/>
    </row>
    <row r="235" spans="5:25"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Y235" s="702"/>
    </row>
    <row r="236" spans="5:25"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Y236" s="702"/>
    </row>
    <row r="237" spans="5:25"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Y237" s="702"/>
    </row>
    <row r="238" spans="5:25"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Y238" s="702"/>
    </row>
    <row r="239" spans="5:25"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Y239" s="702"/>
    </row>
    <row r="240" spans="5:25"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Y240" s="702"/>
    </row>
    <row r="241" spans="5:25"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Y241" s="702"/>
    </row>
    <row r="242" spans="5:25"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Y242" s="702"/>
    </row>
    <row r="243" spans="5:25"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Y243" s="702"/>
    </row>
    <row r="244" spans="5:25"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Y244" s="702"/>
    </row>
    <row r="245" spans="5:25"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Y245" s="702"/>
    </row>
    <row r="246" spans="5:25"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Y246" s="702"/>
    </row>
    <row r="247" spans="5:25"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Y247" s="702"/>
    </row>
    <row r="248" spans="5:25"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Y248" s="702"/>
    </row>
    <row r="249" spans="5:25"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Y249" s="702"/>
    </row>
    <row r="250" spans="5:25"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Y250" s="702"/>
    </row>
    <row r="251" spans="5:25"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Y251" s="702"/>
    </row>
    <row r="252" spans="5:25"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Y252" s="702"/>
    </row>
    <row r="253" spans="5:25"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Y253" s="702"/>
    </row>
    <row r="254" spans="5:25"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Y254" s="702"/>
    </row>
    <row r="255" spans="5:25"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Y255" s="702"/>
    </row>
    <row r="256" spans="5:25"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Y256" s="702"/>
    </row>
    <row r="257" spans="5:25"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Y257" s="702"/>
    </row>
    <row r="258" spans="5:25"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Y258" s="702"/>
    </row>
    <row r="259" spans="5:25"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Y259" s="702"/>
    </row>
    <row r="260" spans="5:25"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Y260" s="702"/>
    </row>
    <row r="261" spans="5:25"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Y261" s="702"/>
    </row>
    <row r="262" spans="5:25"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Y262" s="702"/>
    </row>
    <row r="263" spans="5:25"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Y263" s="702"/>
    </row>
    <row r="264" spans="5:25"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Y264" s="702"/>
    </row>
    <row r="265" spans="5:25"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Y265" s="702"/>
    </row>
    <row r="266" spans="5:25"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Y266" s="702"/>
    </row>
    <row r="267" spans="5:25"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Y267" s="702"/>
    </row>
    <row r="268" spans="5:25"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Y268" s="702"/>
    </row>
    <row r="269" spans="5:25"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Y269" s="702"/>
    </row>
    <row r="270" spans="5:25"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Y270" s="702"/>
    </row>
    <row r="271" spans="5:25"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Y271" s="702"/>
    </row>
    <row r="272" spans="5:25"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Y272" s="702"/>
    </row>
    <row r="273" spans="5:25"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Y273" s="702"/>
    </row>
    <row r="274" spans="5:25"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Y274" s="702"/>
    </row>
    <row r="275" spans="5:25"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Y275" s="702"/>
    </row>
    <row r="276" spans="5:25"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Y276" s="702"/>
    </row>
    <row r="277" spans="5:25"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Y277" s="702"/>
    </row>
    <row r="278" spans="5:25"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Y278" s="702"/>
    </row>
    <row r="279" spans="5:25"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Y279" s="702"/>
    </row>
    <row r="280" spans="5:25"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Y280" s="702"/>
    </row>
    <row r="281" spans="5:25"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Y281" s="702"/>
    </row>
    <row r="282" spans="5:25"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Y282" s="702"/>
    </row>
    <row r="283" spans="5:25"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Y283" s="702"/>
    </row>
    <row r="284" spans="5:25"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Y284" s="702"/>
    </row>
    <row r="285" spans="5:25"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Y285" s="702"/>
    </row>
    <row r="286" spans="5:25"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Y286" s="702"/>
    </row>
    <row r="287" spans="5:25"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Y287" s="702"/>
    </row>
    <row r="288" spans="5:25"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Y288" s="702"/>
    </row>
    <row r="289" spans="5:25"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Y289" s="702"/>
    </row>
    <row r="290" spans="5:25"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Y290" s="702"/>
    </row>
    <row r="291" spans="5:25"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Y291" s="702"/>
    </row>
    <row r="292" spans="5:25"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Y292" s="702"/>
    </row>
    <row r="293" spans="5:25"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Y293" s="702"/>
    </row>
    <row r="294" spans="5:25"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Y294" s="702"/>
    </row>
    <row r="295" spans="5:25"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Y295" s="702"/>
    </row>
    <row r="296" spans="5:25"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Y296" s="702"/>
    </row>
    <row r="297" spans="5:25"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Y297" s="702"/>
    </row>
    <row r="298" spans="5:25"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Y298" s="702"/>
    </row>
    <row r="299" spans="5:25"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Y299" s="702"/>
    </row>
    <row r="300" spans="5:25"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Y300" s="702"/>
    </row>
    <row r="301" spans="5:25"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Y301" s="702"/>
    </row>
    <row r="302" spans="5:25"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Y302" s="702"/>
    </row>
    <row r="303" spans="5:25"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Y303" s="702"/>
    </row>
    <row r="304" spans="5:25"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Y304" s="702"/>
    </row>
    <row r="305" spans="5:25"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Y305" s="702"/>
    </row>
    <row r="306" spans="5:25"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Y306" s="702"/>
    </row>
    <row r="307" spans="5:25"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Y307" s="702"/>
    </row>
    <row r="308" spans="5:25"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Y308" s="702"/>
    </row>
    <row r="309" spans="5:25"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Y309" s="702"/>
    </row>
    <row r="310" spans="5:25"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Y310" s="702"/>
    </row>
    <row r="311" spans="5:25"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Y311" s="702"/>
    </row>
    <row r="312" spans="5:25"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Y312" s="702"/>
    </row>
    <row r="313" spans="5:25"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Y313" s="702"/>
    </row>
    <row r="314" spans="5:25"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Y314" s="702"/>
    </row>
    <row r="315" spans="5:25"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Y315" s="702"/>
    </row>
    <row r="316" spans="5:25"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Y316" s="702"/>
    </row>
    <row r="317" spans="5:25"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Y317" s="702"/>
    </row>
    <row r="318" spans="5:25"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Y318" s="702"/>
    </row>
    <row r="319" spans="5:25"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Y319" s="702"/>
    </row>
    <row r="320" spans="5:25"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Y320" s="702"/>
    </row>
    <row r="321" spans="5:25"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Y321" s="702"/>
    </row>
    <row r="322" spans="5:25"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Y322" s="702"/>
    </row>
    <row r="323" spans="5:25"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Y323" s="702"/>
    </row>
    <row r="324" spans="5:25"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Y324" s="702"/>
    </row>
    <row r="325" spans="5:25"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Y325" s="702"/>
    </row>
    <row r="326" spans="5:25"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Y326" s="702"/>
    </row>
    <row r="327" spans="5:25"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Y327" s="702"/>
    </row>
    <row r="328" spans="5:25"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Y328" s="702"/>
    </row>
    <row r="329" spans="5:25"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Y329" s="702"/>
    </row>
    <row r="330" spans="5:25"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Y330" s="702"/>
    </row>
    <row r="331" spans="5:25"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Y331" s="702"/>
    </row>
    <row r="332" spans="5:25"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Y332" s="702"/>
    </row>
    <row r="333" spans="5:25"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Y333" s="702"/>
    </row>
    <row r="334" spans="5:25"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Y334" s="702"/>
    </row>
    <row r="335" spans="5:25"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Y335" s="702"/>
    </row>
    <row r="336" spans="5:25"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Y336" s="702"/>
    </row>
    <row r="337" spans="5:25"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Y337" s="702"/>
    </row>
    <row r="338" spans="5:25"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Y338" s="702"/>
    </row>
    <row r="339" spans="5:25"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Y339" s="702"/>
    </row>
    <row r="340" spans="5:25"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Y340" s="702"/>
    </row>
    <row r="341" spans="5:25"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Y341" s="702"/>
    </row>
    <row r="342" spans="5:25"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Y342" s="702"/>
    </row>
    <row r="343" spans="5:25"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Y343" s="702"/>
    </row>
    <row r="344" spans="5:25"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Y344" s="702"/>
    </row>
    <row r="345" spans="5:25"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Y345" s="702"/>
    </row>
    <row r="346" spans="5:25"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Y346" s="702"/>
    </row>
    <row r="347" spans="5:25"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Y347" s="702"/>
    </row>
    <row r="348" spans="5:25"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Y348" s="702"/>
    </row>
    <row r="349" spans="5:25"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Y349" s="702"/>
    </row>
    <row r="350" spans="5:25"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Y350" s="702"/>
    </row>
    <row r="351" spans="5:25"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Y351" s="702"/>
    </row>
    <row r="352" spans="5:25"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Y352" s="702"/>
    </row>
    <row r="353" spans="5:25"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Y353" s="702"/>
    </row>
    <row r="354" spans="5:25"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Y354" s="702"/>
    </row>
    <row r="355" spans="5:25"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Y355" s="702"/>
    </row>
    <row r="356" spans="5:25"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Y356" s="702"/>
    </row>
    <row r="357" spans="5:25"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Y357" s="702"/>
    </row>
    <row r="358" spans="5:25"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Y358" s="702"/>
    </row>
    <row r="359" spans="5:25"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Y359" s="702"/>
    </row>
    <row r="360" spans="5:25"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Y360" s="702"/>
    </row>
    <row r="361" spans="5:25"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Y361" s="702"/>
    </row>
    <row r="362" spans="5:25"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Y362" s="702"/>
    </row>
    <row r="363" spans="5:25"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Y363" s="702"/>
    </row>
    <row r="364" spans="5:25"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Y364" s="702"/>
    </row>
    <row r="365" spans="5:25"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Y365" s="702"/>
    </row>
    <row r="366" spans="5:25"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Y366" s="702"/>
    </row>
    <row r="367" spans="5:25"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Y367" s="702"/>
    </row>
    <row r="368" spans="5:25"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Y368" s="702"/>
    </row>
    <row r="369" spans="5:25"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Y369" s="702"/>
    </row>
    <row r="370" spans="5:25"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Y370" s="702"/>
    </row>
    <row r="371" spans="5:25"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Y371" s="702"/>
    </row>
    <row r="372" spans="5:25"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Y372" s="702"/>
    </row>
    <row r="373" spans="5:25"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Y373" s="702"/>
    </row>
    <row r="374" spans="5:25"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Y374" s="702"/>
    </row>
    <row r="375" spans="5:25"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Y375" s="702"/>
    </row>
    <row r="376" spans="5:25"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Y376" s="702"/>
    </row>
    <row r="377" spans="5:25"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Y377" s="702"/>
    </row>
    <row r="378" spans="5:25"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Y378" s="702"/>
    </row>
    <row r="379" spans="5:25"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Y379" s="702"/>
    </row>
    <row r="380" spans="5:25"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Y380" s="702"/>
    </row>
    <row r="381" spans="5:25"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Y381" s="702"/>
    </row>
    <row r="382" spans="5:25"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Y382" s="702"/>
    </row>
    <row r="383" spans="5:25"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Y383" s="702"/>
    </row>
    <row r="384" spans="5:25"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Y384" s="702"/>
    </row>
    <row r="385" spans="5:25"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Y385" s="702"/>
    </row>
    <row r="386" spans="5:25"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Y386" s="702"/>
    </row>
    <row r="387" spans="5:25"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Y387" s="702"/>
    </row>
    <row r="388" spans="5:25"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Y388" s="702"/>
    </row>
    <row r="389" spans="5:25"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Y389" s="702"/>
    </row>
    <row r="390" spans="5:25"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Y390" s="702"/>
    </row>
    <row r="391" spans="5:25"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Y391" s="702"/>
    </row>
    <row r="392" spans="5:25"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Y392" s="702"/>
    </row>
    <row r="393" spans="5:25"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Y393" s="702"/>
    </row>
    <row r="394" spans="5:25"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Y394" s="702"/>
    </row>
    <row r="395" spans="5:25"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Y395" s="702"/>
    </row>
    <row r="396" spans="5:25"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Y396" s="702"/>
    </row>
    <row r="397" spans="5:25"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Y397" s="702"/>
    </row>
    <row r="398" spans="5:25"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Y398" s="702"/>
    </row>
    <row r="399" spans="5:25"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Y399" s="702"/>
    </row>
    <row r="400" spans="5:25"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Y400" s="702"/>
    </row>
    <row r="401" spans="5:25"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Y401" s="702"/>
    </row>
    <row r="402" spans="5:25"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Y402" s="702"/>
    </row>
    <row r="403" spans="5:25"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Y403" s="702"/>
    </row>
    <row r="404" spans="5:25"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Y404" s="702"/>
    </row>
    <row r="405" spans="5:25"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Y405" s="702"/>
    </row>
    <row r="406" spans="5:25"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Y406" s="702"/>
    </row>
    <row r="407" spans="5:25"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Y407" s="702"/>
    </row>
    <row r="408" spans="5:25"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Y408" s="702"/>
    </row>
    <row r="409" spans="5:25"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Y409" s="702"/>
    </row>
    <row r="410" spans="5:25"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Y410" s="702"/>
    </row>
    <row r="411" spans="5:25"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Y411" s="702"/>
    </row>
    <row r="412" spans="5:25"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Y412" s="702"/>
    </row>
    <row r="413" spans="5:25"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Y413" s="702"/>
    </row>
    <row r="414" spans="5:25"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Y414" s="702"/>
    </row>
    <row r="415" spans="5:25"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Y415" s="702"/>
    </row>
    <row r="416" spans="5:25">
      <c r="E416" s="701"/>
      <c r="F416" s="701"/>
      <c r="G416" s="701"/>
      <c r="H416" s="701"/>
      <c r="I416" s="701"/>
      <c r="J416" s="701"/>
      <c r="K416" s="701"/>
      <c r="L416" s="701"/>
      <c r="M416" s="701"/>
      <c r="N416" s="701"/>
      <c r="O416" s="701"/>
      <c r="P416" s="701"/>
      <c r="Y416" s="702"/>
    </row>
    <row r="417" spans="5:25">
      <c r="E417" s="701"/>
      <c r="F417" s="701"/>
      <c r="G417" s="701"/>
      <c r="H417" s="701"/>
      <c r="I417" s="701"/>
      <c r="J417" s="701"/>
      <c r="K417" s="701"/>
      <c r="L417" s="701"/>
      <c r="M417" s="701"/>
      <c r="N417" s="701"/>
      <c r="O417" s="701"/>
      <c r="P417" s="701"/>
      <c r="Y417" s="702"/>
    </row>
    <row r="418" spans="5:25">
      <c r="E418" s="701"/>
      <c r="F418" s="701"/>
      <c r="G418" s="701"/>
      <c r="H418" s="701"/>
      <c r="I418" s="701"/>
      <c r="J418" s="701"/>
      <c r="K418" s="701"/>
      <c r="L418" s="701"/>
      <c r="M418" s="701"/>
      <c r="N418" s="701"/>
      <c r="O418" s="701"/>
      <c r="P418" s="701"/>
      <c r="Y418" s="702"/>
    </row>
    <row r="419" spans="5:25">
      <c r="E419" s="701"/>
      <c r="F419" s="701"/>
      <c r="G419" s="701"/>
      <c r="H419" s="701"/>
      <c r="I419" s="701"/>
      <c r="J419" s="701"/>
      <c r="K419" s="701"/>
      <c r="L419" s="701"/>
      <c r="M419" s="701"/>
      <c r="N419" s="701"/>
      <c r="O419" s="701"/>
      <c r="P419" s="701"/>
      <c r="Y419" s="702"/>
    </row>
    <row r="420" spans="5:25">
      <c r="E420" s="701"/>
      <c r="F420" s="701"/>
      <c r="G420" s="701"/>
      <c r="H420" s="701"/>
      <c r="I420" s="701"/>
      <c r="J420" s="701"/>
      <c r="K420" s="701"/>
      <c r="L420" s="701"/>
      <c r="M420" s="701"/>
      <c r="N420" s="701"/>
      <c r="O420" s="701"/>
      <c r="P420" s="701"/>
      <c r="Y420" s="702"/>
    </row>
    <row r="421" spans="5:25">
      <c r="E421" s="701"/>
      <c r="F421" s="701"/>
      <c r="G421" s="701"/>
      <c r="H421" s="701"/>
      <c r="I421" s="701"/>
      <c r="J421" s="701"/>
      <c r="K421" s="701"/>
      <c r="L421" s="701"/>
      <c r="M421" s="701"/>
      <c r="N421" s="701"/>
      <c r="O421" s="701"/>
      <c r="P421" s="701"/>
      <c r="Y421" s="702"/>
    </row>
    <row r="422" spans="5:25">
      <c r="E422" s="701"/>
      <c r="F422" s="701"/>
      <c r="G422" s="701"/>
      <c r="H422" s="701"/>
      <c r="I422" s="701"/>
      <c r="J422" s="701"/>
      <c r="K422" s="701"/>
      <c r="L422" s="701"/>
      <c r="M422" s="701"/>
      <c r="N422" s="701"/>
      <c r="O422" s="701"/>
      <c r="P422" s="701"/>
      <c r="Y422" s="702"/>
    </row>
    <row r="423" spans="5:25">
      <c r="E423" s="701"/>
      <c r="F423" s="701"/>
      <c r="G423" s="701"/>
      <c r="H423" s="701"/>
      <c r="I423" s="701"/>
      <c r="J423" s="701"/>
      <c r="K423" s="701"/>
      <c r="L423" s="701"/>
      <c r="M423" s="701"/>
      <c r="N423" s="701"/>
      <c r="O423" s="701"/>
      <c r="P423" s="701"/>
      <c r="Y423" s="702"/>
    </row>
    <row r="424" spans="5:25">
      <c r="E424" s="701"/>
      <c r="F424" s="701"/>
      <c r="G424" s="701"/>
      <c r="H424" s="701"/>
      <c r="I424" s="701"/>
      <c r="J424" s="701"/>
      <c r="K424" s="701"/>
      <c r="L424" s="701"/>
      <c r="M424" s="701"/>
      <c r="N424" s="701"/>
      <c r="O424" s="701"/>
      <c r="P424" s="701"/>
      <c r="Y424" s="702"/>
    </row>
    <row r="425" spans="5:25">
      <c r="E425" s="701"/>
      <c r="F425" s="701"/>
      <c r="G425" s="701"/>
      <c r="H425" s="701"/>
      <c r="I425" s="701"/>
      <c r="J425" s="701"/>
      <c r="K425" s="701"/>
      <c r="L425" s="701"/>
      <c r="M425" s="701"/>
      <c r="N425" s="701"/>
      <c r="O425" s="701"/>
      <c r="P425" s="701"/>
      <c r="Y425" s="702"/>
    </row>
    <row r="426" spans="5:25">
      <c r="E426" s="701"/>
      <c r="F426" s="701"/>
      <c r="G426" s="701"/>
      <c r="H426" s="701"/>
      <c r="I426" s="701"/>
      <c r="J426" s="701"/>
      <c r="K426" s="701"/>
      <c r="L426" s="701"/>
      <c r="M426" s="701"/>
      <c r="N426" s="701"/>
      <c r="O426" s="701"/>
      <c r="P426" s="701"/>
      <c r="Y426" s="702"/>
    </row>
    <row r="427" spans="5:25">
      <c r="E427" s="701"/>
      <c r="F427" s="701"/>
      <c r="G427" s="701"/>
      <c r="H427" s="701"/>
      <c r="I427" s="701"/>
      <c r="J427" s="701"/>
      <c r="K427" s="701"/>
      <c r="L427" s="701"/>
      <c r="M427" s="701"/>
      <c r="N427" s="701"/>
      <c r="O427" s="701"/>
      <c r="P427" s="701"/>
      <c r="Y427" s="702"/>
    </row>
    <row r="428" spans="5:25"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Y428" s="702"/>
    </row>
    <row r="429" spans="5:25"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Y429" s="702"/>
    </row>
    <row r="430" spans="5:25">
      <c r="E430" s="701"/>
      <c r="F430" s="701"/>
      <c r="G430" s="701"/>
      <c r="H430" s="701"/>
      <c r="I430" s="701"/>
      <c r="J430" s="701"/>
      <c r="K430" s="701"/>
      <c r="L430" s="701"/>
      <c r="M430" s="701"/>
      <c r="N430" s="701"/>
      <c r="O430" s="701"/>
      <c r="P430" s="701"/>
      <c r="Y430" s="702"/>
    </row>
    <row r="431" spans="5:25">
      <c r="E431" s="701"/>
      <c r="F431" s="701"/>
      <c r="G431" s="701"/>
      <c r="H431" s="701"/>
      <c r="I431" s="701"/>
      <c r="J431" s="701"/>
      <c r="K431" s="701"/>
      <c r="L431" s="701"/>
      <c r="M431" s="701"/>
      <c r="N431" s="701"/>
      <c r="O431" s="701"/>
      <c r="P431" s="701"/>
      <c r="Y431" s="702"/>
    </row>
    <row r="432" spans="5:25">
      <c r="E432" s="701"/>
      <c r="F432" s="701"/>
      <c r="G432" s="701"/>
      <c r="H432" s="701"/>
      <c r="I432" s="701"/>
      <c r="J432" s="701"/>
      <c r="K432" s="701"/>
      <c r="L432" s="701"/>
      <c r="M432" s="701"/>
      <c r="N432" s="701"/>
      <c r="O432" s="701"/>
      <c r="P432" s="701"/>
      <c r="Y432" s="702"/>
    </row>
    <row r="433" spans="5:25">
      <c r="E433" s="701"/>
      <c r="F433" s="701"/>
      <c r="G433" s="701"/>
      <c r="H433" s="701"/>
      <c r="I433" s="701"/>
      <c r="J433" s="701"/>
      <c r="K433" s="701"/>
      <c r="L433" s="701"/>
      <c r="M433" s="701"/>
      <c r="N433" s="701"/>
      <c r="O433" s="701"/>
      <c r="P433" s="701"/>
      <c r="Y433" s="702"/>
    </row>
    <row r="434" spans="5:25">
      <c r="E434" s="701"/>
      <c r="F434" s="701"/>
      <c r="G434" s="701"/>
      <c r="H434" s="701"/>
      <c r="I434" s="701"/>
      <c r="J434" s="701"/>
      <c r="K434" s="701"/>
      <c r="L434" s="701"/>
      <c r="M434" s="701"/>
      <c r="N434" s="701"/>
      <c r="O434" s="701"/>
      <c r="P434" s="701"/>
      <c r="Y434" s="702"/>
    </row>
    <row r="435" spans="5:25">
      <c r="E435" s="701"/>
      <c r="F435" s="701"/>
      <c r="G435" s="701"/>
      <c r="H435" s="701"/>
      <c r="I435" s="701"/>
      <c r="J435" s="701"/>
      <c r="K435" s="701"/>
      <c r="L435" s="701"/>
      <c r="M435" s="701"/>
      <c r="N435" s="701"/>
      <c r="O435" s="701"/>
      <c r="P435" s="701"/>
      <c r="Y435" s="702"/>
    </row>
    <row r="436" spans="5:25">
      <c r="E436" s="701"/>
      <c r="F436" s="701"/>
      <c r="G436" s="701"/>
      <c r="H436" s="701"/>
      <c r="I436" s="701"/>
      <c r="J436" s="701"/>
      <c r="K436" s="701"/>
      <c r="L436" s="701"/>
      <c r="M436" s="701"/>
      <c r="N436" s="701"/>
      <c r="O436" s="701"/>
      <c r="P436" s="701"/>
      <c r="Y436" s="702"/>
    </row>
    <row r="437" spans="5:25">
      <c r="E437" s="701"/>
      <c r="F437" s="701"/>
      <c r="G437" s="701"/>
      <c r="H437" s="701"/>
      <c r="I437" s="701"/>
      <c r="J437" s="701"/>
      <c r="K437" s="701"/>
      <c r="L437" s="701"/>
      <c r="M437" s="701"/>
      <c r="N437" s="701"/>
      <c r="O437" s="701"/>
      <c r="P437" s="701"/>
      <c r="Y437" s="702"/>
    </row>
    <row r="438" spans="5:25">
      <c r="E438" s="701"/>
      <c r="F438" s="701"/>
      <c r="G438" s="701"/>
      <c r="H438" s="701"/>
      <c r="I438" s="701"/>
      <c r="J438" s="701"/>
      <c r="K438" s="701"/>
      <c r="L438" s="701"/>
      <c r="M438" s="701"/>
      <c r="N438" s="701"/>
      <c r="O438" s="701"/>
      <c r="P438" s="701"/>
      <c r="Y438" s="702"/>
    </row>
    <row r="439" spans="5:25">
      <c r="E439" s="701"/>
      <c r="F439" s="701"/>
      <c r="G439" s="701"/>
      <c r="H439" s="701"/>
      <c r="I439" s="701"/>
      <c r="J439" s="701"/>
      <c r="K439" s="701"/>
      <c r="L439" s="701"/>
      <c r="M439" s="701"/>
      <c r="N439" s="701"/>
      <c r="O439" s="701"/>
      <c r="P439" s="701"/>
      <c r="Y439" s="702"/>
    </row>
    <row r="440" spans="5:25">
      <c r="E440" s="701"/>
      <c r="F440" s="701"/>
      <c r="G440" s="701"/>
      <c r="H440" s="701"/>
      <c r="I440" s="701"/>
      <c r="J440" s="701"/>
      <c r="K440" s="701"/>
      <c r="L440" s="701"/>
      <c r="M440" s="701"/>
      <c r="N440" s="701"/>
      <c r="O440" s="701"/>
      <c r="P440" s="701"/>
      <c r="Y440" s="702"/>
    </row>
    <row r="441" spans="5:25">
      <c r="E441" s="701"/>
      <c r="F441" s="701"/>
      <c r="G441" s="701"/>
      <c r="H441" s="701"/>
      <c r="I441" s="701"/>
      <c r="J441" s="701"/>
      <c r="K441" s="701"/>
      <c r="L441" s="701"/>
      <c r="M441" s="701"/>
      <c r="N441" s="701"/>
      <c r="O441" s="701"/>
      <c r="P441" s="701"/>
      <c r="Y441" s="702"/>
    </row>
    <row r="442" spans="5:25">
      <c r="E442" s="701"/>
      <c r="F442" s="701"/>
      <c r="G442" s="701"/>
      <c r="H442" s="701"/>
      <c r="I442" s="701"/>
      <c r="J442" s="701"/>
      <c r="K442" s="701"/>
      <c r="L442" s="701"/>
      <c r="M442" s="701"/>
      <c r="N442" s="701"/>
      <c r="O442" s="701"/>
      <c r="P442" s="701"/>
      <c r="Y442" s="702"/>
    </row>
    <row r="443" spans="5:25">
      <c r="E443" s="701"/>
      <c r="F443" s="701"/>
      <c r="G443" s="701"/>
      <c r="H443" s="701"/>
      <c r="I443" s="701"/>
      <c r="J443" s="701"/>
      <c r="K443" s="701"/>
      <c r="L443" s="701"/>
      <c r="M443" s="701"/>
      <c r="N443" s="701"/>
      <c r="O443" s="701"/>
      <c r="P443" s="701"/>
      <c r="Y443" s="702"/>
    </row>
    <row r="444" spans="5:25">
      <c r="E444" s="701"/>
      <c r="F444" s="701"/>
      <c r="G444" s="701"/>
      <c r="H444" s="701"/>
      <c r="I444" s="701"/>
      <c r="J444" s="701"/>
      <c r="K444" s="701"/>
      <c r="L444" s="701"/>
      <c r="M444" s="701"/>
      <c r="N444" s="701"/>
      <c r="O444" s="701"/>
      <c r="P444" s="701"/>
      <c r="Y444" s="702"/>
    </row>
    <row r="445" spans="5:25">
      <c r="E445" s="701"/>
      <c r="F445" s="701"/>
      <c r="G445" s="701"/>
      <c r="H445" s="701"/>
      <c r="I445" s="701"/>
      <c r="J445" s="701"/>
      <c r="K445" s="701"/>
      <c r="L445" s="701"/>
      <c r="M445" s="701"/>
      <c r="N445" s="701"/>
      <c r="O445" s="701"/>
      <c r="P445" s="701"/>
      <c r="Y445" s="702"/>
    </row>
    <row r="446" spans="5:25">
      <c r="E446" s="701"/>
      <c r="F446" s="701"/>
      <c r="G446" s="701"/>
      <c r="H446" s="701"/>
      <c r="I446" s="701"/>
      <c r="J446" s="701"/>
      <c r="K446" s="701"/>
      <c r="L446" s="701"/>
      <c r="M446" s="701"/>
      <c r="N446" s="701"/>
      <c r="O446" s="701"/>
      <c r="P446" s="701"/>
      <c r="Y446" s="702"/>
    </row>
    <row r="447" spans="5:25">
      <c r="E447" s="701"/>
      <c r="F447" s="701"/>
      <c r="G447" s="701"/>
      <c r="H447" s="701"/>
      <c r="I447" s="701"/>
      <c r="J447" s="701"/>
      <c r="K447" s="701"/>
      <c r="L447" s="701"/>
      <c r="M447" s="701"/>
      <c r="N447" s="701"/>
      <c r="O447" s="701"/>
      <c r="P447" s="701"/>
      <c r="Y447" s="702"/>
    </row>
    <row r="448" spans="5:25">
      <c r="E448" s="701"/>
      <c r="F448" s="701"/>
      <c r="G448" s="701"/>
      <c r="H448" s="701"/>
      <c r="I448" s="701"/>
      <c r="J448" s="701"/>
      <c r="K448" s="701"/>
      <c r="L448" s="701"/>
      <c r="M448" s="701"/>
      <c r="N448" s="701"/>
      <c r="O448" s="701"/>
      <c r="P448" s="701"/>
      <c r="Y448" s="702"/>
    </row>
    <row r="449" spans="5:25">
      <c r="E449" s="701"/>
      <c r="F449" s="701"/>
      <c r="G449" s="701"/>
      <c r="H449" s="701"/>
      <c r="I449" s="701"/>
      <c r="J449" s="701"/>
      <c r="K449" s="701"/>
      <c r="L449" s="701"/>
      <c r="M449" s="701"/>
      <c r="N449" s="701"/>
      <c r="O449" s="701"/>
      <c r="P449" s="701"/>
      <c r="Y449" s="702"/>
    </row>
    <row r="450" spans="5:25">
      <c r="E450" s="701"/>
      <c r="F450" s="701"/>
      <c r="G450" s="701"/>
      <c r="H450" s="701"/>
      <c r="I450" s="701"/>
      <c r="J450" s="701"/>
      <c r="K450" s="701"/>
      <c r="L450" s="701"/>
      <c r="M450" s="701"/>
      <c r="N450" s="701"/>
      <c r="O450" s="701"/>
      <c r="P450" s="701"/>
      <c r="Y450" s="702"/>
    </row>
    <row r="451" spans="5:25">
      <c r="E451" s="701"/>
      <c r="F451" s="701"/>
      <c r="G451" s="701"/>
      <c r="H451" s="701"/>
      <c r="I451" s="701"/>
      <c r="J451" s="701"/>
      <c r="K451" s="701"/>
      <c r="L451" s="701"/>
      <c r="M451" s="701"/>
      <c r="N451" s="701"/>
      <c r="O451" s="701"/>
      <c r="P451" s="701"/>
      <c r="Y451" s="702"/>
    </row>
    <row r="452" spans="5:25">
      <c r="E452" s="701"/>
      <c r="F452" s="701"/>
      <c r="G452" s="701"/>
      <c r="H452" s="701"/>
      <c r="I452" s="701"/>
      <c r="J452" s="701"/>
      <c r="K452" s="701"/>
      <c r="L452" s="701"/>
      <c r="M452" s="701"/>
      <c r="N452" s="701"/>
      <c r="O452" s="701"/>
      <c r="P452" s="701"/>
      <c r="Y452" s="702"/>
    </row>
    <row r="453" spans="5:25">
      <c r="E453" s="701"/>
      <c r="F453" s="701"/>
      <c r="G453" s="701"/>
      <c r="H453" s="701"/>
      <c r="I453" s="701"/>
      <c r="J453" s="701"/>
      <c r="K453" s="701"/>
      <c r="L453" s="701"/>
      <c r="M453" s="701"/>
      <c r="N453" s="701"/>
      <c r="O453" s="701"/>
      <c r="P453" s="701"/>
      <c r="Y453" s="702"/>
    </row>
    <row r="454" spans="5:25">
      <c r="E454" s="701"/>
      <c r="F454" s="701"/>
      <c r="G454" s="701"/>
      <c r="H454" s="701"/>
      <c r="I454" s="701"/>
      <c r="J454" s="701"/>
      <c r="K454" s="701"/>
      <c r="L454" s="701"/>
      <c r="M454" s="701"/>
      <c r="N454" s="701"/>
      <c r="O454" s="701"/>
      <c r="P454" s="701"/>
      <c r="Y454" s="702"/>
    </row>
    <row r="455" spans="5:25">
      <c r="E455" s="701"/>
      <c r="F455" s="701"/>
      <c r="G455" s="701"/>
      <c r="H455" s="701"/>
      <c r="I455" s="701"/>
      <c r="J455" s="701"/>
      <c r="K455" s="701"/>
      <c r="L455" s="701"/>
      <c r="M455" s="701"/>
      <c r="N455" s="701"/>
      <c r="O455" s="701"/>
      <c r="P455" s="701"/>
      <c r="Y455" s="702"/>
    </row>
    <row r="456" spans="5:25">
      <c r="E456" s="701"/>
      <c r="F456" s="701"/>
      <c r="G456" s="701"/>
      <c r="H456" s="701"/>
      <c r="I456" s="701"/>
      <c r="J456" s="701"/>
      <c r="K456" s="701"/>
      <c r="L456" s="701"/>
      <c r="M456" s="701"/>
      <c r="N456" s="701"/>
      <c r="O456" s="701"/>
      <c r="P456" s="701"/>
      <c r="Y456" s="702"/>
    </row>
    <row r="457" spans="5:25">
      <c r="E457" s="701"/>
      <c r="F457" s="701"/>
      <c r="G457" s="701"/>
      <c r="H457" s="701"/>
      <c r="I457" s="701"/>
      <c r="J457" s="701"/>
      <c r="K457" s="701"/>
      <c r="L457" s="701"/>
      <c r="M457" s="701"/>
      <c r="N457" s="701"/>
      <c r="O457" s="701"/>
      <c r="P457" s="701"/>
      <c r="Y457" s="702"/>
    </row>
    <row r="458" spans="5:25">
      <c r="E458" s="701"/>
      <c r="F458" s="701"/>
      <c r="G458" s="701"/>
      <c r="H458" s="701"/>
      <c r="I458" s="701"/>
      <c r="J458" s="701"/>
      <c r="K458" s="701"/>
      <c r="L458" s="701"/>
      <c r="M458" s="701"/>
      <c r="N458" s="701"/>
      <c r="O458" s="701"/>
      <c r="P458" s="701"/>
      <c r="Y458" s="702"/>
    </row>
    <row r="459" spans="5:25">
      <c r="E459" s="701"/>
      <c r="F459" s="701"/>
      <c r="G459" s="701"/>
      <c r="H459" s="701"/>
      <c r="I459" s="701"/>
      <c r="J459" s="701"/>
      <c r="K459" s="701"/>
      <c r="L459" s="701"/>
      <c r="M459" s="701"/>
      <c r="N459" s="701"/>
      <c r="O459" s="701"/>
      <c r="P459" s="701"/>
      <c r="Y459" s="702"/>
    </row>
    <row r="460" spans="5:25">
      <c r="E460" s="701"/>
      <c r="F460" s="701"/>
      <c r="G460" s="701"/>
      <c r="H460" s="701"/>
      <c r="I460" s="701"/>
      <c r="J460" s="701"/>
      <c r="K460" s="701"/>
      <c r="L460" s="701"/>
      <c r="M460" s="701"/>
      <c r="N460" s="701"/>
      <c r="O460" s="701"/>
      <c r="P460" s="701"/>
      <c r="Y460" s="702"/>
    </row>
    <row r="461" spans="5:25">
      <c r="E461" s="701"/>
      <c r="F461" s="701"/>
      <c r="G461" s="701"/>
      <c r="H461" s="701"/>
      <c r="I461" s="701"/>
      <c r="J461" s="701"/>
      <c r="K461" s="701"/>
      <c r="L461" s="701"/>
      <c r="M461" s="701"/>
      <c r="N461" s="701"/>
      <c r="O461" s="701"/>
      <c r="P461" s="701"/>
      <c r="Y461" s="702"/>
    </row>
    <row r="462" spans="5:25">
      <c r="E462" s="701"/>
      <c r="F462" s="701"/>
      <c r="G462" s="701"/>
      <c r="H462" s="701"/>
      <c r="I462" s="701"/>
      <c r="J462" s="701"/>
      <c r="K462" s="701"/>
      <c r="L462" s="701"/>
      <c r="M462" s="701"/>
      <c r="N462" s="701"/>
      <c r="O462" s="701"/>
      <c r="P462" s="701"/>
      <c r="Y462" s="702"/>
    </row>
    <row r="463" spans="5:25">
      <c r="E463" s="701"/>
      <c r="F463" s="701"/>
      <c r="G463" s="701"/>
      <c r="H463" s="701"/>
      <c r="I463" s="701"/>
      <c r="J463" s="701"/>
      <c r="K463" s="701"/>
      <c r="L463" s="701"/>
      <c r="M463" s="701"/>
      <c r="N463" s="701"/>
      <c r="O463" s="701"/>
      <c r="P463" s="701"/>
      <c r="Y463" s="702"/>
    </row>
    <row r="464" spans="5:25">
      <c r="E464" s="701"/>
      <c r="F464" s="701"/>
      <c r="G464" s="701"/>
      <c r="H464" s="701"/>
      <c r="I464" s="701"/>
      <c r="J464" s="701"/>
      <c r="K464" s="701"/>
      <c r="L464" s="701"/>
      <c r="M464" s="701"/>
      <c r="N464" s="701"/>
      <c r="O464" s="701"/>
      <c r="P464" s="701"/>
      <c r="Y464" s="702"/>
    </row>
    <row r="465" spans="5:25">
      <c r="E465" s="701"/>
      <c r="F465" s="701"/>
      <c r="G465" s="701"/>
      <c r="H465" s="701"/>
      <c r="I465" s="701"/>
      <c r="J465" s="701"/>
      <c r="K465" s="701"/>
      <c r="L465" s="701"/>
      <c r="M465" s="701"/>
      <c r="N465" s="701"/>
      <c r="O465" s="701"/>
      <c r="P465" s="701"/>
      <c r="Y465" s="702"/>
    </row>
    <row r="466" spans="5:25">
      <c r="E466" s="701"/>
      <c r="F466" s="701"/>
      <c r="G466" s="701"/>
      <c r="H466" s="701"/>
      <c r="I466" s="701"/>
      <c r="J466" s="701"/>
      <c r="K466" s="701"/>
      <c r="L466" s="701"/>
      <c r="M466" s="701"/>
      <c r="N466" s="701"/>
      <c r="O466" s="701"/>
      <c r="P466" s="701"/>
      <c r="Y466" s="702"/>
    </row>
    <row r="467" spans="5:25">
      <c r="E467" s="701"/>
      <c r="F467" s="701"/>
      <c r="G467" s="701"/>
      <c r="H467" s="701"/>
      <c r="I467" s="701"/>
      <c r="J467" s="701"/>
      <c r="K467" s="701"/>
      <c r="L467" s="701"/>
      <c r="M467" s="701"/>
      <c r="N467" s="701"/>
      <c r="O467" s="701"/>
      <c r="P467" s="701"/>
      <c r="Y467" s="702"/>
    </row>
    <row r="468" spans="5:25">
      <c r="E468" s="701"/>
      <c r="F468" s="701"/>
      <c r="G468" s="701"/>
      <c r="H468" s="701"/>
      <c r="I468" s="701"/>
      <c r="J468" s="701"/>
      <c r="K468" s="701"/>
      <c r="L468" s="701"/>
      <c r="M468" s="701"/>
      <c r="N468" s="701"/>
      <c r="O468" s="701"/>
      <c r="P468" s="701"/>
      <c r="Y468" s="702"/>
    </row>
    <row r="469" spans="5:25">
      <c r="E469" s="701"/>
      <c r="F469" s="701"/>
      <c r="G469" s="701"/>
      <c r="H469" s="701"/>
      <c r="I469" s="701"/>
      <c r="J469" s="701"/>
      <c r="K469" s="701"/>
      <c r="L469" s="701"/>
      <c r="M469" s="701"/>
      <c r="N469" s="701"/>
      <c r="O469" s="701"/>
      <c r="P469" s="701"/>
      <c r="Y469" s="702"/>
    </row>
    <row r="470" spans="5:25">
      <c r="E470" s="701"/>
      <c r="F470" s="701"/>
      <c r="G470" s="701"/>
      <c r="H470" s="701"/>
      <c r="I470" s="701"/>
      <c r="J470" s="701"/>
      <c r="K470" s="701"/>
      <c r="L470" s="701"/>
      <c r="M470" s="701"/>
      <c r="N470" s="701"/>
      <c r="O470" s="701"/>
      <c r="P470" s="701"/>
      <c r="Y470" s="702"/>
    </row>
    <row r="471" spans="5:25"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Y471" s="702"/>
    </row>
    <row r="472" spans="5:25">
      <c r="E472" s="701"/>
      <c r="F472" s="701"/>
      <c r="G472" s="701"/>
      <c r="H472" s="701"/>
      <c r="I472" s="701"/>
      <c r="J472" s="701"/>
      <c r="K472" s="701"/>
      <c r="L472" s="701"/>
      <c r="M472" s="701"/>
      <c r="N472" s="701"/>
      <c r="O472" s="701"/>
      <c r="P472" s="701"/>
      <c r="Y472" s="702"/>
    </row>
    <row r="473" spans="5:25">
      <c r="E473" s="701"/>
      <c r="F473" s="701"/>
      <c r="G473" s="701"/>
      <c r="H473" s="701"/>
      <c r="I473" s="701"/>
      <c r="J473" s="701"/>
      <c r="K473" s="701"/>
      <c r="L473" s="701"/>
      <c r="M473" s="701"/>
      <c r="N473" s="701"/>
      <c r="O473" s="701"/>
      <c r="P473" s="701"/>
      <c r="Y473" s="702"/>
    </row>
    <row r="474" spans="5:25">
      <c r="E474" s="701"/>
      <c r="F474" s="701"/>
      <c r="G474" s="701"/>
      <c r="H474" s="701"/>
      <c r="I474" s="701"/>
      <c r="J474" s="701"/>
      <c r="K474" s="701"/>
      <c r="L474" s="701"/>
      <c r="M474" s="701"/>
      <c r="N474" s="701"/>
      <c r="O474" s="701"/>
      <c r="P474" s="701"/>
      <c r="Y474" s="702"/>
    </row>
    <row r="475" spans="5:25">
      <c r="E475" s="701"/>
      <c r="F475" s="701"/>
      <c r="G475" s="701"/>
      <c r="H475" s="701"/>
      <c r="I475" s="701"/>
      <c r="J475" s="701"/>
      <c r="K475" s="701"/>
      <c r="L475" s="701"/>
      <c r="M475" s="701"/>
      <c r="N475" s="701"/>
      <c r="O475" s="701"/>
      <c r="P475" s="701"/>
      <c r="Y475" s="702"/>
    </row>
    <row r="476" spans="5:25">
      <c r="E476" s="701"/>
      <c r="F476" s="701"/>
      <c r="G476" s="701"/>
      <c r="H476" s="701"/>
      <c r="I476" s="701"/>
      <c r="J476" s="701"/>
      <c r="K476" s="701"/>
      <c r="L476" s="701"/>
      <c r="M476" s="701"/>
      <c r="N476" s="701"/>
      <c r="O476" s="701"/>
      <c r="P476" s="701"/>
      <c r="Y476" s="702"/>
    </row>
    <row r="477" spans="5:25">
      <c r="E477" s="701"/>
      <c r="F477" s="701"/>
      <c r="G477" s="701"/>
      <c r="H477" s="701"/>
      <c r="I477" s="701"/>
      <c r="J477" s="701"/>
      <c r="K477" s="701"/>
      <c r="L477" s="701"/>
      <c r="M477" s="701"/>
      <c r="N477" s="701"/>
      <c r="O477" s="701"/>
      <c r="P477" s="701"/>
      <c r="Y477" s="702"/>
    </row>
    <row r="478" spans="5:25">
      <c r="E478" s="701"/>
      <c r="F478" s="701"/>
      <c r="G478" s="701"/>
      <c r="H478" s="701"/>
      <c r="I478" s="701"/>
      <c r="J478" s="701"/>
      <c r="K478" s="701"/>
      <c r="L478" s="701"/>
      <c r="M478" s="701"/>
      <c r="N478" s="701"/>
      <c r="O478" s="701"/>
      <c r="P478" s="701"/>
      <c r="Y478" s="702"/>
    </row>
    <row r="479" spans="5:25">
      <c r="E479" s="701"/>
      <c r="F479" s="701"/>
      <c r="G479" s="701"/>
      <c r="H479" s="701"/>
      <c r="I479" s="701"/>
      <c r="J479" s="701"/>
      <c r="K479" s="701"/>
      <c r="L479" s="701"/>
      <c r="M479" s="701"/>
      <c r="N479" s="701"/>
      <c r="O479" s="701"/>
      <c r="P479" s="701"/>
      <c r="Y479" s="702"/>
    </row>
    <row r="480" spans="5:25">
      <c r="E480" s="701"/>
      <c r="F480" s="701"/>
      <c r="G480" s="701"/>
      <c r="H480" s="701"/>
      <c r="I480" s="701"/>
      <c r="J480" s="701"/>
      <c r="K480" s="701"/>
      <c r="L480" s="701"/>
      <c r="M480" s="701"/>
      <c r="N480" s="701"/>
      <c r="O480" s="701"/>
      <c r="P480" s="701"/>
      <c r="Y480" s="702"/>
    </row>
    <row r="481" spans="5:25">
      <c r="E481" s="701"/>
      <c r="F481" s="701"/>
      <c r="G481" s="701"/>
      <c r="H481" s="701"/>
      <c r="I481" s="701"/>
      <c r="J481" s="701"/>
      <c r="K481" s="701"/>
      <c r="L481" s="701"/>
      <c r="M481" s="701"/>
      <c r="N481" s="701"/>
      <c r="O481" s="701"/>
      <c r="P481" s="701"/>
      <c r="Y481" s="702"/>
    </row>
    <row r="482" spans="5:25">
      <c r="E482" s="701"/>
      <c r="F482" s="701"/>
      <c r="G482" s="701"/>
      <c r="H482" s="701"/>
      <c r="I482" s="701"/>
      <c r="J482" s="701"/>
      <c r="K482" s="701"/>
      <c r="L482" s="701"/>
      <c r="M482" s="701"/>
      <c r="N482" s="701"/>
      <c r="O482" s="701"/>
      <c r="P482" s="701"/>
      <c r="Y482" s="702"/>
    </row>
    <row r="483" spans="5:25">
      <c r="E483" s="701"/>
      <c r="F483" s="701"/>
      <c r="G483" s="701"/>
      <c r="H483" s="701"/>
      <c r="I483" s="701"/>
      <c r="J483" s="701"/>
      <c r="K483" s="701"/>
      <c r="L483" s="701"/>
      <c r="M483" s="701"/>
      <c r="N483" s="701"/>
      <c r="O483" s="701"/>
      <c r="P483" s="701"/>
      <c r="Y483" s="702"/>
    </row>
    <row r="484" spans="5:25">
      <c r="E484" s="701"/>
      <c r="F484" s="701"/>
      <c r="G484" s="701"/>
      <c r="H484" s="701"/>
      <c r="I484" s="701"/>
      <c r="J484" s="701"/>
      <c r="K484" s="701"/>
      <c r="L484" s="701"/>
      <c r="M484" s="701"/>
      <c r="N484" s="701"/>
      <c r="O484" s="701"/>
      <c r="P484" s="701"/>
      <c r="Y484" s="702"/>
    </row>
    <row r="485" spans="5:25">
      <c r="E485" s="701"/>
      <c r="F485" s="701"/>
      <c r="G485" s="701"/>
      <c r="H485" s="701"/>
      <c r="I485" s="701"/>
      <c r="J485" s="701"/>
      <c r="K485" s="701"/>
      <c r="L485" s="701"/>
      <c r="M485" s="701"/>
      <c r="N485" s="701"/>
      <c r="O485" s="701"/>
      <c r="P485" s="701"/>
      <c r="Y485" s="702"/>
    </row>
    <row r="486" spans="5:25">
      <c r="E486" s="701"/>
      <c r="F486" s="701"/>
      <c r="G486" s="701"/>
      <c r="H486" s="701"/>
      <c r="I486" s="701"/>
      <c r="J486" s="701"/>
      <c r="K486" s="701"/>
      <c r="L486" s="701"/>
      <c r="M486" s="701"/>
      <c r="N486" s="701"/>
      <c r="O486" s="701"/>
      <c r="P486" s="701"/>
      <c r="Y486" s="702"/>
    </row>
    <row r="487" spans="5:25">
      <c r="E487" s="701"/>
      <c r="F487" s="701"/>
      <c r="G487" s="701"/>
      <c r="H487" s="701"/>
      <c r="I487" s="701"/>
      <c r="J487" s="701"/>
      <c r="K487" s="701"/>
      <c r="L487" s="701"/>
      <c r="M487" s="701"/>
      <c r="N487" s="701"/>
      <c r="O487" s="701"/>
      <c r="P487" s="701"/>
      <c r="Y487" s="702"/>
    </row>
    <row r="488" spans="5:25">
      <c r="E488" s="701"/>
      <c r="F488" s="701"/>
      <c r="G488" s="701"/>
      <c r="H488" s="701"/>
      <c r="I488" s="701"/>
      <c r="J488" s="701"/>
      <c r="K488" s="701"/>
      <c r="L488" s="701"/>
      <c r="M488" s="701"/>
      <c r="N488" s="701"/>
      <c r="O488" s="701"/>
      <c r="P488" s="701"/>
      <c r="Y488" s="702"/>
    </row>
    <row r="489" spans="5:25">
      <c r="E489" s="701"/>
      <c r="F489" s="701"/>
      <c r="G489" s="701"/>
      <c r="H489" s="701"/>
      <c r="I489" s="701"/>
      <c r="J489" s="701"/>
      <c r="K489" s="701"/>
      <c r="L489" s="701"/>
      <c r="M489" s="701"/>
      <c r="N489" s="701"/>
      <c r="O489" s="701"/>
      <c r="P489" s="701"/>
      <c r="Y489" s="702"/>
    </row>
    <row r="490" spans="5:25">
      <c r="E490" s="701"/>
      <c r="F490" s="701"/>
      <c r="G490" s="701"/>
      <c r="H490" s="701"/>
      <c r="I490" s="701"/>
      <c r="J490" s="701"/>
      <c r="K490" s="701"/>
      <c r="L490" s="701"/>
      <c r="M490" s="701"/>
      <c r="N490" s="701"/>
      <c r="O490" s="701"/>
      <c r="P490" s="701"/>
      <c r="Y490" s="702"/>
    </row>
    <row r="491" spans="5:25">
      <c r="E491" s="701"/>
      <c r="F491" s="701"/>
      <c r="G491" s="701"/>
      <c r="H491" s="701"/>
      <c r="I491" s="701"/>
      <c r="J491" s="701"/>
      <c r="K491" s="701"/>
      <c r="L491" s="701"/>
      <c r="M491" s="701"/>
      <c r="N491" s="701"/>
      <c r="O491" s="701"/>
      <c r="P491" s="701"/>
      <c r="Y491" s="702"/>
    </row>
    <row r="492" spans="5:25">
      <c r="E492" s="701"/>
      <c r="F492" s="701"/>
      <c r="G492" s="701"/>
      <c r="H492" s="701"/>
      <c r="I492" s="701"/>
      <c r="J492" s="701"/>
      <c r="K492" s="701"/>
      <c r="L492" s="701"/>
      <c r="M492" s="701"/>
      <c r="N492" s="701"/>
      <c r="O492" s="701"/>
      <c r="P492" s="701"/>
      <c r="Y492" s="702"/>
    </row>
    <row r="493" spans="5:25">
      <c r="E493" s="701"/>
      <c r="F493" s="701"/>
      <c r="G493" s="701"/>
      <c r="H493" s="701"/>
      <c r="I493" s="701"/>
      <c r="J493" s="701"/>
      <c r="K493" s="701"/>
      <c r="L493" s="701"/>
      <c r="M493" s="701"/>
      <c r="N493" s="701"/>
      <c r="O493" s="701"/>
      <c r="P493" s="701"/>
      <c r="Y493" s="702"/>
    </row>
    <row r="494" spans="5:25">
      <c r="E494" s="701"/>
      <c r="F494" s="701"/>
      <c r="G494" s="701"/>
      <c r="H494" s="701"/>
      <c r="I494" s="701"/>
      <c r="J494" s="701"/>
      <c r="K494" s="701"/>
      <c r="L494" s="701"/>
      <c r="M494" s="701"/>
      <c r="N494" s="701"/>
      <c r="O494" s="701"/>
      <c r="P494" s="701"/>
      <c r="Y494" s="702"/>
    </row>
    <row r="495" spans="5:25">
      <c r="E495" s="701"/>
      <c r="F495" s="701"/>
      <c r="G495" s="701"/>
      <c r="H495" s="701"/>
      <c r="I495" s="701"/>
      <c r="J495" s="701"/>
      <c r="K495" s="701"/>
      <c r="L495" s="701"/>
      <c r="M495" s="701"/>
      <c r="N495" s="701"/>
      <c r="O495" s="701"/>
      <c r="P495" s="701"/>
      <c r="Y495" s="702"/>
    </row>
    <row r="496" spans="5:25">
      <c r="E496" s="701"/>
      <c r="F496" s="701"/>
      <c r="G496" s="701"/>
      <c r="H496" s="701"/>
      <c r="I496" s="701"/>
      <c r="J496" s="701"/>
      <c r="K496" s="701"/>
      <c r="L496" s="701"/>
      <c r="M496" s="701"/>
      <c r="N496" s="701"/>
      <c r="O496" s="701"/>
      <c r="P496" s="701"/>
      <c r="Y496" s="702"/>
    </row>
    <row r="497" spans="5:25">
      <c r="E497" s="701"/>
      <c r="F497" s="701"/>
      <c r="G497" s="701"/>
      <c r="H497" s="701"/>
      <c r="I497" s="701"/>
      <c r="J497" s="701"/>
      <c r="K497" s="701"/>
      <c r="L497" s="701"/>
      <c r="M497" s="701"/>
      <c r="N497" s="701"/>
      <c r="O497" s="701"/>
      <c r="P497" s="701"/>
      <c r="Y497" s="702"/>
    </row>
    <row r="498" spans="5:25">
      <c r="E498" s="701"/>
      <c r="F498" s="701"/>
      <c r="G498" s="701"/>
      <c r="H498" s="701"/>
      <c r="I498" s="701"/>
      <c r="J498" s="701"/>
      <c r="K498" s="701"/>
      <c r="L498" s="701"/>
      <c r="M498" s="701"/>
      <c r="N498" s="701"/>
      <c r="O498" s="701"/>
      <c r="P498" s="701"/>
      <c r="Y498" s="702"/>
    </row>
    <row r="499" spans="5:25">
      <c r="E499" s="701"/>
      <c r="F499" s="701"/>
      <c r="G499" s="701"/>
      <c r="H499" s="701"/>
      <c r="I499" s="701"/>
      <c r="J499" s="701"/>
      <c r="K499" s="701"/>
      <c r="L499" s="701"/>
      <c r="M499" s="701"/>
      <c r="N499" s="701"/>
      <c r="O499" s="701"/>
      <c r="P499" s="701"/>
      <c r="Y499" s="702"/>
    </row>
    <row r="500" spans="5:25">
      <c r="E500" s="701"/>
      <c r="F500" s="701"/>
      <c r="G500" s="701"/>
      <c r="H500" s="701"/>
      <c r="I500" s="701"/>
      <c r="J500" s="701"/>
      <c r="K500" s="701"/>
      <c r="L500" s="701"/>
      <c r="M500" s="701"/>
      <c r="N500" s="701"/>
      <c r="O500" s="701"/>
      <c r="P500" s="701"/>
      <c r="Y500" s="702"/>
    </row>
    <row r="501" spans="5:25">
      <c r="E501" s="701"/>
      <c r="F501" s="701"/>
      <c r="G501" s="701"/>
      <c r="H501" s="701"/>
      <c r="I501" s="701"/>
      <c r="J501" s="701"/>
      <c r="K501" s="701"/>
      <c r="L501" s="701"/>
      <c r="M501" s="701"/>
      <c r="N501" s="701"/>
      <c r="O501" s="701"/>
      <c r="P501" s="701"/>
      <c r="Y501" s="702"/>
    </row>
    <row r="502" spans="5:25">
      <c r="E502" s="701"/>
      <c r="F502" s="701"/>
      <c r="G502" s="701"/>
      <c r="H502" s="701"/>
      <c r="I502" s="701"/>
      <c r="J502" s="701"/>
      <c r="K502" s="701"/>
      <c r="L502" s="701"/>
      <c r="M502" s="701"/>
      <c r="N502" s="701"/>
      <c r="O502" s="701"/>
      <c r="P502" s="701"/>
      <c r="Y502" s="702"/>
    </row>
    <row r="503" spans="5:25">
      <c r="E503" s="701"/>
      <c r="F503" s="701"/>
      <c r="G503" s="701"/>
      <c r="H503" s="701"/>
      <c r="I503" s="701"/>
      <c r="J503" s="701"/>
      <c r="K503" s="701"/>
      <c r="L503" s="701"/>
      <c r="M503" s="701"/>
      <c r="N503" s="701"/>
      <c r="O503" s="701"/>
      <c r="P503" s="701"/>
      <c r="Y503" s="702"/>
    </row>
    <row r="504" spans="5:25">
      <c r="E504" s="701"/>
      <c r="F504" s="701"/>
      <c r="G504" s="701"/>
      <c r="H504" s="701"/>
      <c r="I504" s="701"/>
      <c r="J504" s="701"/>
      <c r="K504" s="701"/>
      <c r="L504" s="701"/>
      <c r="M504" s="701"/>
      <c r="N504" s="701"/>
      <c r="O504" s="701"/>
      <c r="P504" s="701"/>
      <c r="Y504" s="702"/>
    </row>
    <row r="505" spans="5:25">
      <c r="E505" s="701"/>
      <c r="F505" s="701"/>
      <c r="G505" s="701"/>
      <c r="H505" s="701"/>
      <c r="I505" s="701"/>
      <c r="J505" s="701"/>
      <c r="K505" s="701"/>
      <c r="L505" s="701"/>
      <c r="M505" s="701"/>
      <c r="N505" s="701"/>
      <c r="O505" s="701"/>
      <c r="P505" s="701"/>
      <c r="Y505" s="702"/>
    </row>
    <row r="506" spans="5:25">
      <c r="E506" s="701"/>
      <c r="F506" s="701"/>
      <c r="G506" s="701"/>
      <c r="H506" s="701"/>
      <c r="I506" s="701"/>
      <c r="J506" s="701"/>
      <c r="K506" s="701"/>
      <c r="L506" s="701"/>
      <c r="M506" s="701"/>
      <c r="N506" s="701"/>
      <c r="O506" s="701"/>
      <c r="P506" s="701"/>
      <c r="Y506" s="702"/>
    </row>
    <row r="507" spans="5:25">
      <c r="E507" s="701"/>
      <c r="F507" s="701"/>
      <c r="G507" s="701"/>
      <c r="H507" s="701"/>
      <c r="I507" s="701"/>
      <c r="J507" s="701"/>
      <c r="K507" s="701"/>
      <c r="L507" s="701"/>
      <c r="M507" s="701"/>
      <c r="N507" s="701"/>
      <c r="O507" s="701"/>
      <c r="P507" s="701"/>
      <c r="Y507" s="702"/>
    </row>
    <row r="508" spans="5:25">
      <c r="E508" s="701"/>
      <c r="F508" s="701"/>
      <c r="G508" s="701"/>
      <c r="H508" s="701"/>
      <c r="I508" s="701"/>
      <c r="J508" s="701"/>
      <c r="K508" s="701"/>
      <c r="L508" s="701"/>
      <c r="M508" s="701"/>
      <c r="N508" s="701"/>
      <c r="O508" s="701"/>
      <c r="P508" s="701"/>
      <c r="Y508" s="702"/>
    </row>
    <row r="509" spans="5:25">
      <c r="E509" s="701"/>
      <c r="F509" s="701"/>
      <c r="G509" s="701"/>
      <c r="H509" s="701"/>
      <c r="I509" s="701"/>
      <c r="J509" s="701"/>
      <c r="K509" s="701"/>
      <c r="L509" s="701"/>
      <c r="M509" s="701"/>
      <c r="N509" s="701"/>
      <c r="O509" s="701"/>
      <c r="P509" s="701"/>
      <c r="Y509" s="702"/>
    </row>
    <row r="510" spans="5:25">
      <c r="E510" s="701"/>
      <c r="F510" s="701"/>
      <c r="G510" s="701"/>
      <c r="H510" s="701"/>
      <c r="I510" s="701"/>
      <c r="J510" s="701"/>
      <c r="K510" s="701"/>
      <c r="L510" s="701"/>
      <c r="M510" s="701"/>
      <c r="N510" s="701"/>
      <c r="O510" s="701"/>
      <c r="P510" s="701"/>
      <c r="Y510" s="702"/>
    </row>
    <row r="511" spans="5:25">
      <c r="E511" s="701"/>
      <c r="F511" s="701"/>
      <c r="G511" s="701"/>
      <c r="H511" s="701"/>
      <c r="I511" s="701"/>
      <c r="J511" s="701"/>
      <c r="K511" s="701"/>
      <c r="L511" s="701"/>
      <c r="M511" s="701"/>
      <c r="N511" s="701"/>
      <c r="O511" s="701"/>
      <c r="P511" s="701"/>
      <c r="Y511" s="702"/>
    </row>
    <row r="512" spans="5:25">
      <c r="E512" s="701"/>
      <c r="F512" s="701"/>
      <c r="G512" s="701"/>
      <c r="H512" s="701"/>
      <c r="I512" s="701"/>
      <c r="J512" s="701"/>
      <c r="K512" s="701"/>
      <c r="L512" s="701"/>
      <c r="M512" s="701"/>
      <c r="N512" s="701"/>
      <c r="O512" s="701"/>
      <c r="P512" s="701"/>
      <c r="Y512" s="702"/>
    </row>
    <row r="513" spans="5:25">
      <c r="E513" s="701"/>
      <c r="F513" s="701"/>
      <c r="G513" s="701"/>
      <c r="H513" s="701"/>
      <c r="I513" s="701"/>
      <c r="J513" s="701"/>
      <c r="K513" s="701"/>
      <c r="L513" s="701"/>
      <c r="M513" s="701"/>
      <c r="N513" s="701"/>
      <c r="O513" s="701"/>
      <c r="P513" s="701"/>
      <c r="Y513" s="702"/>
    </row>
    <row r="514" spans="5:25">
      <c r="E514" s="701"/>
      <c r="F514" s="701"/>
      <c r="G514" s="701"/>
      <c r="H514" s="701"/>
      <c r="I514" s="701"/>
      <c r="J514" s="701"/>
      <c r="K514" s="701"/>
      <c r="L514" s="701"/>
      <c r="M514" s="701"/>
      <c r="N514" s="701"/>
      <c r="O514" s="701"/>
      <c r="P514" s="701"/>
      <c r="Y514" s="702"/>
    </row>
    <row r="515" spans="5:25">
      <c r="E515" s="701"/>
      <c r="F515" s="701"/>
      <c r="G515" s="701"/>
      <c r="H515" s="701"/>
      <c r="I515" s="701"/>
      <c r="J515" s="701"/>
      <c r="K515" s="701"/>
      <c r="L515" s="701"/>
      <c r="M515" s="701"/>
      <c r="N515" s="701"/>
      <c r="O515" s="701"/>
      <c r="P515" s="701"/>
      <c r="Y515" s="702"/>
    </row>
    <row r="516" spans="5:25">
      <c r="E516" s="701"/>
      <c r="F516" s="701"/>
      <c r="G516" s="701"/>
      <c r="H516" s="701"/>
      <c r="I516" s="701"/>
      <c r="J516" s="701"/>
      <c r="K516" s="701"/>
      <c r="L516" s="701"/>
      <c r="M516" s="701"/>
      <c r="N516" s="701"/>
      <c r="O516" s="701"/>
      <c r="P516" s="701"/>
      <c r="Y516" s="702"/>
    </row>
    <row r="517" spans="5:25">
      <c r="E517" s="701"/>
      <c r="F517" s="701"/>
      <c r="G517" s="701"/>
      <c r="H517" s="701"/>
      <c r="I517" s="701"/>
      <c r="J517" s="701"/>
      <c r="K517" s="701"/>
      <c r="L517" s="701"/>
      <c r="M517" s="701"/>
      <c r="N517" s="701"/>
      <c r="O517" s="701"/>
      <c r="P517" s="701"/>
      <c r="Y517" s="702"/>
    </row>
    <row r="518" spans="5:25">
      <c r="E518" s="701"/>
      <c r="F518" s="701"/>
      <c r="G518" s="701"/>
      <c r="H518" s="701"/>
      <c r="I518" s="701"/>
      <c r="J518" s="701"/>
      <c r="K518" s="701"/>
      <c r="L518" s="701"/>
      <c r="M518" s="701"/>
      <c r="N518" s="701"/>
      <c r="O518" s="701"/>
      <c r="P518" s="701"/>
      <c r="Y518" s="702"/>
    </row>
    <row r="519" spans="5:25">
      <c r="E519" s="701"/>
      <c r="F519" s="701"/>
      <c r="G519" s="701"/>
      <c r="H519" s="701"/>
      <c r="I519" s="701"/>
      <c r="J519" s="701"/>
      <c r="K519" s="701"/>
      <c r="L519" s="701"/>
      <c r="M519" s="701"/>
      <c r="N519" s="701"/>
      <c r="O519" s="701"/>
      <c r="P519" s="701"/>
      <c r="Y519" s="702"/>
    </row>
    <row r="520" spans="5:25">
      <c r="E520" s="701"/>
      <c r="F520" s="701"/>
      <c r="G520" s="701"/>
      <c r="H520" s="701"/>
      <c r="I520" s="701"/>
      <c r="J520" s="701"/>
      <c r="K520" s="701"/>
      <c r="L520" s="701"/>
      <c r="M520" s="701"/>
      <c r="N520" s="701"/>
      <c r="O520" s="701"/>
      <c r="P520" s="701"/>
      <c r="Y520" s="702"/>
    </row>
    <row r="521" spans="5:25">
      <c r="E521" s="701"/>
      <c r="F521" s="701"/>
      <c r="G521" s="701"/>
      <c r="H521" s="701"/>
      <c r="I521" s="701"/>
      <c r="J521" s="701"/>
      <c r="K521" s="701"/>
      <c r="L521" s="701"/>
      <c r="M521" s="701"/>
      <c r="N521" s="701"/>
      <c r="O521" s="701"/>
      <c r="P521" s="701"/>
      <c r="Y521" s="702"/>
    </row>
    <row r="522" spans="5:25">
      <c r="E522" s="701"/>
      <c r="F522" s="701"/>
      <c r="G522" s="701"/>
      <c r="H522" s="701"/>
      <c r="I522" s="701"/>
      <c r="J522" s="701"/>
      <c r="K522" s="701"/>
      <c r="L522" s="701"/>
      <c r="M522" s="701"/>
      <c r="N522" s="701"/>
      <c r="O522" s="701"/>
      <c r="P522" s="701"/>
      <c r="Y522" s="702"/>
    </row>
    <row r="523" spans="5:25">
      <c r="E523" s="701"/>
      <c r="F523" s="701"/>
      <c r="G523" s="701"/>
      <c r="H523" s="701"/>
      <c r="I523" s="701"/>
      <c r="J523" s="701"/>
      <c r="K523" s="701"/>
      <c r="L523" s="701"/>
      <c r="M523" s="701"/>
      <c r="N523" s="701"/>
      <c r="O523" s="701"/>
      <c r="P523" s="701"/>
      <c r="Y523" s="702"/>
    </row>
    <row r="524" spans="5:25">
      <c r="E524" s="701"/>
      <c r="F524" s="701"/>
      <c r="G524" s="701"/>
      <c r="H524" s="701"/>
      <c r="I524" s="701"/>
      <c r="J524" s="701"/>
      <c r="K524" s="701"/>
      <c r="L524" s="701"/>
      <c r="M524" s="701"/>
      <c r="N524" s="701"/>
      <c r="O524" s="701"/>
      <c r="P524" s="701"/>
      <c r="Y524" s="702"/>
    </row>
    <row r="525" spans="5:25">
      <c r="E525" s="701"/>
      <c r="F525" s="701"/>
      <c r="G525" s="701"/>
      <c r="H525" s="701"/>
      <c r="I525" s="701"/>
      <c r="J525" s="701"/>
      <c r="K525" s="701"/>
      <c r="L525" s="701"/>
      <c r="M525" s="701"/>
      <c r="N525" s="701"/>
      <c r="O525" s="701"/>
      <c r="P525" s="701"/>
      <c r="Y525" s="702"/>
    </row>
    <row r="526" spans="5:25">
      <c r="E526" s="701"/>
      <c r="F526" s="701"/>
      <c r="G526" s="701"/>
      <c r="H526" s="701"/>
      <c r="I526" s="701"/>
      <c r="J526" s="701"/>
      <c r="K526" s="701"/>
      <c r="L526" s="701"/>
      <c r="M526" s="701"/>
      <c r="N526" s="701"/>
      <c r="O526" s="701"/>
      <c r="P526" s="701"/>
      <c r="Y526" s="702"/>
    </row>
    <row r="527" spans="5:25">
      <c r="E527" s="701"/>
      <c r="F527" s="701"/>
      <c r="G527" s="701"/>
      <c r="H527" s="701"/>
      <c r="I527" s="701"/>
      <c r="J527" s="701"/>
      <c r="K527" s="701"/>
      <c r="L527" s="701"/>
      <c r="M527" s="701"/>
      <c r="N527" s="701"/>
      <c r="O527" s="701"/>
      <c r="P527" s="701"/>
      <c r="Y527" s="702"/>
    </row>
    <row r="528" spans="5:25">
      <c r="E528" s="701"/>
      <c r="F528" s="701"/>
      <c r="G528" s="701"/>
      <c r="H528" s="701"/>
      <c r="I528" s="701"/>
      <c r="J528" s="701"/>
      <c r="K528" s="701"/>
      <c r="L528" s="701"/>
      <c r="M528" s="701"/>
      <c r="N528" s="701"/>
      <c r="O528" s="701"/>
      <c r="P528" s="701"/>
      <c r="Y528" s="702"/>
    </row>
    <row r="529" spans="5:25">
      <c r="E529" s="701"/>
      <c r="F529" s="701"/>
      <c r="G529" s="701"/>
      <c r="H529" s="701"/>
      <c r="I529" s="701"/>
      <c r="J529" s="701"/>
      <c r="K529" s="701"/>
      <c r="L529" s="701"/>
      <c r="M529" s="701"/>
      <c r="N529" s="701"/>
      <c r="O529" s="701"/>
      <c r="P529" s="701"/>
      <c r="Y529" s="702"/>
    </row>
    <row r="530" spans="5:25">
      <c r="E530" s="701"/>
      <c r="F530" s="701"/>
      <c r="G530" s="701"/>
      <c r="H530" s="701"/>
      <c r="I530" s="701"/>
      <c r="J530" s="701"/>
      <c r="K530" s="701"/>
      <c r="L530" s="701"/>
      <c r="M530" s="701"/>
      <c r="N530" s="701"/>
      <c r="O530" s="701"/>
      <c r="P530" s="701"/>
      <c r="Y530" s="702"/>
    </row>
    <row r="531" spans="5:25">
      <c r="E531" s="701"/>
      <c r="F531" s="701"/>
      <c r="G531" s="701"/>
      <c r="H531" s="701"/>
      <c r="I531" s="701"/>
      <c r="J531" s="701"/>
      <c r="K531" s="701"/>
      <c r="L531" s="701"/>
      <c r="M531" s="701"/>
      <c r="N531" s="701"/>
      <c r="O531" s="701"/>
      <c r="P531" s="701"/>
      <c r="Y531" s="702"/>
    </row>
    <row r="532" spans="5:25">
      <c r="E532" s="701"/>
      <c r="F532" s="701"/>
      <c r="G532" s="701"/>
      <c r="H532" s="701"/>
      <c r="I532" s="701"/>
      <c r="J532" s="701"/>
      <c r="K532" s="701"/>
      <c r="L532" s="701"/>
      <c r="M532" s="701"/>
      <c r="N532" s="701"/>
      <c r="O532" s="701"/>
      <c r="P532" s="701"/>
      <c r="Y532" s="702"/>
    </row>
    <row r="533" spans="5:25">
      <c r="E533" s="701"/>
      <c r="F533" s="701"/>
      <c r="G533" s="701"/>
      <c r="H533" s="701"/>
      <c r="I533" s="701"/>
      <c r="J533" s="701"/>
      <c r="K533" s="701"/>
      <c r="L533" s="701"/>
      <c r="M533" s="701"/>
      <c r="N533" s="701"/>
      <c r="O533" s="701"/>
      <c r="P533" s="701"/>
      <c r="Y533" s="702"/>
    </row>
    <row r="534" spans="5:25">
      <c r="E534" s="701"/>
      <c r="F534" s="701"/>
      <c r="G534" s="701"/>
      <c r="H534" s="701"/>
      <c r="I534" s="701"/>
      <c r="J534" s="701"/>
      <c r="K534" s="701"/>
      <c r="L534" s="701"/>
      <c r="M534" s="701"/>
      <c r="N534" s="701"/>
      <c r="O534" s="701"/>
      <c r="P534" s="701"/>
      <c r="Y534" s="702"/>
    </row>
    <row r="535" spans="5:25">
      <c r="E535" s="701"/>
      <c r="F535" s="701"/>
      <c r="G535" s="701"/>
      <c r="H535" s="701"/>
      <c r="I535" s="701"/>
      <c r="J535" s="701"/>
      <c r="K535" s="701"/>
      <c r="L535" s="701"/>
      <c r="M535" s="701"/>
      <c r="N535" s="701"/>
      <c r="O535" s="701"/>
      <c r="P535" s="701"/>
      <c r="Y535" s="702"/>
    </row>
    <row r="536" spans="5:25">
      <c r="E536" s="701"/>
      <c r="F536" s="701"/>
      <c r="G536" s="701"/>
      <c r="H536" s="701"/>
      <c r="I536" s="701"/>
      <c r="J536" s="701"/>
      <c r="K536" s="701"/>
      <c r="L536" s="701"/>
      <c r="M536" s="701"/>
      <c r="N536" s="701"/>
      <c r="O536" s="701"/>
      <c r="P536" s="701"/>
      <c r="Y536" s="702"/>
    </row>
    <row r="537" spans="5:25">
      <c r="E537" s="701"/>
      <c r="F537" s="701"/>
      <c r="G537" s="701"/>
      <c r="H537" s="701"/>
      <c r="I537" s="701"/>
      <c r="J537" s="701"/>
      <c r="K537" s="701"/>
      <c r="L537" s="701"/>
      <c r="M537" s="701"/>
      <c r="N537" s="701"/>
      <c r="O537" s="701"/>
      <c r="P537" s="701"/>
      <c r="Y537" s="702"/>
    </row>
    <row r="538" spans="5:25">
      <c r="E538" s="701"/>
      <c r="F538" s="701"/>
      <c r="G538" s="701"/>
      <c r="H538" s="701"/>
      <c r="I538" s="701"/>
      <c r="J538" s="701"/>
      <c r="K538" s="701"/>
      <c r="L538" s="701"/>
      <c r="M538" s="701"/>
      <c r="N538" s="701"/>
      <c r="O538" s="701"/>
      <c r="P538" s="701"/>
      <c r="Y538" s="702"/>
    </row>
    <row r="539" spans="5:25">
      <c r="E539" s="701"/>
      <c r="F539" s="701"/>
      <c r="G539" s="701"/>
      <c r="H539" s="701"/>
      <c r="I539" s="701"/>
      <c r="J539" s="701"/>
      <c r="K539" s="701"/>
      <c r="L539" s="701"/>
      <c r="M539" s="701"/>
      <c r="N539" s="701"/>
      <c r="O539" s="701"/>
      <c r="P539" s="701"/>
      <c r="Y539" s="702"/>
    </row>
    <row r="540" spans="5:25">
      <c r="E540" s="701"/>
      <c r="F540" s="701"/>
      <c r="G540" s="701"/>
      <c r="H540" s="701"/>
      <c r="I540" s="701"/>
      <c r="J540" s="701"/>
      <c r="K540" s="701"/>
      <c r="L540" s="701"/>
      <c r="M540" s="701"/>
      <c r="N540" s="701"/>
      <c r="O540" s="701"/>
      <c r="P540" s="701"/>
      <c r="Y540" s="702"/>
    </row>
    <row r="541" spans="5:25">
      <c r="E541" s="701"/>
      <c r="F541" s="701"/>
      <c r="G541" s="701"/>
      <c r="H541" s="701"/>
      <c r="I541" s="701"/>
      <c r="J541" s="701"/>
      <c r="K541" s="701"/>
      <c r="L541" s="701"/>
      <c r="M541" s="701"/>
      <c r="N541" s="701"/>
      <c r="O541" s="701"/>
      <c r="P541" s="701"/>
      <c r="Y541" s="702"/>
    </row>
    <row r="542" spans="5:25">
      <c r="E542" s="701"/>
      <c r="F542" s="701"/>
      <c r="G542" s="701"/>
      <c r="H542" s="701"/>
      <c r="I542" s="701"/>
      <c r="J542" s="701"/>
      <c r="K542" s="701"/>
      <c r="L542" s="701"/>
      <c r="M542" s="701"/>
      <c r="N542" s="701"/>
      <c r="O542" s="701"/>
      <c r="P542" s="701"/>
      <c r="Y542" s="702"/>
    </row>
    <row r="543" spans="5:25">
      <c r="E543" s="701"/>
      <c r="F543" s="701"/>
      <c r="G543" s="701"/>
      <c r="H543" s="701"/>
      <c r="I543" s="701"/>
      <c r="J543" s="701"/>
      <c r="K543" s="701"/>
      <c r="L543" s="701"/>
      <c r="M543" s="701"/>
      <c r="N543" s="701"/>
      <c r="O543" s="701"/>
      <c r="P543" s="701"/>
      <c r="Y543" s="702"/>
    </row>
    <row r="544" spans="5:25">
      <c r="E544" s="701"/>
      <c r="F544" s="701"/>
      <c r="G544" s="701"/>
      <c r="H544" s="701"/>
      <c r="I544" s="701"/>
      <c r="J544" s="701"/>
      <c r="K544" s="701"/>
      <c r="L544" s="701"/>
      <c r="M544" s="701"/>
      <c r="N544" s="701"/>
      <c r="O544" s="701"/>
      <c r="P544" s="701"/>
      <c r="Y544" s="702"/>
    </row>
    <row r="545" spans="5:25">
      <c r="E545" s="701"/>
      <c r="F545" s="701"/>
      <c r="G545" s="701"/>
      <c r="H545" s="701"/>
      <c r="I545" s="701"/>
      <c r="J545" s="701"/>
      <c r="K545" s="701"/>
      <c r="L545" s="701"/>
      <c r="M545" s="701"/>
      <c r="N545" s="701"/>
      <c r="O545" s="701"/>
      <c r="P545" s="701"/>
      <c r="Y545" s="702"/>
    </row>
    <row r="546" spans="5:25">
      <c r="E546" s="701"/>
      <c r="F546" s="701"/>
      <c r="G546" s="701"/>
      <c r="H546" s="701"/>
      <c r="I546" s="701"/>
      <c r="J546" s="701"/>
      <c r="K546" s="701"/>
      <c r="L546" s="701"/>
      <c r="M546" s="701"/>
      <c r="N546" s="701"/>
      <c r="O546" s="701"/>
      <c r="P546" s="701"/>
      <c r="Y546" s="702"/>
    </row>
    <row r="547" spans="5:25">
      <c r="E547" s="701"/>
      <c r="F547" s="701"/>
      <c r="G547" s="701"/>
      <c r="H547" s="701"/>
      <c r="I547" s="701"/>
      <c r="J547" s="701"/>
      <c r="K547" s="701"/>
      <c r="L547" s="701"/>
      <c r="M547" s="701"/>
      <c r="N547" s="701"/>
      <c r="O547" s="701"/>
      <c r="P547" s="701"/>
      <c r="Y547" s="702"/>
    </row>
  </sheetData>
  <mergeCells count="96">
    <mergeCell ref="C116:C119"/>
    <mergeCell ref="Y115:Y119"/>
    <mergeCell ref="Y120:Y122"/>
    <mergeCell ref="Y152:Y155"/>
    <mergeCell ref="C154:C155"/>
    <mergeCell ref="C146:C148"/>
    <mergeCell ref="Y142:Y151"/>
    <mergeCell ref="X149:X151"/>
    <mergeCell ref="A78:A86"/>
    <mergeCell ref="Y78:Y86"/>
    <mergeCell ref="C85:C86"/>
    <mergeCell ref="X84:X86"/>
    <mergeCell ref="C80:C83"/>
    <mergeCell ref="A71:A77"/>
    <mergeCell ref="Y71:Y77"/>
    <mergeCell ref="C73:C74"/>
    <mergeCell ref="C76:C77"/>
    <mergeCell ref="X75:X77"/>
    <mergeCell ref="A64:A70"/>
    <mergeCell ref="Y64:Y70"/>
    <mergeCell ref="C66:C67"/>
    <mergeCell ref="C69:C70"/>
    <mergeCell ref="X68:X70"/>
    <mergeCell ref="A55:A63"/>
    <mergeCell ref="Y55:Y63"/>
    <mergeCell ref="C62:C63"/>
    <mergeCell ref="C57:C60"/>
    <mergeCell ref="X61:X63"/>
    <mergeCell ref="A48:A54"/>
    <mergeCell ref="Y48:Y54"/>
    <mergeCell ref="C50:C51"/>
    <mergeCell ref="C53:C54"/>
    <mergeCell ref="X52:X54"/>
    <mergeCell ref="A39:A47"/>
    <mergeCell ref="Y39:Y47"/>
    <mergeCell ref="C41:C44"/>
    <mergeCell ref="C46:C47"/>
    <mergeCell ref="X45:X47"/>
    <mergeCell ref="A30:A38"/>
    <mergeCell ref="Y30:Y38"/>
    <mergeCell ref="C32:C35"/>
    <mergeCell ref="C37:C38"/>
    <mergeCell ref="X36:X38"/>
    <mergeCell ref="A21:A29"/>
    <mergeCell ref="Y21:Y29"/>
    <mergeCell ref="C23:C26"/>
    <mergeCell ref="C28:C29"/>
    <mergeCell ref="X17:X20"/>
    <mergeCell ref="X27:X29"/>
    <mergeCell ref="A3:Y3"/>
    <mergeCell ref="B4:B6"/>
    <mergeCell ref="C4:C6"/>
    <mergeCell ref="D4:D6"/>
    <mergeCell ref="E4:L5"/>
    <mergeCell ref="Y4:Y6"/>
    <mergeCell ref="X4:X6"/>
    <mergeCell ref="M4:M5"/>
    <mergeCell ref="O4:O5"/>
    <mergeCell ref="P4:W5"/>
    <mergeCell ref="A164:Y165"/>
    <mergeCell ref="A87:A95"/>
    <mergeCell ref="Y87:Y95"/>
    <mergeCell ref="C94:C95"/>
    <mergeCell ref="X93:X95"/>
    <mergeCell ref="A156:A162"/>
    <mergeCell ref="Y156:Y162"/>
    <mergeCell ref="C158:C159"/>
    <mergeCell ref="C161:C162"/>
    <mergeCell ref="X160:X162"/>
    <mergeCell ref="A96:A104"/>
    <mergeCell ref="C103:C104"/>
    <mergeCell ref="C98:C101"/>
    <mergeCell ref="X102:X104"/>
    <mergeCell ref="A105:A113"/>
    <mergeCell ref="A152:A155"/>
    <mergeCell ref="C89:C92"/>
    <mergeCell ref="A123:A131"/>
    <mergeCell ref="Y123:Y131"/>
    <mergeCell ref="C125:C128"/>
    <mergeCell ref="X129:X131"/>
    <mergeCell ref="C130:C131"/>
    <mergeCell ref="Y96:Y101"/>
    <mergeCell ref="Y102:Y104"/>
    <mergeCell ref="C107:C110"/>
    <mergeCell ref="Y105:Y110"/>
    <mergeCell ref="Y111:Y113"/>
    <mergeCell ref="C112:C113"/>
    <mergeCell ref="X111:X113"/>
    <mergeCell ref="A114:A122"/>
    <mergeCell ref="C121:C122"/>
    <mergeCell ref="X120:X122"/>
    <mergeCell ref="A132:A140"/>
    <mergeCell ref="Y132:Y140"/>
    <mergeCell ref="C134:C137"/>
    <mergeCell ref="X138:X140"/>
    <mergeCell ref="C139:C140"/>
  </mergeCells>
  <pageMargins left="0.59055118110236227" right="0.47244094488188981" top="0.59055118110236227" bottom="0.39370078740157483" header="0.19685039370078741" footer="0.11811023622047245"/>
  <pageSetup paperSize="9" scale="67" firstPageNumber="43" orientation="landscape" useFirstPageNumber="1" r:id="rId1"/>
  <headerFooter alignWithMargins="0">
    <oddHeader>&amp;C&amp;"Arial,Kursywa"Wieloletnia prognoza finansowa Województwa Zachodniopomorskiego na lata 2016-2038&amp;"Arial,Normalny"
_______________________________________________________________________________________________________________________</oddHeader>
    <oddFooter>&amp;C&amp;9&amp;P</oddFooter>
  </headerFooter>
  <rowBreaks count="2" manualBreakCount="2">
    <brk id="104" max="24" man="1"/>
    <brk id="140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18</vt:i4>
      </vt:variant>
    </vt:vector>
  </HeadingPairs>
  <TitlesOfParts>
    <vt:vector size="29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projekty UE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2016-12-01T08:18:39Z</cp:lastPrinted>
  <dcterms:created xsi:type="dcterms:W3CDTF">2015-01-20T07:24:04Z</dcterms:created>
  <dcterms:modified xsi:type="dcterms:W3CDTF">2016-12-14T09:00:36Z</dcterms:modified>
</cp:coreProperties>
</file>